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exeloncorp-my.sharepoint.com/personal/e087584_exelonds_com/Documents/Desktop/FERC/Formula Rate Filings/2023/DPL/"/>
    </mc:Choice>
  </mc:AlternateContent>
  <xr:revisionPtr revIDLastSave="0" documentId="8_{8F5A3ACC-258C-4B13-B6A3-9F9349084727}" xr6:coauthVersionLast="47" xr6:coauthVersionMax="47" xr10:uidLastSave="{00000000-0000-0000-0000-000000000000}"/>
  <bookViews>
    <workbookView xWindow="28680" yWindow="-120" windowWidth="29040" windowHeight="15840" tabRatio="913" xr2:uid="{00000000-000D-0000-FFFF-FFFF00000000}"/>
  </bookViews>
  <sheets>
    <sheet name="ATT H-3D" sheetId="1" r:id="rId1"/>
    <sheet name="1A - ADIT Summary" sheetId="49" r:id="rId2"/>
    <sheet name="1B - ADIT EOY" sheetId="50" r:id="rId3"/>
    <sheet name="1C - ADIT BOY" sheetId="51" r:id="rId4"/>
    <sheet name="1D - ADIT Rate Base Adjustment" sheetId="52" r:id="rId5"/>
    <sheet name="1E - EDIT Amortization" sheetId="53" r:id="rId6"/>
    <sheet name="1F - ADIT Remeasurement" sheetId="54" r:id="rId7"/>
    <sheet name="2 - Other Tax" sheetId="5" r:id="rId8"/>
    <sheet name="3 - Revenue Credits" sheetId="55" r:id="rId9"/>
    <sheet name="3a - Shared Revenues" sheetId="56" r:id="rId10"/>
    <sheet name="4 - 100 Basis Pt ROE" sheetId="8" r:id="rId11"/>
    <sheet name="5 - Cost Support 1" sheetId="9" r:id="rId12"/>
    <sheet name="5a Affiliate Allocations" sheetId="10" r:id="rId13"/>
    <sheet name="5b EBSC Affiliate Allocations" sheetId="31" r:id="rId14"/>
    <sheet name="6-Project Rev Req" sheetId="12" r:id="rId15"/>
    <sheet name="6A-Project True-up" sheetId="13" r:id="rId16"/>
    <sheet name="6B - True-Up Interest " sheetId="14" r:id="rId17"/>
    <sheet name="7 - Cap Add WS " sheetId="57"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3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s>
  <definedNames>
    <definedName name="\0" localSheetId="15">#REF!</definedName>
    <definedName name="\0" localSheetId="16">#REF!</definedName>
    <definedName name="\0" localSheetId="17">#REF!</definedName>
    <definedName name="\0">#REF!</definedName>
    <definedName name="\1">'[1]Header Data'!#REF!</definedName>
    <definedName name="\A" localSheetId="17">#REF!</definedName>
    <definedName name="\A">#REF!</definedName>
    <definedName name="\b">#REF!</definedName>
    <definedName name="\C">#REF!</definedName>
    <definedName name="\D">#REF!</definedName>
    <definedName name="\E">#REF!</definedName>
    <definedName name="\f">[2]IS!#REF!</definedName>
    <definedName name="\G" localSheetId="17">#REF!</definedName>
    <definedName name="\G">#REF!</definedName>
    <definedName name="\H" localSheetId="17">#REF!</definedName>
    <definedName name="\H">#REF!</definedName>
    <definedName name="\I">#REF!</definedName>
    <definedName name="\J">#REF!</definedName>
    <definedName name="\k">[2]IS!#REF!</definedName>
    <definedName name="\L" localSheetId="17">#REF!</definedName>
    <definedName name="\L">#REF!</definedName>
    <definedName name="\M" localSheetId="17">#REF!</definedName>
    <definedName name="\M">#REF!</definedName>
    <definedName name="\N">#REF!</definedName>
    <definedName name="\O">#REF!</definedName>
    <definedName name="\P" localSheetId="17">[3]Assump!#REF!</definedName>
    <definedName name="\P">#REF!</definedName>
    <definedName name="\P2">#REF!</definedName>
    <definedName name="\q" localSheetId="9">'[4]Curr adj - depn basis diff'!#REF!</definedName>
    <definedName name="\q" localSheetId="17">'[5]Curr adj - depn basis diff'!#REF!</definedName>
    <definedName name="\q">'[5]Curr adj - depn basis diff'!#REF!</definedName>
    <definedName name="\R" localSheetId="17">#REF!</definedName>
    <definedName name="\R">#REF!</definedName>
    <definedName name="\S" localSheetId="17">#REF!</definedName>
    <definedName name="\S">#REF!</definedName>
    <definedName name="\U" localSheetId="17">#REF!</definedName>
    <definedName name="\U">#REF!</definedName>
    <definedName name="\W">#REF!</definedName>
    <definedName name="__________________________DAT1">'[6]Cost Center List'!#REF!</definedName>
    <definedName name="__________________________DAT2" localSheetId="17">#REF!</definedName>
    <definedName name="__________________________DAT2">#REF!</definedName>
    <definedName name="__________________________DAT3" localSheetId="17">#REF!</definedName>
    <definedName name="__________________________DAT3">#REF!</definedName>
    <definedName name="_________________________DAT1" localSheetId="17">'[6]Cost Center List'!#REF!</definedName>
    <definedName name="_________________________DAT1">'[6]Cost Center List'!#REF!</definedName>
    <definedName name="_________________________DAT2" localSheetId="17">#REF!</definedName>
    <definedName name="_________________________DAT2">#REF!</definedName>
    <definedName name="_________________________DAT3" localSheetId="17">#REF!</definedName>
    <definedName name="_________________________DAT3">#REF!</definedName>
    <definedName name="________________________DAT1" localSheetId="17">'[6]Cost Center List'!#REF!</definedName>
    <definedName name="________________________DAT1">'[6]Cost Center List'!#REF!</definedName>
    <definedName name="________________________DAT2" localSheetId="17">#REF!</definedName>
    <definedName name="________________________DAT2">#REF!</definedName>
    <definedName name="________________________DAT3" localSheetId="17">#REF!</definedName>
    <definedName name="________________________DAT3">#REF!</definedName>
    <definedName name="_______________________DAT1" localSheetId="17">'[6]Cost Center List'!#REF!</definedName>
    <definedName name="_______________________DAT1">'[6]Cost Center List'!#REF!</definedName>
    <definedName name="_______________________DAT2" localSheetId="17">#REF!</definedName>
    <definedName name="_______________________DAT2">#REF!</definedName>
    <definedName name="_______________________DAT3" localSheetId="17">#REF!</definedName>
    <definedName name="_______________________DAT3">#REF!</definedName>
    <definedName name="______________________DAT1" localSheetId="17">'[6]Cost Center List'!#REF!</definedName>
    <definedName name="______________________DAT1">'[6]Cost Center List'!#REF!</definedName>
    <definedName name="______________________DAT2" localSheetId="17">#REF!</definedName>
    <definedName name="______________________DAT2">#REF!</definedName>
    <definedName name="______________________DAT3" localSheetId="17">#REF!</definedName>
    <definedName name="______________________DAT3">#REF!</definedName>
    <definedName name="_____________________DAT1" localSheetId="17">'[6]Cost Center List'!#REF!</definedName>
    <definedName name="_____________________DAT1">'[6]Cost Center List'!#REF!</definedName>
    <definedName name="_____________________DAT2" localSheetId="17">#REF!</definedName>
    <definedName name="_____________________DAT2">#REF!</definedName>
    <definedName name="_____________________DAT3" localSheetId="17">#REF!</definedName>
    <definedName name="_____________________DAT3">#REF!</definedName>
    <definedName name="____________________DAT1" localSheetId="17">'[6]Cost Center List'!#REF!</definedName>
    <definedName name="____________________DAT1">'[6]Cost Center List'!#REF!</definedName>
    <definedName name="____________________DAT2" localSheetId="17">#REF!</definedName>
    <definedName name="____________________DAT2">#REF!</definedName>
    <definedName name="____________________DAT3" localSheetId="17">#REF!</definedName>
    <definedName name="____________________DAT3">#REF!</definedName>
    <definedName name="___________________DAT1" localSheetId="17">'[6]Cost Center List'!#REF!</definedName>
    <definedName name="___________________DAT1">'[6]Cost Center List'!#REF!</definedName>
    <definedName name="___________________DAT2" localSheetId="17">#REF!</definedName>
    <definedName name="___________________DAT2">#REF!</definedName>
    <definedName name="___________________DAT3" localSheetId="17">#REF!</definedName>
    <definedName name="___________________DAT3">#REF!</definedName>
    <definedName name="__________________DAT1" localSheetId="17">'[6]Cost Center List'!#REF!</definedName>
    <definedName name="__________________DAT1">'[6]Cost Center List'!#REF!</definedName>
    <definedName name="__________________DAT2" localSheetId="17">#REF!</definedName>
    <definedName name="__________________DAT2">#REF!</definedName>
    <definedName name="__________________DAT3" localSheetId="17">#REF!</definedName>
    <definedName name="__________________DAT3">#REF!</definedName>
    <definedName name="_________________DAT1" localSheetId="17">'[6]Cost Center List'!#REF!</definedName>
    <definedName name="_________________DAT1">'[6]Cost Center List'!#REF!</definedName>
    <definedName name="_________________DAT2" localSheetId="17">#REF!</definedName>
    <definedName name="_________________DAT2">#REF!</definedName>
    <definedName name="_________________DAT3" localSheetId="17">#REF!</definedName>
    <definedName name="_________________DAT3">#REF!</definedName>
    <definedName name="_________________H1" localSheetId="9">{"'Metretek HTML'!$A$7:$W$42"}</definedName>
    <definedName name="_________________H1" localSheetId="15">{"'Metretek HTML'!$A$7:$W$42"}</definedName>
    <definedName name="_________________H1" localSheetId="16">{"'Metretek HTML'!$A$7:$W$42"}</definedName>
    <definedName name="_________________H1" localSheetId="17">{"'Metretek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'[6]Cost Center List'!#REF!</definedName>
    <definedName name="________________DAT10" localSheetId="17">#REF!</definedName>
    <definedName name="________________DAT10">#REF!</definedName>
    <definedName name="________________DAT11" localSheetId="17">#REF!</definedName>
    <definedName name="________________DAT11">#REF!</definedName>
    <definedName name="________________DAT12" localSheetId="17">#REF!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 localSheetId="9">'[7]Rent Revenue'!#REF!</definedName>
    <definedName name="________________DAT2">'[8]Rent Revenue'!#REF!</definedName>
    <definedName name="________________DAT3" localSheetId="17">#REF!</definedName>
    <definedName name="________________DAT3">#REF!</definedName>
    <definedName name="________________DAT4" localSheetId="17">#REF!</definedName>
    <definedName name="________________DAT4">#REF!</definedName>
    <definedName name="________________DAT5" localSheetId="17">#REF!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'[6]Cost Center List'!#REF!</definedName>
    <definedName name="_______________DAT10" localSheetId="17">#REF!</definedName>
    <definedName name="_______________DAT10">#REF!</definedName>
    <definedName name="_______________DAT11" localSheetId="17">#REF!</definedName>
    <definedName name="_______________DAT11">#REF!</definedName>
    <definedName name="_______________DAT12" localSheetId="17">#REF!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'[6]Cost Center List'!#REF!</definedName>
    <definedName name="______________DAT10" localSheetId="17">#REF!</definedName>
    <definedName name="______________DAT10">#REF!</definedName>
    <definedName name="______________DAT11" localSheetId="17">#REF!</definedName>
    <definedName name="______________DAT11">#REF!</definedName>
    <definedName name="______________DAT12" localSheetId="17">#REF!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 localSheetId="9">'[9]YTD Summary'!#REF!</definedName>
    <definedName name="___________SUM282">'[10]YTD Summary'!#REF!</definedName>
    <definedName name="__________DAT1" localSheetId="17">#REF!</definedName>
    <definedName name="__________DAT1">#REF!</definedName>
    <definedName name="__________DAT10" localSheetId="17">#REF!</definedName>
    <definedName name="__________DAT10">#REF!</definedName>
    <definedName name="__________DAT11" localSheetId="17">#REF!</definedName>
    <definedName name="__________DAT11">#REF!</definedName>
    <definedName name="__________dat1111" localSheetId="9">[11]Sheet1!$G$2:$G$29</definedName>
    <definedName name="__________dat1111">[12]Sheet1!$G$2:$G$29</definedName>
    <definedName name="__________DAT12" localSheetId="17">#REF!</definedName>
    <definedName name="__________DAT12">#REF!</definedName>
    <definedName name="__________DAT13" localSheetId="17">#REF!</definedName>
    <definedName name="__________DAT13">#REF!</definedName>
    <definedName name="__________DAT14" localSheetId="17">#REF!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 localSheetId="9">'[9]YTD Summary'!#REF!</definedName>
    <definedName name="__________SUM282">'[10]YTD Summary'!#REF!</definedName>
    <definedName name="_________DAT1" localSheetId="17">#REF!</definedName>
    <definedName name="_________DAT1">#REF!</definedName>
    <definedName name="_________DAT10" localSheetId="17">#REF!</definedName>
    <definedName name="_________DAT10">#REF!</definedName>
    <definedName name="_________DAT11" localSheetId="17">#REF!</definedName>
    <definedName name="_________DAT11">#REF!</definedName>
    <definedName name="_________dat1111" localSheetId="9">[11]Sheet1!$G$2:$G$29</definedName>
    <definedName name="_________dat1111">[12]Sheet1!$G$2:$G$29</definedName>
    <definedName name="_________DAT12" localSheetId="17">#REF!</definedName>
    <definedName name="_________DAT12">#REF!</definedName>
    <definedName name="_________DAT13" localSheetId="17">#REF!</definedName>
    <definedName name="_________DAT13">#REF!</definedName>
    <definedName name="_________DAT14" localSheetId="17">#REF!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 localSheetId="9">'[9]YTD Summary'!#REF!</definedName>
    <definedName name="_________SUM282">'[10]YTD Summary'!#REF!</definedName>
    <definedName name="________DAT1" localSheetId="17">#REF!</definedName>
    <definedName name="________DAT1">#REF!</definedName>
    <definedName name="________DAT10" localSheetId="17">#REF!</definedName>
    <definedName name="________DAT10">#REF!</definedName>
    <definedName name="________DAT11" localSheetId="17">#REF!</definedName>
    <definedName name="________DAT11">#REF!</definedName>
    <definedName name="________dat1111" localSheetId="9">[11]Sheet1!$G$2:$G$29</definedName>
    <definedName name="________dat1111">[12]Sheet1!$G$2:$G$29</definedName>
    <definedName name="________DAT12" localSheetId="17">#REF!</definedName>
    <definedName name="________DAT12">#REF!</definedName>
    <definedName name="________DAT13" localSheetId="17">#REF!</definedName>
    <definedName name="________DAT13">#REF!</definedName>
    <definedName name="________DAT14" localSheetId="17">#REF!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 localSheetId="9">'[13]YTD Summary'!#REF!</definedName>
    <definedName name="________SUM282">'[14]YTD Summary'!#REF!</definedName>
    <definedName name="________SUM3" localSheetId="9">'[15]Summ 165_236'!#REF!</definedName>
    <definedName name="________SUM3">'[16]Summ 165_236'!#REF!</definedName>
    <definedName name="________SUM4" localSheetId="9">'[15]Summ 165_236'!#REF!</definedName>
    <definedName name="________SUM4">'[16]Summ 165_236'!#REF!</definedName>
    <definedName name="_______agr8690" localSheetId="9">[17]Model!$I$58</definedName>
    <definedName name="_______agr8690">[18]Model!$I$58</definedName>
    <definedName name="_______agr8790" localSheetId="9">[17]Model!$I$59</definedName>
    <definedName name="_______agr8790">[18]Model!$I$59</definedName>
    <definedName name="_______agr8791" localSheetId="9">[17]Model!$J$59</definedName>
    <definedName name="_______agr8791">[18]Model!$J$59</definedName>
    <definedName name="_______agr8890" localSheetId="9">[17]Model!$I$60</definedName>
    <definedName name="_______agr8890">[18]Model!$I$60</definedName>
    <definedName name="_______agr8891" localSheetId="9">[17]Model!$J$60</definedName>
    <definedName name="_______agr8891">[18]Model!$J$60</definedName>
    <definedName name="_______agr8892" localSheetId="9">[17]Model!$K$60</definedName>
    <definedName name="_______agr8892">[18]Model!$K$60</definedName>
    <definedName name="_______agr8990" localSheetId="9">[17]Model!$I$61</definedName>
    <definedName name="_______agr8990">[18]Model!$I$61</definedName>
    <definedName name="_______agr8991" localSheetId="9">[17]Model!$J$61</definedName>
    <definedName name="_______agr8991">[18]Model!$J$61</definedName>
    <definedName name="_______agr8992" localSheetId="9">[17]Model!$K$61</definedName>
    <definedName name="_______agr8992">[18]Model!$K$61</definedName>
    <definedName name="_______agr8993" localSheetId="9">[17]Model!$L$61</definedName>
    <definedName name="_______agr8993">[18]Model!$L$61</definedName>
    <definedName name="_______agr9091" localSheetId="9">[17]Model!$J$62</definedName>
    <definedName name="_______agr9091">[18]Model!$J$62</definedName>
    <definedName name="_______agr9092" localSheetId="9">[17]Model!$K$62</definedName>
    <definedName name="_______agr9092">[18]Model!$K$62</definedName>
    <definedName name="_______agr9093" localSheetId="9">[17]Model!$L$62</definedName>
    <definedName name="_______agr9093">[18]Model!$L$62</definedName>
    <definedName name="_______agr9094" localSheetId="9">[17]Model!$M$62</definedName>
    <definedName name="_______agr9094">[18]Model!$M$62</definedName>
    <definedName name="_______agr9192" localSheetId="9">[17]Model!$K$63</definedName>
    <definedName name="_______agr9192">[18]Model!$K$63</definedName>
    <definedName name="_______agr9193" localSheetId="9">[17]Model!$L$63</definedName>
    <definedName name="_______agr9193">[18]Model!$L$63</definedName>
    <definedName name="_______agr9194" localSheetId="9">[17]Model!$M$63</definedName>
    <definedName name="_______agr9194">[18]Model!$M$63</definedName>
    <definedName name="_______agr9195" localSheetId="9">[17]Model!$N$63</definedName>
    <definedName name="_______agr9195">[18]Model!$N$63</definedName>
    <definedName name="_______agr9293" localSheetId="9">[17]Model!$L$64</definedName>
    <definedName name="_______agr9293">[18]Model!$L$64</definedName>
    <definedName name="_______agr9294" localSheetId="9">[17]Model!$M$64</definedName>
    <definedName name="_______agr9294">[18]Model!$M$64</definedName>
    <definedName name="_______agr9295" localSheetId="9">[17]Model!$N$64</definedName>
    <definedName name="_______agr9295">[18]Model!$N$64</definedName>
    <definedName name="_______agr9296" localSheetId="9">[17]Model!$O$64</definedName>
    <definedName name="_______agr9296">[18]Model!$O$64</definedName>
    <definedName name="_______agr9394" localSheetId="9">[17]Model!$M$65</definedName>
    <definedName name="_______agr9394">[18]Model!$M$65</definedName>
    <definedName name="_______agr9395" localSheetId="9">[17]Model!$N$65</definedName>
    <definedName name="_______agr9395">[18]Model!$N$65</definedName>
    <definedName name="_______agr9396" localSheetId="9">[17]Model!$O$65</definedName>
    <definedName name="_______agr9396">[18]Model!$O$65</definedName>
    <definedName name="_______agr9397" localSheetId="9">[17]Model!$P$65</definedName>
    <definedName name="_______agr9397">[18]Model!$P$65</definedName>
    <definedName name="_______agr9495" localSheetId="9">[17]Model!$N$66</definedName>
    <definedName name="_______agr9495">[18]Model!$N$66</definedName>
    <definedName name="_______agr9496" localSheetId="9">[17]Model!$O$66</definedName>
    <definedName name="_______agr9496">[18]Model!$O$66</definedName>
    <definedName name="_______agr9497" localSheetId="9">[17]Model!$P$66</definedName>
    <definedName name="_______agr9497">[18]Model!$P$66</definedName>
    <definedName name="_______agr9498" localSheetId="9">[17]Model!$Q$66</definedName>
    <definedName name="_______agr9498">[18]Model!$Q$66</definedName>
    <definedName name="_______agr9596" localSheetId="9">[17]Model!$O$67</definedName>
    <definedName name="_______agr9596">[18]Model!$O$67</definedName>
    <definedName name="_______agr9597" localSheetId="9">[17]Model!$P$67</definedName>
    <definedName name="_______agr9597">[18]Model!$P$67</definedName>
    <definedName name="_______agr9598" localSheetId="9">[17]Model!$Q$67</definedName>
    <definedName name="_______agr9598">[18]Model!$Q$67</definedName>
    <definedName name="_______agr9697" localSheetId="9">[17]Model!$P$68</definedName>
    <definedName name="_______agr9697">[18]Model!$P$68</definedName>
    <definedName name="_______agr9698" localSheetId="9">[17]Model!$Q$68</definedName>
    <definedName name="_______agr9698">[18]Model!$Q$68</definedName>
    <definedName name="_______agr9798" localSheetId="9">[17]Model!$Q$69</definedName>
    <definedName name="_______agr9798">[18]Model!$Q$69</definedName>
    <definedName name="_______DAT1" localSheetId="17">#REF!</definedName>
    <definedName name="_______DAT1">#REF!</definedName>
    <definedName name="_______DAT10" localSheetId="17">#REF!</definedName>
    <definedName name="_______DAT10">#REF!</definedName>
    <definedName name="_______DAT11" localSheetId="17">#REF!</definedName>
    <definedName name="_______DAT11">#REF!</definedName>
    <definedName name="_______dat1111" localSheetId="9">[11]Sheet1!$G$2:$G$29</definedName>
    <definedName name="_______dat1111">[12]Sheet1!$G$2:$G$29</definedName>
    <definedName name="_______DAT12" localSheetId="17">#REF!</definedName>
    <definedName name="_______DAT12">#REF!</definedName>
    <definedName name="_______DAT13" localSheetId="17">#REF!</definedName>
    <definedName name="_______DAT13">#REF!</definedName>
    <definedName name="_______DAT14" localSheetId="17">#REF!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 localSheetId="9">'[17]QRE''s'!$D$1:$D$65536</definedName>
    <definedName name="_______qre84">'[18]QRE''s'!$D$1:$D$65536</definedName>
    <definedName name="_______qre8490" localSheetId="9">[17]Model!$I$126</definedName>
    <definedName name="_______qre8490">[18]Model!$I$126</definedName>
    <definedName name="_______qre8491" localSheetId="9">[17]Model!$J$126</definedName>
    <definedName name="_______qre8491">[18]Model!$J$126</definedName>
    <definedName name="_______qre8492" localSheetId="9">[17]Model!$K$126</definedName>
    <definedName name="_______qre8492">[18]Model!$K$126</definedName>
    <definedName name="_______qre8493" localSheetId="9">[17]Model!$L$126</definedName>
    <definedName name="_______qre8493">[18]Model!$L$126</definedName>
    <definedName name="_______qre8494" localSheetId="9">[17]Model!$M$126</definedName>
    <definedName name="_______qre8494">[18]Model!$M$126</definedName>
    <definedName name="_______qre8495" localSheetId="9">[17]Model!$N$126</definedName>
    <definedName name="_______qre8495">[18]Model!$N$126</definedName>
    <definedName name="_______qre8496" localSheetId="9">[17]Model!$O$126</definedName>
    <definedName name="_______qre8496">[18]Model!$O$126</definedName>
    <definedName name="_______qre8497" localSheetId="9">[17]Model!$P$126</definedName>
    <definedName name="_______qre8497">[18]Model!$P$126</definedName>
    <definedName name="_______qre8498" localSheetId="9">[17]Model!$Q$126</definedName>
    <definedName name="_______qre8498">[18]Model!$Q$126</definedName>
    <definedName name="_______qre85" localSheetId="9">'[17]QRE''s'!$E$1:$E$65536</definedName>
    <definedName name="_______qre85">'[18]QRE''s'!$E$1:$E$65536</definedName>
    <definedName name="_______qre8590" localSheetId="9">[17]Model!$I$127</definedName>
    <definedName name="_______qre8590">[18]Model!$I$127</definedName>
    <definedName name="_______qre8591" localSheetId="9">[17]Model!$J$127</definedName>
    <definedName name="_______qre8591">[18]Model!$J$127</definedName>
    <definedName name="_______qre8592" localSheetId="9">[17]Model!$K$127</definedName>
    <definedName name="_______qre8592">[18]Model!$K$127</definedName>
    <definedName name="_______qre8593" localSheetId="9">[17]Model!$L$127</definedName>
    <definedName name="_______qre8593">[18]Model!$L$127</definedName>
    <definedName name="_______qre8594" localSheetId="9">[17]Model!$M$127</definedName>
    <definedName name="_______qre8594">[18]Model!$M$127</definedName>
    <definedName name="_______qre8595" localSheetId="9">[17]Model!$N$127</definedName>
    <definedName name="_______qre8595">[18]Model!$N$127</definedName>
    <definedName name="_______qre8596" localSheetId="9">[17]Model!$O$127</definedName>
    <definedName name="_______qre8596">[18]Model!$O$127</definedName>
    <definedName name="_______qre8597" localSheetId="9">[17]Model!$P$127</definedName>
    <definedName name="_______qre8597">[18]Model!$P$127</definedName>
    <definedName name="_______qre8598" localSheetId="9">[17]Model!$Q$127</definedName>
    <definedName name="_______qre8598">[18]Model!$Q$127</definedName>
    <definedName name="_______qre86" localSheetId="9">'[17]QRE''s'!$F$1:$F$65536</definedName>
    <definedName name="_______qre86">'[18]QRE''s'!$F$1:$F$65536</definedName>
    <definedName name="_______qre8690" localSheetId="9">[17]Model!$I$128</definedName>
    <definedName name="_______qre8690">[18]Model!$I$128</definedName>
    <definedName name="_______qre8691" localSheetId="9">[17]Model!$J$128</definedName>
    <definedName name="_______qre8691">[18]Model!$J$128</definedName>
    <definedName name="_______qre8692" localSheetId="9">[17]Model!$K$128</definedName>
    <definedName name="_______qre8692">[18]Model!$K$128</definedName>
    <definedName name="_______qre8693" localSheetId="9">[17]Model!$L$128</definedName>
    <definedName name="_______qre8693">[18]Model!$L$128</definedName>
    <definedName name="_______qre8694" localSheetId="9">[17]Model!$M$128</definedName>
    <definedName name="_______qre8694">[18]Model!$M$128</definedName>
    <definedName name="_______qre8695" localSheetId="9">[17]Model!$N$128</definedName>
    <definedName name="_______qre8695">[18]Model!$N$128</definedName>
    <definedName name="_______qre8696" localSheetId="9">[17]Model!$O$128</definedName>
    <definedName name="_______qre8696">[18]Model!$O$128</definedName>
    <definedName name="_______qre8697" localSheetId="9">[17]Model!$P$128</definedName>
    <definedName name="_______qre8697">[18]Model!$P$128</definedName>
    <definedName name="_______qre8698" localSheetId="9">[17]Model!$Q$128</definedName>
    <definedName name="_______qre8698">[18]Model!$Q$128</definedName>
    <definedName name="_______qre87" localSheetId="9">'[17]QRE''s'!$G$1:$G$65536</definedName>
    <definedName name="_______qre87">'[18]QRE''s'!$G$1:$G$65536</definedName>
    <definedName name="_______qre8790" localSheetId="9">[17]Model!$I$129</definedName>
    <definedName name="_______qre8790">[18]Model!$I$129</definedName>
    <definedName name="_______qre8791" localSheetId="9">[17]Model!$J$129</definedName>
    <definedName name="_______qre8791">[18]Model!$J$129</definedName>
    <definedName name="_______qre8792" localSheetId="9">[17]Model!$K$129</definedName>
    <definedName name="_______qre8792">[18]Model!$K$129</definedName>
    <definedName name="_______qre8793" localSheetId="9">[17]Model!$L$129</definedName>
    <definedName name="_______qre8793">[18]Model!$L$129</definedName>
    <definedName name="_______qre8794" localSheetId="9">[17]Model!$M$129</definedName>
    <definedName name="_______qre8794">[18]Model!$M$129</definedName>
    <definedName name="_______qre8795" localSheetId="9">[17]Model!$N$129</definedName>
    <definedName name="_______qre8795">[18]Model!$N$129</definedName>
    <definedName name="_______qre8796" localSheetId="9">[17]Model!$O$129</definedName>
    <definedName name="_______qre8796">[18]Model!$O$129</definedName>
    <definedName name="_______qre8797" localSheetId="9">[17]Model!$P$129</definedName>
    <definedName name="_______qre8797">[18]Model!$P$129</definedName>
    <definedName name="_______qre8798" localSheetId="9">[17]Model!$Q$129</definedName>
    <definedName name="_______qre8798">[18]Model!$Q$129</definedName>
    <definedName name="_______qre88" localSheetId="9">'[17]QRE''s'!$H$1:$H$65536</definedName>
    <definedName name="_______qre88">'[18]QRE''s'!$H$1:$H$65536</definedName>
    <definedName name="_______qre8890" localSheetId="9">[17]Model!$I$130</definedName>
    <definedName name="_______qre8890">[18]Model!$I$130</definedName>
    <definedName name="_______qre8891" localSheetId="9">[17]Model!$J$130</definedName>
    <definedName name="_______qre8891">[18]Model!$J$130</definedName>
    <definedName name="_______qre8892" localSheetId="9">[17]Model!$K$130</definedName>
    <definedName name="_______qre8892">[18]Model!$K$130</definedName>
    <definedName name="_______qre8893" localSheetId="9">[17]Model!$L$130</definedName>
    <definedName name="_______qre8893">[18]Model!$L$130</definedName>
    <definedName name="_______qre8894" localSheetId="9">[17]Model!$M$130</definedName>
    <definedName name="_______qre8894">[18]Model!$M$130</definedName>
    <definedName name="_______qre8895" localSheetId="9">[17]Model!$N$130</definedName>
    <definedName name="_______qre8895">[18]Model!$N$130</definedName>
    <definedName name="_______qre8896" localSheetId="9">[17]Model!$O$130</definedName>
    <definedName name="_______qre8896">[18]Model!$O$130</definedName>
    <definedName name="_______qre8897" localSheetId="9">[17]Model!$P$130</definedName>
    <definedName name="_______qre8897">[18]Model!$P$130</definedName>
    <definedName name="_______qre8898" localSheetId="9">[17]Model!$Q$130</definedName>
    <definedName name="_______qre8898">[18]Model!$Q$130</definedName>
    <definedName name="_______qre89" localSheetId="9">'[17]QRE''s'!$I$1:$I$65536</definedName>
    <definedName name="_______qre89">'[18]QRE''s'!$I$1:$I$65536</definedName>
    <definedName name="_______qre90" localSheetId="9">'[17]QRE''s'!$J$1:$J$65536</definedName>
    <definedName name="_______qre90">'[18]QRE''s'!$J$1:$J$65536</definedName>
    <definedName name="_______qre91" localSheetId="9">'[17]QRE''s'!$K$1:$K$65536</definedName>
    <definedName name="_______qre91">'[18]QRE''s'!$K$1:$K$65536</definedName>
    <definedName name="_______qre92" localSheetId="9">'[17]QRE''s'!$L$1:$L$65536</definedName>
    <definedName name="_______qre92">'[18]QRE''s'!$L$1:$L$65536</definedName>
    <definedName name="_______qre93" localSheetId="9">'[17]QRE''s'!$M$1:$M$65536</definedName>
    <definedName name="_______qre93">'[18]QRE''s'!$M$1:$M$65536</definedName>
    <definedName name="_______qre94" localSheetId="9">'[17]QRE''s'!$N$1:$N$65536</definedName>
    <definedName name="_______qre94">'[18]QRE''s'!$N$1:$N$65536</definedName>
    <definedName name="_______qre95" localSheetId="9">'[17]QRE''s'!$O$1:$O$65536</definedName>
    <definedName name="_______qre95">'[18]QRE''s'!$O$1:$O$65536</definedName>
    <definedName name="_______qre96" localSheetId="9">'[17]QRE''s'!$P$1:$P$65536</definedName>
    <definedName name="_______qre96">'[18]QRE''s'!$P$1:$P$65536</definedName>
    <definedName name="_______qre97" localSheetId="9">'[17]QRE''s'!$Q$1:$Q$65536</definedName>
    <definedName name="_______qre97">'[18]QRE''s'!$Q$1:$Q$65536</definedName>
    <definedName name="_______qre98" localSheetId="9">'[17]QRE''s'!$R$1:$R$65536</definedName>
    <definedName name="_______qre98">'[18]QRE''s'!$R$1:$R$65536</definedName>
    <definedName name="_______SUM282" localSheetId="9">'[9]YTD Summary'!#REF!</definedName>
    <definedName name="_______SUM282" localSheetId="17">'[10]YTD Summary'!#REF!</definedName>
    <definedName name="_______SUM282">'[10]YTD Summary'!#REF!</definedName>
    <definedName name="_______SUM3" localSheetId="9">'[15]Summ 165_236'!#REF!</definedName>
    <definedName name="_______SUM3" localSheetId="17">'[16]Summ 165_236'!#REF!</definedName>
    <definedName name="_______SUM3">'[16]Summ 165_236'!#REF!</definedName>
    <definedName name="_______SUM4" localSheetId="9">'[15]Summ 165_236'!#REF!</definedName>
    <definedName name="_______SUM4" localSheetId="17">'[16]Summ 165_236'!#REF!</definedName>
    <definedName name="_______SUM4">'[16]Summ 165_236'!#REF!</definedName>
    <definedName name="_______tqc90" localSheetId="9">'[17]QRE''s'!$J$101</definedName>
    <definedName name="_______tqc90">'[18]QRE''s'!$J$101</definedName>
    <definedName name="_______tqc91" localSheetId="9">'[17]QRE''s'!$K$101</definedName>
    <definedName name="_______tqc91">'[18]QRE''s'!$K$101</definedName>
    <definedName name="_______tqc92" localSheetId="9">'[17]QRE''s'!$L$101</definedName>
    <definedName name="_______tqc92">'[18]QRE''s'!$L$101</definedName>
    <definedName name="_______tqc93" localSheetId="9">'[17]QRE''s'!$M$101</definedName>
    <definedName name="_______tqc93">'[18]QRE''s'!$M$101</definedName>
    <definedName name="_______tqc94" localSheetId="9">'[17]QRE''s'!$N$101</definedName>
    <definedName name="_______tqc94">'[18]QRE''s'!$N$101</definedName>
    <definedName name="_______tqc95" localSheetId="9">'[17]QRE''s'!$O$101</definedName>
    <definedName name="_______tqc95">'[18]QRE''s'!$O$101</definedName>
    <definedName name="_______tqc96" localSheetId="9">'[17]QRE''s'!$P$101</definedName>
    <definedName name="_______tqc96">'[18]QRE''s'!$P$101</definedName>
    <definedName name="_______tqc97" localSheetId="9">'[17]QRE''s'!$Q$101</definedName>
    <definedName name="_______tqc97">'[18]QRE''s'!$Q$101</definedName>
    <definedName name="_______tqc98" localSheetId="9">'[17]QRE''s'!$R$101</definedName>
    <definedName name="_______tqc98">'[18]QRE''s'!$R$101</definedName>
    <definedName name="_______tql90" localSheetId="9">'[17]QRE''s'!$J$99</definedName>
    <definedName name="_______tql90">'[18]QRE''s'!$J$99</definedName>
    <definedName name="_______tql91" localSheetId="9">'[17]QRE''s'!$K$99</definedName>
    <definedName name="_______tql91">'[18]QRE''s'!$K$99</definedName>
    <definedName name="_______tql92" localSheetId="9">'[17]QRE''s'!$L$99</definedName>
    <definedName name="_______tql92">'[18]QRE''s'!$L$99</definedName>
    <definedName name="_______tql93" localSheetId="9">'[17]QRE''s'!$M$99</definedName>
    <definedName name="_______tql93">'[18]QRE''s'!$M$99</definedName>
    <definedName name="_______tql94" localSheetId="9">'[17]QRE''s'!$N$99</definedName>
    <definedName name="_______tql94">'[18]QRE''s'!$N$99</definedName>
    <definedName name="_______tql95" localSheetId="9">'[17]QRE''s'!$O$99</definedName>
    <definedName name="_______tql95">'[18]QRE''s'!$O$99</definedName>
    <definedName name="_______tql96" localSheetId="9">'[17]QRE''s'!$P$99</definedName>
    <definedName name="_______tql96">'[18]QRE''s'!$P$99</definedName>
    <definedName name="_______tql97" localSheetId="9">'[17]QRE''s'!$Q$99</definedName>
    <definedName name="_______tql97">'[18]QRE''s'!$Q$99</definedName>
    <definedName name="_______tql98" localSheetId="9">'[17]QRE''s'!$R$99</definedName>
    <definedName name="_______tql98">'[18]QRE''s'!$R$99</definedName>
    <definedName name="_______tqs90" localSheetId="9">'[17]QRE''s'!$J$100</definedName>
    <definedName name="_______tqs90">'[18]QRE''s'!$J$100</definedName>
    <definedName name="_______tqs91" localSheetId="9">'[17]QRE''s'!$K$100</definedName>
    <definedName name="_______tqs91">'[18]QRE''s'!$K$100</definedName>
    <definedName name="_______tqs92" localSheetId="9">'[17]QRE''s'!$L$100</definedName>
    <definedName name="_______tqs92">'[18]QRE''s'!$L$100</definedName>
    <definedName name="_______tqs93" localSheetId="9">'[17]QRE''s'!$M$100</definedName>
    <definedName name="_______tqs93">'[18]QRE''s'!$M$100</definedName>
    <definedName name="_______tqs94" localSheetId="9">'[17]QRE''s'!$N$100</definedName>
    <definedName name="_______tqs94">'[18]QRE''s'!$N$100</definedName>
    <definedName name="_______tqs95" localSheetId="9">'[17]QRE''s'!$O$100</definedName>
    <definedName name="_______tqs95">'[18]QRE''s'!$O$100</definedName>
    <definedName name="_______tqs96" localSheetId="9">'[17]QRE''s'!$P$100</definedName>
    <definedName name="_______tqs96">'[18]QRE''s'!$P$100</definedName>
    <definedName name="_______tqs97" localSheetId="9">'[17]QRE''s'!$Q$100</definedName>
    <definedName name="_______tqs97">'[18]QRE''s'!$Q$100</definedName>
    <definedName name="_______tqs98" localSheetId="9">'[17]QRE''s'!$R$100</definedName>
    <definedName name="_______tqs98">'[18]QRE''s'!$R$100</definedName>
    <definedName name="______agr8690" localSheetId="9">[17]Model!$I$58</definedName>
    <definedName name="______agr8690">[18]Model!$I$58</definedName>
    <definedName name="______agr8790" localSheetId="9">[17]Model!$I$59</definedName>
    <definedName name="______agr8790">[18]Model!$I$59</definedName>
    <definedName name="______agr8791" localSheetId="9">[17]Model!$J$59</definedName>
    <definedName name="______agr8791">[18]Model!$J$59</definedName>
    <definedName name="______agr8890" localSheetId="9">[17]Model!$I$60</definedName>
    <definedName name="______agr8890">[18]Model!$I$60</definedName>
    <definedName name="______agr8891" localSheetId="9">[17]Model!$J$60</definedName>
    <definedName name="______agr8891">[18]Model!$J$60</definedName>
    <definedName name="______agr8892" localSheetId="9">[17]Model!$K$60</definedName>
    <definedName name="______agr8892">[18]Model!$K$60</definedName>
    <definedName name="______agr8990" localSheetId="9">[17]Model!$I$61</definedName>
    <definedName name="______agr8990">[18]Model!$I$61</definedName>
    <definedName name="______agr8991" localSheetId="9">[17]Model!$J$61</definedName>
    <definedName name="______agr8991">[18]Model!$J$61</definedName>
    <definedName name="______agr8992" localSheetId="9">[17]Model!$K$61</definedName>
    <definedName name="______agr8992">[18]Model!$K$61</definedName>
    <definedName name="______agr8993" localSheetId="9">[17]Model!$L$61</definedName>
    <definedName name="______agr8993">[18]Model!$L$61</definedName>
    <definedName name="______agr9091" localSheetId="9">[17]Model!$J$62</definedName>
    <definedName name="______agr9091">[18]Model!$J$62</definedName>
    <definedName name="______agr9092" localSheetId="9">[17]Model!$K$62</definedName>
    <definedName name="______agr9092">[18]Model!$K$62</definedName>
    <definedName name="______agr9093" localSheetId="9">[17]Model!$L$62</definedName>
    <definedName name="______agr9093">[18]Model!$L$62</definedName>
    <definedName name="______agr9094" localSheetId="9">[17]Model!$M$62</definedName>
    <definedName name="______agr9094">[18]Model!$M$62</definedName>
    <definedName name="______agr9192" localSheetId="9">[17]Model!$K$63</definedName>
    <definedName name="______agr9192">[18]Model!$K$63</definedName>
    <definedName name="______agr9193" localSheetId="9">[17]Model!$L$63</definedName>
    <definedName name="______agr9193">[18]Model!$L$63</definedName>
    <definedName name="______agr9194" localSheetId="9">[17]Model!$M$63</definedName>
    <definedName name="______agr9194">[18]Model!$M$63</definedName>
    <definedName name="______agr9195" localSheetId="9">[17]Model!$N$63</definedName>
    <definedName name="______agr9195">[18]Model!$N$63</definedName>
    <definedName name="______agr9293" localSheetId="9">[17]Model!$L$64</definedName>
    <definedName name="______agr9293">[18]Model!$L$64</definedName>
    <definedName name="______agr9294" localSheetId="9">[17]Model!$M$64</definedName>
    <definedName name="______agr9294">[18]Model!$M$64</definedName>
    <definedName name="______agr9295" localSheetId="9">[17]Model!$N$64</definedName>
    <definedName name="______agr9295">[18]Model!$N$64</definedName>
    <definedName name="______agr9296" localSheetId="9">[17]Model!$O$64</definedName>
    <definedName name="______agr9296">[18]Model!$O$64</definedName>
    <definedName name="______agr9394" localSheetId="9">[17]Model!$M$65</definedName>
    <definedName name="______agr9394">[18]Model!$M$65</definedName>
    <definedName name="______agr9395" localSheetId="9">[17]Model!$N$65</definedName>
    <definedName name="______agr9395">[18]Model!$N$65</definedName>
    <definedName name="______agr9396" localSheetId="9">[17]Model!$O$65</definedName>
    <definedName name="______agr9396">[18]Model!$O$65</definedName>
    <definedName name="______agr9397" localSheetId="9">[17]Model!$P$65</definedName>
    <definedName name="______agr9397">[18]Model!$P$65</definedName>
    <definedName name="______agr9495" localSheetId="9">[17]Model!$N$66</definedName>
    <definedName name="______agr9495">[18]Model!$N$66</definedName>
    <definedName name="______agr9496" localSheetId="9">[17]Model!$O$66</definedName>
    <definedName name="______agr9496">[18]Model!$O$66</definedName>
    <definedName name="______agr9497" localSheetId="9">[17]Model!$P$66</definedName>
    <definedName name="______agr9497">[18]Model!$P$66</definedName>
    <definedName name="______agr9498" localSheetId="9">[17]Model!$Q$66</definedName>
    <definedName name="______agr9498">[18]Model!$Q$66</definedName>
    <definedName name="______agr9596" localSheetId="9">[17]Model!$O$67</definedName>
    <definedName name="______agr9596">[18]Model!$O$67</definedName>
    <definedName name="______agr9597" localSheetId="9">[17]Model!$P$67</definedName>
    <definedName name="______agr9597">[18]Model!$P$67</definedName>
    <definedName name="______agr9598" localSheetId="9">[17]Model!$Q$67</definedName>
    <definedName name="______agr9598">[18]Model!$Q$67</definedName>
    <definedName name="______agr9697" localSheetId="9">[17]Model!$P$68</definedName>
    <definedName name="______agr9697">[18]Model!$P$68</definedName>
    <definedName name="______agr9698" localSheetId="9">[17]Model!$Q$68</definedName>
    <definedName name="______agr9698">[18]Model!$Q$68</definedName>
    <definedName name="______agr9798" localSheetId="9">[17]Model!$Q$69</definedName>
    <definedName name="______agr9798">[18]Model!$Q$69</definedName>
    <definedName name="______DAT1" localSheetId="17">#REF!</definedName>
    <definedName name="______DAT1">#REF!</definedName>
    <definedName name="______DAT10" localSheetId="17">#REF!</definedName>
    <definedName name="______DAT10">#REF!</definedName>
    <definedName name="______DAT11" localSheetId="17">#REF!</definedName>
    <definedName name="______DAT11">#REF!</definedName>
    <definedName name="______dat1111" localSheetId="9">[11]Sheet1!$G$2:$G$29</definedName>
    <definedName name="______dat1111">[12]Sheet1!$G$2:$G$29</definedName>
    <definedName name="______DAT12" localSheetId="17">#REF!</definedName>
    <definedName name="______DAT12">#REF!</definedName>
    <definedName name="______DAT13" localSheetId="17">#REF!</definedName>
    <definedName name="______DAT13">#REF!</definedName>
    <definedName name="______DAT14" localSheetId="17">#REF!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9">{"'Metretek HTML'!$A$7:$W$42"}</definedName>
    <definedName name="______H1" localSheetId="15">{"'Metretek HTML'!$A$7:$W$42"}</definedName>
    <definedName name="______H1" localSheetId="16">{"'Metretek HTML'!$A$7:$W$42"}</definedName>
    <definedName name="______H1" localSheetId="17">{"'Metretek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 localSheetId="9">'[17]QRE''s'!$D$1:$D$65536</definedName>
    <definedName name="______qre84">'[18]QRE''s'!$D$1:$D$65536</definedName>
    <definedName name="______qre8490" localSheetId="9">[17]Model!$I$126</definedName>
    <definedName name="______qre8490">[18]Model!$I$126</definedName>
    <definedName name="______qre8491" localSheetId="9">[17]Model!$J$126</definedName>
    <definedName name="______qre8491">[18]Model!$J$126</definedName>
    <definedName name="______qre8492" localSheetId="9">[17]Model!$K$126</definedName>
    <definedName name="______qre8492">[18]Model!$K$126</definedName>
    <definedName name="______qre8493" localSheetId="9">[17]Model!$L$126</definedName>
    <definedName name="______qre8493">[18]Model!$L$126</definedName>
    <definedName name="______qre8494" localSheetId="9">[17]Model!$M$126</definedName>
    <definedName name="______qre8494">[18]Model!$M$126</definedName>
    <definedName name="______qre8495" localSheetId="9">[17]Model!$N$126</definedName>
    <definedName name="______qre8495">[18]Model!$N$126</definedName>
    <definedName name="______qre8496" localSheetId="9">[17]Model!$O$126</definedName>
    <definedName name="______qre8496">[18]Model!$O$126</definedName>
    <definedName name="______qre8497" localSheetId="9">[17]Model!$P$126</definedName>
    <definedName name="______qre8497">[18]Model!$P$126</definedName>
    <definedName name="______qre8498" localSheetId="9">[17]Model!$Q$126</definedName>
    <definedName name="______qre8498">[18]Model!$Q$126</definedName>
    <definedName name="______qre85" localSheetId="9">'[17]QRE''s'!$E$1:$E$65536</definedName>
    <definedName name="______qre85">'[18]QRE''s'!$E$1:$E$65536</definedName>
    <definedName name="______qre8590" localSheetId="9">[17]Model!$I$127</definedName>
    <definedName name="______qre8590">[18]Model!$I$127</definedName>
    <definedName name="______qre8591" localSheetId="9">[17]Model!$J$127</definedName>
    <definedName name="______qre8591">[18]Model!$J$127</definedName>
    <definedName name="______qre8592" localSheetId="9">[17]Model!$K$127</definedName>
    <definedName name="______qre8592">[18]Model!$K$127</definedName>
    <definedName name="______qre8593" localSheetId="9">[17]Model!$L$127</definedName>
    <definedName name="______qre8593">[18]Model!$L$127</definedName>
    <definedName name="______qre8594" localSheetId="9">[17]Model!$M$127</definedName>
    <definedName name="______qre8594">[18]Model!$M$127</definedName>
    <definedName name="______qre8595" localSheetId="9">[17]Model!$N$127</definedName>
    <definedName name="______qre8595">[18]Model!$N$127</definedName>
    <definedName name="______qre8596" localSheetId="9">[17]Model!$O$127</definedName>
    <definedName name="______qre8596">[18]Model!$O$127</definedName>
    <definedName name="______qre8597" localSheetId="9">[17]Model!$P$127</definedName>
    <definedName name="______qre8597">[18]Model!$P$127</definedName>
    <definedName name="______qre8598" localSheetId="9">[17]Model!$Q$127</definedName>
    <definedName name="______qre8598">[18]Model!$Q$127</definedName>
    <definedName name="______qre86" localSheetId="9">'[17]QRE''s'!$F$1:$F$65536</definedName>
    <definedName name="______qre86">'[18]QRE''s'!$F$1:$F$65536</definedName>
    <definedName name="______qre8690" localSheetId="9">[17]Model!$I$128</definedName>
    <definedName name="______qre8690">[18]Model!$I$128</definedName>
    <definedName name="______qre8691" localSheetId="9">[17]Model!$J$128</definedName>
    <definedName name="______qre8691">[18]Model!$J$128</definedName>
    <definedName name="______qre8692" localSheetId="9">[17]Model!$K$128</definedName>
    <definedName name="______qre8692">[18]Model!$K$128</definedName>
    <definedName name="______qre8693" localSheetId="9">[17]Model!$L$128</definedName>
    <definedName name="______qre8693">[18]Model!$L$128</definedName>
    <definedName name="______qre8694" localSheetId="9">[17]Model!$M$128</definedName>
    <definedName name="______qre8694">[18]Model!$M$128</definedName>
    <definedName name="______qre8695" localSheetId="9">[17]Model!$N$128</definedName>
    <definedName name="______qre8695">[18]Model!$N$128</definedName>
    <definedName name="______qre8696" localSheetId="9">[17]Model!$O$128</definedName>
    <definedName name="______qre8696">[18]Model!$O$128</definedName>
    <definedName name="______qre8697" localSheetId="9">[17]Model!$P$128</definedName>
    <definedName name="______qre8697">[18]Model!$P$128</definedName>
    <definedName name="______qre8698" localSheetId="9">[17]Model!$Q$128</definedName>
    <definedName name="______qre8698">[18]Model!$Q$128</definedName>
    <definedName name="______qre87" localSheetId="9">'[17]QRE''s'!$G$1:$G$65536</definedName>
    <definedName name="______qre87">'[18]QRE''s'!$G$1:$G$65536</definedName>
    <definedName name="______qre8790" localSheetId="9">[17]Model!$I$129</definedName>
    <definedName name="______qre8790">[18]Model!$I$129</definedName>
    <definedName name="______qre8791" localSheetId="9">[17]Model!$J$129</definedName>
    <definedName name="______qre8791">[18]Model!$J$129</definedName>
    <definedName name="______qre8792" localSheetId="9">[17]Model!$K$129</definedName>
    <definedName name="______qre8792">[18]Model!$K$129</definedName>
    <definedName name="______qre8793" localSheetId="9">[17]Model!$L$129</definedName>
    <definedName name="______qre8793">[18]Model!$L$129</definedName>
    <definedName name="______qre8794" localSheetId="9">[17]Model!$M$129</definedName>
    <definedName name="______qre8794">[18]Model!$M$129</definedName>
    <definedName name="______qre8795" localSheetId="9">[17]Model!$N$129</definedName>
    <definedName name="______qre8795">[18]Model!$N$129</definedName>
    <definedName name="______qre8796" localSheetId="9">[17]Model!$O$129</definedName>
    <definedName name="______qre8796">[18]Model!$O$129</definedName>
    <definedName name="______qre8797" localSheetId="9">[17]Model!$P$129</definedName>
    <definedName name="______qre8797">[18]Model!$P$129</definedName>
    <definedName name="______qre8798" localSheetId="9">[17]Model!$Q$129</definedName>
    <definedName name="______qre8798">[18]Model!$Q$129</definedName>
    <definedName name="______qre88" localSheetId="9">'[17]QRE''s'!$H$1:$H$65536</definedName>
    <definedName name="______qre88">'[18]QRE''s'!$H$1:$H$65536</definedName>
    <definedName name="______qre8890" localSheetId="9">[17]Model!$I$130</definedName>
    <definedName name="______qre8890">[18]Model!$I$130</definedName>
    <definedName name="______qre8891" localSheetId="9">[17]Model!$J$130</definedName>
    <definedName name="______qre8891">[18]Model!$J$130</definedName>
    <definedName name="______qre8892" localSheetId="9">[17]Model!$K$130</definedName>
    <definedName name="______qre8892">[18]Model!$K$130</definedName>
    <definedName name="______qre8893" localSheetId="9">[17]Model!$L$130</definedName>
    <definedName name="______qre8893">[18]Model!$L$130</definedName>
    <definedName name="______qre8894" localSheetId="9">[17]Model!$M$130</definedName>
    <definedName name="______qre8894">[18]Model!$M$130</definedName>
    <definedName name="______qre8895" localSheetId="9">[17]Model!$N$130</definedName>
    <definedName name="______qre8895">[18]Model!$N$130</definedName>
    <definedName name="______qre8896" localSheetId="9">[17]Model!$O$130</definedName>
    <definedName name="______qre8896">[18]Model!$O$130</definedName>
    <definedName name="______qre8897" localSheetId="9">[17]Model!$P$130</definedName>
    <definedName name="______qre8897">[18]Model!$P$130</definedName>
    <definedName name="______qre8898" localSheetId="9">[17]Model!$Q$130</definedName>
    <definedName name="______qre8898">[18]Model!$Q$130</definedName>
    <definedName name="______qre89" localSheetId="9">'[17]QRE''s'!$I$1:$I$65536</definedName>
    <definedName name="______qre89">'[18]QRE''s'!$I$1:$I$65536</definedName>
    <definedName name="______qre90" localSheetId="9">'[17]QRE''s'!$J$1:$J$65536</definedName>
    <definedName name="______qre90">'[18]QRE''s'!$J$1:$J$65536</definedName>
    <definedName name="______qre91" localSheetId="9">'[17]QRE''s'!$K$1:$K$65536</definedName>
    <definedName name="______qre91">'[18]QRE''s'!$K$1:$K$65536</definedName>
    <definedName name="______qre92" localSheetId="9">'[17]QRE''s'!$L$1:$L$65536</definedName>
    <definedName name="______qre92">'[18]QRE''s'!$L$1:$L$65536</definedName>
    <definedName name="______qre93" localSheetId="9">'[17]QRE''s'!$M$1:$M$65536</definedName>
    <definedName name="______qre93">'[18]QRE''s'!$M$1:$M$65536</definedName>
    <definedName name="______qre94" localSheetId="9">'[17]QRE''s'!$N$1:$N$65536</definedName>
    <definedName name="______qre94">'[18]QRE''s'!$N$1:$N$65536</definedName>
    <definedName name="______qre95" localSheetId="9">'[17]QRE''s'!$O$1:$O$65536</definedName>
    <definedName name="______qre95">'[18]QRE''s'!$O$1:$O$65536</definedName>
    <definedName name="______qre96" localSheetId="9">'[17]QRE''s'!$P$1:$P$65536</definedName>
    <definedName name="______qre96">'[18]QRE''s'!$P$1:$P$65536</definedName>
    <definedName name="______qre97" localSheetId="9">'[17]QRE''s'!$Q$1:$Q$65536</definedName>
    <definedName name="______qre97">'[18]QRE''s'!$Q$1:$Q$65536</definedName>
    <definedName name="______qre98" localSheetId="9">'[17]QRE''s'!$R$1:$R$65536</definedName>
    <definedName name="______qre98">'[18]QRE''s'!$R$1:$R$65536</definedName>
    <definedName name="______SUM282" localSheetId="9">'[9]YTD Summary'!#REF!</definedName>
    <definedName name="______SUM282" localSheetId="17">'[10]YTD Summary'!#REF!</definedName>
    <definedName name="______SUM282">'[10]YTD Summary'!#REF!</definedName>
    <definedName name="______SUM3" localSheetId="9">'[15]Summ 165_236'!#REF!</definedName>
    <definedName name="______SUM3" localSheetId="17">'[16]Summ 165_236'!#REF!</definedName>
    <definedName name="______SUM3">'[16]Summ 165_236'!#REF!</definedName>
    <definedName name="______SUM4" localSheetId="9">'[15]Summ 165_236'!#REF!</definedName>
    <definedName name="______SUM4" localSheetId="17">'[16]Summ 165_236'!#REF!</definedName>
    <definedName name="______SUM4">'[16]Summ 165_236'!#REF!</definedName>
    <definedName name="______tqc90" localSheetId="9">'[17]QRE''s'!$J$101</definedName>
    <definedName name="______tqc90">'[18]QRE''s'!$J$101</definedName>
    <definedName name="______tqc91" localSheetId="9">'[17]QRE''s'!$K$101</definedName>
    <definedName name="______tqc91">'[18]QRE''s'!$K$101</definedName>
    <definedName name="______tqc92" localSheetId="9">'[17]QRE''s'!$L$101</definedName>
    <definedName name="______tqc92">'[18]QRE''s'!$L$101</definedName>
    <definedName name="______tqc93" localSheetId="9">'[17]QRE''s'!$M$101</definedName>
    <definedName name="______tqc93">'[18]QRE''s'!$M$101</definedName>
    <definedName name="______tqc94" localSheetId="9">'[17]QRE''s'!$N$101</definedName>
    <definedName name="______tqc94">'[18]QRE''s'!$N$101</definedName>
    <definedName name="______tqc95" localSheetId="9">'[17]QRE''s'!$O$101</definedName>
    <definedName name="______tqc95">'[18]QRE''s'!$O$101</definedName>
    <definedName name="______tqc96" localSheetId="9">'[17]QRE''s'!$P$101</definedName>
    <definedName name="______tqc96">'[18]QRE''s'!$P$101</definedName>
    <definedName name="______tqc97" localSheetId="9">'[17]QRE''s'!$Q$101</definedName>
    <definedName name="______tqc97">'[18]QRE''s'!$Q$101</definedName>
    <definedName name="______tqc98" localSheetId="9">'[17]QRE''s'!$R$101</definedName>
    <definedName name="______tqc98">'[18]QRE''s'!$R$101</definedName>
    <definedName name="______tql90" localSheetId="9">'[17]QRE''s'!$J$99</definedName>
    <definedName name="______tql90">'[18]QRE''s'!$J$99</definedName>
    <definedName name="______tql91" localSheetId="9">'[17]QRE''s'!$K$99</definedName>
    <definedName name="______tql91">'[18]QRE''s'!$K$99</definedName>
    <definedName name="______tql92" localSheetId="9">'[17]QRE''s'!$L$99</definedName>
    <definedName name="______tql92">'[18]QRE''s'!$L$99</definedName>
    <definedName name="______tql93" localSheetId="9">'[17]QRE''s'!$M$99</definedName>
    <definedName name="______tql93">'[18]QRE''s'!$M$99</definedName>
    <definedName name="______tql94" localSheetId="9">'[17]QRE''s'!$N$99</definedName>
    <definedName name="______tql94">'[18]QRE''s'!$N$99</definedName>
    <definedName name="______tql95" localSheetId="9">'[17]QRE''s'!$O$99</definedName>
    <definedName name="______tql95">'[18]QRE''s'!$O$99</definedName>
    <definedName name="______tql96" localSheetId="9">'[17]QRE''s'!$P$99</definedName>
    <definedName name="______tql96">'[18]QRE''s'!$P$99</definedName>
    <definedName name="______tql97" localSheetId="9">'[17]QRE''s'!$Q$99</definedName>
    <definedName name="______tql97">'[18]QRE''s'!$Q$99</definedName>
    <definedName name="______tql98" localSheetId="9">'[17]QRE''s'!$R$99</definedName>
    <definedName name="______tql98">'[18]QRE''s'!$R$99</definedName>
    <definedName name="______tqs90" localSheetId="9">'[17]QRE''s'!$J$100</definedName>
    <definedName name="______tqs90">'[18]QRE''s'!$J$100</definedName>
    <definedName name="______tqs91" localSheetId="9">'[17]QRE''s'!$K$100</definedName>
    <definedName name="______tqs91">'[18]QRE''s'!$K$100</definedName>
    <definedName name="______tqs92" localSheetId="9">'[17]QRE''s'!$L$100</definedName>
    <definedName name="______tqs92">'[18]QRE''s'!$L$100</definedName>
    <definedName name="______tqs93" localSheetId="9">'[17]QRE''s'!$M$100</definedName>
    <definedName name="______tqs93">'[18]QRE''s'!$M$100</definedName>
    <definedName name="______tqs94" localSheetId="9">'[17]QRE''s'!$N$100</definedName>
    <definedName name="______tqs94">'[18]QRE''s'!$N$100</definedName>
    <definedName name="______tqs95" localSheetId="9">'[17]QRE''s'!$O$100</definedName>
    <definedName name="______tqs95">'[18]QRE''s'!$O$100</definedName>
    <definedName name="______tqs96" localSheetId="9">'[17]QRE''s'!$P$100</definedName>
    <definedName name="______tqs96">'[18]QRE''s'!$P$100</definedName>
    <definedName name="______tqs97" localSheetId="9">'[17]QRE''s'!$Q$100</definedName>
    <definedName name="______tqs97">'[18]QRE''s'!$Q$100</definedName>
    <definedName name="______tqs98" localSheetId="9">'[17]QRE''s'!$R$100</definedName>
    <definedName name="______tqs98">'[18]QRE''s'!$R$100</definedName>
    <definedName name="_____agr8690" localSheetId="9">[17]Model!$I$58</definedName>
    <definedName name="_____agr8690">[18]Model!$I$58</definedName>
    <definedName name="_____agr8790" localSheetId="9">[17]Model!$I$59</definedName>
    <definedName name="_____agr8790">[18]Model!$I$59</definedName>
    <definedName name="_____agr8791" localSheetId="9">[17]Model!$J$59</definedName>
    <definedName name="_____agr8791">[18]Model!$J$59</definedName>
    <definedName name="_____agr8890" localSheetId="9">[17]Model!$I$60</definedName>
    <definedName name="_____agr8890">[18]Model!$I$60</definedName>
    <definedName name="_____agr8891" localSheetId="9">[17]Model!$J$60</definedName>
    <definedName name="_____agr8891">[18]Model!$J$60</definedName>
    <definedName name="_____agr8892" localSheetId="9">[17]Model!$K$60</definedName>
    <definedName name="_____agr8892">[18]Model!$K$60</definedName>
    <definedName name="_____agr8990" localSheetId="9">[17]Model!$I$61</definedName>
    <definedName name="_____agr8990">[18]Model!$I$61</definedName>
    <definedName name="_____agr8991" localSheetId="9">[17]Model!$J$61</definedName>
    <definedName name="_____agr8991">[18]Model!$J$61</definedName>
    <definedName name="_____agr8992" localSheetId="9">[17]Model!$K$61</definedName>
    <definedName name="_____agr8992">[18]Model!$K$61</definedName>
    <definedName name="_____agr8993" localSheetId="9">[17]Model!$L$61</definedName>
    <definedName name="_____agr8993">[18]Model!$L$61</definedName>
    <definedName name="_____agr9091" localSheetId="9">[17]Model!$J$62</definedName>
    <definedName name="_____agr9091">[18]Model!$J$62</definedName>
    <definedName name="_____agr9092" localSheetId="9">[17]Model!$K$62</definedName>
    <definedName name="_____agr9092">[18]Model!$K$62</definedName>
    <definedName name="_____agr9093" localSheetId="9">[17]Model!$L$62</definedName>
    <definedName name="_____agr9093">[18]Model!$L$62</definedName>
    <definedName name="_____agr9094" localSheetId="9">[17]Model!$M$62</definedName>
    <definedName name="_____agr9094">[18]Model!$M$62</definedName>
    <definedName name="_____agr9192" localSheetId="9">[17]Model!$K$63</definedName>
    <definedName name="_____agr9192">[18]Model!$K$63</definedName>
    <definedName name="_____agr9193" localSheetId="9">[17]Model!$L$63</definedName>
    <definedName name="_____agr9193">[18]Model!$L$63</definedName>
    <definedName name="_____agr9194" localSheetId="9">[17]Model!$M$63</definedName>
    <definedName name="_____agr9194">[18]Model!$M$63</definedName>
    <definedName name="_____agr9195" localSheetId="9">[17]Model!$N$63</definedName>
    <definedName name="_____agr9195">[18]Model!$N$63</definedName>
    <definedName name="_____agr9293" localSheetId="9">[17]Model!$L$64</definedName>
    <definedName name="_____agr9293">[18]Model!$L$64</definedName>
    <definedName name="_____agr9294" localSheetId="9">[17]Model!$M$64</definedName>
    <definedName name="_____agr9294">[18]Model!$M$64</definedName>
    <definedName name="_____agr9295" localSheetId="9">[17]Model!$N$64</definedName>
    <definedName name="_____agr9295">[18]Model!$N$64</definedName>
    <definedName name="_____agr9296" localSheetId="9">[17]Model!$O$64</definedName>
    <definedName name="_____agr9296">[18]Model!$O$64</definedName>
    <definedName name="_____agr9394" localSheetId="9">[17]Model!$M$65</definedName>
    <definedName name="_____agr9394">[18]Model!$M$65</definedName>
    <definedName name="_____agr9395" localSheetId="9">[17]Model!$N$65</definedName>
    <definedName name="_____agr9395">[18]Model!$N$65</definedName>
    <definedName name="_____agr9396" localSheetId="9">[17]Model!$O$65</definedName>
    <definedName name="_____agr9396">[18]Model!$O$65</definedName>
    <definedName name="_____agr9397" localSheetId="9">[17]Model!$P$65</definedName>
    <definedName name="_____agr9397">[18]Model!$P$65</definedName>
    <definedName name="_____agr9495" localSheetId="9">[17]Model!$N$66</definedName>
    <definedName name="_____agr9495">[18]Model!$N$66</definedName>
    <definedName name="_____agr9496" localSheetId="9">[17]Model!$O$66</definedName>
    <definedName name="_____agr9496">[18]Model!$O$66</definedName>
    <definedName name="_____agr9497" localSheetId="9">[17]Model!$P$66</definedName>
    <definedName name="_____agr9497">[18]Model!$P$66</definedName>
    <definedName name="_____agr9498" localSheetId="9">[17]Model!$Q$66</definedName>
    <definedName name="_____agr9498">[18]Model!$Q$66</definedName>
    <definedName name="_____agr9596" localSheetId="9">[17]Model!$O$67</definedName>
    <definedName name="_____agr9596">[18]Model!$O$67</definedName>
    <definedName name="_____agr9597" localSheetId="9">[17]Model!$P$67</definedName>
    <definedName name="_____agr9597">[18]Model!$P$67</definedName>
    <definedName name="_____agr9598" localSheetId="9">[17]Model!$Q$67</definedName>
    <definedName name="_____agr9598">[18]Model!$Q$67</definedName>
    <definedName name="_____agr9697" localSheetId="9">[17]Model!$P$68</definedName>
    <definedName name="_____agr9697">[18]Model!$P$68</definedName>
    <definedName name="_____agr9698" localSheetId="9">[17]Model!$Q$68</definedName>
    <definedName name="_____agr9698">[18]Model!$Q$68</definedName>
    <definedName name="_____agr9798" localSheetId="9">[17]Model!$Q$69</definedName>
    <definedName name="_____agr9798">[18]Model!$Q$69</definedName>
    <definedName name="_____DAT1" localSheetId="9">'[19]Cost Center List'!#REF!</definedName>
    <definedName name="_____DAT1" localSheetId="17">'[20]Cost Center List'!#REF!</definedName>
    <definedName name="_____DAT1">'[20]Cost Center List'!#REF!</definedName>
    <definedName name="_____DAT10" localSheetId="17">#REF!</definedName>
    <definedName name="_____DAT10">#REF!</definedName>
    <definedName name="_____DAT11" localSheetId="17">#REF!</definedName>
    <definedName name="_____DAT11">#REF!</definedName>
    <definedName name="_____dat1111" localSheetId="9">[11]Sheet1!$G$2:$G$29</definedName>
    <definedName name="_____dat1111">[12]Sheet1!$G$2:$G$29</definedName>
    <definedName name="_____DAT12" localSheetId="17">#REF!</definedName>
    <definedName name="_____DAT12">#REF!</definedName>
    <definedName name="_____DAT13" localSheetId="17">#REF!</definedName>
    <definedName name="_____DAT13">#REF!</definedName>
    <definedName name="_____DAT14" localSheetId="17">#REF!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 localSheetId="17">#REF!</definedName>
    <definedName name="_____DGO2003">#REF!</definedName>
    <definedName name="_____DGO2004" localSheetId="17">#REF!</definedName>
    <definedName name="_____DGO2004">#REF!</definedName>
    <definedName name="_____DGO2005" localSheetId="17">#REF!</definedName>
    <definedName name="_____DGO2005">#REF!</definedName>
    <definedName name="_____DGO2006">#REF!</definedName>
    <definedName name="_____DGO2007">#REF!</definedName>
    <definedName name="_____DGO2008">#REF!</definedName>
    <definedName name="_____H1" localSheetId="9">{"'Metretek HTML'!$A$7:$W$42"}</definedName>
    <definedName name="_____H1" localSheetId="15">{"'Metretek HTML'!$A$7:$W$42"}</definedName>
    <definedName name="_____H1" localSheetId="16">{"'Metretek HTML'!$A$7:$W$42"}</definedName>
    <definedName name="_____H1" localSheetId="17">{"'Metretek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 localSheetId="9">'[21]JE 120 Jan-Nov Facesheet'!#REF!</definedName>
    <definedName name="_____je2">'[22]JE 120 Jan-Nov Facesheet'!#REF!</definedName>
    <definedName name="_____JE220" localSheetId="17">#REF!</definedName>
    <definedName name="_____JE220">#REF!</definedName>
    <definedName name="_____JE230" localSheetId="17">#REF!</definedName>
    <definedName name="_____JE230">#REF!</definedName>
    <definedName name="_____JE234" localSheetId="17">#REF!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 localSheetId="9">'[17]QRE''s'!$D$1:$D$65536</definedName>
    <definedName name="_____qre84">'[18]QRE''s'!$D$1:$D$65536</definedName>
    <definedName name="_____qre8490" localSheetId="9">[17]Model!$I$126</definedName>
    <definedName name="_____qre8490">[18]Model!$I$126</definedName>
    <definedName name="_____qre8491" localSheetId="9">[17]Model!$J$126</definedName>
    <definedName name="_____qre8491">[18]Model!$J$126</definedName>
    <definedName name="_____qre8492" localSheetId="9">[17]Model!$K$126</definedName>
    <definedName name="_____qre8492">[18]Model!$K$126</definedName>
    <definedName name="_____qre8493" localSheetId="9">[17]Model!$L$126</definedName>
    <definedName name="_____qre8493">[18]Model!$L$126</definedName>
    <definedName name="_____qre8494" localSheetId="9">[17]Model!$M$126</definedName>
    <definedName name="_____qre8494">[18]Model!$M$126</definedName>
    <definedName name="_____qre8495" localSheetId="9">[17]Model!$N$126</definedName>
    <definedName name="_____qre8495">[18]Model!$N$126</definedName>
    <definedName name="_____qre8496" localSheetId="9">[17]Model!$O$126</definedName>
    <definedName name="_____qre8496">[18]Model!$O$126</definedName>
    <definedName name="_____qre8497" localSheetId="9">[17]Model!$P$126</definedName>
    <definedName name="_____qre8497">[18]Model!$P$126</definedName>
    <definedName name="_____qre8498" localSheetId="9">[17]Model!$Q$126</definedName>
    <definedName name="_____qre8498">[18]Model!$Q$126</definedName>
    <definedName name="_____qre85" localSheetId="9">'[17]QRE''s'!$E$1:$E$65536</definedName>
    <definedName name="_____qre85">'[18]QRE''s'!$E$1:$E$65536</definedName>
    <definedName name="_____qre8590" localSheetId="9">[17]Model!$I$127</definedName>
    <definedName name="_____qre8590">[18]Model!$I$127</definedName>
    <definedName name="_____qre8591" localSheetId="9">[17]Model!$J$127</definedName>
    <definedName name="_____qre8591">[18]Model!$J$127</definedName>
    <definedName name="_____qre8592" localSheetId="9">[17]Model!$K$127</definedName>
    <definedName name="_____qre8592">[18]Model!$K$127</definedName>
    <definedName name="_____qre8593" localSheetId="9">[17]Model!$L$127</definedName>
    <definedName name="_____qre8593">[18]Model!$L$127</definedName>
    <definedName name="_____qre8594" localSheetId="9">[17]Model!$M$127</definedName>
    <definedName name="_____qre8594">[18]Model!$M$127</definedName>
    <definedName name="_____qre8595" localSheetId="9">[17]Model!$N$127</definedName>
    <definedName name="_____qre8595">[18]Model!$N$127</definedName>
    <definedName name="_____qre8596" localSheetId="9">[17]Model!$O$127</definedName>
    <definedName name="_____qre8596">[18]Model!$O$127</definedName>
    <definedName name="_____qre8597" localSheetId="9">[17]Model!$P$127</definedName>
    <definedName name="_____qre8597">[18]Model!$P$127</definedName>
    <definedName name="_____qre8598" localSheetId="9">[17]Model!$Q$127</definedName>
    <definedName name="_____qre8598">[18]Model!$Q$127</definedName>
    <definedName name="_____qre86" localSheetId="9">'[17]QRE''s'!$F$1:$F$65536</definedName>
    <definedName name="_____qre86">'[18]QRE''s'!$F$1:$F$65536</definedName>
    <definedName name="_____qre8690" localSheetId="9">[17]Model!$I$128</definedName>
    <definedName name="_____qre8690">[18]Model!$I$128</definedName>
    <definedName name="_____qre8691" localSheetId="9">[17]Model!$J$128</definedName>
    <definedName name="_____qre8691">[18]Model!$J$128</definedName>
    <definedName name="_____qre8692" localSheetId="9">[17]Model!$K$128</definedName>
    <definedName name="_____qre8692">[18]Model!$K$128</definedName>
    <definedName name="_____qre8693" localSheetId="9">[17]Model!$L$128</definedName>
    <definedName name="_____qre8693">[18]Model!$L$128</definedName>
    <definedName name="_____qre8694" localSheetId="9">[17]Model!$M$128</definedName>
    <definedName name="_____qre8694">[18]Model!$M$128</definedName>
    <definedName name="_____qre8695" localSheetId="9">[17]Model!$N$128</definedName>
    <definedName name="_____qre8695">[18]Model!$N$128</definedName>
    <definedName name="_____qre8696" localSheetId="9">[17]Model!$O$128</definedName>
    <definedName name="_____qre8696">[18]Model!$O$128</definedName>
    <definedName name="_____qre8697" localSheetId="9">[17]Model!$P$128</definedName>
    <definedName name="_____qre8697">[18]Model!$P$128</definedName>
    <definedName name="_____qre8698" localSheetId="9">[17]Model!$Q$128</definedName>
    <definedName name="_____qre8698">[18]Model!$Q$128</definedName>
    <definedName name="_____qre87" localSheetId="9">'[17]QRE''s'!$G$1:$G$65536</definedName>
    <definedName name="_____qre87">'[18]QRE''s'!$G$1:$G$65536</definedName>
    <definedName name="_____qre8790" localSheetId="9">[17]Model!$I$129</definedName>
    <definedName name="_____qre8790">[18]Model!$I$129</definedName>
    <definedName name="_____qre8791" localSheetId="9">[17]Model!$J$129</definedName>
    <definedName name="_____qre8791">[18]Model!$J$129</definedName>
    <definedName name="_____qre8792" localSheetId="9">[17]Model!$K$129</definedName>
    <definedName name="_____qre8792">[18]Model!$K$129</definedName>
    <definedName name="_____qre8793" localSheetId="9">[17]Model!$L$129</definedName>
    <definedName name="_____qre8793">[18]Model!$L$129</definedName>
    <definedName name="_____qre8794" localSheetId="9">[17]Model!$M$129</definedName>
    <definedName name="_____qre8794">[18]Model!$M$129</definedName>
    <definedName name="_____qre8795" localSheetId="9">[17]Model!$N$129</definedName>
    <definedName name="_____qre8795">[18]Model!$N$129</definedName>
    <definedName name="_____qre8796" localSheetId="9">[17]Model!$O$129</definedName>
    <definedName name="_____qre8796">[18]Model!$O$129</definedName>
    <definedName name="_____qre8797" localSheetId="9">[17]Model!$P$129</definedName>
    <definedName name="_____qre8797">[18]Model!$P$129</definedName>
    <definedName name="_____qre8798" localSheetId="9">[17]Model!$Q$129</definedName>
    <definedName name="_____qre8798">[18]Model!$Q$129</definedName>
    <definedName name="_____qre88" localSheetId="9">'[17]QRE''s'!$H$1:$H$65536</definedName>
    <definedName name="_____qre88">'[18]QRE''s'!$H$1:$H$65536</definedName>
    <definedName name="_____qre8890" localSheetId="9">[17]Model!$I$130</definedName>
    <definedName name="_____qre8890">[18]Model!$I$130</definedName>
    <definedName name="_____qre8891" localSheetId="9">[17]Model!$J$130</definedName>
    <definedName name="_____qre8891">[18]Model!$J$130</definedName>
    <definedName name="_____qre8892" localSheetId="9">[17]Model!$K$130</definedName>
    <definedName name="_____qre8892">[18]Model!$K$130</definedName>
    <definedName name="_____qre8893" localSheetId="9">[17]Model!$L$130</definedName>
    <definedName name="_____qre8893">[18]Model!$L$130</definedName>
    <definedName name="_____qre8894" localSheetId="9">[17]Model!$M$130</definedName>
    <definedName name="_____qre8894">[18]Model!$M$130</definedName>
    <definedName name="_____qre8895" localSheetId="9">[17]Model!$N$130</definedName>
    <definedName name="_____qre8895">[18]Model!$N$130</definedName>
    <definedName name="_____qre8896" localSheetId="9">[17]Model!$O$130</definedName>
    <definedName name="_____qre8896">[18]Model!$O$130</definedName>
    <definedName name="_____qre8897" localSheetId="9">[17]Model!$P$130</definedName>
    <definedName name="_____qre8897">[18]Model!$P$130</definedName>
    <definedName name="_____qre8898" localSheetId="9">[17]Model!$Q$130</definedName>
    <definedName name="_____qre8898">[18]Model!$Q$130</definedName>
    <definedName name="_____qre89" localSheetId="9">'[17]QRE''s'!$I$1:$I$65536</definedName>
    <definedName name="_____qre89">'[18]QRE''s'!$I$1:$I$65536</definedName>
    <definedName name="_____qre90" localSheetId="9">'[17]QRE''s'!$J$1:$J$65536</definedName>
    <definedName name="_____qre90">'[18]QRE''s'!$J$1:$J$65536</definedName>
    <definedName name="_____qre91" localSheetId="9">'[17]QRE''s'!$K$1:$K$65536</definedName>
    <definedName name="_____qre91">'[18]QRE''s'!$K$1:$K$65536</definedName>
    <definedName name="_____qre92" localSheetId="9">'[17]QRE''s'!$L$1:$L$65536</definedName>
    <definedName name="_____qre92">'[18]QRE''s'!$L$1:$L$65536</definedName>
    <definedName name="_____qre93" localSheetId="9">'[17]QRE''s'!$M$1:$M$65536</definedName>
    <definedName name="_____qre93">'[18]QRE''s'!$M$1:$M$65536</definedName>
    <definedName name="_____qre94" localSheetId="9">'[17]QRE''s'!$N$1:$N$65536</definedName>
    <definedName name="_____qre94">'[18]QRE''s'!$N$1:$N$65536</definedName>
    <definedName name="_____qre95" localSheetId="9">'[17]QRE''s'!$O$1:$O$65536</definedName>
    <definedName name="_____qre95">'[18]QRE''s'!$O$1:$O$65536</definedName>
    <definedName name="_____qre96" localSheetId="9">'[17]QRE''s'!$P$1:$P$65536</definedName>
    <definedName name="_____qre96">'[18]QRE''s'!$P$1:$P$65536</definedName>
    <definedName name="_____qre97" localSheetId="9">'[17]QRE''s'!$Q$1:$Q$65536</definedName>
    <definedName name="_____qre97">'[18]QRE''s'!$Q$1:$Q$65536</definedName>
    <definedName name="_____qre98" localSheetId="9">'[17]QRE''s'!$R$1:$R$65536</definedName>
    <definedName name="_____qre98">'[18]QRE''s'!$R$1:$R$65536</definedName>
    <definedName name="_____SUM282" localSheetId="9">'[9]YTD Summary'!#REF!</definedName>
    <definedName name="_____SUM282" localSheetId="17">'[10]YTD Summary'!#REF!</definedName>
    <definedName name="_____SUM282">'[10]YTD Summary'!#REF!</definedName>
    <definedName name="_____SUM3" localSheetId="9">'[23]Summ 165_236'!#REF!</definedName>
    <definedName name="_____SUM3" localSheetId="17">'[24]Summ 165_236'!#REF!</definedName>
    <definedName name="_____SUM3">'[24]Summ 165_236'!#REF!</definedName>
    <definedName name="_____SUM4" localSheetId="9">'[23]Summ 165_236'!#REF!</definedName>
    <definedName name="_____SUM4" localSheetId="17">'[24]Summ 165_236'!#REF!</definedName>
    <definedName name="_____SUM4">'[24]Summ 165_236'!#REF!</definedName>
    <definedName name="_____tqc90" localSheetId="9">'[17]QRE''s'!$J$101</definedName>
    <definedName name="_____tqc90">'[18]QRE''s'!$J$101</definedName>
    <definedName name="_____tqc91" localSheetId="9">'[17]QRE''s'!$K$101</definedName>
    <definedName name="_____tqc91">'[18]QRE''s'!$K$101</definedName>
    <definedName name="_____tqc92" localSheetId="9">'[17]QRE''s'!$L$101</definedName>
    <definedName name="_____tqc92">'[18]QRE''s'!$L$101</definedName>
    <definedName name="_____tqc93" localSheetId="9">'[17]QRE''s'!$M$101</definedName>
    <definedName name="_____tqc93">'[18]QRE''s'!$M$101</definedName>
    <definedName name="_____tqc94" localSheetId="9">'[17]QRE''s'!$N$101</definedName>
    <definedName name="_____tqc94">'[18]QRE''s'!$N$101</definedName>
    <definedName name="_____tqc95" localSheetId="9">'[17]QRE''s'!$O$101</definedName>
    <definedName name="_____tqc95">'[18]QRE''s'!$O$101</definedName>
    <definedName name="_____tqc96" localSheetId="9">'[17]QRE''s'!$P$101</definedName>
    <definedName name="_____tqc96">'[18]QRE''s'!$P$101</definedName>
    <definedName name="_____tqc97" localSheetId="9">'[17]QRE''s'!$Q$101</definedName>
    <definedName name="_____tqc97">'[18]QRE''s'!$Q$101</definedName>
    <definedName name="_____tqc98" localSheetId="9">'[17]QRE''s'!$R$101</definedName>
    <definedName name="_____tqc98">'[18]QRE''s'!$R$101</definedName>
    <definedName name="_____tql90" localSheetId="9">'[17]QRE''s'!$J$99</definedName>
    <definedName name="_____tql90">'[18]QRE''s'!$J$99</definedName>
    <definedName name="_____tql91" localSheetId="9">'[17]QRE''s'!$K$99</definedName>
    <definedName name="_____tql91">'[18]QRE''s'!$K$99</definedName>
    <definedName name="_____tql92" localSheetId="9">'[17]QRE''s'!$L$99</definedName>
    <definedName name="_____tql92">'[18]QRE''s'!$L$99</definedName>
    <definedName name="_____tql93" localSheetId="9">'[17]QRE''s'!$M$99</definedName>
    <definedName name="_____tql93">'[18]QRE''s'!$M$99</definedName>
    <definedName name="_____tql94" localSheetId="9">'[17]QRE''s'!$N$99</definedName>
    <definedName name="_____tql94">'[18]QRE''s'!$N$99</definedName>
    <definedName name="_____tql95" localSheetId="9">'[17]QRE''s'!$O$99</definedName>
    <definedName name="_____tql95">'[18]QRE''s'!$O$99</definedName>
    <definedName name="_____tql96" localSheetId="9">'[17]QRE''s'!$P$99</definedName>
    <definedName name="_____tql96">'[18]QRE''s'!$P$99</definedName>
    <definedName name="_____tql97" localSheetId="9">'[17]QRE''s'!$Q$99</definedName>
    <definedName name="_____tql97">'[18]QRE''s'!$Q$99</definedName>
    <definedName name="_____tql98" localSheetId="9">'[17]QRE''s'!$R$99</definedName>
    <definedName name="_____tql98">'[18]QRE''s'!$R$99</definedName>
    <definedName name="_____tqs90" localSheetId="9">'[17]QRE''s'!$J$100</definedName>
    <definedName name="_____tqs90">'[18]QRE''s'!$J$100</definedName>
    <definedName name="_____tqs91" localSheetId="9">'[17]QRE''s'!$K$100</definedName>
    <definedName name="_____tqs91">'[18]QRE''s'!$K$100</definedName>
    <definedName name="_____tqs92" localSheetId="9">'[17]QRE''s'!$L$100</definedName>
    <definedName name="_____tqs92">'[18]QRE''s'!$L$100</definedName>
    <definedName name="_____tqs93" localSheetId="9">'[17]QRE''s'!$M$100</definedName>
    <definedName name="_____tqs93">'[18]QRE''s'!$M$100</definedName>
    <definedName name="_____tqs94" localSheetId="9">'[17]QRE''s'!$N$100</definedName>
    <definedName name="_____tqs94">'[18]QRE''s'!$N$100</definedName>
    <definedName name="_____tqs95" localSheetId="9">'[17]QRE''s'!$O$100</definedName>
    <definedName name="_____tqs95">'[18]QRE''s'!$O$100</definedName>
    <definedName name="_____tqs96" localSheetId="9">'[17]QRE''s'!$P$100</definedName>
    <definedName name="_____tqs96">'[18]QRE''s'!$P$100</definedName>
    <definedName name="_____tqs97" localSheetId="9">'[17]QRE''s'!$Q$100</definedName>
    <definedName name="_____tqs97">'[18]QRE''s'!$Q$100</definedName>
    <definedName name="_____tqs98" localSheetId="9">'[17]QRE''s'!$R$100</definedName>
    <definedName name="_____tqs98">'[18]QRE''s'!$R$100</definedName>
    <definedName name="____agr8690" localSheetId="9">[17]Model!$I$58</definedName>
    <definedName name="____agr8690">[18]Model!$I$58</definedName>
    <definedName name="____agr8790" localSheetId="9">[17]Model!$I$59</definedName>
    <definedName name="____agr8790">[18]Model!$I$59</definedName>
    <definedName name="____agr8791" localSheetId="9">[17]Model!$J$59</definedName>
    <definedName name="____agr8791">[18]Model!$J$59</definedName>
    <definedName name="____agr8890" localSheetId="9">[17]Model!$I$60</definedName>
    <definedName name="____agr8890">[18]Model!$I$60</definedName>
    <definedName name="____agr8891" localSheetId="9">[17]Model!$J$60</definedName>
    <definedName name="____agr8891">[18]Model!$J$60</definedName>
    <definedName name="____agr8892" localSheetId="9">[17]Model!$K$60</definedName>
    <definedName name="____agr8892">[18]Model!$K$60</definedName>
    <definedName name="____agr8990" localSheetId="9">[17]Model!$I$61</definedName>
    <definedName name="____agr8990">[18]Model!$I$61</definedName>
    <definedName name="____agr8991" localSheetId="9">[17]Model!$J$61</definedName>
    <definedName name="____agr8991">[18]Model!$J$61</definedName>
    <definedName name="____agr8992" localSheetId="9">[17]Model!$K$61</definedName>
    <definedName name="____agr8992">[18]Model!$K$61</definedName>
    <definedName name="____agr8993" localSheetId="9">[17]Model!$L$61</definedName>
    <definedName name="____agr8993">[18]Model!$L$61</definedName>
    <definedName name="____agr9091" localSheetId="9">[17]Model!$J$62</definedName>
    <definedName name="____agr9091">[18]Model!$J$62</definedName>
    <definedName name="____agr9092" localSheetId="9">[17]Model!$K$62</definedName>
    <definedName name="____agr9092">[18]Model!$K$62</definedName>
    <definedName name="____agr9093" localSheetId="9">[17]Model!$L$62</definedName>
    <definedName name="____agr9093">[18]Model!$L$62</definedName>
    <definedName name="____agr9094" localSheetId="9">[17]Model!$M$62</definedName>
    <definedName name="____agr9094">[18]Model!$M$62</definedName>
    <definedName name="____agr9192" localSheetId="9">[17]Model!$K$63</definedName>
    <definedName name="____agr9192">[18]Model!$K$63</definedName>
    <definedName name="____agr9193" localSheetId="9">[17]Model!$L$63</definedName>
    <definedName name="____agr9193">[18]Model!$L$63</definedName>
    <definedName name="____agr9194" localSheetId="9">[17]Model!$M$63</definedName>
    <definedName name="____agr9194">[18]Model!$M$63</definedName>
    <definedName name="____agr9195" localSheetId="9">[17]Model!$N$63</definedName>
    <definedName name="____agr9195">[18]Model!$N$63</definedName>
    <definedName name="____agr9293" localSheetId="9">[17]Model!$L$64</definedName>
    <definedName name="____agr9293">[18]Model!$L$64</definedName>
    <definedName name="____agr9294" localSheetId="9">[17]Model!$M$64</definedName>
    <definedName name="____agr9294">[18]Model!$M$64</definedName>
    <definedName name="____agr9295" localSheetId="9">[17]Model!$N$64</definedName>
    <definedName name="____agr9295">[18]Model!$N$64</definedName>
    <definedName name="____agr9296" localSheetId="9">[17]Model!$O$64</definedName>
    <definedName name="____agr9296">[18]Model!$O$64</definedName>
    <definedName name="____agr9394" localSheetId="9">[17]Model!$M$65</definedName>
    <definedName name="____agr9394">[18]Model!$M$65</definedName>
    <definedName name="____agr9395" localSheetId="9">[17]Model!$N$65</definedName>
    <definedName name="____agr9395">[18]Model!$N$65</definedName>
    <definedName name="____agr9396" localSheetId="9">[17]Model!$O$65</definedName>
    <definedName name="____agr9396">[18]Model!$O$65</definedName>
    <definedName name="____agr9397" localSheetId="9">[17]Model!$P$65</definedName>
    <definedName name="____agr9397">[18]Model!$P$65</definedName>
    <definedName name="____agr9495" localSheetId="9">[17]Model!$N$66</definedName>
    <definedName name="____agr9495">[18]Model!$N$66</definedName>
    <definedName name="____agr9496" localSheetId="9">[17]Model!$O$66</definedName>
    <definedName name="____agr9496">[18]Model!$O$66</definedName>
    <definedName name="____agr9497" localSheetId="9">[17]Model!$P$66</definedName>
    <definedName name="____agr9497">[18]Model!$P$66</definedName>
    <definedName name="____agr9498" localSheetId="9">[17]Model!$Q$66</definedName>
    <definedName name="____agr9498">[18]Model!$Q$66</definedName>
    <definedName name="____agr9596" localSheetId="9">[17]Model!$O$67</definedName>
    <definedName name="____agr9596">[18]Model!$O$67</definedName>
    <definedName name="____agr9597" localSheetId="9">[17]Model!$P$67</definedName>
    <definedName name="____agr9597">[18]Model!$P$67</definedName>
    <definedName name="____agr9598" localSheetId="9">[17]Model!$Q$67</definedName>
    <definedName name="____agr9598">[18]Model!$Q$67</definedName>
    <definedName name="____agr9697" localSheetId="9">[17]Model!$P$68</definedName>
    <definedName name="____agr9697">[18]Model!$P$68</definedName>
    <definedName name="____agr9698" localSheetId="9">[17]Model!$Q$68</definedName>
    <definedName name="____agr9698">[18]Model!$Q$68</definedName>
    <definedName name="____agr9798" localSheetId="9">[17]Model!$Q$69</definedName>
    <definedName name="____agr9798">[18]Model!$Q$69</definedName>
    <definedName name="____DAT1" localSheetId="17">#REF!</definedName>
    <definedName name="____DAT1">#REF!</definedName>
    <definedName name="____DAT10" localSheetId="17">#REF!</definedName>
    <definedName name="____DAT10">#REF!</definedName>
    <definedName name="____DAT11">#REF!</definedName>
    <definedName name="____dat1111" localSheetId="9">[11]Sheet1!$G$2:$G$29</definedName>
    <definedName name="____dat1111">[12]Sheet1!$G$2:$G$29</definedName>
    <definedName name="____DAT12" localSheetId="17">#REF!</definedName>
    <definedName name="____DAT12">#REF!</definedName>
    <definedName name="____DAT13" localSheetId="17">#REF!</definedName>
    <definedName name="____DAT13">#REF!</definedName>
    <definedName name="____DAT14" localSheetId="17">#REF!</definedName>
    <definedName name="____DAT14">#REF!</definedName>
    <definedName name="____DAT15">#REF!</definedName>
    <definedName name="____DAT16">#REF!</definedName>
    <definedName name="____DAT17">#REF!</definedName>
    <definedName name="____DAT18">#REF!</definedName>
    <definedName name="____DAT19">#REF!</definedName>
    <definedName name="____DAT2" localSheetId="17">#REF!</definedName>
    <definedName name="____DAT2">#REF!</definedName>
    <definedName name="____DAT3" localSheetId="17">#REF!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9">{"'Metretek HTML'!$A$7:$W$42"}</definedName>
    <definedName name="____H1" localSheetId="15">{"'Metretek HTML'!$A$7:$W$42"}</definedName>
    <definedName name="____H1" localSheetId="16">{"'Metretek HTML'!$A$7:$W$42"}</definedName>
    <definedName name="____H1" localSheetId="17">{"'Metretek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 localSheetId="9">'[21]JE 120 Jan-Nov Facesheet'!#REF!</definedName>
    <definedName name="____je2">'[22]JE 120 Jan-Nov Facesheet'!#REF!</definedName>
    <definedName name="____JE220" localSheetId="17">#REF!</definedName>
    <definedName name="____JE220">#REF!</definedName>
    <definedName name="____JE230" localSheetId="17">#REF!</definedName>
    <definedName name="____JE230">#REF!</definedName>
    <definedName name="____JE234" localSheetId="17">#REF!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 localSheetId="9">'[17]QRE''s'!$D$1:$D$65536</definedName>
    <definedName name="____qre84">'[18]QRE''s'!$D$1:$D$65536</definedName>
    <definedName name="____qre8490" localSheetId="9">[17]Model!$I$126</definedName>
    <definedName name="____qre8490">[18]Model!$I$126</definedName>
    <definedName name="____qre8491" localSheetId="9">[17]Model!$J$126</definedName>
    <definedName name="____qre8491">[18]Model!$J$126</definedName>
    <definedName name="____qre8492" localSheetId="9">[17]Model!$K$126</definedName>
    <definedName name="____qre8492">[18]Model!$K$126</definedName>
    <definedName name="____qre8493" localSheetId="9">[17]Model!$L$126</definedName>
    <definedName name="____qre8493">[18]Model!$L$126</definedName>
    <definedName name="____qre8494" localSheetId="9">[17]Model!$M$126</definedName>
    <definedName name="____qre8494">[18]Model!$M$126</definedName>
    <definedName name="____qre8495" localSheetId="9">[17]Model!$N$126</definedName>
    <definedName name="____qre8495">[18]Model!$N$126</definedName>
    <definedName name="____qre8496" localSheetId="9">[17]Model!$O$126</definedName>
    <definedName name="____qre8496">[18]Model!$O$126</definedName>
    <definedName name="____qre8497" localSheetId="9">[17]Model!$P$126</definedName>
    <definedName name="____qre8497">[18]Model!$P$126</definedName>
    <definedName name="____qre8498" localSheetId="9">[17]Model!$Q$126</definedName>
    <definedName name="____qre8498">[18]Model!$Q$126</definedName>
    <definedName name="____qre85" localSheetId="9">'[17]QRE''s'!$E$1:$E$65536</definedName>
    <definedName name="____qre85">'[18]QRE''s'!$E$1:$E$65536</definedName>
    <definedName name="____qre8590" localSheetId="9">[17]Model!$I$127</definedName>
    <definedName name="____qre8590">[18]Model!$I$127</definedName>
    <definedName name="____qre8591" localSheetId="9">[17]Model!$J$127</definedName>
    <definedName name="____qre8591">[18]Model!$J$127</definedName>
    <definedName name="____qre8592" localSheetId="9">[17]Model!$K$127</definedName>
    <definedName name="____qre8592">[18]Model!$K$127</definedName>
    <definedName name="____qre8593" localSheetId="9">[17]Model!$L$127</definedName>
    <definedName name="____qre8593">[18]Model!$L$127</definedName>
    <definedName name="____qre8594" localSheetId="9">[17]Model!$M$127</definedName>
    <definedName name="____qre8594">[18]Model!$M$127</definedName>
    <definedName name="____qre8595" localSheetId="9">[17]Model!$N$127</definedName>
    <definedName name="____qre8595">[18]Model!$N$127</definedName>
    <definedName name="____qre8596" localSheetId="9">[17]Model!$O$127</definedName>
    <definedName name="____qre8596">[18]Model!$O$127</definedName>
    <definedName name="____qre8597" localSheetId="9">[17]Model!$P$127</definedName>
    <definedName name="____qre8597">[18]Model!$P$127</definedName>
    <definedName name="____qre8598" localSheetId="9">[17]Model!$Q$127</definedName>
    <definedName name="____qre8598">[18]Model!$Q$127</definedName>
    <definedName name="____qre86" localSheetId="9">'[17]QRE''s'!$F$1:$F$65536</definedName>
    <definedName name="____qre86">'[18]QRE''s'!$F$1:$F$65536</definedName>
    <definedName name="____qre8690" localSheetId="9">[17]Model!$I$128</definedName>
    <definedName name="____qre8690">[18]Model!$I$128</definedName>
    <definedName name="____qre8691" localSheetId="9">[17]Model!$J$128</definedName>
    <definedName name="____qre8691">[18]Model!$J$128</definedName>
    <definedName name="____qre8692" localSheetId="9">[17]Model!$K$128</definedName>
    <definedName name="____qre8692">[18]Model!$K$128</definedName>
    <definedName name="____qre8693" localSheetId="9">[17]Model!$L$128</definedName>
    <definedName name="____qre8693">[18]Model!$L$128</definedName>
    <definedName name="____qre8694" localSheetId="9">[17]Model!$M$128</definedName>
    <definedName name="____qre8694">[18]Model!$M$128</definedName>
    <definedName name="____qre8695" localSheetId="9">[17]Model!$N$128</definedName>
    <definedName name="____qre8695">[18]Model!$N$128</definedName>
    <definedName name="____qre8696" localSheetId="9">[17]Model!$O$128</definedName>
    <definedName name="____qre8696">[18]Model!$O$128</definedName>
    <definedName name="____qre8697" localSheetId="9">[17]Model!$P$128</definedName>
    <definedName name="____qre8697">[18]Model!$P$128</definedName>
    <definedName name="____qre8698" localSheetId="9">[17]Model!$Q$128</definedName>
    <definedName name="____qre8698">[18]Model!$Q$128</definedName>
    <definedName name="____qre87" localSheetId="9">'[17]QRE''s'!$G$1:$G$65536</definedName>
    <definedName name="____qre87">'[18]QRE''s'!$G$1:$G$65536</definedName>
    <definedName name="____qre8790" localSheetId="9">[17]Model!$I$129</definedName>
    <definedName name="____qre8790">[18]Model!$I$129</definedName>
    <definedName name="____qre8791" localSheetId="9">[17]Model!$J$129</definedName>
    <definedName name="____qre8791">[18]Model!$J$129</definedName>
    <definedName name="____qre8792" localSheetId="9">[17]Model!$K$129</definedName>
    <definedName name="____qre8792">[18]Model!$K$129</definedName>
    <definedName name="____qre8793" localSheetId="9">[17]Model!$L$129</definedName>
    <definedName name="____qre8793">[18]Model!$L$129</definedName>
    <definedName name="____qre8794" localSheetId="9">[17]Model!$M$129</definedName>
    <definedName name="____qre8794">[18]Model!$M$129</definedName>
    <definedName name="____qre8795" localSheetId="9">[17]Model!$N$129</definedName>
    <definedName name="____qre8795">[18]Model!$N$129</definedName>
    <definedName name="____qre8796" localSheetId="9">[17]Model!$O$129</definedName>
    <definedName name="____qre8796">[18]Model!$O$129</definedName>
    <definedName name="____qre8797" localSheetId="9">[17]Model!$P$129</definedName>
    <definedName name="____qre8797">[18]Model!$P$129</definedName>
    <definedName name="____qre8798" localSheetId="9">[17]Model!$Q$129</definedName>
    <definedName name="____qre8798">[18]Model!$Q$129</definedName>
    <definedName name="____qre88" localSheetId="9">'[17]QRE''s'!$H$1:$H$65536</definedName>
    <definedName name="____qre88">'[18]QRE''s'!$H$1:$H$65536</definedName>
    <definedName name="____qre8890" localSheetId="9">[17]Model!$I$130</definedName>
    <definedName name="____qre8890">[18]Model!$I$130</definedName>
    <definedName name="____qre8891" localSheetId="9">[17]Model!$J$130</definedName>
    <definedName name="____qre8891">[18]Model!$J$130</definedName>
    <definedName name="____qre8892" localSheetId="9">[17]Model!$K$130</definedName>
    <definedName name="____qre8892">[18]Model!$K$130</definedName>
    <definedName name="____qre8893" localSheetId="9">[17]Model!$L$130</definedName>
    <definedName name="____qre8893">[18]Model!$L$130</definedName>
    <definedName name="____qre8894" localSheetId="9">[17]Model!$M$130</definedName>
    <definedName name="____qre8894">[18]Model!$M$130</definedName>
    <definedName name="____qre8895" localSheetId="9">[17]Model!$N$130</definedName>
    <definedName name="____qre8895">[18]Model!$N$130</definedName>
    <definedName name="____qre8896" localSheetId="9">[17]Model!$O$130</definedName>
    <definedName name="____qre8896">[18]Model!$O$130</definedName>
    <definedName name="____qre8897" localSheetId="9">[17]Model!$P$130</definedName>
    <definedName name="____qre8897">[18]Model!$P$130</definedName>
    <definedName name="____qre8898" localSheetId="9">[17]Model!$Q$130</definedName>
    <definedName name="____qre8898">[18]Model!$Q$130</definedName>
    <definedName name="____qre89" localSheetId="9">'[17]QRE''s'!$I$1:$I$65536</definedName>
    <definedName name="____qre89">'[18]QRE''s'!$I$1:$I$65536</definedName>
    <definedName name="____qre90" localSheetId="9">'[17]QRE''s'!$J$1:$J$65536</definedName>
    <definedName name="____qre90">'[18]QRE''s'!$J$1:$J$65536</definedName>
    <definedName name="____qre91" localSheetId="9">'[17]QRE''s'!$K$1:$K$65536</definedName>
    <definedName name="____qre91">'[18]QRE''s'!$K$1:$K$65536</definedName>
    <definedName name="____qre92" localSheetId="9">'[17]QRE''s'!$L$1:$L$65536</definedName>
    <definedName name="____qre92">'[18]QRE''s'!$L$1:$L$65536</definedName>
    <definedName name="____qre93" localSheetId="9">'[17]QRE''s'!$M$1:$M$65536</definedName>
    <definedName name="____qre93">'[18]QRE''s'!$M$1:$M$65536</definedName>
    <definedName name="____qre94" localSheetId="9">'[17]QRE''s'!$N$1:$N$65536</definedName>
    <definedName name="____qre94">'[18]QRE''s'!$N$1:$N$65536</definedName>
    <definedName name="____qre95" localSheetId="9">'[17]QRE''s'!$O$1:$O$65536</definedName>
    <definedName name="____qre95">'[18]QRE''s'!$O$1:$O$65536</definedName>
    <definedName name="____qre96" localSheetId="9">'[17]QRE''s'!$P$1:$P$65536</definedName>
    <definedName name="____qre96">'[18]QRE''s'!$P$1:$P$65536</definedName>
    <definedName name="____qre97" localSheetId="9">'[17]QRE''s'!$Q$1:$Q$65536</definedName>
    <definedName name="____qre97">'[18]QRE''s'!$Q$1:$Q$65536</definedName>
    <definedName name="____qre98" localSheetId="9">'[17]QRE''s'!$R$1:$R$65536</definedName>
    <definedName name="____qre98">'[18]QRE''s'!$R$1:$R$65536</definedName>
    <definedName name="____SUM282" localSheetId="9">'[9]YTD Summary'!#REF!</definedName>
    <definedName name="____SUM282" localSheetId="17">'[10]YTD Summary'!#REF!</definedName>
    <definedName name="____SUM282">'[10]YTD Summary'!#REF!</definedName>
    <definedName name="____SUM3" localSheetId="9">'[15]Summ 165_236'!#REF!</definedName>
    <definedName name="____SUM3" localSheetId="17">'[16]Summ 165_236'!#REF!</definedName>
    <definedName name="____SUM3">'[16]Summ 165_236'!#REF!</definedName>
    <definedName name="____SUM4" localSheetId="9">'[15]Summ 165_236'!#REF!</definedName>
    <definedName name="____SUM4" localSheetId="17">'[16]Summ 165_236'!#REF!</definedName>
    <definedName name="____SUM4">'[16]Summ 165_236'!#REF!</definedName>
    <definedName name="____tqc90" localSheetId="9">'[17]QRE''s'!$J$101</definedName>
    <definedName name="____tqc90">'[18]QRE''s'!$J$101</definedName>
    <definedName name="____tqc91" localSheetId="9">'[17]QRE''s'!$K$101</definedName>
    <definedName name="____tqc91">'[18]QRE''s'!$K$101</definedName>
    <definedName name="____tqc92" localSheetId="9">'[17]QRE''s'!$L$101</definedName>
    <definedName name="____tqc92">'[18]QRE''s'!$L$101</definedName>
    <definedName name="____tqc93" localSheetId="9">'[17]QRE''s'!$M$101</definedName>
    <definedName name="____tqc93">'[18]QRE''s'!$M$101</definedName>
    <definedName name="____tqc94" localSheetId="9">'[17]QRE''s'!$N$101</definedName>
    <definedName name="____tqc94">'[18]QRE''s'!$N$101</definedName>
    <definedName name="____tqc95" localSheetId="9">'[17]QRE''s'!$O$101</definedName>
    <definedName name="____tqc95">'[18]QRE''s'!$O$101</definedName>
    <definedName name="____tqc96" localSheetId="9">'[17]QRE''s'!$P$101</definedName>
    <definedName name="____tqc96">'[18]QRE''s'!$P$101</definedName>
    <definedName name="____tqc97" localSheetId="9">'[17]QRE''s'!$Q$101</definedName>
    <definedName name="____tqc97">'[18]QRE''s'!$Q$101</definedName>
    <definedName name="____tqc98" localSheetId="9">'[17]QRE''s'!$R$101</definedName>
    <definedName name="____tqc98">'[18]QRE''s'!$R$101</definedName>
    <definedName name="____tql90" localSheetId="9">'[17]QRE''s'!$J$99</definedName>
    <definedName name="____tql90">'[18]QRE''s'!$J$99</definedName>
    <definedName name="____tql91" localSheetId="9">'[17]QRE''s'!$K$99</definedName>
    <definedName name="____tql91">'[18]QRE''s'!$K$99</definedName>
    <definedName name="____tql92" localSheetId="9">'[17]QRE''s'!$L$99</definedName>
    <definedName name="____tql92">'[18]QRE''s'!$L$99</definedName>
    <definedName name="____tql93" localSheetId="9">'[17]QRE''s'!$M$99</definedName>
    <definedName name="____tql93">'[18]QRE''s'!$M$99</definedName>
    <definedName name="____tql94" localSheetId="9">'[17]QRE''s'!$N$99</definedName>
    <definedName name="____tql94">'[18]QRE''s'!$N$99</definedName>
    <definedName name="____tql95" localSheetId="9">'[17]QRE''s'!$O$99</definedName>
    <definedName name="____tql95">'[18]QRE''s'!$O$99</definedName>
    <definedName name="____tql96" localSheetId="9">'[17]QRE''s'!$P$99</definedName>
    <definedName name="____tql96">'[18]QRE''s'!$P$99</definedName>
    <definedName name="____tql97" localSheetId="9">'[17]QRE''s'!$Q$99</definedName>
    <definedName name="____tql97">'[18]QRE''s'!$Q$99</definedName>
    <definedName name="____tql98" localSheetId="9">'[17]QRE''s'!$R$99</definedName>
    <definedName name="____tql98">'[18]QRE''s'!$R$99</definedName>
    <definedName name="____tqs90" localSheetId="9">'[17]QRE''s'!$J$100</definedName>
    <definedName name="____tqs90">'[18]QRE''s'!$J$100</definedName>
    <definedName name="____tqs91" localSheetId="9">'[17]QRE''s'!$K$100</definedName>
    <definedName name="____tqs91">'[18]QRE''s'!$K$100</definedName>
    <definedName name="____tqs92" localSheetId="9">'[17]QRE''s'!$L$100</definedName>
    <definedName name="____tqs92">'[18]QRE''s'!$L$100</definedName>
    <definedName name="____tqs93" localSheetId="9">'[17]QRE''s'!$M$100</definedName>
    <definedName name="____tqs93">'[18]QRE''s'!$M$100</definedName>
    <definedName name="____tqs94" localSheetId="9">'[17]QRE''s'!$N$100</definedName>
    <definedName name="____tqs94">'[18]QRE''s'!$N$100</definedName>
    <definedName name="____tqs95" localSheetId="9">'[17]QRE''s'!$O$100</definedName>
    <definedName name="____tqs95">'[18]QRE''s'!$O$100</definedName>
    <definedName name="____tqs96" localSheetId="9">'[17]QRE''s'!$P$100</definedName>
    <definedName name="____tqs96">'[18]QRE''s'!$P$100</definedName>
    <definedName name="____tqs97" localSheetId="9">'[17]QRE''s'!$Q$100</definedName>
    <definedName name="____tqs97">'[18]QRE''s'!$Q$100</definedName>
    <definedName name="____tqs98" localSheetId="9">'[17]QRE''s'!$R$100</definedName>
    <definedName name="____tqs98">'[18]QRE''s'!$R$100</definedName>
    <definedName name="___agr8690" localSheetId="9">[17]Model!$I$58</definedName>
    <definedName name="___agr8690">[18]Model!$I$58</definedName>
    <definedName name="___agr8790" localSheetId="9">[17]Model!$I$59</definedName>
    <definedName name="___agr8790">[18]Model!$I$59</definedName>
    <definedName name="___agr8791" localSheetId="9">[17]Model!$J$59</definedName>
    <definedName name="___agr8791">[18]Model!$J$59</definedName>
    <definedName name="___agr8890" localSheetId="9">[17]Model!$I$60</definedName>
    <definedName name="___agr8890">[18]Model!$I$60</definedName>
    <definedName name="___agr8891" localSheetId="9">[17]Model!$J$60</definedName>
    <definedName name="___agr8891">[18]Model!$J$60</definedName>
    <definedName name="___agr8892" localSheetId="9">[17]Model!$K$60</definedName>
    <definedName name="___agr8892">[18]Model!$K$60</definedName>
    <definedName name="___agr8990" localSheetId="9">[17]Model!$I$61</definedName>
    <definedName name="___agr8990">[18]Model!$I$61</definedName>
    <definedName name="___agr8991" localSheetId="9">[17]Model!$J$61</definedName>
    <definedName name="___agr8991">[18]Model!$J$61</definedName>
    <definedName name="___agr8992" localSheetId="9">[17]Model!$K$61</definedName>
    <definedName name="___agr8992">[18]Model!$K$61</definedName>
    <definedName name="___agr8993" localSheetId="9">[17]Model!$L$61</definedName>
    <definedName name="___agr8993">[18]Model!$L$61</definedName>
    <definedName name="___agr9091" localSheetId="9">[17]Model!$J$62</definedName>
    <definedName name="___agr9091">[18]Model!$J$62</definedName>
    <definedName name="___agr9092" localSheetId="9">[17]Model!$K$62</definedName>
    <definedName name="___agr9092">[18]Model!$K$62</definedName>
    <definedName name="___agr9093" localSheetId="9">[17]Model!$L$62</definedName>
    <definedName name="___agr9093">[18]Model!$L$62</definedName>
    <definedName name="___agr9094" localSheetId="9">[17]Model!$M$62</definedName>
    <definedName name="___agr9094">[18]Model!$M$62</definedName>
    <definedName name="___agr9192" localSheetId="9">[17]Model!$K$63</definedName>
    <definedName name="___agr9192">[18]Model!$K$63</definedName>
    <definedName name="___agr9193" localSheetId="9">[17]Model!$L$63</definedName>
    <definedName name="___agr9193">[18]Model!$L$63</definedName>
    <definedName name="___agr9194" localSheetId="9">[17]Model!$M$63</definedName>
    <definedName name="___agr9194">[18]Model!$M$63</definedName>
    <definedName name="___agr9195" localSheetId="9">[17]Model!$N$63</definedName>
    <definedName name="___agr9195">[18]Model!$N$63</definedName>
    <definedName name="___agr9293" localSheetId="9">[17]Model!$L$64</definedName>
    <definedName name="___agr9293">[18]Model!$L$64</definedName>
    <definedName name="___agr9294" localSheetId="9">[17]Model!$M$64</definedName>
    <definedName name="___agr9294">[18]Model!$M$64</definedName>
    <definedName name="___agr9295" localSheetId="9">[17]Model!$N$64</definedName>
    <definedName name="___agr9295">[18]Model!$N$64</definedName>
    <definedName name="___agr9296" localSheetId="9">[17]Model!$O$64</definedName>
    <definedName name="___agr9296">[18]Model!$O$64</definedName>
    <definedName name="___agr9394" localSheetId="9">[17]Model!$M$65</definedName>
    <definedName name="___agr9394">[18]Model!$M$65</definedName>
    <definedName name="___agr9395" localSheetId="9">[17]Model!$N$65</definedName>
    <definedName name="___agr9395">[18]Model!$N$65</definedName>
    <definedName name="___agr9396" localSheetId="9">[17]Model!$O$65</definedName>
    <definedName name="___agr9396">[18]Model!$O$65</definedName>
    <definedName name="___agr9397" localSheetId="9">[17]Model!$P$65</definedName>
    <definedName name="___agr9397">[18]Model!$P$65</definedName>
    <definedName name="___agr9495" localSheetId="9">[17]Model!$N$66</definedName>
    <definedName name="___agr9495">[18]Model!$N$66</definedName>
    <definedName name="___agr9496" localSheetId="9">[17]Model!$O$66</definedName>
    <definedName name="___agr9496">[18]Model!$O$66</definedName>
    <definedName name="___agr9497" localSheetId="9">[17]Model!$P$66</definedName>
    <definedName name="___agr9497">[18]Model!$P$66</definedName>
    <definedName name="___agr9498" localSheetId="9">[17]Model!$Q$66</definedName>
    <definedName name="___agr9498">[18]Model!$Q$66</definedName>
    <definedName name="___agr9596" localSheetId="9">[17]Model!$O$67</definedName>
    <definedName name="___agr9596">[18]Model!$O$67</definedName>
    <definedName name="___agr9597" localSheetId="9">[17]Model!$P$67</definedName>
    <definedName name="___agr9597">[18]Model!$P$67</definedName>
    <definedName name="___agr9598" localSheetId="9">[17]Model!$Q$67</definedName>
    <definedName name="___agr9598">[18]Model!$Q$67</definedName>
    <definedName name="___agr9697" localSheetId="9">[17]Model!$P$68</definedName>
    <definedName name="___agr9697">[18]Model!$P$68</definedName>
    <definedName name="___agr9698" localSheetId="9">[17]Model!$Q$68</definedName>
    <definedName name="___agr9698">[18]Model!$Q$68</definedName>
    <definedName name="___agr9798" localSheetId="9">[17]Model!$Q$69</definedName>
    <definedName name="___agr9798">[18]Model!$Q$69</definedName>
    <definedName name="___DAT1" localSheetId="9">'[19]Cost Center List'!#REF!</definedName>
    <definedName name="___DAT1" localSheetId="17">'[20]Cost Center List'!#REF!</definedName>
    <definedName name="___DAT1">'[20]Cost Center List'!#REF!</definedName>
    <definedName name="___DAT10" localSheetId="17">#REF!</definedName>
    <definedName name="___DAT10">#REF!</definedName>
    <definedName name="___DAT11" localSheetId="17">#REF!</definedName>
    <definedName name="___DAT11">#REF!</definedName>
    <definedName name="___dat1111" localSheetId="9">[11]Sheet1!$G$2:$G$29</definedName>
    <definedName name="___dat1111">[12]Sheet1!$G$2:$G$29</definedName>
    <definedName name="___DAT12" localSheetId="17">#REF!</definedName>
    <definedName name="___DAT12">#REF!</definedName>
    <definedName name="___DAT13" localSheetId="17">#REF!</definedName>
    <definedName name="___DAT13">#REF!</definedName>
    <definedName name="___DAT14" localSheetId="17">#REF!</definedName>
    <definedName name="___DAT14">#REF!</definedName>
    <definedName name="___DAT15">#REF!</definedName>
    <definedName name="___DAT16">#REF!</definedName>
    <definedName name="___DAT17">#REF!</definedName>
    <definedName name="___DAT18">#REF!</definedName>
    <definedName name="___DAT19">#REF!</definedName>
    <definedName name="___DAT2" localSheetId="9">'[7]Rent Revenue'!#REF!</definedName>
    <definedName name="___DAT2">'[8]Rent Revenue'!#REF!</definedName>
    <definedName name="___DAT3" localSheetId="17">#REF!</definedName>
    <definedName name="___DAT3">#REF!</definedName>
    <definedName name="___DAT4" localSheetId="17">#REF!</definedName>
    <definedName name="___DAT4">#REF!</definedName>
    <definedName name="___DAT5" localSheetId="17">#REF!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9">{"'Metretek HTML'!$A$7:$W$42"}</definedName>
    <definedName name="___H1" localSheetId="15">{"'Metretek HTML'!$A$7:$W$42"}</definedName>
    <definedName name="___H1" localSheetId="16">{"'Metretek HTML'!$A$7:$W$42"}</definedName>
    <definedName name="___H1" localSheetId="17">{"'Metretek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 localSheetId="9">'[21]JE 120 Jan-Nov Facesheet'!#REF!</definedName>
    <definedName name="___je2">'[22]JE 120 Jan-Nov Facesheet'!#REF!</definedName>
    <definedName name="___JE220" localSheetId="17">#REF!</definedName>
    <definedName name="___JE220">#REF!</definedName>
    <definedName name="___JE230" localSheetId="17">#REF!</definedName>
    <definedName name="___JE230">#REF!</definedName>
    <definedName name="___JE234" localSheetId="17">#REF!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 localSheetId="9">'[17]QRE''s'!$D$1:$D$65536</definedName>
    <definedName name="___qre84">'[18]QRE''s'!$D$1:$D$65536</definedName>
    <definedName name="___qre8490" localSheetId="9">[17]Model!$I$126</definedName>
    <definedName name="___qre8490">[18]Model!$I$126</definedName>
    <definedName name="___qre8491" localSheetId="9">[17]Model!$J$126</definedName>
    <definedName name="___qre8491">[18]Model!$J$126</definedName>
    <definedName name="___qre8492" localSheetId="9">[17]Model!$K$126</definedName>
    <definedName name="___qre8492">[18]Model!$K$126</definedName>
    <definedName name="___qre8493" localSheetId="9">[17]Model!$L$126</definedName>
    <definedName name="___qre8493">[18]Model!$L$126</definedName>
    <definedName name="___qre8494" localSheetId="9">[17]Model!$M$126</definedName>
    <definedName name="___qre8494">[18]Model!$M$126</definedName>
    <definedName name="___qre8495" localSheetId="9">[17]Model!$N$126</definedName>
    <definedName name="___qre8495">[18]Model!$N$126</definedName>
    <definedName name="___qre8496" localSheetId="9">[17]Model!$O$126</definedName>
    <definedName name="___qre8496">[18]Model!$O$126</definedName>
    <definedName name="___qre8497" localSheetId="9">[17]Model!$P$126</definedName>
    <definedName name="___qre8497">[18]Model!$P$126</definedName>
    <definedName name="___qre8498" localSheetId="9">[17]Model!$Q$126</definedName>
    <definedName name="___qre8498">[18]Model!$Q$126</definedName>
    <definedName name="___qre85" localSheetId="9">'[17]QRE''s'!$E$1:$E$65536</definedName>
    <definedName name="___qre85">'[18]QRE''s'!$E$1:$E$65536</definedName>
    <definedName name="___qre8590" localSheetId="9">[17]Model!$I$127</definedName>
    <definedName name="___qre8590">[18]Model!$I$127</definedName>
    <definedName name="___qre8591" localSheetId="9">[17]Model!$J$127</definedName>
    <definedName name="___qre8591">[18]Model!$J$127</definedName>
    <definedName name="___qre8592" localSheetId="9">[17]Model!$K$127</definedName>
    <definedName name="___qre8592">[18]Model!$K$127</definedName>
    <definedName name="___qre8593" localSheetId="9">[17]Model!$L$127</definedName>
    <definedName name="___qre8593">[18]Model!$L$127</definedName>
    <definedName name="___qre8594" localSheetId="9">[17]Model!$M$127</definedName>
    <definedName name="___qre8594">[18]Model!$M$127</definedName>
    <definedName name="___qre8595" localSheetId="9">[17]Model!$N$127</definedName>
    <definedName name="___qre8595">[18]Model!$N$127</definedName>
    <definedName name="___qre8596" localSheetId="9">[17]Model!$O$127</definedName>
    <definedName name="___qre8596">[18]Model!$O$127</definedName>
    <definedName name="___qre8597" localSheetId="9">[17]Model!$P$127</definedName>
    <definedName name="___qre8597">[18]Model!$P$127</definedName>
    <definedName name="___qre8598" localSheetId="9">[17]Model!$Q$127</definedName>
    <definedName name="___qre8598">[18]Model!$Q$127</definedName>
    <definedName name="___qre86" localSheetId="9">'[17]QRE''s'!$F$1:$F$65536</definedName>
    <definedName name="___qre86">'[18]QRE''s'!$F$1:$F$65536</definedName>
    <definedName name="___qre8690" localSheetId="9">[17]Model!$I$128</definedName>
    <definedName name="___qre8690">[18]Model!$I$128</definedName>
    <definedName name="___qre8691" localSheetId="9">[17]Model!$J$128</definedName>
    <definedName name="___qre8691">[18]Model!$J$128</definedName>
    <definedName name="___qre8692" localSheetId="9">[17]Model!$K$128</definedName>
    <definedName name="___qre8692">[18]Model!$K$128</definedName>
    <definedName name="___qre8693" localSheetId="9">[17]Model!$L$128</definedName>
    <definedName name="___qre8693">[18]Model!$L$128</definedName>
    <definedName name="___qre8694" localSheetId="9">[17]Model!$M$128</definedName>
    <definedName name="___qre8694">[18]Model!$M$128</definedName>
    <definedName name="___qre8695" localSheetId="9">[17]Model!$N$128</definedName>
    <definedName name="___qre8695">[18]Model!$N$128</definedName>
    <definedName name="___qre8696" localSheetId="9">[17]Model!$O$128</definedName>
    <definedName name="___qre8696">[18]Model!$O$128</definedName>
    <definedName name="___qre8697" localSheetId="9">[17]Model!$P$128</definedName>
    <definedName name="___qre8697">[18]Model!$P$128</definedName>
    <definedName name="___qre8698" localSheetId="9">[17]Model!$Q$128</definedName>
    <definedName name="___qre8698">[18]Model!$Q$128</definedName>
    <definedName name="___qre87" localSheetId="9">'[17]QRE''s'!$G$1:$G$65536</definedName>
    <definedName name="___qre87">'[18]QRE''s'!$G$1:$G$65536</definedName>
    <definedName name="___qre8790" localSheetId="9">[17]Model!$I$129</definedName>
    <definedName name="___qre8790">[18]Model!$I$129</definedName>
    <definedName name="___qre8791" localSheetId="9">[17]Model!$J$129</definedName>
    <definedName name="___qre8791">[18]Model!$J$129</definedName>
    <definedName name="___qre8792" localSheetId="9">[17]Model!$K$129</definedName>
    <definedName name="___qre8792">[18]Model!$K$129</definedName>
    <definedName name="___qre8793" localSheetId="9">[17]Model!$L$129</definedName>
    <definedName name="___qre8793">[18]Model!$L$129</definedName>
    <definedName name="___qre8794" localSheetId="9">[17]Model!$M$129</definedName>
    <definedName name="___qre8794">[18]Model!$M$129</definedName>
    <definedName name="___qre8795" localSheetId="9">[17]Model!$N$129</definedName>
    <definedName name="___qre8795">[18]Model!$N$129</definedName>
    <definedName name="___qre8796" localSheetId="9">[17]Model!$O$129</definedName>
    <definedName name="___qre8796">[18]Model!$O$129</definedName>
    <definedName name="___qre8797" localSheetId="9">[17]Model!$P$129</definedName>
    <definedName name="___qre8797">[18]Model!$P$129</definedName>
    <definedName name="___qre8798" localSheetId="9">[17]Model!$Q$129</definedName>
    <definedName name="___qre8798">[18]Model!$Q$129</definedName>
    <definedName name="___qre88" localSheetId="9">'[17]QRE''s'!$H$1:$H$65536</definedName>
    <definedName name="___qre88">'[18]QRE''s'!$H$1:$H$65536</definedName>
    <definedName name="___qre8890" localSheetId="9">[17]Model!$I$130</definedName>
    <definedName name="___qre8890">[18]Model!$I$130</definedName>
    <definedName name="___qre8891" localSheetId="9">[17]Model!$J$130</definedName>
    <definedName name="___qre8891">[18]Model!$J$130</definedName>
    <definedName name="___qre8892" localSheetId="9">[17]Model!$K$130</definedName>
    <definedName name="___qre8892">[18]Model!$K$130</definedName>
    <definedName name="___qre8893" localSheetId="9">[17]Model!$L$130</definedName>
    <definedName name="___qre8893">[18]Model!$L$130</definedName>
    <definedName name="___qre8894" localSheetId="9">[17]Model!$M$130</definedName>
    <definedName name="___qre8894">[18]Model!$M$130</definedName>
    <definedName name="___qre8895" localSheetId="9">[17]Model!$N$130</definedName>
    <definedName name="___qre8895">[18]Model!$N$130</definedName>
    <definedName name="___qre8896" localSheetId="9">[17]Model!$O$130</definedName>
    <definedName name="___qre8896">[18]Model!$O$130</definedName>
    <definedName name="___qre8897" localSheetId="9">[17]Model!$P$130</definedName>
    <definedName name="___qre8897">[18]Model!$P$130</definedName>
    <definedName name="___qre8898" localSheetId="9">[17]Model!$Q$130</definedName>
    <definedName name="___qre8898">[18]Model!$Q$130</definedName>
    <definedName name="___qre89" localSheetId="9">'[17]QRE''s'!$I$1:$I$65536</definedName>
    <definedName name="___qre89">'[18]QRE''s'!$I$1:$I$65536</definedName>
    <definedName name="___qre90" localSheetId="9">'[17]QRE''s'!$J$1:$J$65536</definedName>
    <definedName name="___qre90">'[18]QRE''s'!$J$1:$J$65536</definedName>
    <definedName name="___qre91" localSheetId="9">'[17]QRE''s'!$K$1:$K$65536</definedName>
    <definedName name="___qre91">'[18]QRE''s'!$K$1:$K$65536</definedName>
    <definedName name="___qre92" localSheetId="9">'[17]QRE''s'!$L$1:$L$65536</definedName>
    <definedName name="___qre92">'[18]QRE''s'!$L$1:$L$65536</definedName>
    <definedName name="___qre93" localSheetId="9">'[17]QRE''s'!$M$1:$M$65536</definedName>
    <definedName name="___qre93">'[18]QRE''s'!$M$1:$M$65536</definedName>
    <definedName name="___qre94" localSheetId="9">'[17]QRE''s'!$N$1:$N$65536</definedName>
    <definedName name="___qre94">'[18]QRE''s'!$N$1:$N$65536</definedName>
    <definedName name="___qre95" localSheetId="9">'[17]QRE''s'!$O$1:$O$65536</definedName>
    <definedName name="___qre95">'[18]QRE''s'!$O$1:$O$65536</definedName>
    <definedName name="___qre96" localSheetId="9">'[17]QRE''s'!$P$1:$P$65536</definedName>
    <definedName name="___qre96">'[18]QRE''s'!$P$1:$P$65536</definedName>
    <definedName name="___qre97" localSheetId="9">'[17]QRE''s'!$Q$1:$Q$65536</definedName>
    <definedName name="___qre97">'[18]QRE''s'!$Q$1:$Q$65536</definedName>
    <definedName name="___qre98" localSheetId="9">'[17]QRE''s'!$R$1:$R$65536</definedName>
    <definedName name="___qre98">'[18]QRE''s'!$R$1:$R$65536</definedName>
    <definedName name="___SUM282" localSheetId="9">'[9]YTD Summary'!#REF!</definedName>
    <definedName name="___SUM282" localSheetId="17">'[10]YTD Summary'!#REF!</definedName>
    <definedName name="___SUM282">'[10]YTD Summary'!#REF!</definedName>
    <definedName name="___SUM3" localSheetId="9">'[15]Summ 165_236'!#REF!</definedName>
    <definedName name="___SUM3" localSheetId="17">'[16]Summ 165_236'!#REF!</definedName>
    <definedName name="___SUM3">'[16]Summ 165_236'!#REF!</definedName>
    <definedName name="___SUM4" localSheetId="9">'[15]Summ 165_236'!#REF!</definedName>
    <definedName name="___SUM4" localSheetId="17">'[16]Summ 165_236'!#REF!</definedName>
    <definedName name="___SUM4">'[16]Summ 165_236'!#REF!</definedName>
    <definedName name="___tqc90" localSheetId="9">'[17]QRE''s'!$J$101</definedName>
    <definedName name="___tqc90">'[18]QRE''s'!$J$101</definedName>
    <definedName name="___tqc91" localSheetId="9">'[17]QRE''s'!$K$101</definedName>
    <definedName name="___tqc91">'[18]QRE''s'!$K$101</definedName>
    <definedName name="___tqc92" localSheetId="9">'[17]QRE''s'!$L$101</definedName>
    <definedName name="___tqc92">'[18]QRE''s'!$L$101</definedName>
    <definedName name="___tqc93" localSheetId="9">'[17]QRE''s'!$M$101</definedName>
    <definedName name="___tqc93">'[18]QRE''s'!$M$101</definedName>
    <definedName name="___tqc94" localSheetId="9">'[17]QRE''s'!$N$101</definedName>
    <definedName name="___tqc94">'[18]QRE''s'!$N$101</definedName>
    <definedName name="___tqc95" localSheetId="9">'[17]QRE''s'!$O$101</definedName>
    <definedName name="___tqc95">'[18]QRE''s'!$O$101</definedName>
    <definedName name="___tqc96" localSheetId="9">'[17]QRE''s'!$P$101</definedName>
    <definedName name="___tqc96">'[18]QRE''s'!$P$101</definedName>
    <definedName name="___tqc97" localSheetId="9">'[17]QRE''s'!$Q$101</definedName>
    <definedName name="___tqc97">'[18]QRE''s'!$Q$101</definedName>
    <definedName name="___tqc98" localSheetId="9">'[17]QRE''s'!$R$101</definedName>
    <definedName name="___tqc98">'[18]QRE''s'!$R$101</definedName>
    <definedName name="___tql90" localSheetId="9">'[17]QRE''s'!$J$99</definedName>
    <definedName name="___tql90">'[18]QRE''s'!$J$99</definedName>
    <definedName name="___tql91" localSheetId="9">'[17]QRE''s'!$K$99</definedName>
    <definedName name="___tql91">'[18]QRE''s'!$K$99</definedName>
    <definedName name="___tql92" localSheetId="9">'[17]QRE''s'!$L$99</definedName>
    <definedName name="___tql92">'[18]QRE''s'!$L$99</definedName>
    <definedName name="___tql93" localSheetId="9">'[17]QRE''s'!$M$99</definedName>
    <definedName name="___tql93">'[18]QRE''s'!$M$99</definedName>
    <definedName name="___tql94" localSheetId="9">'[17]QRE''s'!$N$99</definedName>
    <definedName name="___tql94">'[18]QRE''s'!$N$99</definedName>
    <definedName name="___tql95" localSheetId="9">'[17]QRE''s'!$O$99</definedName>
    <definedName name="___tql95">'[18]QRE''s'!$O$99</definedName>
    <definedName name="___tql96" localSheetId="9">'[17]QRE''s'!$P$99</definedName>
    <definedName name="___tql96">'[18]QRE''s'!$P$99</definedName>
    <definedName name="___tql97" localSheetId="9">'[17]QRE''s'!$Q$99</definedName>
    <definedName name="___tql97">'[18]QRE''s'!$Q$99</definedName>
    <definedName name="___tql98" localSheetId="9">'[17]QRE''s'!$R$99</definedName>
    <definedName name="___tql98">'[18]QRE''s'!$R$99</definedName>
    <definedName name="___tqs90" localSheetId="9">'[17]QRE''s'!$J$100</definedName>
    <definedName name="___tqs90">'[18]QRE''s'!$J$100</definedName>
    <definedName name="___tqs91" localSheetId="9">'[17]QRE''s'!$K$100</definedName>
    <definedName name="___tqs91">'[18]QRE''s'!$K$100</definedName>
    <definedName name="___tqs92" localSheetId="9">'[17]QRE''s'!$L$100</definedName>
    <definedName name="___tqs92">'[18]QRE''s'!$L$100</definedName>
    <definedName name="___tqs93" localSheetId="9">'[17]QRE''s'!$M$100</definedName>
    <definedName name="___tqs93">'[18]QRE''s'!$M$100</definedName>
    <definedName name="___tqs94" localSheetId="9">'[17]QRE''s'!$N$100</definedName>
    <definedName name="___tqs94">'[18]QRE''s'!$N$100</definedName>
    <definedName name="___tqs95" localSheetId="9">'[17]QRE''s'!$O$100</definedName>
    <definedName name="___tqs95">'[18]QRE''s'!$O$100</definedName>
    <definedName name="___tqs96" localSheetId="9">'[17]QRE''s'!$P$100</definedName>
    <definedName name="___tqs96">'[18]QRE''s'!$P$100</definedName>
    <definedName name="___tqs97" localSheetId="9">'[17]QRE''s'!$Q$100</definedName>
    <definedName name="___tqs97">'[18]QRE''s'!$Q$100</definedName>
    <definedName name="___tqs98" localSheetId="9">'[17]QRE''s'!$R$100</definedName>
    <definedName name="___tqs98">'[18]QRE''s'!$R$100</definedName>
    <definedName name="__123Graph_A" hidden="1">'[25]AL2 151'!#REF!</definedName>
    <definedName name="__123Graph_B" localSheetId="15" hidden="1">[26]Inputs!#REF!</definedName>
    <definedName name="__123Graph_B" localSheetId="16" hidden="1">[26]Inputs!#REF!</definedName>
    <definedName name="__123Graph_B" localSheetId="17" hidden="1">[26]Inputs!#REF!</definedName>
    <definedName name="__123Graph_B" localSheetId="20" hidden="1">[26]Inputs!#REF!</definedName>
    <definedName name="__123Graph_B" hidden="1">[26]Inputs!#REF!</definedName>
    <definedName name="__123Graph_C" hidden="1">'[25]AL2 151'!#REF!</definedName>
    <definedName name="__123Graph_D" localSheetId="9" hidden="1">[27]Assump!#REF!</definedName>
    <definedName name="__123Graph_D" localSheetId="17" hidden="1">[3]Assump!#REF!</definedName>
    <definedName name="__123Graph_D" localSheetId="20" hidden="1">[3]Assump!#REF!</definedName>
    <definedName name="__123Graph_D" hidden="1">[3]Assump!#REF!</definedName>
    <definedName name="__123Graph_E" hidden="1">'[25]AL2 151'!#REF!</definedName>
    <definedName name="__123Graph_F" hidden="1">'[25]AL2 151'!#REF!</definedName>
    <definedName name="__123Graph_X" hidden="1">'[25]AL2 151'!#REF!</definedName>
    <definedName name="__agr8690" localSheetId="9">[17]Model!$I$58</definedName>
    <definedName name="__agr8690">[18]Model!$I$58</definedName>
    <definedName name="__agr8790" localSheetId="9">[17]Model!$I$59</definedName>
    <definedName name="__agr8790">[18]Model!$I$59</definedName>
    <definedName name="__agr8791" localSheetId="9">[17]Model!$J$59</definedName>
    <definedName name="__agr8791">[18]Model!$J$59</definedName>
    <definedName name="__agr8890" localSheetId="9">[17]Model!$I$60</definedName>
    <definedName name="__agr8890">[18]Model!$I$60</definedName>
    <definedName name="__agr8891" localSheetId="9">[17]Model!$J$60</definedName>
    <definedName name="__agr8891">[18]Model!$J$60</definedName>
    <definedName name="__agr8892" localSheetId="9">[17]Model!$K$60</definedName>
    <definedName name="__agr8892">[18]Model!$K$60</definedName>
    <definedName name="__agr8990" localSheetId="9">[17]Model!$I$61</definedName>
    <definedName name="__agr8990">[18]Model!$I$61</definedName>
    <definedName name="__agr8991" localSheetId="9">[17]Model!$J$61</definedName>
    <definedName name="__agr8991">[18]Model!$J$61</definedName>
    <definedName name="__agr8992" localSheetId="9">[17]Model!$K$61</definedName>
    <definedName name="__agr8992">[18]Model!$K$61</definedName>
    <definedName name="__agr8993" localSheetId="9">[17]Model!$L$61</definedName>
    <definedName name="__agr8993">[18]Model!$L$61</definedName>
    <definedName name="__agr9091" localSheetId="9">[17]Model!$J$62</definedName>
    <definedName name="__agr9091">[18]Model!$J$62</definedName>
    <definedName name="__agr9092" localSheetId="9">[17]Model!$K$62</definedName>
    <definedName name="__agr9092">[18]Model!$K$62</definedName>
    <definedName name="__agr9093" localSheetId="9">[17]Model!$L$62</definedName>
    <definedName name="__agr9093">[18]Model!$L$62</definedName>
    <definedName name="__agr9094" localSheetId="9">[17]Model!$M$62</definedName>
    <definedName name="__agr9094">[18]Model!$M$62</definedName>
    <definedName name="__agr9192" localSheetId="9">[17]Model!$K$63</definedName>
    <definedName name="__agr9192">[18]Model!$K$63</definedName>
    <definedName name="__agr9193" localSheetId="9">[17]Model!$L$63</definedName>
    <definedName name="__agr9193">[18]Model!$L$63</definedName>
    <definedName name="__agr9194" localSheetId="9">[17]Model!$M$63</definedName>
    <definedName name="__agr9194">[18]Model!$M$63</definedName>
    <definedName name="__agr9195" localSheetId="9">[17]Model!$N$63</definedName>
    <definedName name="__agr9195">[18]Model!$N$63</definedName>
    <definedName name="__agr9293" localSheetId="9">[17]Model!$L$64</definedName>
    <definedName name="__agr9293">[18]Model!$L$64</definedName>
    <definedName name="__agr9294" localSheetId="9">[17]Model!$M$64</definedName>
    <definedName name="__agr9294">[18]Model!$M$64</definedName>
    <definedName name="__agr9295" localSheetId="9">[17]Model!$N$64</definedName>
    <definedName name="__agr9295">[18]Model!$N$64</definedName>
    <definedName name="__agr9296" localSheetId="9">[17]Model!$O$64</definedName>
    <definedName name="__agr9296">[18]Model!$O$64</definedName>
    <definedName name="__agr9394" localSheetId="9">[17]Model!$M$65</definedName>
    <definedName name="__agr9394">[18]Model!$M$65</definedName>
    <definedName name="__agr9395" localSheetId="9">[17]Model!$N$65</definedName>
    <definedName name="__agr9395">[18]Model!$N$65</definedName>
    <definedName name="__agr9396" localSheetId="9">[17]Model!$O$65</definedName>
    <definedName name="__agr9396">[18]Model!$O$65</definedName>
    <definedName name="__agr9397" localSheetId="9">[17]Model!$P$65</definedName>
    <definedName name="__agr9397">[18]Model!$P$65</definedName>
    <definedName name="__agr9495" localSheetId="9">[17]Model!$N$66</definedName>
    <definedName name="__agr9495">[18]Model!$N$66</definedName>
    <definedName name="__agr9496" localSheetId="9">[17]Model!$O$66</definedName>
    <definedName name="__agr9496">[18]Model!$O$66</definedName>
    <definedName name="__agr9497" localSheetId="9">[17]Model!$P$66</definedName>
    <definedName name="__agr9497">[18]Model!$P$66</definedName>
    <definedName name="__agr9498" localSheetId="9">[17]Model!$Q$66</definedName>
    <definedName name="__agr9498">[18]Model!$Q$66</definedName>
    <definedName name="__agr9596" localSheetId="9">[17]Model!$O$67</definedName>
    <definedName name="__agr9596">[18]Model!$O$67</definedName>
    <definedName name="__agr9597" localSheetId="9">[17]Model!$P$67</definedName>
    <definedName name="__agr9597">[18]Model!$P$67</definedName>
    <definedName name="__agr9598" localSheetId="9">[17]Model!$Q$67</definedName>
    <definedName name="__agr9598">[18]Model!$Q$67</definedName>
    <definedName name="__agr9697" localSheetId="9">[17]Model!$P$68</definedName>
    <definedName name="__agr9697">[18]Model!$P$68</definedName>
    <definedName name="__agr9698" localSheetId="9">[17]Model!$Q$68</definedName>
    <definedName name="__agr9698">[18]Model!$Q$68</definedName>
    <definedName name="__agr9798" localSheetId="9">[17]Model!$Q$69</definedName>
    <definedName name="__agr9798">[18]Model!$Q$69</definedName>
    <definedName name="__CPK1" localSheetId="17">#REF!</definedName>
    <definedName name="__CPK1">#REF!</definedName>
    <definedName name="__CPK2" localSheetId="17">#REF!</definedName>
    <definedName name="__CPK2">#REF!</definedName>
    <definedName name="__CPK3" localSheetId="17">#REF!</definedName>
    <definedName name="__CPK3">#REF!</definedName>
    <definedName name="__DAT1" localSheetId="9">'[19]Cost Center List'!#REF!</definedName>
    <definedName name="__DAT1" localSheetId="17">'[6]Cost Center List'!#REF!</definedName>
    <definedName name="__DAT1">'[20]Cost Center List'!#REF!</definedName>
    <definedName name="__DAT10" localSheetId="17">#REF!</definedName>
    <definedName name="__DAT10">#REF!</definedName>
    <definedName name="__DAT11" localSheetId="17">#REF!</definedName>
    <definedName name="__DAT11">#REF!</definedName>
    <definedName name="__dat1111" localSheetId="9">[11]Sheet1!$G$2:$G$29</definedName>
    <definedName name="__dat1111">[12]Sheet1!$G$2:$G$29</definedName>
    <definedName name="__DAT12" localSheetId="17">#REF!</definedName>
    <definedName name="__DAT12">#REF!</definedName>
    <definedName name="__DAT13" localSheetId="17">#REF!</definedName>
    <definedName name="__DAT13">#REF!</definedName>
    <definedName name="__DAT14" localSheetId="17">#REF!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 localSheetId="17">#REF!</definedName>
    <definedName name="__gas2">#REF!</definedName>
    <definedName name="__gas2006">#REF!</definedName>
    <definedName name="__H1" localSheetId="9">{"'Metretek HTML'!$A$7:$W$42"}</definedName>
    <definedName name="__H1" localSheetId="15">{"'Metretek HTML'!$A$7:$W$42"}</definedName>
    <definedName name="__H1" localSheetId="16">{"'Metretek HTML'!$A$7:$W$42"}</definedName>
    <definedName name="__H1" localSheetId="17">{"'Metretek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 localSheetId="9">'[21]JE 120 Jan-Nov Facesheet'!#REF!</definedName>
    <definedName name="__je2">'[22]JE 120 Jan-Nov Facesheet'!#REF!</definedName>
    <definedName name="__JE220" localSheetId="17">#REF!</definedName>
    <definedName name="__JE220">#REF!</definedName>
    <definedName name="__JE230" localSheetId="17">#REF!</definedName>
    <definedName name="__JE230">#REF!</definedName>
    <definedName name="__JE234" localSheetId="17">#REF!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 localSheetId="9">'[17]QRE''s'!$D$1:$D$65536</definedName>
    <definedName name="__qre84">'[18]QRE''s'!$D$1:$D$65536</definedName>
    <definedName name="__qre8490" localSheetId="9">[17]Model!$I$126</definedName>
    <definedName name="__qre8490">[18]Model!$I$126</definedName>
    <definedName name="__qre8491" localSheetId="9">[17]Model!$J$126</definedName>
    <definedName name="__qre8491">[18]Model!$J$126</definedName>
    <definedName name="__qre8492" localSheetId="9">[17]Model!$K$126</definedName>
    <definedName name="__qre8492">[18]Model!$K$126</definedName>
    <definedName name="__qre8493" localSheetId="9">[17]Model!$L$126</definedName>
    <definedName name="__qre8493">[18]Model!$L$126</definedName>
    <definedName name="__qre8494" localSheetId="9">[17]Model!$M$126</definedName>
    <definedName name="__qre8494">[18]Model!$M$126</definedName>
    <definedName name="__qre8495" localSheetId="9">[17]Model!$N$126</definedName>
    <definedName name="__qre8495">[18]Model!$N$126</definedName>
    <definedName name="__qre8496" localSheetId="9">[17]Model!$O$126</definedName>
    <definedName name="__qre8496">[18]Model!$O$126</definedName>
    <definedName name="__qre8497" localSheetId="9">[17]Model!$P$126</definedName>
    <definedName name="__qre8497">[18]Model!$P$126</definedName>
    <definedName name="__qre8498" localSheetId="9">[17]Model!$Q$126</definedName>
    <definedName name="__qre8498">[18]Model!$Q$126</definedName>
    <definedName name="__qre85" localSheetId="9">'[17]QRE''s'!$E$1:$E$65536</definedName>
    <definedName name="__qre85">'[18]QRE''s'!$E$1:$E$65536</definedName>
    <definedName name="__qre8590" localSheetId="9">[17]Model!$I$127</definedName>
    <definedName name="__qre8590">[18]Model!$I$127</definedName>
    <definedName name="__qre8591" localSheetId="9">[17]Model!$J$127</definedName>
    <definedName name="__qre8591">[18]Model!$J$127</definedName>
    <definedName name="__qre8592" localSheetId="9">[17]Model!$K$127</definedName>
    <definedName name="__qre8592">[18]Model!$K$127</definedName>
    <definedName name="__qre8593" localSheetId="9">[17]Model!$L$127</definedName>
    <definedName name="__qre8593">[18]Model!$L$127</definedName>
    <definedName name="__qre8594" localSheetId="9">[17]Model!$M$127</definedName>
    <definedName name="__qre8594">[18]Model!$M$127</definedName>
    <definedName name="__qre8595" localSheetId="9">[17]Model!$N$127</definedName>
    <definedName name="__qre8595">[18]Model!$N$127</definedName>
    <definedName name="__qre8596" localSheetId="9">[17]Model!$O$127</definedName>
    <definedName name="__qre8596">[18]Model!$O$127</definedName>
    <definedName name="__qre8597" localSheetId="9">[17]Model!$P$127</definedName>
    <definedName name="__qre8597">[18]Model!$P$127</definedName>
    <definedName name="__qre8598" localSheetId="9">[17]Model!$Q$127</definedName>
    <definedName name="__qre8598">[18]Model!$Q$127</definedName>
    <definedName name="__qre86" localSheetId="9">'[17]QRE''s'!$F$1:$F$65536</definedName>
    <definedName name="__qre86">'[18]QRE''s'!$F$1:$F$65536</definedName>
    <definedName name="__qre8690" localSheetId="9">[17]Model!$I$128</definedName>
    <definedName name="__qre8690">[18]Model!$I$128</definedName>
    <definedName name="__qre8691" localSheetId="9">[17]Model!$J$128</definedName>
    <definedName name="__qre8691">[18]Model!$J$128</definedName>
    <definedName name="__qre8692" localSheetId="9">[17]Model!$K$128</definedName>
    <definedName name="__qre8692">[18]Model!$K$128</definedName>
    <definedName name="__qre8693" localSheetId="9">[17]Model!$L$128</definedName>
    <definedName name="__qre8693">[18]Model!$L$128</definedName>
    <definedName name="__qre8694" localSheetId="9">[17]Model!$M$128</definedName>
    <definedName name="__qre8694">[18]Model!$M$128</definedName>
    <definedName name="__qre8695" localSheetId="9">[17]Model!$N$128</definedName>
    <definedName name="__qre8695">[18]Model!$N$128</definedName>
    <definedName name="__qre8696" localSheetId="9">[17]Model!$O$128</definedName>
    <definedName name="__qre8696">[18]Model!$O$128</definedName>
    <definedName name="__qre8697" localSheetId="9">[17]Model!$P$128</definedName>
    <definedName name="__qre8697">[18]Model!$P$128</definedName>
    <definedName name="__qre8698" localSheetId="9">[17]Model!$Q$128</definedName>
    <definedName name="__qre8698">[18]Model!$Q$128</definedName>
    <definedName name="__qre87" localSheetId="9">'[17]QRE''s'!$G$1:$G$65536</definedName>
    <definedName name="__qre87">'[18]QRE''s'!$G$1:$G$65536</definedName>
    <definedName name="__qre8790" localSheetId="9">[17]Model!$I$129</definedName>
    <definedName name="__qre8790">[18]Model!$I$129</definedName>
    <definedName name="__qre8791" localSheetId="9">[17]Model!$J$129</definedName>
    <definedName name="__qre8791">[18]Model!$J$129</definedName>
    <definedName name="__qre8792" localSheetId="9">[17]Model!$K$129</definedName>
    <definedName name="__qre8792">[18]Model!$K$129</definedName>
    <definedName name="__qre8793" localSheetId="9">[17]Model!$L$129</definedName>
    <definedName name="__qre8793">[18]Model!$L$129</definedName>
    <definedName name="__qre8794" localSheetId="9">[17]Model!$M$129</definedName>
    <definedName name="__qre8794">[18]Model!$M$129</definedName>
    <definedName name="__qre8795" localSheetId="9">[17]Model!$N$129</definedName>
    <definedName name="__qre8795">[18]Model!$N$129</definedName>
    <definedName name="__qre8796" localSheetId="9">[17]Model!$O$129</definedName>
    <definedName name="__qre8796">[18]Model!$O$129</definedName>
    <definedName name="__qre8797" localSheetId="9">[17]Model!$P$129</definedName>
    <definedName name="__qre8797">[18]Model!$P$129</definedName>
    <definedName name="__qre8798" localSheetId="9">[17]Model!$Q$129</definedName>
    <definedName name="__qre8798">[18]Model!$Q$129</definedName>
    <definedName name="__qre88" localSheetId="9">'[17]QRE''s'!$H$1:$H$65536</definedName>
    <definedName name="__qre88">'[18]QRE''s'!$H$1:$H$65536</definedName>
    <definedName name="__qre8890" localSheetId="9">[17]Model!$I$130</definedName>
    <definedName name="__qre8890">[18]Model!$I$130</definedName>
    <definedName name="__qre8891" localSheetId="9">[17]Model!$J$130</definedName>
    <definedName name="__qre8891">[18]Model!$J$130</definedName>
    <definedName name="__qre8892" localSheetId="9">[17]Model!$K$130</definedName>
    <definedName name="__qre8892">[18]Model!$K$130</definedName>
    <definedName name="__qre8893" localSheetId="9">[17]Model!$L$130</definedName>
    <definedName name="__qre8893">[18]Model!$L$130</definedName>
    <definedName name="__qre8894" localSheetId="9">[17]Model!$M$130</definedName>
    <definedName name="__qre8894">[18]Model!$M$130</definedName>
    <definedName name="__qre8895" localSheetId="9">[17]Model!$N$130</definedName>
    <definedName name="__qre8895">[18]Model!$N$130</definedName>
    <definedName name="__qre8896" localSheetId="9">[17]Model!$O$130</definedName>
    <definedName name="__qre8896">[18]Model!$O$130</definedName>
    <definedName name="__qre8897" localSheetId="9">[17]Model!$P$130</definedName>
    <definedName name="__qre8897">[18]Model!$P$130</definedName>
    <definedName name="__qre8898" localSheetId="9">[17]Model!$Q$130</definedName>
    <definedName name="__qre8898">[18]Model!$Q$130</definedName>
    <definedName name="__qre89" localSheetId="9">'[17]QRE''s'!$I$1:$I$65536</definedName>
    <definedName name="__qre89">'[18]QRE''s'!$I$1:$I$65536</definedName>
    <definedName name="__qre90" localSheetId="9">'[17]QRE''s'!$J$1:$J$65536</definedName>
    <definedName name="__qre90">'[18]QRE''s'!$J$1:$J$65536</definedName>
    <definedName name="__qre91" localSheetId="9">'[17]QRE''s'!$K$1:$K$65536</definedName>
    <definedName name="__qre91">'[18]QRE''s'!$K$1:$K$65536</definedName>
    <definedName name="__qre92" localSheetId="9">'[17]QRE''s'!$L$1:$L$65536</definedName>
    <definedName name="__qre92">'[18]QRE''s'!$L$1:$L$65536</definedName>
    <definedName name="__qre93" localSheetId="9">'[17]QRE''s'!$M$1:$M$65536</definedName>
    <definedName name="__qre93">'[18]QRE''s'!$M$1:$M$65536</definedName>
    <definedName name="__qre94" localSheetId="9">'[17]QRE''s'!$N$1:$N$65536</definedName>
    <definedName name="__qre94">'[18]QRE''s'!$N$1:$N$65536</definedName>
    <definedName name="__qre95" localSheetId="9">'[17]QRE''s'!$O$1:$O$65536</definedName>
    <definedName name="__qre95">'[18]QRE''s'!$O$1:$O$65536</definedName>
    <definedName name="__qre96" localSheetId="9">'[17]QRE''s'!$P$1:$P$65536</definedName>
    <definedName name="__qre96">'[18]QRE''s'!$P$1:$P$65536</definedName>
    <definedName name="__qre97" localSheetId="9">'[17]QRE''s'!$Q$1:$Q$65536</definedName>
    <definedName name="__qre97">'[18]QRE''s'!$Q$1:$Q$65536</definedName>
    <definedName name="__qre98" localSheetId="9">'[17]QRE''s'!$R$1:$R$65536</definedName>
    <definedName name="__qre98">'[18]QRE''s'!$R$1:$R$65536</definedName>
    <definedName name="__sam1" localSheetId="17">#REF!</definedName>
    <definedName name="__sam1">#REF!</definedName>
    <definedName name="__ss1" localSheetId="17">#REF!</definedName>
    <definedName name="__ss1">#REF!</definedName>
    <definedName name="__SUM282" localSheetId="9">'[9]YTD Summary'!#REF!</definedName>
    <definedName name="__SUM282" localSheetId="17">'[10]YTD Summary'!#REF!</definedName>
    <definedName name="__SUM282">'[10]YTD Summary'!#REF!</definedName>
    <definedName name="__SUM3" localSheetId="9">'[15]Summ 165_236'!#REF!</definedName>
    <definedName name="__SUM3">'[16]Summ 165_236'!#REF!</definedName>
    <definedName name="__SUM4" localSheetId="9">'[15]Summ 165_236'!#REF!</definedName>
    <definedName name="__SUM4">'[16]Summ 165_236'!#REF!</definedName>
    <definedName name="__tet12" localSheetId="9" hidden="1">{"assumptions",#N/A,FALSE,"Scenario 1";"valuation",#N/A,FALSE,"Scenario 1"}</definedName>
    <definedName name="__tet12" localSheetId="17" hidden="1">{"assumptions",#N/A,FALSE,"Scenario 1";"valuation",#N/A,FALSE,"Scenario 1"}</definedName>
    <definedName name="__tet12" hidden="1">{"assumptions",#N/A,FALSE,"Scenario 1";"valuation",#N/A,FALSE,"Scenario 1"}</definedName>
    <definedName name="__tet5" localSheetId="9" hidden="1">{"assumptions",#N/A,FALSE,"Scenario 1";"valuation",#N/A,FALSE,"Scenario 1"}</definedName>
    <definedName name="__tet5" localSheetId="17" hidden="1">{"assumptions",#N/A,FALSE,"Scenario 1";"valuation",#N/A,FALSE,"Scenario 1"}</definedName>
    <definedName name="__tet5" hidden="1">{"assumptions",#N/A,FALSE,"Scenario 1";"valuation",#N/A,FALSE,"Scenario 1"}</definedName>
    <definedName name="__tqc90" localSheetId="9">'[17]QRE''s'!$J$101</definedName>
    <definedName name="__tqc90">'[18]QRE''s'!$J$101</definedName>
    <definedName name="__tqc91" localSheetId="9">'[17]QRE''s'!$K$101</definedName>
    <definedName name="__tqc91">'[18]QRE''s'!$K$101</definedName>
    <definedName name="__tqc92" localSheetId="9">'[17]QRE''s'!$L$101</definedName>
    <definedName name="__tqc92">'[18]QRE''s'!$L$101</definedName>
    <definedName name="__tqc93" localSheetId="9">'[17]QRE''s'!$M$101</definedName>
    <definedName name="__tqc93">'[18]QRE''s'!$M$101</definedName>
    <definedName name="__tqc94" localSheetId="9">'[17]QRE''s'!$N$101</definedName>
    <definedName name="__tqc94">'[18]QRE''s'!$N$101</definedName>
    <definedName name="__tqc95" localSheetId="9">'[17]QRE''s'!$O$101</definedName>
    <definedName name="__tqc95">'[18]QRE''s'!$O$101</definedName>
    <definedName name="__tqc96" localSheetId="9">'[17]QRE''s'!$P$101</definedName>
    <definedName name="__tqc96">'[18]QRE''s'!$P$101</definedName>
    <definedName name="__tqc97" localSheetId="9">'[17]QRE''s'!$Q$101</definedName>
    <definedName name="__tqc97">'[18]QRE''s'!$Q$101</definedName>
    <definedName name="__tqc98" localSheetId="9">'[17]QRE''s'!$R$101</definedName>
    <definedName name="__tqc98">'[18]QRE''s'!$R$101</definedName>
    <definedName name="__tql90" localSheetId="9">'[17]QRE''s'!$J$99</definedName>
    <definedName name="__tql90">'[18]QRE''s'!$J$99</definedName>
    <definedName name="__tql91" localSheetId="9">'[17]QRE''s'!$K$99</definedName>
    <definedName name="__tql91">'[18]QRE''s'!$K$99</definedName>
    <definedName name="__tql92" localSheetId="9">'[17]QRE''s'!$L$99</definedName>
    <definedName name="__tql92">'[18]QRE''s'!$L$99</definedName>
    <definedName name="__tql93" localSheetId="9">'[17]QRE''s'!$M$99</definedName>
    <definedName name="__tql93">'[18]QRE''s'!$M$99</definedName>
    <definedName name="__tql94" localSheetId="9">'[17]QRE''s'!$N$99</definedName>
    <definedName name="__tql94">'[18]QRE''s'!$N$99</definedName>
    <definedName name="__tql95" localSheetId="9">'[17]QRE''s'!$O$99</definedName>
    <definedName name="__tql95">'[18]QRE''s'!$O$99</definedName>
    <definedName name="__tql96" localSheetId="9">'[17]QRE''s'!$P$99</definedName>
    <definedName name="__tql96">'[18]QRE''s'!$P$99</definedName>
    <definedName name="__tql97" localSheetId="9">'[17]QRE''s'!$Q$99</definedName>
    <definedName name="__tql97">'[18]QRE''s'!$Q$99</definedName>
    <definedName name="__tql98" localSheetId="9">'[17]QRE''s'!$R$99</definedName>
    <definedName name="__tql98">'[18]QRE''s'!$R$99</definedName>
    <definedName name="__tqs90" localSheetId="9">'[17]QRE''s'!$J$100</definedName>
    <definedName name="__tqs90">'[18]QRE''s'!$J$100</definedName>
    <definedName name="__tqs91" localSheetId="9">'[17]QRE''s'!$K$100</definedName>
    <definedName name="__tqs91">'[18]QRE''s'!$K$100</definedName>
    <definedName name="__tqs92" localSheetId="9">'[17]QRE''s'!$L$100</definedName>
    <definedName name="__tqs92">'[18]QRE''s'!$L$100</definedName>
    <definedName name="__tqs93" localSheetId="9">'[17]QRE''s'!$M$100</definedName>
    <definedName name="__tqs93">'[18]QRE''s'!$M$100</definedName>
    <definedName name="__tqs94" localSheetId="9">'[17]QRE''s'!$N$100</definedName>
    <definedName name="__tqs94">'[18]QRE''s'!$N$100</definedName>
    <definedName name="__tqs95" localSheetId="9">'[17]QRE''s'!$O$100</definedName>
    <definedName name="__tqs95">'[18]QRE''s'!$O$100</definedName>
    <definedName name="__tqs96" localSheetId="9">'[17]QRE''s'!$P$100</definedName>
    <definedName name="__tqs96">'[18]QRE''s'!$P$100</definedName>
    <definedName name="__tqs97" localSheetId="9">'[17]QRE''s'!$Q$100</definedName>
    <definedName name="__tqs97">'[18]QRE''s'!$Q$100</definedName>
    <definedName name="__tqs98" localSheetId="9">'[17]QRE''s'!$R$100</definedName>
    <definedName name="__tqs98">'[18]QRE''s'!$R$100</definedName>
    <definedName name="_1__123Graph_ACONTRACT_BY_B_U" localSheetId="9" hidden="1">'[17]QRE Charts'!$D$275:$Q$275</definedName>
    <definedName name="_1__123Graph_ACONTRACT_BY_B_U" hidden="1">'[18]QRE Charts'!$D$275:$Q$275</definedName>
    <definedName name="_10__123Graph_AWAGES_BY_B_U" hidden="1">'[28]QRE Charts'!$D$223:$R$223</definedName>
    <definedName name="_10__123Graph_BQRE_S_BY_TYPE" localSheetId="9" hidden="1">'[17]QRE''s'!$D$100:$R$100</definedName>
    <definedName name="_10__123Graph_BQRE_S_BY_TYPE" hidden="1">'[18]QRE''s'!$D$100:$R$100</definedName>
    <definedName name="_11__123Graph_BCONTRACT_BY_B_U" hidden="1">'[28]QRE Charts'!$D$276:$Q$276</definedName>
    <definedName name="_11__123Graph_BSENS_COMPARISON" localSheetId="9" hidden="1">'[17]QRE Charts'!$E$366:$O$366</definedName>
    <definedName name="_11__123Graph_BSENS_COMPARISON" hidden="1">'[18]QRE Charts'!$E$366:$O$366</definedName>
    <definedName name="_12__123Graph_BQRE_S_BY_CO." hidden="1">'[28]QRE Charts'!$D$302:$R$302</definedName>
    <definedName name="_12__123Graph_BSUPPLIES_BY_B_U" localSheetId="9" hidden="1">'[17]QRE Charts'!$D$250:$Q$250</definedName>
    <definedName name="_12__123Graph_BSUPPLIES_BY_B_U" hidden="1">'[18]QRE Charts'!$D$250:$Q$250</definedName>
    <definedName name="_123Graph_B.1" localSheetId="17" hidden="1">#REF!</definedName>
    <definedName name="_123Graph_B.1" hidden="1">#REF!</definedName>
    <definedName name="_13__123Graph_BQRE_S_BY_TYPE" hidden="1">'[28]QRE''s'!$D$100:$R$100</definedName>
    <definedName name="_13__123Graph_BTAX_CREDIT" localSheetId="9" hidden="1">'[17]QRE Charts'!$E$332:$E$342</definedName>
    <definedName name="_13__123Graph_BTAX_CREDIT" hidden="1">'[18]QRE Charts'!$E$332:$E$342</definedName>
    <definedName name="_14__123Graph_BSENS_COMPARISON" hidden="1">'[28]QRE Charts'!$E$366:$O$366</definedName>
    <definedName name="_14__123Graph_BWAGES_BY_B_U" localSheetId="9" hidden="1">'[17]QRE Charts'!$D$224:$R$224</definedName>
    <definedName name="_14__123Graph_BWAGES_BY_B_U" hidden="1">'[18]QRE Charts'!$D$224:$R$224</definedName>
    <definedName name="_15__123Graph_BSUPPLIES_BY_B_U" hidden="1">'[28]QRE Charts'!$D$250:$Q$250</definedName>
    <definedName name="_15__123Graph_CCONTRACT_BY_B_U" localSheetId="9" hidden="1">'[17]QRE Charts'!$D$277:$Q$277</definedName>
    <definedName name="_15__123Graph_CCONTRACT_BY_B_U" hidden="1">'[18]QRE Charts'!$D$277:$Q$277</definedName>
    <definedName name="_16__123Graph_BTAX_CREDIT" hidden="1">'[28]QRE Charts'!$E$332:$E$342</definedName>
    <definedName name="_16__123Graph_CQRE_S_BY_CO." localSheetId="9" hidden="1">'[17]QRE Charts'!$D$303:$R$303</definedName>
    <definedName name="_16__123Graph_CQRE_S_BY_CO." hidden="1">'[18]QRE Charts'!$D$303:$R$303</definedName>
    <definedName name="_17__123Graph_BWAGES_BY_B_U" hidden="1">'[28]QRE Charts'!$D$224:$R$224</definedName>
    <definedName name="_17__123Graph_CQRE_S_BY_TYPE" localSheetId="9" hidden="1">'[17]QRE''s'!$D$101:$R$101</definedName>
    <definedName name="_17__123Graph_CQRE_S_BY_TYPE" hidden="1">'[18]QRE''s'!$D$101:$R$101</definedName>
    <definedName name="_18__123Graph_CCONTRACT_BY_B_U" hidden="1">'[28]QRE Charts'!$D$277:$Q$277</definedName>
    <definedName name="_18__123Graph_CSENS_COMPARISON" localSheetId="9" hidden="1">'[17]QRE Charts'!$E$367:$O$367</definedName>
    <definedName name="_18__123Graph_CSENS_COMPARISON" hidden="1">'[18]QRE Charts'!$E$367:$O$367</definedName>
    <definedName name="_19__123Graph_CQRE_S_BY_CO." hidden="1">'[28]QRE Charts'!$D$303:$R$303</definedName>
    <definedName name="_19__123Graph_CSUPPLIES_BY_B_U" localSheetId="9" hidden="1">'[17]QRE Charts'!$D$251:$Q$251</definedName>
    <definedName name="_19__123Graph_CSUPPLIES_BY_B_U" hidden="1">'[18]QRE Charts'!$D$251:$Q$251</definedName>
    <definedName name="_1JE220_WP" localSheetId="17">#REF!</definedName>
    <definedName name="_1JE220_WP">#REF!</definedName>
    <definedName name="_1K" localSheetId="21" hidden="1">[29]Masterdata!#REF!</definedName>
    <definedName name="_1K" localSheetId="15" hidden="1">[29]Masterdata!#REF!</definedName>
    <definedName name="_1K" localSheetId="14" hidden="1">[29]Masterdata!#REF!</definedName>
    <definedName name="_1K" localSheetId="20" hidden="1">[29]Masterdata!#REF!</definedName>
    <definedName name="_1K" hidden="1">[29]Masterdata!#REF!</definedName>
    <definedName name="_2__123Graph_AQRE_S_BY_CO." localSheetId="9" hidden="1">'[17]QRE Charts'!$D$301:$R$301</definedName>
    <definedName name="_2__123Graph_AQRE_S_BY_CO." hidden="1">'[18]QRE Charts'!$D$301:$R$301</definedName>
    <definedName name="_20__123Graph_CQRE_S_BY_TYPE" hidden="1">'[28]QRE''s'!$D$101:$R$101</definedName>
    <definedName name="_20__123Graph_CWAGES_BY_B_U" localSheetId="9" hidden="1">'[17]QRE Charts'!$D$225:$R$225</definedName>
    <definedName name="_20__123Graph_CWAGES_BY_B_U" hidden="1">'[18]QRE Charts'!$D$225:$R$225</definedName>
    <definedName name="_21__123Graph_CSENS_COMPARISON" hidden="1">'[28]QRE Charts'!$E$367:$O$367</definedName>
    <definedName name="_21__123Graph_DCONTRACT_BY_B_U" localSheetId="9" hidden="1">'[17]QRE Charts'!$D$278:$Q$278</definedName>
    <definedName name="_21__123Graph_DCONTRACT_BY_B_U" hidden="1">'[18]QRE Charts'!$D$278:$Q$278</definedName>
    <definedName name="_22__123Graph_CSUPPLIES_BY_B_U" hidden="1">'[28]QRE Charts'!$D$251:$Q$251</definedName>
    <definedName name="_22__123Graph_DQRE_S_BY_CO." localSheetId="9" hidden="1">'[17]QRE Charts'!$D$304:$R$304</definedName>
    <definedName name="_22__123Graph_DQRE_S_BY_CO." hidden="1">'[18]QRE Charts'!$D$304:$R$304</definedName>
    <definedName name="_23__123Graph_CWAGES_BY_B_U" hidden="1">'[28]QRE Charts'!$D$225:$R$225</definedName>
    <definedName name="_23__123Graph_DSUPPLIES_BY_B_U" localSheetId="9" hidden="1">'[17]QRE Charts'!$D$252:$Q$252</definedName>
    <definedName name="_23__123Graph_DSUPPLIES_BY_B_U" hidden="1">'[18]QRE Charts'!$D$252:$Q$252</definedName>
    <definedName name="_24__123Graph_DCONTRACT_BY_B_U" hidden="1">'[28]QRE Charts'!$D$278:$Q$278</definedName>
    <definedName name="_24__123Graph_DWAGES_BY_B_U" localSheetId="9" hidden="1">'[17]QRE Charts'!$D$226:$R$226</definedName>
    <definedName name="_24__123Graph_DWAGES_BY_B_U" hidden="1">'[18]QRE Charts'!$D$226:$R$226</definedName>
    <definedName name="_25__123Graph_DQRE_S_BY_CO." hidden="1">'[28]QRE Charts'!$D$304:$R$304</definedName>
    <definedName name="_25__123Graph_ECONTRACT_BY_B_U" localSheetId="9" hidden="1">'[17]QRE Charts'!$D$279:$Q$279</definedName>
    <definedName name="_25__123Graph_ECONTRACT_BY_B_U" hidden="1">'[18]QRE Charts'!$D$279:$Q$279</definedName>
    <definedName name="_26__123Graph_DSUPPLIES_BY_B_U" hidden="1">'[28]QRE Charts'!$D$252:$Q$252</definedName>
    <definedName name="_26__123Graph_EQRE_S_BY_CO." localSheetId="9" hidden="1">'[17]QRE Charts'!$D$305:$R$305</definedName>
    <definedName name="_26__123Graph_EQRE_S_BY_CO." hidden="1">'[18]QRE Charts'!$D$305:$R$305</definedName>
    <definedName name="_27__123Graph_DWAGES_BY_B_U" hidden="1">'[28]QRE Charts'!$D$226:$R$226</definedName>
    <definedName name="_27__123Graph_ESUPPLIES_BY_B_U" localSheetId="9" hidden="1">'[17]QRE Charts'!$D$253:$Q$253</definedName>
    <definedName name="_27__123Graph_ESUPPLIES_BY_B_U" hidden="1">'[18]QRE Charts'!$D$253:$Q$253</definedName>
    <definedName name="_28__123Graph_ECONTRACT_BY_B_U" hidden="1">'[28]QRE Charts'!$D$279:$Q$279</definedName>
    <definedName name="_28__123Graph_EWAGES_BY_B_U" localSheetId="9" hidden="1">'[17]QRE Charts'!$D$227:$R$227</definedName>
    <definedName name="_28__123Graph_EWAGES_BY_B_U" hidden="1">'[18]QRE Charts'!$D$227:$R$227</definedName>
    <definedName name="_29__123Graph_EQRE_S_BY_CO." hidden="1">'[28]QRE Charts'!$D$305:$R$305</definedName>
    <definedName name="_29__123Graph_FCONTRACT_BY_B_U" localSheetId="9" hidden="1">'[17]QRE Charts'!$D$280:$Q$280</definedName>
    <definedName name="_29__123Graph_FCONTRACT_BY_B_U" hidden="1">'[18]QRE Charts'!$D$280:$Q$280</definedName>
    <definedName name="_2JE220_WP" localSheetId="17">#REF!</definedName>
    <definedName name="_2JE220_WP">#REF!</definedName>
    <definedName name="_2K" localSheetId="21" hidden="1">[29]Masterdata!#REF!</definedName>
    <definedName name="_2K" localSheetId="15" hidden="1">[29]Masterdata!#REF!</definedName>
    <definedName name="_2K" localSheetId="14" hidden="1">[29]Masterdata!#REF!</definedName>
    <definedName name="_2K" localSheetId="20" hidden="1">[29]Masterdata!#REF!</definedName>
    <definedName name="_2K" hidden="1">[29]Masterdata!#REF!</definedName>
    <definedName name="_2QTR" localSheetId="17">#REF!</definedName>
    <definedName name="_2QTR">#REF!</definedName>
    <definedName name="_2S" localSheetId="21" hidden="1">[29]Masterdata!#REF!</definedName>
    <definedName name="_2S" localSheetId="15" hidden="1">[29]Masterdata!#REF!</definedName>
    <definedName name="_2S" localSheetId="14" hidden="1">[29]Masterdata!#REF!</definedName>
    <definedName name="_2S" localSheetId="20" hidden="1">[29]Masterdata!#REF!</definedName>
    <definedName name="_2S" hidden="1">[29]Masterdata!#REF!</definedName>
    <definedName name="_3_" localSheetId="17">[2]IS!#REF!</definedName>
    <definedName name="_3_">[2]IS!#REF!</definedName>
    <definedName name="_3__123Graph_AQRE_S_BY_TYPE" localSheetId="9" hidden="1">'[17]QRE''s'!$D$99:$R$99</definedName>
    <definedName name="_3__123Graph_AQRE_S_BY_TYPE" hidden="1">'[18]QRE''s'!$D$99:$R$99</definedName>
    <definedName name="_30__123Graph_ESUPPLIES_BY_B_U" hidden="1">'[28]QRE Charts'!$D$253:$Q$253</definedName>
    <definedName name="_30__123Graph_FQRE_S_BY_CO." localSheetId="9" hidden="1">'[17]QRE Charts'!$D$306:$R$306</definedName>
    <definedName name="_30__123Graph_FQRE_S_BY_CO." hidden="1">'[18]QRE Charts'!$D$306:$R$306</definedName>
    <definedName name="_31__123Graph_EWAGES_BY_B_U" hidden="1">'[28]QRE Charts'!$D$227:$R$227</definedName>
    <definedName name="_31__123Graph_FSUPPLIES_BY_B_U" localSheetId="9" hidden="1">'[17]QRE Charts'!$D$254:$Q$254</definedName>
    <definedName name="_31__123Graph_FSUPPLIES_BY_B_U" hidden="1">'[18]QRE Charts'!$D$254:$Q$254</definedName>
    <definedName name="_32__123Graph_FCONTRACT_BY_B_U" hidden="1">'[28]QRE Charts'!$D$280:$Q$280</definedName>
    <definedName name="_32__123Graph_FWAGES_BY_B_U" localSheetId="9" hidden="1">'[17]QRE Charts'!$D$228:$R$228</definedName>
    <definedName name="_32__123Graph_FWAGES_BY_B_U" hidden="1">'[18]QRE Charts'!$D$228:$R$228</definedName>
    <definedName name="_33__123Graph_FQRE_S_BY_CO." hidden="1">'[28]QRE Charts'!$D$306:$R$306</definedName>
    <definedName name="_33__123Graph_XCONTRACT_BY_B_U" localSheetId="9" hidden="1">'[17]QRE Charts'!$D$222:$R$222</definedName>
    <definedName name="_33__123Graph_XCONTRACT_BY_B_U" hidden="1">'[18]QRE Charts'!$D$222:$R$222</definedName>
    <definedName name="_34__123Graph_FSUPPLIES_BY_B_U" hidden="1">'[28]QRE Charts'!$D$254:$Q$254</definedName>
    <definedName name="_34__123Graph_XQRE_S_BY_CO." localSheetId="9" hidden="1">'[17]QRE Charts'!$D$222:$R$222</definedName>
    <definedName name="_34__123Graph_XQRE_S_BY_CO." hidden="1">'[18]QRE Charts'!$D$222:$R$222</definedName>
    <definedName name="_35__123Graph_FWAGES_BY_B_U" hidden="1">'[28]QRE Charts'!$D$228:$R$228</definedName>
    <definedName name="_35__123Graph_XQRE_S_BY_TYPE" localSheetId="9" hidden="1">'[17]QRE Charts'!$D$222:$R$222</definedName>
    <definedName name="_35__123Graph_XQRE_S_BY_TYPE" hidden="1">'[18]QRE Charts'!$D$222:$R$222</definedName>
    <definedName name="_36__123Graph_XCONTRACT_BY_B_U" hidden="1">'[28]QRE Charts'!$D$222:$R$222</definedName>
    <definedName name="_36__123Graph_XSUPPLIES_BY_B_U" localSheetId="9" hidden="1">'[17]QRE Charts'!$D$222:$R$222</definedName>
    <definedName name="_36__123Graph_XSUPPLIES_BY_B_U" hidden="1">'[18]QRE Charts'!$D$222:$R$222</definedName>
    <definedName name="_37__123Graph_XQRE_S_BY_CO." hidden="1">'[28]QRE Charts'!$D$222:$R$222</definedName>
    <definedName name="_37__123Graph_XTAX_CREDIT" localSheetId="9" hidden="1">'[17]QRE Charts'!$C$332:$C$342</definedName>
    <definedName name="_37__123Graph_XTAX_CREDIT" hidden="1">'[18]QRE Charts'!$C$332:$C$342</definedName>
    <definedName name="_38__123Graph_XQRE_S_BY_TYPE" hidden="1">'[28]QRE Charts'!$D$222:$R$222</definedName>
    <definedName name="_39__123Graph_XSUPPLIES_BY_B_U" hidden="1">'[28]QRE Charts'!$D$222:$R$222</definedName>
    <definedName name="_4__123Graph_ACONTRACT_BY_B_U" hidden="1">'[28]QRE Charts'!$D$275:$Q$275</definedName>
    <definedName name="_4__123Graph_ASENS_COMPARISON" localSheetId="9" hidden="1">'[17]QRE Charts'!$E$365:$O$365</definedName>
    <definedName name="_4__123Graph_ASENS_COMPARISON" hidden="1">'[18]QRE Charts'!$E$365:$O$365</definedName>
    <definedName name="_40__123Graph_XTAX_CREDIT" hidden="1">'[28]QRE Charts'!$C$332:$C$342</definedName>
    <definedName name="_4JE220_WP" localSheetId="17">#REF!</definedName>
    <definedName name="_4JE220_WP">#REF!</definedName>
    <definedName name="_4S" localSheetId="21" hidden="1">[29]Masterdata!#REF!</definedName>
    <definedName name="_4S" localSheetId="15" hidden="1">[29]Masterdata!#REF!</definedName>
    <definedName name="_4S" localSheetId="14" hidden="1">[29]Masterdata!#REF!</definedName>
    <definedName name="_4S" localSheetId="20" hidden="1">[29]Masterdata!#REF!</definedName>
    <definedName name="_4S" hidden="1">[29]Masterdata!#REF!</definedName>
    <definedName name="_5__123Graph_AQRE_S_BY_CO." hidden="1">'[28]QRE Charts'!$D$301:$R$301</definedName>
    <definedName name="_5__123Graph_ASUPPLIES_BY_B_U" localSheetId="9" hidden="1">'[17]QRE Charts'!$D$249:$Q$249</definedName>
    <definedName name="_5__123Graph_ASUPPLIES_BY_B_U" hidden="1">'[18]QRE Charts'!$D$249:$Q$249</definedName>
    <definedName name="_6__123Graph_AQRE_S_BY_TYPE" hidden="1">'[28]QRE''s'!$D$99:$R$99</definedName>
    <definedName name="_6__123Graph_ATAX_CREDIT" localSheetId="9" hidden="1">'[17]QRE Charts'!$D$332:$D$342</definedName>
    <definedName name="_6__123Graph_ATAX_CREDIT" hidden="1">'[18]QRE Charts'!$D$332:$D$342</definedName>
    <definedName name="_6501" localSheetId="17">#REF!</definedName>
    <definedName name="_6501">#REF!</definedName>
    <definedName name="_6532" localSheetId="17">#REF!</definedName>
    <definedName name="_6532">#REF!</definedName>
    <definedName name="_6533">#REF!</definedName>
    <definedName name="_6540">#REF!</definedName>
    <definedName name="_6543">#REF!</definedName>
    <definedName name="_6546">#REF!</definedName>
    <definedName name="_7__123Graph_ASENS_COMPARISON" hidden="1">'[28]QRE Charts'!$E$365:$O$365</definedName>
    <definedName name="_7__123Graph_AWAGES_BY_B_U" localSheetId="9" hidden="1">'[17]QRE Charts'!$D$223:$R$223</definedName>
    <definedName name="_7__123Graph_AWAGES_BY_B_U" hidden="1">'[18]QRE Charts'!$D$223:$R$223</definedName>
    <definedName name="_8__123Graph_ASUPPLIES_BY_B_U" hidden="1">'[28]QRE Charts'!$D$249:$Q$249</definedName>
    <definedName name="_8__123Graph_BCONTRACT_BY_B_U" localSheetId="9" hidden="1">'[17]QRE Charts'!$D$276:$Q$276</definedName>
    <definedName name="_8__123Graph_BCONTRACT_BY_B_U" hidden="1">'[18]QRE Charts'!$D$276:$Q$276</definedName>
    <definedName name="_84_PHASE1" localSheetId="9">[17]Comparison!$E$9:$E$165</definedName>
    <definedName name="_84_PHASE1">[18]Comparison!$E$9:$E$165</definedName>
    <definedName name="_85_PHASE1" localSheetId="9">[17]Comparison!$I$9:$I$165</definedName>
    <definedName name="_85_PHASE1">[18]Comparison!$I$9:$I$165</definedName>
    <definedName name="_86_PHASE1" localSheetId="9">[17]Comparison!$M$9:$M$165</definedName>
    <definedName name="_86_PHASE1">[18]Comparison!$M$9:$M$165</definedName>
    <definedName name="_87_PHASE1" localSheetId="9">[17]Comparison!$Q$9:$Q$165</definedName>
    <definedName name="_87_PHASE1">[18]Comparison!$Q$9:$Q$165</definedName>
    <definedName name="_88_PHASE1" localSheetId="9">[17]Comparison!$U$9:$U$165</definedName>
    <definedName name="_88_PHASE1">[18]Comparison!$U$9:$U$165</definedName>
    <definedName name="_88TOTALS" localSheetId="17">#REF!</definedName>
    <definedName name="_88TOTALS">#REF!</definedName>
    <definedName name="_89_PHASE1" localSheetId="9">[17]Comparison!$AD$9:$AD$165</definedName>
    <definedName name="_89_PHASE1">[18]Comparison!$AD$9:$AD$165</definedName>
    <definedName name="_9__123Graph_ATAX_CREDIT" hidden="1">'[28]QRE Charts'!$D$332:$D$342</definedName>
    <definedName name="_9__123Graph_BQRE_S_BY_CO." localSheetId="9" hidden="1">'[17]QRE Charts'!$D$302:$R$302</definedName>
    <definedName name="_9__123Graph_BQRE_S_BY_CO." hidden="1">'[18]QRE Charts'!$D$302:$R$302</definedName>
    <definedName name="_90_PHASE1" localSheetId="9">[17]Comparison!$AH$9:$AH$165</definedName>
    <definedName name="_90_PHASE1">[18]Comparison!$AH$9:$AH$165</definedName>
    <definedName name="_91_PHASE1" localSheetId="9">[17]Comparison!$AL$9:$AL$165</definedName>
    <definedName name="_91_PHASE1">[18]Comparison!$AL$9:$AL$165</definedName>
    <definedName name="_92_PHASE1" localSheetId="9">[17]Comparison!$AP$9:$AP$165</definedName>
    <definedName name="_92_PHASE1">[18]Comparison!$AP$9:$AP$165</definedName>
    <definedName name="_93_PHASE1" localSheetId="9">[17]Comparison!$AT$9:$AT$165</definedName>
    <definedName name="_93_PHASE1">[18]Comparison!$AT$9:$AT$165</definedName>
    <definedName name="_94_PHASE1" localSheetId="9">[17]Comparison!$AX$9:$AX$165</definedName>
    <definedName name="_94_PHASE1">[18]Comparison!$AX$9:$AX$165</definedName>
    <definedName name="_95_PHASE1" localSheetId="9">[17]Comparison!$BB$9:$BB$165</definedName>
    <definedName name="_95_PHASE1">[18]Comparison!$BB$9:$BB$165</definedName>
    <definedName name="_96_PHASE1" localSheetId="9">[17]Comparison!$BF$9:$BF$165</definedName>
    <definedName name="_96_PHASE1">[18]Comparison!$BF$9:$BF$165</definedName>
    <definedName name="_97_PHASE1" localSheetId="9">[17]Comparison!$BJ$9:$BJ$165</definedName>
    <definedName name="_97_PHASE1">[18]Comparison!$BJ$9:$BJ$165</definedName>
    <definedName name="_98_PHASE1" localSheetId="9">[17]Comparison!$BN$9:$BN$165</definedName>
    <definedName name="_98_PHASE1">[18]Comparison!$BN$9:$BN$165</definedName>
    <definedName name="_agr100101" localSheetId="17">#REF!</definedName>
    <definedName name="_agr100101">#REF!</definedName>
    <definedName name="_agr100102" localSheetId="17">#REF!</definedName>
    <definedName name="_agr100102">#REF!</definedName>
    <definedName name="_agr100103" localSheetId="17">#REF!</definedName>
    <definedName name="_agr100103">#REF!</definedName>
    <definedName name="_agr101102">#REF!</definedName>
    <definedName name="_agr101103">#REF!</definedName>
    <definedName name="_agr102103">#REF!</definedName>
    <definedName name="_agr8590">#REF!</definedName>
    <definedName name="_agr8690" localSheetId="9">[17]Model!$I$58</definedName>
    <definedName name="_agr8690">[18]Model!$I$58</definedName>
    <definedName name="_agr8691" localSheetId="17">#REF!</definedName>
    <definedName name="_agr8691">#REF!</definedName>
    <definedName name="_agr8790" localSheetId="9">[17]Model!$I$59</definedName>
    <definedName name="_agr8790">[18]Model!$I$59</definedName>
    <definedName name="_agr8791" localSheetId="9">[17]Model!$J$59</definedName>
    <definedName name="_agr8791">[18]Model!$J$59</definedName>
    <definedName name="_agr8792" localSheetId="17">#REF!</definedName>
    <definedName name="_agr8792">#REF!</definedName>
    <definedName name="_agr8890" localSheetId="9">[17]Model!$I$60</definedName>
    <definedName name="_agr8890">[18]Model!$I$60</definedName>
    <definedName name="_agr8891" localSheetId="9">[17]Model!$J$60</definedName>
    <definedName name="_agr8891">[18]Model!$J$60</definedName>
    <definedName name="_agr8892" localSheetId="9">[17]Model!$K$60</definedName>
    <definedName name="_agr8892">[18]Model!$K$60</definedName>
    <definedName name="_agr8893" localSheetId="17">#REF!</definedName>
    <definedName name="_agr8893">#REF!</definedName>
    <definedName name="_agr8990" localSheetId="9">[17]Model!$I$61</definedName>
    <definedName name="_agr8990">[18]Model!$I$61</definedName>
    <definedName name="_agr8991" localSheetId="9">[17]Model!$J$61</definedName>
    <definedName name="_agr8991">[18]Model!$J$61</definedName>
    <definedName name="_agr8992" localSheetId="9">[17]Model!$K$61</definedName>
    <definedName name="_agr8992">[18]Model!$K$61</definedName>
    <definedName name="_agr8993" localSheetId="9">[17]Model!$L$61</definedName>
    <definedName name="_agr8993">[18]Model!$L$61</definedName>
    <definedName name="_agr8994" localSheetId="17">#REF!</definedName>
    <definedName name="_agr8994">#REF!</definedName>
    <definedName name="_agr9091" localSheetId="9">[17]Model!$J$62</definedName>
    <definedName name="_agr9091">[18]Model!$J$62</definedName>
    <definedName name="_agr9092" localSheetId="9">[17]Model!$K$62</definedName>
    <definedName name="_agr9092">[18]Model!$K$62</definedName>
    <definedName name="_agr9093" localSheetId="9">[17]Model!$L$62</definedName>
    <definedName name="_agr9093">[18]Model!$L$62</definedName>
    <definedName name="_agr9094" localSheetId="9">[17]Model!$M$62</definedName>
    <definedName name="_agr9094">[18]Model!$M$62</definedName>
    <definedName name="_agr9095" localSheetId="17">#REF!</definedName>
    <definedName name="_agr9095">#REF!</definedName>
    <definedName name="_agr9192" localSheetId="9">[17]Model!$K$63</definedName>
    <definedName name="_agr9192">[18]Model!$K$63</definedName>
    <definedName name="_agr9193" localSheetId="9">[17]Model!$L$63</definedName>
    <definedName name="_agr9193">[18]Model!$L$63</definedName>
    <definedName name="_agr9194" localSheetId="9">[17]Model!$M$63</definedName>
    <definedName name="_agr9194">[18]Model!$M$63</definedName>
    <definedName name="_agr9195" localSheetId="9">[17]Model!$N$63</definedName>
    <definedName name="_agr9195">[18]Model!$N$63</definedName>
    <definedName name="_agr9196" localSheetId="17">#REF!</definedName>
    <definedName name="_agr9196">#REF!</definedName>
    <definedName name="_agr9293" localSheetId="9">[17]Model!$L$64</definedName>
    <definedName name="_agr9293">[18]Model!$L$64</definedName>
    <definedName name="_agr9294" localSheetId="9">[17]Model!$M$64</definedName>
    <definedName name="_agr9294">[18]Model!$M$64</definedName>
    <definedName name="_agr9295" localSheetId="9">[17]Model!$N$64</definedName>
    <definedName name="_agr9295">[18]Model!$N$64</definedName>
    <definedName name="_agr9296" localSheetId="9">[17]Model!$O$64</definedName>
    <definedName name="_agr9296">[18]Model!$O$64</definedName>
    <definedName name="_agr9297" localSheetId="17">#REF!</definedName>
    <definedName name="_agr9297">#REF!</definedName>
    <definedName name="_agr9394" localSheetId="9">[17]Model!$M$65</definedName>
    <definedName name="_agr9394">[18]Model!$M$65</definedName>
    <definedName name="_agr9395" localSheetId="9">[17]Model!$N$65</definedName>
    <definedName name="_agr9395">[18]Model!$N$65</definedName>
    <definedName name="_agr9396" localSheetId="9">[17]Model!$O$65</definedName>
    <definedName name="_agr9396">[18]Model!$O$65</definedName>
    <definedName name="_agr9397" localSheetId="9">[17]Model!$P$65</definedName>
    <definedName name="_agr9397">[18]Model!$P$65</definedName>
    <definedName name="_agr9398" localSheetId="17">#REF!</definedName>
    <definedName name="_agr9398">#REF!</definedName>
    <definedName name="_agr9495" localSheetId="9">[17]Model!$N$66</definedName>
    <definedName name="_agr9495">[18]Model!$N$66</definedName>
    <definedName name="_agr9496" localSheetId="9">[17]Model!$O$66</definedName>
    <definedName name="_agr9496">[18]Model!$O$66</definedName>
    <definedName name="_agr9497" localSheetId="9">[17]Model!$P$66</definedName>
    <definedName name="_agr9497">[18]Model!$P$66</definedName>
    <definedName name="_agr9498" localSheetId="9">[17]Model!$Q$66</definedName>
    <definedName name="_agr9498">[18]Model!$Q$66</definedName>
    <definedName name="_agr9499" localSheetId="17">#REF!</definedName>
    <definedName name="_agr9499">#REF!</definedName>
    <definedName name="_agr95100" localSheetId="17">#REF!</definedName>
    <definedName name="_agr95100">#REF!</definedName>
    <definedName name="_agr9596" localSheetId="9">[17]Model!$O$67</definedName>
    <definedName name="_agr9596">[18]Model!$O$67</definedName>
    <definedName name="_agr9597" localSheetId="9">[17]Model!$P$67</definedName>
    <definedName name="_agr9597">[18]Model!$P$67</definedName>
    <definedName name="_agr9598" localSheetId="9">[17]Model!$Q$67</definedName>
    <definedName name="_agr9598">[18]Model!$Q$67</definedName>
    <definedName name="_agr9599" localSheetId="17">#REF!</definedName>
    <definedName name="_agr9599">#REF!</definedName>
    <definedName name="_agr96100" localSheetId="17">#REF!</definedName>
    <definedName name="_agr96100">#REF!</definedName>
    <definedName name="_agr96101" localSheetId="17">#REF!</definedName>
    <definedName name="_agr96101">#REF!</definedName>
    <definedName name="_agr9697" localSheetId="9">[17]Model!$P$68</definedName>
    <definedName name="_agr9697">[18]Model!$P$68</definedName>
    <definedName name="_agr9698" localSheetId="9">[17]Model!$Q$68</definedName>
    <definedName name="_agr9698">[18]Model!$Q$68</definedName>
    <definedName name="_agr9699" localSheetId="17">#REF!</definedName>
    <definedName name="_agr9699">#REF!</definedName>
    <definedName name="_agr97100" localSheetId="17">#REF!</definedName>
    <definedName name="_agr97100">#REF!</definedName>
    <definedName name="_agr97101" localSheetId="17">#REF!</definedName>
    <definedName name="_agr97101">#REF!</definedName>
    <definedName name="_agr97102">#REF!</definedName>
    <definedName name="_agr9798" localSheetId="9">[17]Model!$Q$69</definedName>
    <definedName name="_agr9798">[18]Model!$Q$69</definedName>
    <definedName name="_agr9799" localSheetId="17">#REF!</definedName>
    <definedName name="_agr9799">#REF!</definedName>
    <definedName name="_agr98100" localSheetId="17">#REF!</definedName>
    <definedName name="_agr98100">#REF!</definedName>
    <definedName name="_agr98101" localSheetId="17">#REF!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'[6]Cost Center List'!#REF!</definedName>
    <definedName name="_DAT10" localSheetId="17">#REF!</definedName>
    <definedName name="_DAT10">#REF!</definedName>
    <definedName name="_DAT11" localSheetId="17">#REF!</definedName>
    <definedName name="_DAT11">#REF!</definedName>
    <definedName name="_dat1111" localSheetId="9">[11]Sheet1!$G$2:$G$29</definedName>
    <definedName name="_dat1111">[12]Sheet1!$G$2:$G$29</definedName>
    <definedName name="_DAT12" localSheetId="17">#REF!</definedName>
    <definedName name="_DAT12">#REF!</definedName>
    <definedName name="_DAT13" localSheetId="17">#REF!</definedName>
    <definedName name="_DAT13">#REF!</definedName>
    <definedName name="_DAT14" localSheetId="17">#REF!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 localSheetId="17">#REF!</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9" hidden="1">{#N/A,#N/A,FALSE,"EMPPAY"}</definedName>
    <definedName name="_FEB01" localSheetId="15" hidden="1">{#N/A,#N/A,FALSE,"EMPPAY"}</definedName>
    <definedName name="_FEB01" localSheetId="16" hidden="1">{#N/A,#N/A,FALSE,"EMPPAY"}</definedName>
    <definedName name="_FEB01" localSheetId="14" hidden="1">{#N/A,#N/A,FALSE,"EMPPAY"}</definedName>
    <definedName name="_FEB01" localSheetId="17" hidden="1">{#N/A,#N/A,FALSE,"EMPPAY"}</definedName>
    <definedName name="_FEB01" hidden="1">{#N/A,#N/A,FALSE,"EMPPAY"}</definedName>
    <definedName name="_FED179">[30]DEPR96!#REF!</definedName>
    <definedName name="_Fill" localSheetId="21" hidden="1">#REF!</definedName>
    <definedName name="_Fill" localSheetId="15" hidden="1">#REF!</definedName>
    <definedName name="_Fill" localSheetId="14" hidden="1">#REF!</definedName>
    <definedName name="_Fill" localSheetId="17"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ROE'!$A$1:$I$323</definedName>
    <definedName name="_xlnm._FilterDatabase" localSheetId="0" hidden="1">'ATT H-3D'!$A$1:$H$395</definedName>
    <definedName name="_gas2" localSheetId="17">#REF!</definedName>
    <definedName name="_gas2">#REF!</definedName>
    <definedName name="_gas2006" localSheetId="17">#REF!</definedName>
    <definedName name="_gas2006">#REF!</definedName>
    <definedName name="_H1" localSheetId="9">{"'Metretek HTML'!$A$7:$W$42"}</definedName>
    <definedName name="_H1" localSheetId="15">{"'Metretek HTML'!$A$7:$W$42"}</definedName>
    <definedName name="_H1" localSheetId="16">{"'Metretek HTML'!$A$7:$W$42"}</definedName>
    <definedName name="_H1" localSheetId="17">{"'Metretek HTML'!$A$7:$W$42"}</definedName>
    <definedName name="_H1">{"'Metretek HTML'!$A$7:$W$42"}</definedName>
    <definedName name="_JAN01" localSheetId="21" hidden="1">{#N/A,#N/A,FALSE,"EMPPAY"}</definedName>
    <definedName name="_JAN01" localSheetId="9" hidden="1">{#N/A,#N/A,FALSE,"EMPPAY"}</definedName>
    <definedName name="_JAN01" localSheetId="15" hidden="1">{#N/A,#N/A,FALSE,"EMPPAY"}</definedName>
    <definedName name="_JAN01" localSheetId="16" hidden="1">{#N/A,#N/A,FALSE,"EMPPAY"}</definedName>
    <definedName name="_JAN01" localSheetId="14" hidden="1">{#N/A,#N/A,FALSE,"EMPPAY"}</definedName>
    <definedName name="_JAN01" localSheetId="17" hidden="1">{#N/A,#N/A,FALSE,"EMPPAY"}</definedName>
    <definedName name="_JAN01" hidden="1">{#N/A,#N/A,FALSE,"EMPPAY"}</definedName>
    <definedName name="_JAN2001" localSheetId="21" hidden="1">{#N/A,#N/A,FALSE,"EMPPAY"}</definedName>
    <definedName name="_JAN2001" localSheetId="9"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localSheetId="17" hidden="1">{#N/A,#N/A,FALSE,"EMPPAY"}</definedName>
    <definedName name="_JAN2001" hidden="1">{#N/A,#N/A,FALSE,"EMPPAY"}</definedName>
    <definedName name="_je1" localSheetId="17">#REF!</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 localSheetId="9">'[21]JE 120 Jan-Nov Facesheet'!#REF!</definedName>
    <definedName name="_je2">'[22]JE 120 Jan-Nov Facesheet'!#REF!</definedName>
    <definedName name="_JE220" localSheetId="17">#REF!</definedName>
    <definedName name="_JE220">#REF!</definedName>
    <definedName name="_JE230" localSheetId="17">#REF!</definedName>
    <definedName name="_JE230">#REF!</definedName>
    <definedName name="_JE234" localSheetId="17">#REF!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'[31]Wage SPG 99'!#REF!</definedName>
    <definedName name="_Key1" hidden="1">'[31]Wage SPG 99'!#REF!</definedName>
    <definedName name="_Key2" localSheetId="20" hidden="1">'[31]Wage SPG 99'!#REF!</definedName>
    <definedName name="_Key2" hidden="1">'[31]Wage SPG 99'!#REF!</definedName>
    <definedName name="_MatInverse_In" localSheetId="17" hidden="1">#REF!</definedName>
    <definedName name="_MatInverse_In" hidden="1">#REF!</definedName>
    <definedName name="_MatInverse_Out" localSheetId="17" hidden="1">#REF!</definedName>
    <definedName name="_MatInverse_Out" hidden="1">#REF!</definedName>
    <definedName name="_MatMult_A" localSheetId="17" hidden="1">#REF!</definedName>
    <definedName name="_MatMult_A" hidden="1">#REF!</definedName>
    <definedName name="_MatMult_AxB" hidden="1">#REF!</definedName>
    <definedName name="_MatMult_B" hidden="1">#REF!</definedName>
    <definedName name="_New2" localSheetId="17">#REF!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 localSheetId="9">'[17]QRE''s'!$D$1:$D$65536</definedName>
    <definedName name="_qre84">'[18]QRE''s'!$D$1:$D$65536</definedName>
    <definedName name="_qre84100" localSheetId="17">#REF!</definedName>
    <definedName name="_qre84100">#REF!</definedName>
    <definedName name="_qre84101" localSheetId="17">#REF!</definedName>
    <definedName name="_qre84101">#REF!</definedName>
    <definedName name="_qre84102" localSheetId="17">#REF!</definedName>
    <definedName name="_qre84102">#REF!</definedName>
    <definedName name="_qre84103">#REF!</definedName>
    <definedName name="_qre8490" localSheetId="9">[17]Model!$I$126</definedName>
    <definedName name="_qre8490">[18]Model!$I$126</definedName>
    <definedName name="_qre8491" localSheetId="9">[17]Model!$J$126</definedName>
    <definedName name="_qre8491">[18]Model!$J$126</definedName>
    <definedName name="_qre8492" localSheetId="9">[17]Model!$K$126</definedName>
    <definedName name="_qre8492">[18]Model!$K$126</definedName>
    <definedName name="_qre8493" localSheetId="9">[17]Model!$L$126</definedName>
    <definedName name="_qre8493">[18]Model!$L$126</definedName>
    <definedName name="_qre8494" localSheetId="9">[17]Model!$M$126</definedName>
    <definedName name="_qre8494">[18]Model!$M$126</definedName>
    <definedName name="_qre8495" localSheetId="9">[17]Model!$N$126</definedName>
    <definedName name="_qre8495">[18]Model!$N$126</definedName>
    <definedName name="_qre8496" localSheetId="9">[17]Model!$O$126</definedName>
    <definedName name="_qre8496">[18]Model!$O$126</definedName>
    <definedName name="_qre8497" localSheetId="9">[17]Model!$P$126</definedName>
    <definedName name="_qre8497">[18]Model!$P$126</definedName>
    <definedName name="_qre8498" localSheetId="9">[17]Model!$Q$126</definedName>
    <definedName name="_qre8498">[18]Model!$Q$126</definedName>
    <definedName name="_qre8499" localSheetId="17">#REF!</definedName>
    <definedName name="_qre8499">#REF!</definedName>
    <definedName name="_qre85" localSheetId="9">'[17]QRE''s'!$E$1:$E$65536</definedName>
    <definedName name="_qre85">'[18]QRE''s'!$E$1:$E$65536</definedName>
    <definedName name="_qre85100" localSheetId="17">#REF!</definedName>
    <definedName name="_qre85100">#REF!</definedName>
    <definedName name="_qre85101" localSheetId="17">#REF!</definedName>
    <definedName name="_qre85101">#REF!</definedName>
    <definedName name="_qre85102" localSheetId="17">#REF!</definedName>
    <definedName name="_qre85102">#REF!</definedName>
    <definedName name="_qre85103">#REF!</definedName>
    <definedName name="_qre8590" localSheetId="9">[17]Model!$I$127</definedName>
    <definedName name="_qre8590">[18]Model!$I$127</definedName>
    <definedName name="_qre8591" localSheetId="9">[17]Model!$J$127</definedName>
    <definedName name="_qre8591">[18]Model!$J$127</definedName>
    <definedName name="_qre8592" localSheetId="9">[17]Model!$K$127</definedName>
    <definedName name="_qre8592">[18]Model!$K$127</definedName>
    <definedName name="_qre8593" localSheetId="9">[17]Model!$L$127</definedName>
    <definedName name="_qre8593">[18]Model!$L$127</definedName>
    <definedName name="_qre8594" localSheetId="9">[17]Model!$M$127</definedName>
    <definedName name="_qre8594">[18]Model!$M$127</definedName>
    <definedName name="_qre8595" localSheetId="9">[17]Model!$N$127</definedName>
    <definedName name="_qre8595">[18]Model!$N$127</definedName>
    <definedName name="_qre8596" localSheetId="9">[17]Model!$O$127</definedName>
    <definedName name="_qre8596">[18]Model!$O$127</definedName>
    <definedName name="_qre8597" localSheetId="9">[17]Model!$P$127</definedName>
    <definedName name="_qre8597">[18]Model!$P$127</definedName>
    <definedName name="_qre8598" localSheetId="9">[17]Model!$Q$127</definedName>
    <definedName name="_qre8598">[18]Model!$Q$127</definedName>
    <definedName name="_qre8599" localSheetId="17">#REF!</definedName>
    <definedName name="_qre8599">#REF!</definedName>
    <definedName name="_qre86" localSheetId="9">'[17]QRE''s'!$F$1:$F$65536</definedName>
    <definedName name="_qre86">'[18]QRE''s'!$F$1:$F$65536</definedName>
    <definedName name="_qre86100" localSheetId="17">#REF!</definedName>
    <definedName name="_qre86100">#REF!</definedName>
    <definedName name="_qre86101" localSheetId="17">#REF!</definedName>
    <definedName name="_qre86101">#REF!</definedName>
    <definedName name="_qre86102" localSheetId="17">#REF!</definedName>
    <definedName name="_qre86102">#REF!</definedName>
    <definedName name="_qre86103">#REF!</definedName>
    <definedName name="_qre8690" localSheetId="9">[17]Model!$I$128</definedName>
    <definedName name="_qre8690">[18]Model!$I$128</definedName>
    <definedName name="_qre8691" localSheetId="9">[17]Model!$J$128</definedName>
    <definedName name="_qre8691">[18]Model!$J$128</definedName>
    <definedName name="_qre8692" localSheetId="9">[17]Model!$K$128</definedName>
    <definedName name="_qre8692">[18]Model!$K$128</definedName>
    <definedName name="_qre8693" localSheetId="9">[17]Model!$L$128</definedName>
    <definedName name="_qre8693">[18]Model!$L$128</definedName>
    <definedName name="_qre8694" localSheetId="9">[17]Model!$M$128</definedName>
    <definedName name="_qre8694">[18]Model!$M$128</definedName>
    <definedName name="_qre8695" localSheetId="9">[17]Model!$N$128</definedName>
    <definedName name="_qre8695">[18]Model!$N$128</definedName>
    <definedName name="_qre8696" localSheetId="9">[17]Model!$O$128</definedName>
    <definedName name="_qre8696">[18]Model!$O$128</definedName>
    <definedName name="_qre8697" localSheetId="9">[17]Model!$P$128</definedName>
    <definedName name="_qre8697">[18]Model!$P$128</definedName>
    <definedName name="_qre8698" localSheetId="9">[17]Model!$Q$128</definedName>
    <definedName name="_qre8698">[18]Model!$Q$128</definedName>
    <definedName name="_qre8699" localSheetId="17">#REF!</definedName>
    <definedName name="_qre8699">#REF!</definedName>
    <definedName name="_qre87" localSheetId="9">'[17]QRE''s'!$G$1:$G$65536</definedName>
    <definedName name="_qre87">'[18]QRE''s'!$G$1:$G$65536</definedName>
    <definedName name="_qre87100" localSheetId="17">#REF!</definedName>
    <definedName name="_qre87100">#REF!</definedName>
    <definedName name="_qre87101" localSheetId="17">#REF!</definedName>
    <definedName name="_qre87101">#REF!</definedName>
    <definedName name="_qre87102" localSheetId="17">#REF!</definedName>
    <definedName name="_qre87102">#REF!</definedName>
    <definedName name="_qre87103">#REF!</definedName>
    <definedName name="_qre8790" localSheetId="9">[17]Model!$I$129</definedName>
    <definedName name="_qre8790">[18]Model!$I$129</definedName>
    <definedName name="_qre8791" localSheetId="9">[17]Model!$J$129</definedName>
    <definedName name="_qre8791">[18]Model!$J$129</definedName>
    <definedName name="_qre8792" localSheetId="9">[17]Model!$K$129</definedName>
    <definedName name="_qre8792">[18]Model!$K$129</definedName>
    <definedName name="_qre8793" localSheetId="9">[17]Model!$L$129</definedName>
    <definedName name="_qre8793">[18]Model!$L$129</definedName>
    <definedName name="_qre8794" localSheetId="9">[17]Model!$M$129</definedName>
    <definedName name="_qre8794">[18]Model!$M$129</definedName>
    <definedName name="_qre8795" localSheetId="9">[17]Model!$N$129</definedName>
    <definedName name="_qre8795">[18]Model!$N$129</definedName>
    <definedName name="_qre8796" localSheetId="9">[17]Model!$O$129</definedName>
    <definedName name="_qre8796">[18]Model!$O$129</definedName>
    <definedName name="_qre8797" localSheetId="9">[17]Model!$P$129</definedName>
    <definedName name="_qre8797">[18]Model!$P$129</definedName>
    <definedName name="_qre8798" localSheetId="9">[17]Model!$Q$129</definedName>
    <definedName name="_qre8798">[18]Model!$Q$129</definedName>
    <definedName name="_qre8799" localSheetId="17">#REF!</definedName>
    <definedName name="_qre8799">#REF!</definedName>
    <definedName name="_qre88" localSheetId="9">'[17]QRE''s'!$H$1:$H$65536</definedName>
    <definedName name="_qre88">'[18]QRE''s'!$H$1:$H$65536</definedName>
    <definedName name="_qre88100" localSheetId="17">#REF!</definedName>
    <definedName name="_qre88100">#REF!</definedName>
    <definedName name="_qre88101" localSheetId="17">#REF!</definedName>
    <definedName name="_qre88101">#REF!</definedName>
    <definedName name="_qre88102" localSheetId="17">#REF!</definedName>
    <definedName name="_qre88102">#REF!</definedName>
    <definedName name="_qre88103">#REF!</definedName>
    <definedName name="_qre8890" localSheetId="9">[17]Model!$I$130</definedName>
    <definedName name="_qre8890">[18]Model!$I$130</definedName>
    <definedName name="_qre8891" localSheetId="9">[17]Model!$J$130</definedName>
    <definedName name="_qre8891">[18]Model!$J$130</definedName>
    <definedName name="_qre8892" localSheetId="9">[17]Model!$K$130</definedName>
    <definedName name="_qre8892">[18]Model!$K$130</definedName>
    <definedName name="_qre8893" localSheetId="9">[17]Model!$L$130</definedName>
    <definedName name="_qre8893">[18]Model!$L$130</definedName>
    <definedName name="_qre8894" localSheetId="9">[17]Model!$M$130</definedName>
    <definedName name="_qre8894">[18]Model!$M$130</definedName>
    <definedName name="_qre8895" localSheetId="9">[17]Model!$N$130</definedName>
    <definedName name="_qre8895">[18]Model!$N$130</definedName>
    <definedName name="_qre8896" localSheetId="9">[17]Model!$O$130</definedName>
    <definedName name="_qre8896">[18]Model!$O$130</definedName>
    <definedName name="_qre8897" localSheetId="9">[17]Model!$P$130</definedName>
    <definedName name="_qre8897">[18]Model!$P$130</definedName>
    <definedName name="_qre8898" localSheetId="9">[17]Model!$Q$130</definedName>
    <definedName name="_qre8898">[18]Model!$Q$130</definedName>
    <definedName name="_qre8899" localSheetId="17">#REF!</definedName>
    <definedName name="_qre8899">#REF!</definedName>
    <definedName name="_qre89" localSheetId="9">'[17]QRE''s'!$I$1:$I$65536</definedName>
    <definedName name="_qre89">'[18]QRE''s'!$I$1:$I$65536</definedName>
    <definedName name="_qre90" localSheetId="9">'[17]QRE''s'!$J$1:$J$65536</definedName>
    <definedName name="_qre90">'[18]QRE''s'!$J$1:$J$65536</definedName>
    <definedName name="_qre91" localSheetId="9">'[17]QRE''s'!$K$1:$K$65536</definedName>
    <definedName name="_qre91">'[18]QRE''s'!$K$1:$K$65536</definedName>
    <definedName name="_qre92" localSheetId="9">'[17]QRE''s'!$L$1:$L$65536</definedName>
    <definedName name="_qre92">'[18]QRE''s'!$L$1:$L$65536</definedName>
    <definedName name="_qre93" localSheetId="9">'[17]QRE''s'!$M$1:$M$65536</definedName>
    <definedName name="_qre93">'[18]QRE''s'!$M$1:$M$65536</definedName>
    <definedName name="_qre94" localSheetId="9">'[17]QRE''s'!$N$1:$N$65536</definedName>
    <definedName name="_qre94">'[18]QRE''s'!$N$1:$N$65536</definedName>
    <definedName name="_qre95" localSheetId="9">'[17]QRE''s'!$O$1:$O$65536</definedName>
    <definedName name="_qre95">'[18]QRE''s'!$O$1:$O$65536</definedName>
    <definedName name="_qre96" localSheetId="9">'[17]QRE''s'!$P$1:$P$65536</definedName>
    <definedName name="_qre96">'[18]QRE''s'!$P$1:$P$65536</definedName>
    <definedName name="_qre97" localSheetId="9">'[17]QRE''s'!$Q$1:$Q$65536</definedName>
    <definedName name="_qre97">'[18]QRE''s'!$Q$1:$Q$65536</definedName>
    <definedName name="_qre98" localSheetId="9">'[17]QRE''s'!$R$1:$R$65536</definedName>
    <definedName name="_qre98">'[18]QRE''s'!$R$1:$R$65536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9"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localSheetId="17"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 localSheetId="17">#REF!</definedName>
    <definedName name="_sr01">#REF!</definedName>
    <definedName name="_sr02" localSheetId="17">#REF!</definedName>
    <definedName name="_sr02">#REF!</definedName>
    <definedName name="_sr03" localSheetId="17">#REF!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 localSheetId="9">'[9]YTD Summary'!#REF!</definedName>
    <definedName name="_SUM282">'[10]YTD Summary'!#REF!</definedName>
    <definedName name="_SUM3" localSheetId="9">'[32]Summ 165_236'!#REF!</definedName>
    <definedName name="_SUM3">'[33]Summ 165_236'!#REF!</definedName>
    <definedName name="_SUM4" localSheetId="9">'[32]Summ 165_236'!#REF!</definedName>
    <definedName name="_SUM4">'[33]Summ 165_236'!#REF!</definedName>
    <definedName name="_Table1_Out" localSheetId="17" hidden="1">#REF!</definedName>
    <definedName name="_Table1_Out" hidden="1">#REF!</definedName>
    <definedName name="_Tax1999" localSheetId="17">#REF!</definedName>
    <definedName name="_Tax1999">#REF!</definedName>
    <definedName name="_tet12" localSheetId="9" hidden="1">{"assumptions",#N/A,FALSE,"Scenario 1";"valuation",#N/A,FALSE,"Scenario 1"}</definedName>
    <definedName name="_tet12" localSheetId="17" hidden="1">{"assumptions",#N/A,FALSE,"Scenario 1";"valuation",#N/A,FALSE,"Scenario 1"}</definedName>
    <definedName name="_tet12" hidden="1">{"assumptions",#N/A,FALSE,"Scenario 1";"valuation",#N/A,FALSE,"Scenario 1"}</definedName>
    <definedName name="_tet5" localSheetId="9"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qc100" localSheetId="17">#REF!</definedName>
    <definedName name="_tqc100">#REF!</definedName>
    <definedName name="_tqc101" localSheetId="17">#REF!</definedName>
    <definedName name="_tqc101">#REF!</definedName>
    <definedName name="_tqc102" localSheetId="17">#REF!</definedName>
    <definedName name="_tqc102">#REF!</definedName>
    <definedName name="_tqc103">#REF!</definedName>
    <definedName name="_tqc90" localSheetId="9">'[17]QRE''s'!$J$101</definedName>
    <definedName name="_tqc90">'[18]QRE''s'!$J$101</definedName>
    <definedName name="_tqc91" localSheetId="9">'[17]QRE''s'!$K$101</definedName>
    <definedName name="_tqc91">'[18]QRE''s'!$K$101</definedName>
    <definedName name="_tqc92" localSheetId="9">'[17]QRE''s'!$L$101</definedName>
    <definedName name="_tqc92">'[18]QRE''s'!$L$101</definedName>
    <definedName name="_tqc93" localSheetId="9">'[17]QRE''s'!$M$101</definedName>
    <definedName name="_tqc93">'[18]QRE''s'!$M$101</definedName>
    <definedName name="_tqc94" localSheetId="9">'[17]QRE''s'!$N$101</definedName>
    <definedName name="_tqc94">'[18]QRE''s'!$N$101</definedName>
    <definedName name="_tqc95" localSheetId="9">'[17]QRE''s'!$O$101</definedName>
    <definedName name="_tqc95">'[18]QRE''s'!$O$101</definedName>
    <definedName name="_tqc96" localSheetId="9">'[17]QRE''s'!$P$101</definedName>
    <definedName name="_tqc96">'[18]QRE''s'!$P$101</definedName>
    <definedName name="_tqc97" localSheetId="9">'[17]QRE''s'!$Q$101</definedName>
    <definedName name="_tqc97">'[18]QRE''s'!$Q$101</definedName>
    <definedName name="_tqc98" localSheetId="9">'[17]QRE''s'!$R$101</definedName>
    <definedName name="_tqc98">'[18]QRE''s'!$R$101</definedName>
    <definedName name="_tqc99" localSheetId="17">#REF!</definedName>
    <definedName name="_tqc99">#REF!</definedName>
    <definedName name="_tql100" localSheetId="17">#REF!</definedName>
    <definedName name="_tql100">#REF!</definedName>
    <definedName name="_tql101" localSheetId="17">#REF!</definedName>
    <definedName name="_tql101">#REF!</definedName>
    <definedName name="_tql102">#REF!</definedName>
    <definedName name="_tql103">#REF!</definedName>
    <definedName name="_tql90" localSheetId="9">'[17]QRE''s'!$J$99</definedName>
    <definedName name="_tql90">'[18]QRE''s'!$J$99</definedName>
    <definedName name="_tql91" localSheetId="9">'[17]QRE''s'!$K$99</definedName>
    <definedName name="_tql91">'[18]QRE''s'!$K$99</definedName>
    <definedName name="_tql92" localSheetId="9">'[17]QRE''s'!$L$99</definedName>
    <definedName name="_tql92">'[18]QRE''s'!$L$99</definedName>
    <definedName name="_tql93" localSheetId="9">'[17]QRE''s'!$M$99</definedName>
    <definedName name="_tql93">'[18]QRE''s'!$M$99</definedName>
    <definedName name="_tql94" localSheetId="9">'[17]QRE''s'!$N$99</definedName>
    <definedName name="_tql94">'[18]QRE''s'!$N$99</definedName>
    <definedName name="_tql95" localSheetId="9">'[17]QRE''s'!$O$99</definedName>
    <definedName name="_tql95">'[18]QRE''s'!$O$99</definedName>
    <definedName name="_tql96" localSheetId="9">'[17]QRE''s'!$P$99</definedName>
    <definedName name="_tql96">'[18]QRE''s'!$P$99</definedName>
    <definedName name="_tql97" localSheetId="9">'[17]QRE''s'!$Q$99</definedName>
    <definedName name="_tql97">'[18]QRE''s'!$Q$99</definedName>
    <definedName name="_tql98" localSheetId="9">'[17]QRE''s'!$R$99</definedName>
    <definedName name="_tql98">'[18]QRE''s'!$R$99</definedName>
    <definedName name="_tql99" localSheetId="17">#REF!</definedName>
    <definedName name="_tql99">#REF!</definedName>
    <definedName name="_tqs100" localSheetId="17">#REF!</definedName>
    <definedName name="_tqs100">#REF!</definedName>
    <definedName name="_tqs101" localSheetId="17">#REF!</definedName>
    <definedName name="_tqs101">#REF!</definedName>
    <definedName name="_tqs102">#REF!</definedName>
    <definedName name="_tqs103">#REF!</definedName>
    <definedName name="_tqs90" localSheetId="9">'[17]QRE''s'!$J$100</definedName>
    <definedName name="_tqs90">'[18]QRE''s'!$J$100</definedName>
    <definedName name="_tqs91" localSheetId="9">'[17]QRE''s'!$K$100</definedName>
    <definedName name="_tqs91">'[18]QRE''s'!$K$100</definedName>
    <definedName name="_tqs92" localSheetId="9">'[17]QRE''s'!$L$100</definedName>
    <definedName name="_tqs92">'[18]QRE''s'!$L$100</definedName>
    <definedName name="_tqs93" localSheetId="9">'[17]QRE''s'!$M$100</definedName>
    <definedName name="_tqs93">'[18]QRE''s'!$M$100</definedName>
    <definedName name="_tqs94" localSheetId="9">'[17]QRE''s'!$N$100</definedName>
    <definedName name="_tqs94">'[18]QRE''s'!$N$100</definedName>
    <definedName name="_tqs95" localSheetId="9">'[17]QRE''s'!$O$100</definedName>
    <definedName name="_tqs95">'[18]QRE''s'!$O$100</definedName>
    <definedName name="_tqs96" localSheetId="9">'[17]QRE''s'!$P$100</definedName>
    <definedName name="_tqs96">'[18]QRE''s'!$P$100</definedName>
    <definedName name="_tqs97" localSheetId="9">'[17]QRE''s'!$Q$100</definedName>
    <definedName name="_tqs97">'[18]QRE''s'!$Q$100</definedName>
    <definedName name="_tqs98" localSheetId="9">'[17]QRE''s'!$R$100</definedName>
    <definedName name="_tqs98">'[18]QRE''s'!$R$100</definedName>
    <definedName name="_tqs99" localSheetId="17">#REF!</definedName>
    <definedName name="_tqs99">#REF!</definedName>
    <definedName name="A" localSheetId="21" hidden="1">{#N/A,#N/A,FALSE,"EMPPAY"}</definedName>
    <definedName name="A" localSheetId="15" hidden="1">{#N/A,#N/A,FALSE,"EMPPAY"}</definedName>
    <definedName name="A" localSheetId="14" hidden="1">{#N/A,#N/A,FALSE,"EMPPAY"}</definedName>
    <definedName name="A" localSheetId="17">#REF!</definedName>
    <definedName name="A" localSheetId="19" hidden="1">{#N/A,#N/A,FALSE,"EMPPAY"}</definedName>
    <definedName name="a" localSheetId="20">'9A - Gross Plant &amp; ARO'!$E$31</definedName>
    <definedName name="A">#REF!</definedName>
    <definedName name="a.1" localSheetId="9" hidden="1">{"LBO Summary",#N/A,FALSE,"Summary"}</definedName>
    <definedName name="a.1" localSheetId="17" hidden="1">{"LBO Summary",#N/A,FALSE,"Summary"}</definedName>
    <definedName name="a.1" hidden="1">{"LBO Summary",#N/A,FALSE,"Summary"}</definedName>
    <definedName name="AA" localSheetId="17">#REF!</definedName>
    <definedName name="AA">#REF!</definedName>
    <definedName name="AA.print">#REF!</definedName>
    <definedName name="aaa" localSheetId="21" hidden="1">{#N/A,#N/A,FALSE,"O&amp;M by processes";#N/A,#N/A,FALSE,"Elec Act vs Bud";#N/A,#N/A,FALSE,"G&amp;A";#N/A,#N/A,FALSE,"BGS";#N/A,#N/A,FALSE,"Res Cost"}</definedName>
    <definedName name="aaa" localSheetId="9"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9"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9">{"'Metretek HTML'!$A$7:$W$42"}</definedName>
    <definedName name="ab" localSheetId="15">{"'Metretek HTML'!$A$7:$W$42"}</definedName>
    <definedName name="ab" localSheetId="16">{"'Metretek HTML'!$A$7:$W$42"}</definedName>
    <definedName name="ab" localSheetId="17">{"'Metretek HTML'!$A$7:$W$42"}</definedName>
    <definedName name="ab">{"'Metretek HTML'!$A$7:$W$42"}</definedName>
    <definedName name="AB.print">#REF!</definedName>
    <definedName name="above">OFFSET(!A1,-1,0)</definedName>
    <definedName name="AC" localSheetId="17">[30]DEPR96!#REF!</definedName>
    <definedName name="AC">[30]DEPR96!#REF!</definedName>
    <definedName name="AC_255">'[34]AC 255'!$A$1:$M$32</definedName>
    <definedName name="AC_282" localSheetId="9">[35]December!#REF!</definedName>
    <definedName name="AC_282" localSheetId="17">[36]December!#REF!</definedName>
    <definedName name="AC_282">[36]December!#REF!</definedName>
    <definedName name="Accounts_Payable" localSheetId="17">#REF!</definedName>
    <definedName name="Accounts_Payable">#REF!</definedName>
    <definedName name="Accounts_Receivable" localSheetId="17">#REF!</definedName>
    <definedName name="Accounts_Receivable">#REF!</definedName>
    <definedName name="Accounts_Receivable_Customer___Net" localSheetId="17">#REF!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 localSheetId="9">[9]December!#REF!</definedName>
    <definedName name="acct281">[10]December!#REF!</definedName>
    <definedName name="ACCTTextLen" localSheetId="17">#REF!</definedName>
    <definedName name="ACCTTextLen">#REF!</definedName>
    <definedName name="Accum._Other_Comprehensive_Income" localSheetId="17">#REF!</definedName>
    <definedName name="Accum._Other_Comprehensive_Income">#REF!</definedName>
    <definedName name="ACQ" localSheetId="17">[30]DEPR96!#REF!</definedName>
    <definedName name="ACQ">[30]DEPR96!#REF!</definedName>
    <definedName name="ACRS" localSheetId="17">#REF!</definedName>
    <definedName name="ACRS">#REF!</definedName>
    <definedName name="Active1" localSheetId="17">#REF!</definedName>
    <definedName name="Active1">#REF!</definedName>
    <definedName name="Active2">#REF!</definedName>
    <definedName name="ActivityType" localSheetId="9">'[37]Activity Type'!$1:$1048576</definedName>
    <definedName name="ActivityType">'[38]Activity Type'!$1:$1048576</definedName>
    <definedName name="ACTTextLen" localSheetId="17">#REF!</definedName>
    <definedName name="ACTTextLen">#REF!</definedName>
    <definedName name="Actual" localSheetId="9">[39]Assumptions!$E$52</definedName>
    <definedName name="Actual">[40]Assumptions!$E$52</definedName>
    <definedName name="adds2008" localSheetId="17">#REF!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9"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localSheetId="17"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'[41]A.2 PTP'!$P$55</definedName>
    <definedName name="Adjustments_to_Reconcile_Net_Income_to_Net_Cash" localSheetId="17">#REF!</definedName>
    <definedName name="Adjustments_to_Reconcile_Net_Income_to_Net_Cash">#REF!</definedName>
    <definedName name="Admin___Other_Labor_included_in_O_M" localSheetId="17">#REF!</definedName>
    <definedName name="Admin___Other_Labor_included_in_O_M">#REF!</definedName>
    <definedName name="ads">#REF!</definedName>
    <definedName name="ADTL">'[41]C. Input'!$F$144</definedName>
    <definedName name="Affiliate_Interest_Expense__Revenue" localSheetId="17">#REF!</definedName>
    <definedName name="Affiliate_Interest_Expense__Revenue">#REF!</definedName>
    <definedName name="AFUDC_Credit_Interest_Capitalized" localSheetId="17">#REF!</definedName>
    <definedName name="AFUDC_Credit_Interest_Capitalized">#REF!</definedName>
    <definedName name="ag_1" localSheetId="9">'[42]Input Page'!$G$7</definedName>
    <definedName name="ag_1">'[43]Input Page'!$G$7</definedName>
    <definedName name="ag_cap_indirect" localSheetId="9">'[44]Input Page'!$G$7</definedName>
    <definedName name="ag_cap_indirect">'[45]Input Page'!$G$7</definedName>
    <definedName name="ag_mix_cap" localSheetId="9">'[44]Input Page'!$G$8</definedName>
    <definedName name="ag_mix_cap">'[45]Input Page'!$G$8</definedName>
    <definedName name="ag_mix_total" localSheetId="9">'[44]Input Page'!$G$9</definedName>
    <definedName name="ag_mix_total">'[45]Input Page'!$G$9</definedName>
    <definedName name="AG_TST">'[41]A.2 PTP'!$P$111</definedName>
    <definedName name="AG1_01" localSheetId="17">#REF!</definedName>
    <definedName name="AG1_01">#REF!</definedName>
    <definedName name="AG1_01B" localSheetId="17">#REF!</definedName>
    <definedName name="AG1_01B">#REF!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9"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localSheetId="17" hidden="1">{#N/A,#N/A,FALSE,"Aging Summary";#N/A,#N/A,FALSE,"Ratio Analysis";#N/A,#N/A,FALSE,"Test 120 Day Accts";#N/A,#N/A,FALSE,"Tickmarks"}</definedName>
    <definedName name="aging" hidden="1">{#N/A,#N/A,FALSE,"Aging Summary";#N/A,#N/A,FALSE,"Ratio Analysis";#N/A,#N/A,FALSE,"Test 120 Day Accts";#N/A,#N/A,FALSE,"Tickmarks"}</definedName>
    <definedName name="AGXP">'[41]C. Input'!$F$201</definedName>
    <definedName name="aircdy" localSheetId="17">#REF!</definedName>
    <definedName name="aircdy">#REF!</definedName>
    <definedName name="aircgrtm1" localSheetId="9">[17]AIRC!#REF!</definedName>
    <definedName name="aircgrtm1" localSheetId="17">[18]AIRC!#REF!</definedName>
    <definedName name="aircgrtm1">[18]AIRC!#REF!</definedName>
    <definedName name="aircgrtm2" localSheetId="9">[17]AIRC!#REF!</definedName>
    <definedName name="aircgrtm2" localSheetId="17">[18]AIRC!#REF!</definedName>
    <definedName name="aircgrtm2">[18]AIRC!#REF!</definedName>
    <definedName name="aircgrtm3" localSheetId="9">[17]AIRC!#REF!</definedName>
    <definedName name="aircgrtm3">[18]AIRC!#REF!</definedName>
    <definedName name="aircgrtm4" localSheetId="9">[17]AIRC!#REF!</definedName>
    <definedName name="aircgrtm4">[18]AIRC!#REF!</definedName>
    <definedName name="aircqre" localSheetId="9">[17]AIRC!$C$15</definedName>
    <definedName name="aircqre">[18]AIRC!$C$15</definedName>
    <definedName name="aircqrelabel" localSheetId="9">[17]AIRC!$B$15</definedName>
    <definedName name="aircqrelabel">[18]AIRC!$B$15</definedName>
    <definedName name="airctitle" localSheetId="9">[17]AIRC!$A$1</definedName>
    <definedName name="airctitle">[18]AIRC!$A$1</definedName>
    <definedName name="airctm1" localSheetId="9">[17]AIRC!#REF!</definedName>
    <definedName name="airctm1">[18]AIRC!#REF!</definedName>
    <definedName name="airctm2" localSheetId="9">[17]AIRC!#REF!</definedName>
    <definedName name="airctm2">[18]AIRC!#REF!</definedName>
    <definedName name="airctm3" localSheetId="9">[17]AIRC!#REF!</definedName>
    <definedName name="airctm3">[18]AIRC!#REF!</definedName>
    <definedName name="airctm4" localSheetId="9">[17]AIRC!#REF!</definedName>
    <definedName name="airctm4">[18]AIRC!#REF!</definedName>
    <definedName name="ALERT1" localSheetId="17">#REF!</definedName>
    <definedName name="ALERT1">#REF!</definedName>
    <definedName name="ALERT2" localSheetId="17">#REF!</definedName>
    <definedName name="ALERT2">#REF!</definedName>
    <definedName name="ALERT3" localSheetId="17">#REF!</definedName>
    <definedName name="ALERT3">#REF!</definedName>
    <definedName name="Alignment" hidden="1">"a1"</definedName>
    <definedName name="ALL_QRES" localSheetId="9">[17]Sens_QRE_Factor!$D$8:$R$98</definedName>
    <definedName name="ALL_QRES">[18]Sens_QRE_Factor!$D$8:$R$98</definedName>
    <definedName name="ALL_QRES0.75" localSheetId="9">'[17]QRE Charts'!$E$365</definedName>
    <definedName name="ALL_QRES0.75">'[18]QRE Charts'!$E$365</definedName>
    <definedName name="ALL_QRES0.80" localSheetId="9">'[17]QRE Charts'!$F$365</definedName>
    <definedName name="ALL_QRES0.80">'[18]QRE Charts'!$F$365</definedName>
    <definedName name="ALL_QRES0.85" localSheetId="9">'[17]QRE Charts'!$G$365</definedName>
    <definedName name="ALL_QRES0.85">'[18]QRE Charts'!$G$365</definedName>
    <definedName name="ALL_QRES0.90" localSheetId="9">'[17]QRE Charts'!$H$365</definedName>
    <definedName name="ALL_QRES0.90">'[18]QRE Charts'!$H$365</definedName>
    <definedName name="ALL_QRES0.95" localSheetId="9">'[17]QRE Charts'!$I$365</definedName>
    <definedName name="ALL_QRES0.95">'[18]QRE Charts'!$I$365</definedName>
    <definedName name="ALL_QRES1.00" localSheetId="9">'[17]QRE Charts'!$J$365</definedName>
    <definedName name="ALL_QRES1.00">'[18]QRE Charts'!$J$365</definedName>
    <definedName name="ALL_QRES1.05" localSheetId="9">'[17]QRE Charts'!$K$365</definedName>
    <definedName name="ALL_QRES1.05">'[18]QRE Charts'!$K$365</definedName>
    <definedName name="ALL_QRES1.10" localSheetId="9">'[17]QRE Charts'!$L$365</definedName>
    <definedName name="ALL_QRES1.10">'[18]QRE Charts'!$L$365</definedName>
    <definedName name="ALL_QRES1.15" localSheetId="9">'[17]QRE Charts'!$M$365</definedName>
    <definedName name="ALL_QRES1.15">'[18]QRE Charts'!$M$365</definedName>
    <definedName name="ALL_QRES1.20" localSheetId="9">'[17]QRE Charts'!$N$365</definedName>
    <definedName name="ALL_QRES1.20">'[18]QRE Charts'!$N$365</definedName>
    <definedName name="ALL_QRES1.25" localSheetId="9">'[17]QRE Charts'!$O$365</definedName>
    <definedName name="ALL_QRES1.25">'[18]QRE Charts'!$O$365</definedName>
    <definedName name="ALL_SENS_FACT" localSheetId="17">#REF!</definedName>
    <definedName name="ALL_SENS_FACT">#REF!</definedName>
    <definedName name="AllASS">[46]ALL!$B$25</definedName>
    <definedName name="ALLCGI">[46]ALL!$D$25</definedName>
    <definedName name="ALLOC" localSheetId="17">#REF!</definedName>
    <definedName name="ALLOC">#REF!</definedName>
    <definedName name="Allocator.gross.plant">'[47]Appendix A'!$H$30</definedName>
    <definedName name="Allocator.net.plant">'[47]Appendix A'!$H$33</definedName>
    <definedName name="Allocator.wages.salary">'[47]Appendix A'!$H$18</definedName>
    <definedName name="ALLOW" localSheetId="17">#REF!</definedName>
    <definedName name="ALLOW">#REF!</definedName>
    <definedName name="Allow_for_Funds_Used_During_Const." localSheetId="17">#REF!</definedName>
    <definedName name="Allow_for_Funds_Used_During_Const.">#REF!</definedName>
    <definedName name="ALLRD">[46]ALL!$C$25</definedName>
    <definedName name="ALLSKP">[46]ALL!$E$25</definedName>
    <definedName name="ALLYRS_MESSAGE" localSheetId="17">#REF!</definedName>
    <definedName name="ALLYRS_MESSAGE">#REF!</definedName>
    <definedName name="ALOC" localSheetId="17">#REF!</definedName>
    <definedName name="ALOC">#REF!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9"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localSheetId="17"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 localSheetId="9">[48]Pepco!#REF!</definedName>
    <definedName name="ALTMIN" localSheetId="17">#REF!</definedName>
    <definedName name="ALTMIN">[49]Pepco!#REF!</definedName>
    <definedName name="AMERICA" localSheetId="17">#REF!</definedName>
    <definedName name="AMERICA">#REF!</definedName>
    <definedName name="AMOR_BOM" localSheetId="17">#REF!</definedName>
    <definedName name="AMOR_BOM">#REF!</definedName>
    <definedName name="AMOR_EOM">#REF!</definedName>
    <definedName name="AMORT">#REF!</definedName>
    <definedName name="Amort_04">'[41]D.16.1.2 Table B 2004'!$A$24:$U$35</definedName>
    <definedName name="Amort_05">'[41]D.16.1.3 Table B 2005'!$A$24:$U$36</definedName>
    <definedName name="Amort_06">'[41]D.16.1.4 Table B 2006'!$A$24:$U$37</definedName>
    <definedName name="Amort_07">'[41]D.16.1.5 Table B 2007'!$A$24:$U$38</definedName>
    <definedName name="Amort_08">'[41]D.16.1.6 Table B 2008'!$A$24:$U$39</definedName>
    <definedName name="Amort_09">'[41]D.16.1.7 Table B 2009'!$A$24:$U$39</definedName>
    <definedName name="Amort_10">'[41]D.16.1.8 Table B 2010'!$A$24:$U$39</definedName>
    <definedName name="Amort_11">'[41]D.16.1.9 Table B 2011'!$A$24:$U$39</definedName>
    <definedName name="Amort_12">'[41]D.16.1.10 Table B 2012'!$A$24:$U$39</definedName>
    <definedName name="Amortization___Other_Assets" localSheetId="17">#REF!</definedName>
    <definedName name="Amortization___Other_Assets">#REF!</definedName>
    <definedName name="AMOUNT" localSheetId="17">#REF!</definedName>
    <definedName name="AMOUNT">#REF!</definedName>
    <definedName name="ANNSUM">#REF!</definedName>
    <definedName name="Annualization_Rate">#REF!</definedName>
    <definedName name="anscount" hidden="1">1</definedName>
    <definedName name="AO.print">#REF!</definedName>
    <definedName name="APA" localSheetId="17">#REF!</definedName>
    <definedName name="APA">#REF!</definedName>
    <definedName name="APN" localSheetId="9">'[50]Gas Ferc 2 2003'!$V$2</definedName>
    <definedName name="APN">'[51]Gas Ferc 2 2003'!$V$2</definedName>
    <definedName name="APR" localSheetId="9">[52]load!#REF!</definedName>
    <definedName name="APR" localSheetId="17">[53]load!#REF!</definedName>
    <definedName name="APR">[53]load!#REF!</definedName>
    <definedName name="APR_13_WRKSHT_SUM" localSheetId="17">#REF!</definedName>
    <definedName name="APR_13_WRKSHT_SUM">#REF!</definedName>
    <definedName name="apr2pre" localSheetId="17">#REF!</definedName>
    <definedName name="apr2pre">#REF!</definedName>
    <definedName name="ARB_04">'[41]D.16.1.2 Table B 2004'!$A$39:$U$50</definedName>
    <definedName name="ARB_05">'[41]D.16.1.3 Table B 2005'!$A$40:$U$52</definedName>
    <definedName name="ARB_06">'[41]D.16.1.4 Table B 2006'!$A$41:$U$54</definedName>
    <definedName name="ARB_07">'[41]D.16.1.5 Table B 2007'!$A$42:$U$56</definedName>
    <definedName name="ARB_08">'[41]D.16.1.6 Table B 2008'!$A$43:$U$58</definedName>
    <definedName name="ARB_09">'[41]D.16.1.7 Table B 2009'!$A$43:$U$58</definedName>
    <definedName name="ARB_10">'[41]D.16.1.8 Table B 2010'!$A$43:$U$58</definedName>
    <definedName name="ARB_11">'[41]D.16.1.9 Table B 2011'!$A$43:$U$58</definedName>
    <definedName name="AREA">#N/A</definedName>
    <definedName name="AS" localSheetId="9">{"'Metretek HTML'!$A$7:$W$42"}</definedName>
    <definedName name="AS" localSheetId="15">{"'Metretek HTML'!$A$7:$W$42"}</definedName>
    <definedName name="AS" localSheetId="16">{"'Metretek HTML'!$A$7:$W$42"}</definedName>
    <definedName name="AS" localSheetId="17">{"'Metretek HTML'!$A$7:$W$42"}</definedName>
    <definedName name="AS">{"'Metretek HTML'!$A$7:$W$42"}</definedName>
    <definedName name="AS2DocOpenMode" hidden="1">"AS2DocumentEdit"</definedName>
    <definedName name="ASD">#REF!</definedName>
    <definedName name="ASD_LEXTERNAL">#REF!</definedName>
    <definedName name="asda" localSheetId="9">[48]Pepco!#REF!</definedName>
    <definedName name="asda" localSheetId="17">[49]Pepco!#REF!</definedName>
    <definedName name="asda">[49]Pepco!#REF!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9"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localSheetId="17"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9"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localSheetId="17"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9"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localSheetId="17"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 localSheetId="17">#REF!</definedName>
    <definedName name="ASOFDATE">#REF!</definedName>
    <definedName name="AsOfMonthText">[54]Input!$B$6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9"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localSheetId="17"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 localSheetId="17">#REF!</definedName>
    <definedName name="Asset_Retirement_Obligations">#REF!</definedName>
    <definedName name="ASSET_SALES__input" localSheetId="17">#REF!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 localSheetId="17">'[55]Aday IS DECo &amp; Other'!#REF!</definedName>
    <definedName name="Assets_Held_for_Sale_YR_2005">'[55]Aday IS DECo &amp; Other'!#REF!</definedName>
    <definedName name="Assets_Held_for_Sale_YR_2006" localSheetId="17">'[55]Aday IS DECo &amp; Other'!#REF!</definedName>
    <definedName name="Assets_Held_for_Sale_YR_2006">'[55]Aday IS DECo &amp; Other'!#REF!</definedName>
    <definedName name="Assets_Held_for_Sale_YR_2007" localSheetId="17">'[55]Aday IS DECo &amp; Other'!#REF!</definedName>
    <definedName name="Assets_Held_for_Sale_YR_2007">'[55]Aday IS DECo &amp; Other'!#REF!</definedName>
    <definedName name="Assets_Held_for_Sale_YR_2008" localSheetId="17">'[55]Aday IS DECo &amp; Other'!#REF!</definedName>
    <definedName name="Assets_Held_for_Sale_YR_2008">'[55]Aday IS DECo &amp; Other'!#REF!</definedName>
    <definedName name="ASSUMPT" localSheetId="17">#REF!</definedName>
    <definedName name="ASSUMPT">#REF!</definedName>
    <definedName name="AUG" localSheetId="17">#REF!</definedName>
    <definedName name="AUG">#REF!</definedName>
    <definedName name="AV.FM.1..adjusted..print">#REF!</definedName>
    <definedName name="AV.FM.1.print">#REF!</definedName>
    <definedName name="AVG">#REF!</definedName>
    <definedName name="avoidint">"V2001-12-31"</definedName>
    <definedName name="az" localSheetId="9">{"'Metretek HTML'!$A$7:$W$42"}</definedName>
    <definedName name="az" localSheetId="15">{"'Metretek HTML'!$A$7:$W$42"}</definedName>
    <definedName name="az" localSheetId="16">{"'Metretek HTML'!$A$7:$W$42"}</definedName>
    <definedName name="az" localSheetId="17">{"'Metretek HTML'!$A$7:$W$42"}</definedName>
    <definedName name="az">{"'Metretek HTML'!$A$7:$W$42"}</definedName>
    <definedName name="B">#REF!</definedName>
    <definedName name="b_u_10" localSheetId="9">'[17]QRE''s'!$A$39:$IV$94</definedName>
    <definedName name="b_u_10">'[18]QRE''s'!$A$39:$IV$94</definedName>
    <definedName name="b_u_11" localSheetId="9">'[17]QRE''s'!$A$43:$IV$94</definedName>
    <definedName name="b_u_11">'[18]QRE''s'!$A$43:$IV$94</definedName>
    <definedName name="b_u_12" localSheetId="9">'[17]QRE''s'!$A$47:$IV$94</definedName>
    <definedName name="b_u_12">'[18]QRE''s'!$A$47:$IV$94</definedName>
    <definedName name="b_u_13" localSheetId="9">'[17]QRE''s'!$A$51:$IV$94</definedName>
    <definedName name="b_u_13">'[18]QRE''s'!$A$51:$IV$94</definedName>
    <definedName name="b_u_14" localSheetId="9">'[17]QRE''s'!$A$55:$IV$94</definedName>
    <definedName name="b_u_14">'[18]QRE''s'!$A$55:$IV$94</definedName>
    <definedName name="b_u_15" localSheetId="9">'[17]QRE''s'!$A$59:$IV$94</definedName>
    <definedName name="b_u_15">'[18]QRE''s'!$A$59:$IV$94</definedName>
    <definedName name="b_u_16" localSheetId="9">'[17]QRE''s'!$A$63:$IV$94</definedName>
    <definedName name="b_u_16">'[18]QRE''s'!$A$63:$IV$94</definedName>
    <definedName name="b_u_17" localSheetId="9">'[17]QRE''s'!$A$67:$IV$94</definedName>
    <definedName name="b_u_17">'[18]QRE''s'!$A$67:$IV$94</definedName>
    <definedName name="b_u_18" localSheetId="9">'[17]QRE''s'!$A$71:$IV$94</definedName>
    <definedName name="b_u_18">'[18]QRE''s'!$A$71:$IV$94</definedName>
    <definedName name="b_u_19" localSheetId="9">'[17]QRE''s'!$A$75:$IV$94</definedName>
    <definedName name="b_u_19">'[18]QRE''s'!$A$75:$IV$94</definedName>
    <definedName name="b_u_2" localSheetId="9">'[17]QRE''s'!$A$11:$IV$94</definedName>
    <definedName name="b_u_2">'[18]QRE''s'!$A$11:$IV$94</definedName>
    <definedName name="b_u_20" localSheetId="9">'[17]QRE''s'!$A$79:$IV$94</definedName>
    <definedName name="b_u_20">'[18]QRE''s'!$A$79:$IV$94</definedName>
    <definedName name="b_u_21" localSheetId="9">'[17]QRE''s'!$A$83:$IV$94</definedName>
    <definedName name="b_u_21">'[18]QRE''s'!$A$83:$IV$94</definedName>
    <definedName name="b_u_22" localSheetId="9">'[17]QRE''s'!$A$87:$IV$94</definedName>
    <definedName name="b_u_22">'[18]QRE''s'!$A$87:$IV$94</definedName>
    <definedName name="b_u_23" localSheetId="9">'[17]QRE''s'!$A$91:$IV$94</definedName>
    <definedName name="b_u_23">'[18]QRE''s'!$A$91:$IV$94</definedName>
    <definedName name="b_u_3" localSheetId="9">'[17]QRE''s'!$A$11:$IV$94</definedName>
    <definedName name="b_u_3">'[18]QRE''s'!$A$11:$IV$94</definedName>
    <definedName name="b_u_4" localSheetId="9">'[17]QRE''s'!$A$15:$IV$94</definedName>
    <definedName name="b_u_4">'[18]QRE''s'!$A$15:$IV$94</definedName>
    <definedName name="b_u_5" localSheetId="9">'[17]QRE''s'!$A$19:$IV$94</definedName>
    <definedName name="b_u_5">'[18]QRE''s'!$A$19:$IV$94</definedName>
    <definedName name="b_u_6" localSheetId="9">'[17]QRE''s'!$A$23:$IV$94</definedName>
    <definedName name="b_u_6">'[18]QRE''s'!$A$23:$IV$94</definedName>
    <definedName name="b_u_7" localSheetId="9">'[17]QRE''s'!$A$27:$IV$94</definedName>
    <definedName name="b_u_7">'[18]QRE''s'!$A$27:$IV$94</definedName>
    <definedName name="b_u_8" localSheetId="9">'[17]QRE''s'!$A$31:$IV$94</definedName>
    <definedName name="b_u_8">'[18]QRE''s'!$A$31:$IV$94</definedName>
    <definedName name="b_u_9" localSheetId="9">'[17]QRE''s'!$A$35:$IV$94</definedName>
    <definedName name="b_u_9">'[18]QRE''s'!$A$35:$IV$94</definedName>
    <definedName name="BA.print" localSheetId="17">#REF!</definedName>
    <definedName name="BA.print">#REF!</definedName>
    <definedName name="BadErrMsg" localSheetId="17">#REF!</definedName>
    <definedName name="BadErrMsg">#REF!</definedName>
    <definedName name="BAL">#REF!</definedName>
    <definedName name="BALANCE" localSheetId="9">'[56]MTHLY BAL.'!$A$6:$O$89</definedName>
    <definedName name="BALANCE">'[57]MTHLY BAL.'!$A$6:$O$89</definedName>
    <definedName name="Balance_Sheet_Assets" localSheetId="17">#REF!</definedName>
    <definedName name="Balance_Sheet_Assets">#REF!</definedName>
    <definedName name="Balance_Sheet_Liabilities___Capital" localSheetId="17">#REF!</definedName>
    <definedName name="Balance_Sheet_Liabilities___Capital">#REF!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 localSheetId="9">[17]Sens_QRE_Factor!$D$8:$H$98</definedName>
    <definedName name="BASE_DETAIL_QRE">[18]Sens_QRE_Factor!$D$8:$H$98</definedName>
    <definedName name="BASE_MESSAGE" localSheetId="17">#REF!</definedName>
    <definedName name="BASE_MESSAGE">#REF!</definedName>
    <definedName name="BASE_QRES" localSheetId="9">[17]Sens_QRE_Factor!$D$8:$H$98</definedName>
    <definedName name="BASE_QRES">[18]Sens_QRE_Factor!$D$8:$H$98</definedName>
    <definedName name="BASE_QRES0.75" localSheetId="9">'[17]QRE Charts'!$E$366</definedName>
    <definedName name="BASE_QRES0.75">'[18]QRE Charts'!$E$366</definedName>
    <definedName name="BASE_QRES0.80" localSheetId="9">'[17]QRE Charts'!$F$366</definedName>
    <definedName name="BASE_QRES0.80">'[18]QRE Charts'!$F$366</definedName>
    <definedName name="BASE_QRES0.85" localSheetId="9">'[17]QRE Charts'!$G$366</definedName>
    <definedName name="BASE_QRES0.85">'[18]QRE Charts'!$G$366</definedName>
    <definedName name="BASE_QRES0.90" localSheetId="9">'[17]QRE Charts'!$H$366</definedName>
    <definedName name="BASE_QRES0.90">'[18]QRE Charts'!$H$366</definedName>
    <definedName name="BASE_QRES0.95" localSheetId="9">'[17]QRE Charts'!$I$366</definedName>
    <definedName name="BASE_QRES0.95">'[18]QRE Charts'!$I$366</definedName>
    <definedName name="BASE_QRES1.00" localSheetId="9">'[17]QRE Charts'!$J$366</definedName>
    <definedName name="BASE_QRES1.00">'[18]QRE Charts'!$J$366</definedName>
    <definedName name="BASE_QRES1.05" localSheetId="9">'[17]QRE Charts'!$K$366</definedName>
    <definedName name="BASE_QRES1.05">'[18]QRE Charts'!$K$366</definedName>
    <definedName name="BASE_QRES1.10" localSheetId="9">'[17]QRE Charts'!$L$366</definedName>
    <definedName name="BASE_QRES1.10">'[18]QRE Charts'!$L$366</definedName>
    <definedName name="BASE_QRES1.15" localSheetId="9">'[17]QRE Charts'!$M$366</definedName>
    <definedName name="BASE_QRES1.15">'[18]QRE Charts'!$M$366</definedName>
    <definedName name="BASE_QRES1.20" localSheetId="9">'[17]QRE Charts'!$N$366</definedName>
    <definedName name="BASE_QRES1.20">'[18]QRE Charts'!$N$366</definedName>
    <definedName name="BASE_QRES1.25" localSheetId="9">'[17]QRE Charts'!$O$366</definedName>
    <definedName name="BASE_QRES1.25">'[18]QRE Charts'!$O$366</definedName>
    <definedName name="BASE_SENS_FACT" localSheetId="17">#REF!</definedName>
    <definedName name="BASE_SENS_FACT">#REF!</definedName>
    <definedName name="BASIC" localSheetId="17">#REF!</definedName>
    <definedName name="BASIC">#REF!</definedName>
    <definedName name="Basic_Data" localSheetId="17">#REF!</definedName>
    <definedName name="Basic_Data">#REF!</definedName>
    <definedName name="Basis_Points" localSheetId="9">[39]Assumptions!$H$15</definedName>
    <definedName name="Basis_Points">[40]Assumptions!$H$15</definedName>
    <definedName name="BB" localSheetId="17">#REF!</definedName>
    <definedName name="BB">#REF!</definedName>
    <definedName name="BB.print" localSheetId="17">#REF!</definedName>
    <definedName name="BB.print">#REF!</definedName>
    <definedName name="bbb" localSheetId="21" hidden="1">{#N/A,#N/A,FALSE,"O&amp;M by processes";#N/A,#N/A,FALSE,"Elec Act vs Bud";#N/A,#N/A,FALSE,"G&amp;A";#N/A,#N/A,FALSE,"BGS";#N/A,#N/A,FALSE,"Res Cost"}</definedName>
    <definedName name="bbb" localSheetId="9"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9"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9"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9"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 localSheetId="9">'[58]Input Page'!#REF!</definedName>
    <definedName name="beg_coal" localSheetId="17">'[59]Input Page'!#REF!</definedName>
    <definedName name="beg_coal">'[59]Input Page'!#REF!</definedName>
    <definedName name="beg_CWIP" localSheetId="9">'[58]Input Page'!$E$19</definedName>
    <definedName name="beg_CWIP">'[59]Input Page'!$E$19</definedName>
    <definedName name="BEGINT" localSheetId="17">#REF!</definedName>
    <definedName name="BEGINT">#REF!</definedName>
    <definedName name="below">OFFSET(!A1,1,0)</definedName>
    <definedName name="benefit" localSheetId="17">#REF!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9"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localSheetId="17"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17" hidden="1">#REF!</definedName>
    <definedName name="BEx0017DGUEDPCFJUPUZOOLJCS2B" localSheetId="20" hidden="1">#REF!</definedName>
    <definedName name="BEx0017DGUEDPCFJUPUZOOLJCS2B" hidden="1">#REF!</definedName>
    <definedName name="BEx001CNWHJ5RULCSFM36ZCGJ1UH" localSheetId="17" hidden="1">#REF!</definedName>
    <definedName name="BEx001CNWHJ5RULCSFM36ZCGJ1UH" localSheetId="20" hidden="1">#REF!</definedName>
    <definedName name="BEx001CNWHJ5RULCSFM36ZCGJ1UH" hidden="1">#REF!</definedName>
    <definedName name="BEx004791UAJIJSN57OT7YBLNP82" localSheetId="17"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9" hidden="1">'[60]10.08.5 - 2008 Capital - TDBU'!#REF!</definedName>
    <definedName name="BEx00O4PAWETUBT0XVI1C4OHM15U" localSheetId="20" hidden="1">'[61]10.08.5 - 2008 Capital - TDBU'!#REF!</definedName>
    <definedName name="BEx00O4PAWETUBT0XVI1C4OHM15U" hidden="1">'[61]10.08.5 - 2008 Capital - TDBU'!#REF!</definedName>
    <definedName name="BEx01HY6E3GJ66ABU5ABN26V6Q13" localSheetId="15" hidden="1">#REF!</definedName>
    <definedName name="BEx01HY6E3GJ66ABU5ABN26V6Q13" localSheetId="16" hidden="1">#REF!</definedName>
    <definedName name="BEx01HY6E3GJ66ABU5ABN26V6Q13" localSheetId="17" hidden="1">#REF!</definedName>
    <definedName name="BEx01HY6E3GJ66ABU5ABN26V6Q13" localSheetId="20" hidden="1">#REF!</definedName>
    <definedName name="BEx01HY6E3GJ66ABU5ABN26V6Q13" hidden="1">#REF!</definedName>
    <definedName name="BEx01PQPVA98GRAAKX3HEZZ0XK5C" localSheetId="17" hidden="1">#REF!</definedName>
    <definedName name="BEx01PQPVA98GRAAKX3HEZZ0XK5C" localSheetId="20" hidden="1">#REF!</definedName>
    <definedName name="BEx01PQPVA98GRAAKX3HEZZ0XK5C" hidden="1">#REF!</definedName>
    <definedName name="BEx01PW5YQKEGAR8JDDI5OARYXDF" localSheetId="17"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9" hidden="1">'[60]10.08.3 - 2008 Expense - TDBU'!#REF!</definedName>
    <definedName name="BEx1HU8WGEGZ07PO2AYJ3Q7JV682" localSheetId="20" hidden="1">'[61]10.08.3 - 2008 Expense - TDBU'!#REF!</definedName>
    <definedName name="BEx1HU8WGEGZ07PO2AYJ3Q7JV682" hidden="1">'[61]10.08.3 - 2008 Expense - TDBU'!#REF!</definedName>
    <definedName name="BEx1I4QKTILCKZUSOJCVZN7SNHL5" localSheetId="15" hidden="1">#REF!</definedName>
    <definedName name="BEx1I4QKTILCKZUSOJCVZN7SNHL5" localSheetId="16" hidden="1">#REF!</definedName>
    <definedName name="BEx1I4QKTILCKZUSOJCVZN7SNHL5" localSheetId="17" hidden="1">#REF!</definedName>
    <definedName name="BEx1I4QKTILCKZUSOJCVZN7SNHL5" localSheetId="20" hidden="1">#REF!</definedName>
    <definedName name="BEx1I4QKTILCKZUSOJCVZN7SNHL5" hidden="1">#REF!</definedName>
    <definedName name="BEx1IE0ZP7RIFM9FI24S9I6AAJ14" localSheetId="17" hidden="1">#REF!</definedName>
    <definedName name="BEx1IE0ZP7RIFM9FI24S9I6AAJ14" localSheetId="20" hidden="1">#REF!</definedName>
    <definedName name="BEx1IE0ZP7RIFM9FI24S9I6AAJ14" hidden="1">#REF!</definedName>
    <definedName name="BEx1IGQ5B697MNDOE06MVSR0H58E" localSheetId="17"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9" hidden="1">'[60]10.08.5 - 2008 Capital - TDBU'!#REF!</definedName>
    <definedName name="BEx1K4D3BL8221FE5HGCB9VDX83Q" localSheetId="20" hidden="1">'[61]10.08.5 - 2008 Capital - TDBU'!#REF!</definedName>
    <definedName name="BEx1K4D3BL8221FE5HGCB9VDX83Q" hidden="1">'[61]10.08.5 - 2008 Capital - TDBU'!#REF!</definedName>
    <definedName name="BEx1K95QRKBCQOHKAK00IAOF748I" localSheetId="15" hidden="1">#REF!</definedName>
    <definedName name="BEx1K95QRKBCQOHKAK00IAOF748I" localSheetId="16" hidden="1">#REF!</definedName>
    <definedName name="BEx1K95QRKBCQOHKAK00IAOF748I" localSheetId="17" hidden="1">#REF!</definedName>
    <definedName name="BEx1K95QRKBCQOHKAK00IAOF748I" localSheetId="20" hidden="1">#REF!</definedName>
    <definedName name="BEx1K95QRKBCQOHKAK00IAOF748I" hidden="1">#REF!</definedName>
    <definedName name="BEx1KGCOC0TV99C9CNDK7IZRHVGO" localSheetId="17" hidden="1">#REF!</definedName>
    <definedName name="BEx1KGCOC0TV99C9CNDK7IZRHVGO" localSheetId="20" hidden="1">#REF!</definedName>
    <definedName name="BEx1KGCOC0TV99C9CNDK7IZRHVGO" hidden="1">#REF!</definedName>
    <definedName name="BEx1KGY9QEHZ9QSARMQUTQKRK4UX" localSheetId="17"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9" hidden="1">'[60]10.08.5 - 2008 Capital - TDBU'!#REF!</definedName>
    <definedName name="BEx1NNQJ0R56EJAAW1MXNECZ55XH" localSheetId="20" hidden="1">'[61]10.08.5 - 2008 Capital - TDBU'!#REF!</definedName>
    <definedName name="BEx1NNQJ0R56EJAAW1MXNECZ55XH" hidden="1">'[61]10.08.5 - 2008 Capital - TDBU'!#REF!</definedName>
    <definedName name="BEx1NO6TXZVOGCUWCCRTXRXWW0XL" localSheetId="15" hidden="1">#REF!</definedName>
    <definedName name="BEx1NO6TXZVOGCUWCCRTXRXWW0XL" localSheetId="16" hidden="1">#REF!</definedName>
    <definedName name="BEx1NO6TXZVOGCUWCCRTXRXWW0XL" localSheetId="17" hidden="1">#REF!</definedName>
    <definedName name="BEx1NO6TXZVOGCUWCCRTXRXWW0XL" localSheetId="20" hidden="1">#REF!</definedName>
    <definedName name="BEx1NO6TXZVOGCUWCCRTXRXWW0XL" hidden="1">#REF!</definedName>
    <definedName name="BEx1NS8EU5P9FQV3S0WRTXI5L361" localSheetId="17" hidden="1">#REF!</definedName>
    <definedName name="BEx1NS8EU5P9FQV3S0WRTXI5L361" localSheetId="20" hidden="1">#REF!</definedName>
    <definedName name="BEx1NS8EU5P9FQV3S0WRTXI5L361" hidden="1">#REF!</definedName>
    <definedName name="BEx1NUBX5VUYZFKQH69FN6BTLWCR" localSheetId="17"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9" hidden="1">'[60]10.08.2 - 2008 Expense'!#REF!</definedName>
    <definedName name="BEx1PWNKPN825TMXC0L3V3FWMXS4" localSheetId="20" hidden="1">'[61]10.08.2 - 2008 Expense'!#REF!</definedName>
    <definedName name="BEx1PWNKPN825TMXC0L3V3FWMXS4" hidden="1">'[61]10.08.2 - 2008 Expense'!#REF!</definedName>
    <definedName name="BEx1Q21TG5PWZ4V504UC7VGQ9FEI" localSheetId="15" hidden="1">#REF!</definedName>
    <definedName name="BEx1Q21TG5PWZ4V504UC7VGQ9FEI" localSheetId="16" hidden="1">#REF!</definedName>
    <definedName name="BEx1Q21TG5PWZ4V504UC7VGQ9FEI" localSheetId="17" hidden="1">#REF!</definedName>
    <definedName name="BEx1Q21TG5PWZ4V504UC7VGQ9FEI" localSheetId="20" hidden="1">#REF!</definedName>
    <definedName name="BEx1Q21TG5PWZ4V504UC7VGQ9FEI" hidden="1">#REF!</definedName>
    <definedName name="BEx1QA54J2A4I7IBQR19BTY28ZMR" localSheetId="17" hidden="1">#REF!</definedName>
    <definedName name="BEx1QA54J2A4I7IBQR19BTY28ZMR" localSheetId="20" hidden="1">#REF!</definedName>
    <definedName name="BEx1QA54J2A4I7IBQR19BTY28ZMR" hidden="1">#REF!</definedName>
    <definedName name="BEx1QMKTAIQ9VGEWQ95YM98EUX0H" localSheetId="17"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9" hidden="1">'[60]10.08.3 - 2008 Expense - TDBU'!#REF!</definedName>
    <definedName name="BEx1SFGP1BMG8LP140SHD1AEEPXP" localSheetId="20" hidden="1">'[61]10.08.3 - 2008 Expense - TDBU'!#REF!</definedName>
    <definedName name="BEx1SFGP1BMG8LP140SHD1AEEPXP" hidden="1">'[61]10.08.3 - 2008 Expense - TDBU'!#REF!</definedName>
    <definedName name="BEx1SK3U02H0RGKEYXW7ZMCEOF3V" localSheetId="15" hidden="1">#REF!</definedName>
    <definedName name="BEx1SK3U02H0RGKEYXW7ZMCEOF3V" localSheetId="16" hidden="1">#REF!</definedName>
    <definedName name="BEx1SK3U02H0RGKEYXW7ZMCEOF3V" localSheetId="17" hidden="1">#REF!</definedName>
    <definedName name="BEx1SK3U02H0RGKEYXW7ZMCEOF3V" localSheetId="20" hidden="1">#REF!</definedName>
    <definedName name="BEx1SK3U02H0RGKEYXW7ZMCEOF3V" hidden="1">#REF!</definedName>
    <definedName name="BEx1SO5L68CL3H1IC2HQ6TPY8U6F" localSheetId="17" hidden="1">#REF!</definedName>
    <definedName name="BEx1SO5L68CL3H1IC2HQ6TPY8U6F" localSheetId="20" hidden="1">#REF!</definedName>
    <definedName name="BEx1SO5L68CL3H1IC2HQ6TPY8U6F" hidden="1">#REF!</definedName>
    <definedName name="BEx1SSNEZINBJT29QVS62VS1THT4" localSheetId="17"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9" hidden="1">'[60]10.08.4 -2008 Capital'!#REF!</definedName>
    <definedName name="BEx1TYRAHXVPGDVF5KTTB3900F58" localSheetId="20" hidden="1">'[61]10.08.4 -2008 Capital'!#REF!</definedName>
    <definedName name="BEx1TYRAHXVPGDVF5KTTB3900F58" hidden="1">'[61]10.08.4 -2008 Capital'!#REF!</definedName>
    <definedName name="BEx1U15M7LVVFZENH830B2BGWC04" localSheetId="15" hidden="1">#REF!</definedName>
    <definedName name="BEx1U15M7LVVFZENH830B2BGWC04" localSheetId="16" hidden="1">#REF!</definedName>
    <definedName name="BEx1U15M7LVVFZENH830B2BGWC04" localSheetId="17" hidden="1">#REF!</definedName>
    <definedName name="BEx1U15M7LVVFZENH830B2BGWC04" localSheetId="20" hidden="1">#REF!</definedName>
    <definedName name="BEx1U15M7LVVFZENH830B2BGWC04" hidden="1">#REF!</definedName>
    <definedName name="BEx1U5NGVTXGL4CIPVT5O034KGGR" localSheetId="9" hidden="1">'[60]10.08.3 - 2008 Expense - TDBU'!#REF!</definedName>
    <definedName name="BEx1U5NGVTXGL4CIPVT5O034KGGR" localSheetId="15" hidden="1">'[61]10.08.3 - 2008 Expense - TDBU'!#REF!</definedName>
    <definedName name="BEx1U5NGVTXGL4CIPVT5O034KGGR" localSheetId="16" hidden="1">'[61]10.08.3 - 2008 Expense - TDBU'!#REF!</definedName>
    <definedName name="BEx1U5NGVTXGL4CIPVT5O034KGGR" localSheetId="20" hidden="1">'[61]10.08.3 - 2008 Expense - TDBU'!#REF!</definedName>
    <definedName name="BEx1U5NGVTXGL4CIPVT5O034KGGR" hidden="1">'[61]10.08.3 - 2008 Expense - TDBU'!#REF!</definedName>
    <definedName name="BEx1U7WFO8OZKB1EBF4H386JW91L" localSheetId="15" hidden="1">#REF!</definedName>
    <definedName name="BEx1U7WFO8OZKB1EBF4H386JW91L" localSheetId="16" hidden="1">#REF!</definedName>
    <definedName name="BEx1U7WFO8OZKB1EBF4H386JW91L" localSheetId="17" hidden="1">#REF!</definedName>
    <definedName name="BEx1U7WFO8OZKB1EBF4H386JW91L" localSheetId="20" hidden="1">#REF!</definedName>
    <definedName name="BEx1U7WFO8OZKB1EBF4H386JW91L" hidden="1">#REF!</definedName>
    <definedName name="BEx1U87938YR9N6HYI24KVBKLOS3" localSheetId="17" hidden="1">#REF!</definedName>
    <definedName name="BEx1U87938YR9N6HYI24KVBKLOS3" localSheetId="20" hidden="1">#REF!</definedName>
    <definedName name="BEx1U87938YR9N6HYI24KVBKLOS3" hidden="1">#REF!</definedName>
    <definedName name="BEx1UESH4KDWHYESQU2IE55RS3LI" localSheetId="17"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9" hidden="1">'[60]10.08.5 - 2008 Capital - TDBU'!#REF!</definedName>
    <definedName name="BEx3FRIE1T53ZMO1E61ZGQ9THDOQ" localSheetId="20" hidden="1">'[61]10.08.5 - 2008 Capital - TDBU'!#REF!</definedName>
    <definedName name="BEx3FRIE1T53ZMO1E61ZGQ9THDOQ" hidden="1">'[61]10.08.5 - 2008 Capital - TDBU'!#REF!</definedName>
    <definedName name="BEx3FX7EJL47JSLSWP3EOC265WAE" localSheetId="15" hidden="1">#REF!</definedName>
    <definedName name="BEx3FX7EJL47JSLSWP3EOC265WAE" localSheetId="16" hidden="1">#REF!</definedName>
    <definedName name="BEx3FX7EJL47JSLSWP3EOC265WAE" localSheetId="17" hidden="1">#REF!</definedName>
    <definedName name="BEx3FX7EJL47JSLSWP3EOC265WAE" localSheetId="20" hidden="1">#REF!</definedName>
    <definedName name="BEx3FX7EJL47JSLSWP3EOC265WAE" hidden="1">#REF!</definedName>
    <definedName name="BEx3G201R8NLJ6FIHO2QS0SW9QVV" localSheetId="17" hidden="1">#REF!</definedName>
    <definedName name="BEx3G201R8NLJ6FIHO2QS0SW9QVV" localSheetId="20" hidden="1">#REF!</definedName>
    <definedName name="BEx3G201R8NLJ6FIHO2QS0SW9QVV" hidden="1">#REF!</definedName>
    <definedName name="BEx3G2LL2II66XY5YCDPG4JE13A3" localSheetId="17"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9" hidden="1">'[60]10.08.5 - 2008 Capital - TDBU'!#REF!</definedName>
    <definedName name="BEx3G3HT0ZM1BO84RTJMXZ1842C6" localSheetId="20" hidden="1">'[61]10.08.5 - 2008 Capital - TDBU'!#REF!</definedName>
    <definedName name="BEx3G3HT0ZM1BO84RTJMXZ1842C6" hidden="1">'[61]10.08.5 - 2008 Capital - TDBU'!#REF!</definedName>
    <definedName name="BEx3GCXR6IAS0B6WJ03GJVH7CO52" localSheetId="15" hidden="1">#REF!</definedName>
    <definedName name="BEx3GCXR6IAS0B6WJ03GJVH7CO52" localSheetId="16" hidden="1">#REF!</definedName>
    <definedName name="BEx3GCXR6IAS0B6WJ03GJVH7CO52" localSheetId="17" hidden="1">#REF!</definedName>
    <definedName name="BEx3GCXR6IAS0B6WJ03GJVH7CO52" localSheetId="20" hidden="1">#REF!</definedName>
    <definedName name="BEx3GCXR6IAS0B6WJ03GJVH7CO52" hidden="1">#REF!</definedName>
    <definedName name="BEx3GEVV18SEQDI1JGY7EN6D1GT1" localSheetId="17" hidden="1">#REF!</definedName>
    <definedName name="BEx3GEVV18SEQDI1JGY7EN6D1GT1" localSheetId="20" hidden="1">#REF!</definedName>
    <definedName name="BEx3GEVV18SEQDI1JGY7EN6D1GT1" hidden="1">#REF!</definedName>
    <definedName name="BEx3GKFH64MKQX61S7DYTZ15JCPY" localSheetId="17"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9" hidden="1">[62]Table!#REF!</definedName>
    <definedName name="BEx3O85IKWARA6NCJOLRBRJFMEWW" localSheetId="20" hidden="1">[63]Table!#REF!</definedName>
    <definedName name="BEx3O85IKWARA6NCJOLRBRJFMEWW" hidden="1">[63]Table!#REF!</definedName>
    <definedName name="BEx3OFCGQH8N5QT3C8M44CX5CLHX" localSheetId="15" hidden="1">#REF!</definedName>
    <definedName name="BEx3OFCGQH8N5QT3C8M44CX5CLHX" localSheetId="16" hidden="1">#REF!</definedName>
    <definedName name="BEx3OFCGQH8N5QT3C8M44CX5CLHX" localSheetId="17" hidden="1">#REF!</definedName>
    <definedName name="BEx3OFCGQH8N5QT3C8M44CX5CLHX" localSheetId="20" hidden="1">#REF!</definedName>
    <definedName name="BEx3OFCGQH8N5QT3C8M44CX5CLHX" hidden="1">#REF!</definedName>
    <definedName name="BEx3OJZSCGFRW7SVGBFI0X9DNVMM" localSheetId="17" hidden="1">#REF!</definedName>
    <definedName name="BEx3OJZSCGFRW7SVGBFI0X9DNVMM" localSheetId="20" hidden="1">#REF!</definedName>
    <definedName name="BEx3OJZSCGFRW7SVGBFI0X9DNVMM" hidden="1">#REF!</definedName>
    <definedName name="BEx3ORSBUXAF21MKEY90YJV9AY9A" localSheetId="17"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9" hidden="1">'[60]10.08.5 - 2008 Capital - TDBU'!#REF!</definedName>
    <definedName name="BEx3UG11PSVRK9DW5ZNKOB4T24MN" localSheetId="20" hidden="1">'[61]10.08.5 - 2008 Capital - TDBU'!#REF!</definedName>
    <definedName name="BEx3UG11PSVRK9DW5ZNKOB4T24MN" hidden="1">'[61]10.08.5 - 2008 Capital - TDBU'!#REF!</definedName>
    <definedName name="BEx3UIQ5B7PL8QJ6RI0LF7QJWLLO" localSheetId="15" hidden="1">#REF!</definedName>
    <definedName name="BEx3UIQ5B7PL8QJ6RI0LF7QJWLLO" localSheetId="16" hidden="1">#REF!</definedName>
    <definedName name="BEx3UIQ5B7PL8QJ6RI0LF7QJWLLO" localSheetId="17" hidden="1">#REF!</definedName>
    <definedName name="BEx3UIQ5B7PL8QJ6RI0LF7QJWLLO" localSheetId="20" hidden="1">#REF!</definedName>
    <definedName name="BEx3UIQ5B7PL8QJ6RI0LF7QJWLLO" hidden="1">#REF!</definedName>
    <definedName name="BEx3UIQ5WRJBGNTFCCLOR4N7B1OQ" localSheetId="17" hidden="1">#REF!</definedName>
    <definedName name="BEx3UIQ5WRJBGNTFCCLOR4N7B1OQ" localSheetId="20" hidden="1">#REF!</definedName>
    <definedName name="BEx3UIQ5WRJBGNTFCCLOR4N7B1OQ" hidden="1">#REF!</definedName>
    <definedName name="BEx3UJMIX2NUSSWGMSI25A5DM4CH" localSheetId="17"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9" hidden="1">'[60]10.08.5 - 2008 Capital - TDBU'!#REF!</definedName>
    <definedName name="BEx3UQ7WT8T56S476IYJBFTP1FBY" localSheetId="20" hidden="1">'[61]10.08.5 - 2008 Capital - TDBU'!#REF!</definedName>
    <definedName name="BEx3UQ7WT8T56S476IYJBFTP1FBY" hidden="1">'[61]10.08.5 - 2008 Capital - TDBU'!#REF!</definedName>
    <definedName name="BEx3UU46FGPB8C5GM6QZZZNI8FY1" localSheetId="15" hidden="1">#REF!</definedName>
    <definedName name="BEx3UU46FGPB8C5GM6QZZZNI8FY1" localSheetId="16" hidden="1">#REF!</definedName>
    <definedName name="BEx3UU46FGPB8C5GM6QZZZNI8FY1" localSheetId="17" hidden="1">#REF!</definedName>
    <definedName name="BEx3UU46FGPB8C5GM6QZZZNI8FY1" localSheetId="20" hidden="1">#REF!</definedName>
    <definedName name="BEx3UU46FGPB8C5GM6QZZZNI8FY1" hidden="1">#REF!</definedName>
    <definedName name="BEx3UYM19VIXLA0EU7LB9NHA77PB" localSheetId="17" hidden="1">#REF!</definedName>
    <definedName name="BEx3UYM19VIXLA0EU7LB9NHA77PB" localSheetId="20" hidden="1">#REF!</definedName>
    <definedName name="BEx3UYM19VIXLA0EU7LB9NHA77PB" hidden="1">#REF!</definedName>
    <definedName name="BEx3V0EPR8DD44FA1TJFATXBJ5BA" localSheetId="17"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9" hidden="1">'[60]10.08.3 - 2008 Expense - TDBU'!#REF!</definedName>
    <definedName name="BEx5ARVI26GBOMZ6NBHE2KUBTNSP" localSheetId="20" hidden="1">'[61]10.08.3 - 2008 Expense - TDBU'!#REF!</definedName>
    <definedName name="BEx5ARVI26GBOMZ6NBHE2KUBTNSP" hidden="1">'[61]10.08.3 - 2008 Expense - TDBU'!#REF!</definedName>
    <definedName name="BEx5AUVDSQ35VO4BD9AKKGBM5S7D" localSheetId="15" hidden="1">#REF!</definedName>
    <definedName name="BEx5AUVDSQ35VO4BD9AKKGBM5S7D" localSheetId="16" hidden="1">#REF!</definedName>
    <definedName name="BEx5AUVDSQ35VO4BD9AKKGBM5S7D" localSheetId="17" hidden="1">#REF!</definedName>
    <definedName name="BEx5AUVDSQ35VO4BD9AKKGBM5S7D" localSheetId="20" hidden="1">#REF!</definedName>
    <definedName name="BEx5AUVDSQ35VO4BD9AKKGBM5S7D" hidden="1">#REF!</definedName>
    <definedName name="BEx5B4RHHX0J1BF2FZKEA0SPP29O" localSheetId="17" hidden="1">#REF!</definedName>
    <definedName name="BEx5B4RHHX0J1BF2FZKEA0SPP29O" localSheetId="20" hidden="1">#REF!</definedName>
    <definedName name="BEx5B4RHHX0J1BF2FZKEA0SPP29O" hidden="1">#REF!</definedName>
    <definedName name="BEx5B5YMSWP0OVI5CIQRP5V18D0C" localSheetId="17"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9" hidden="1">[62]Table!#REF!</definedName>
    <definedName name="BEx5MLQZM68YQSKARVWTTPINFQ2C" localSheetId="20" hidden="1">[63]Table!#REF!</definedName>
    <definedName name="BEx5MLQZM68YQSKARVWTTPINFQ2C" hidden="1">[63]Table!#REF!</definedName>
    <definedName name="BEx5MVXTKNBXHNWTL43C670E4KXC" localSheetId="15" hidden="1">#REF!</definedName>
    <definedName name="BEx5MVXTKNBXHNWTL43C670E4KXC" localSheetId="16" hidden="1">#REF!</definedName>
    <definedName name="BEx5MVXTKNBXHNWTL43C670E4KXC" localSheetId="17" hidden="1">#REF!</definedName>
    <definedName name="BEx5MVXTKNBXHNWTL43C670E4KXC" localSheetId="20" hidden="1">#REF!</definedName>
    <definedName name="BEx5MVXTKNBXHNWTL43C670E4KXC" hidden="1">#REF!</definedName>
    <definedName name="BEx5N4XI4PWB1W9PMZ4O5R0HWTYD" localSheetId="17" hidden="1">#REF!</definedName>
    <definedName name="BEx5N4XI4PWB1W9PMZ4O5R0HWTYD" localSheetId="20" hidden="1">#REF!</definedName>
    <definedName name="BEx5N4XI4PWB1W9PMZ4O5R0HWTYD" hidden="1">#REF!</definedName>
    <definedName name="BEx5N8TQPT9Q7AMBG5SNEYKR98Y8" localSheetId="17"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9" hidden="1">'[60]10.08.5 - 2008 Capital - TDBU'!#REF!</definedName>
    <definedName name="BEx5P3243YD55WK9A04WKXBOHZ9F" localSheetId="20" hidden="1">'[61]10.08.5 - 2008 Capital - TDBU'!#REF!</definedName>
    <definedName name="BEx5P3243YD55WK9A04WKXBOHZ9F" hidden="1">'[61]10.08.5 - 2008 Capital - TDBU'!#REF!</definedName>
    <definedName name="BEx5P9Y9RDXNUAJ6CZ2LHMM8IM7T" localSheetId="15" hidden="1">#REF!</definedName>
    <definedName name="BEx5P9Y9RDXNUAJ6CZ2LHMM8IM7T" localSheetId="16" hidden="1">#REF!</definedName>
    <definedName name="BEx5P9Y9RDXNUAJ6CZ2LHMM8IM7T" localSheetId="17" hidden="1">#REF!</definedName>
    <definedName name="BEx5P9Y9RDXNUAJ6CZ2LHMM8IM7T" localSheetId="20" hidden="1">#REF!</definedName>
    <definedName name="BEx5P9Y9RDXNUAJ6CZ2LHMM8IM7T" hidden="1">#REF!</definedName>
    <definedName name="BEx5PF76KPATYJ4N41VA1D7CDWY4" localSheetId="17" hidden="1">#REF!</definedName>
    <definedName name="BEx5PF76KPATYJ4N41VA1D7CDWY4" localSheetId="20" hidden="1">#REF!</definedName>
    <definedName name="BEx5PF76KPATYJ4N41VA1D7CDWY4" hidden="1">#REF!</definedName>
    <definedName name="BEx5PHWB2C0D5QLP3BZIP3UO7DIZ" localSheetId="17"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9" hidden="1">'[60]10.08.4 -2008 Capital'!#REF!</definedName>
    <definedName name="BEx75OHUDAC9RZDLL9L4I1L7VQ21" localSheetId="20" hidden="1">'[61]10.08.4 -2008 Capital'!#REF!</definedName>
    <definedName name="BEx75OHUDAC9RZDLL9L4I1L7VQ21" hidden="1">'[61]10.08.4 -2008 Capital'!#REF!</definedName>
    <definedName name="BEx75PZT8TY5P13U978NVBUXKHT4" localSheetId="15" hidden="1">#REF!</definedName>
    <definedName name="BEx75PZT8TY5P13U978NVBUXKHT4" localSheetId="16" hidden="1">#REF!</definedName>
    <definedName name="BEx75PZT8TY5P13U978NVBUXKHT4" localSheetId="17" hidden="1">#REF!</definedName>
    <definedName name="BEx75PZT8TY5P13U978NVBUXKHT4" localSheetId="20" hidden="1">#REF!</definedName>
    <definedName name="BEx75PZT8TY5P13U978NVBUXKHT4" hidden="1">#REF!</definedName>
    <definedName name="BEx75T55F7GML8V1DMWL26WRT006" localSheetId="17" hidden="1">#REF!</definedName>
    <definedName name="BEx75T55F7GML8V1DMWL26WRT006" localSheetId="20" hidden="1">#REF!</definedName>
    <definedName name="BEx75T55F7GML8V1DMWL26WRT006" hidden="1">#REF!</definedName>
    <definedName name="BEx75VJGR07JY6UUWURQ4PJ29UKC" localSheetId="17"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9" hidden="1">'[60]10.08.5 - 2008 Capital - TDBU'!#REF!</definedName>
    <definedName name="BEx76F0MJW2PS2LZH14RJZO14ARD" localSheetId="20" hidden="1">'[61]10.08.5 - 2008 Capital - TDBU'!#REF!</definedName>
    <definedName name="BEx76F0MJW2PS2LZH14RJZO14ARD" hidden="1">'[61]10.08.5 - 2008 Capital - TDBU'!#REF!</definedName>
    <definedName name="BEx7741OUGLA0WJQLQRUJSL4DE00" localSheetId="15" hidden="1">#REF!</definedName>
    <definedName name="BEx7741OUGLA0WJQLQRUJSL4DE00" localSheetId="16" hidden="1">#REF!</definedName>
    <definedName name="BEx7741OUGLA0WJQLQRUJSL4DE00" localSheetId="17" hidden="1">#REF!</definedName>
    <definedName name="BEx7741OUGLA0WJQLQRUJSL4DE00" localSheetId="20" hidden="1">#REF!</definedName>
    <definedName name="BEx7741OUGLA0WJQLQRUJSL4DE00" hidden="1">#REF!</definedName>
    <definedName name="BEx774N83DXLJZ54Q42PWIJZ2DN1" localSheetId="17" hidden="1">#REF!</definedName>
    <definedName name="BEx774N83DXLJZ54Q42PWIJZ2DN1" localSheetId="20" hidden="1">#REF!</definedName>
    <definedName name="BEx774N83DXLJZ54Q42PWIJZ2DN1" hidden="1">#REF!</definedName>
    <definedName name="BEx779QNIY3061ZV9BR462WKEGRW" localSheetId="17"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9" hidden="1">'[60]10.08.5 - 2008 Capital - TDBU'!#REF!</definedName>
    <definedName name="BEx77NIZM6XEWOV6EXQU2UG5MSUR" localSheetId="20" hidden="1">'[61]10.08.5 - 2008 Capital - TDBU'!#REF!</definedName>
    <definedName name="BEx77NIZM6XEWOV6EXQU2UG5MSUR" hidden="1">'[61]10.08.5 - 2008 Capital - TDBU'!#REF!</definedName>
    <definedName name="BEx77P0S3GVMS7BJUL9OWUGJ1B02" localSheetId="15" hidden="1">#REF!</definedName>
    <definedName name="BEx77P0S3GVMS7BJUL9OWUGJ1B02" localSheetId="16" hidden="1">#REF!</definedName>
    <definedName name="BEx77P0S3GVMS7BJUL9OWUGJ1B02" localSheetId="17" hidden="1">#REF!</definedName>
    <definedName name="BEx77P0S3GVMS7BJUL9OWUGJ1B02" localSheetId="20" hidden="1">#REF!</definedName>
    <definedName name="BEx77P0S3GVMS7BJUL9OWUGJ1B02" hidden="1">#REF!</definedName>
    <definedName name="BEx77P69SYJJ2S37W7MAD4IWKUO4" localSheetId="17" hidden="1">#REF!</definedName>
    <definedName name="BEx77P69SYJJ2S37W7MAD4IWKUO4" localSheetId="20" hidden="1">#REF!</definedName>
    <definedName name="BEx77P69SYJJ2S37W7MAD4IWKUO4" hidden="1">#REF!</definedName>
    <definedName name="BEx77QDESURI6WW5582YXSK3A972" localSheetId="17"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9" hidden="1">'[60]10.08.4 -2008 Capital'!#REF!</definedName>
    <definedName name="BEx7A1DZ3ACKTQDO9ELXW44GL8Y2" localSheetId="20" hidden="1">'[61]10.08.4 -2008 Capital'!#REF!</definedName>
    <definedName name="BEx7A1DZ3ACKTQDO9ELXW44GL8Y2" hidden="1">'[61]10.08.4 -2008 Capital'!#REF!</definedName>
    <definedName name="BEx7A7DRZSSF2EG6JQH27X93U90I" localSheetId="15" hidden="1">#REF!</definedName>
    <definedName name="BEx7A7DRZSSF2EG6JQH27X93U90I" localSheetId="16" hidden="1">#REF!</definedName>
    <definedName name="BEx7A7DRZSSF2EG6JQH27X93U90I" localSheetId="17" hidden="1">#REF!</definedName>
    <definedName name="BEx7A7DRZSSF2EG6JQH27X93U90I" localSheetId="20" hidden="1">#REF!</definedName>
    <definedName name="BEx7A7DRZSSF2EG6JQH27X93U90I" hidden="1">#REF!</definedName>
    <definedName name="BEx7A9S3JA1X7FH4CFSQLTZC4691" localSheetId="17" hidden="1">#REF!</definedName>
    <definedName name="BEx7A9S3JA1X7FH4CFSQLTZC4691" localSheetId="20" hidden="1">#REF!</definedName>
    <definedName name="BEx7A9S3JA1X7FH4CFSQLTZC4691" hidden="1">#REF!</definedName>
    <definedName name="BEx7ABA2C9IWH5VSLVLLLCY62161" localSheetId="17"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9" hidden="1">'[60]10.08.5 - 2008 Capital - TDBU'!#REF!</definedName>
    <definedName name="BEx7AJ81S7N0ZOX5HWUXTT04D8KK" localSheetId="20" hidden="1">'[61]10.08.5 - 2008 Capital - TDBU'!#REF!</definedName>
    <definedName name="BEx7AJ81S7N0ZOX5HWUXTT04D8KK" hidden="1">'[61]10.08.5 - 2008 Capital - TDBU'!#REF!</definedName>
    <definedName name="BEx7AQKAXA50BVHLEWZFVHEFM6BR" localSheetId="15" hidden="1">#REF!</definedName>
    <definedName name="BEx7AQKAXA50BVHLEWZFVHEFM6BR" localSheetId="16" hidden="1">#REF!</definedName>
    <definedName name="BEx7AQKAXA50BVHLEWZFVHEFM6BR" localSheetId="17" hidden="1">#REF!</definedName>
    <definedName name="BEx7AQKAXA50BVHLEWZFVHEFM6BR" localSheetId="20" hidden="1">#REF!</definedName>
    <definedName name="BEx7AQKAXA50BVHLEWZFVHEFM6BR" hidden="1">#REF!</definedName>
    <definedName name="BEx7ASD1I654MEDCO6GGWA95PXSC" localSheetId="17" hidden="1">#REF!</definedName>
    <definedName name="BEx7ASD1I654MEDCO6GGWA95PXSC" localSheetId="20" hidden="1">#REF!</definedName>
    <definedName name="BEx7ASD1I654MEDCO6GGWA95PXSC" hidden="1">#REF!</definedName>
    <definedName name="BEx7AVCX9S5RJP3NSZ4QM4E6ERDT" localSheetId="17"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9" hidden="1">'[60]10.08.3 - 2008 Expense - TDBU'!#REF!</definedName>
    <definedName name="BEx7KMGGB2E6YDRM0M7DPVYH3ADI" localSheetId="20" hidden="1">'[61]10.08.3 - 2008 Expense - TDBU'!#REF!</definedName>
    <definedName name="BEx7KMGGB2E6YDRM0M7DPVYH3ADI" hidden="1">'[61]10.08.3 - 2008 Expense - TDBU'!#REF!</definedName>
    <definedName name="BEx7KR92AZ8OH3I7N51J8AU9LRP3" localSheetId="15" hidden="1">#REF!</definedName>
    <definedName name="BEx7KR92AZ8OH3I7N51J8AU9LRP3" localSheetId="16" hidden="1">#REF!</definedName>
    <definedName name="BEx7KR92AZ8OH3I7N51J8AU9LRP3" localSheetId="17" hidden="1">#REF!</definedName>
    <definedName name="BEx7KR92AZ8OH3I7N51J8AU9LRP3" localSheetId="20" hidden="1">#REF!</definedName>
    <definedName name="BEx7KR92AZ8OH3I7N51J8AU9LRP3" hidden="1">#REF!</definedName>
    <definedName name="BEx7KSAS8BZT6H8OQCZ5DNSTMO07" localSheetId="17" hidden="1">#REF!</definedName>
    <definedName name="BEx7KSAS8BZT6H8OQCZ5DNSTMO07" localSheetId="20" hidden="1">#REF!</definedName>
    <definedName name="BEx7KSAS8BZT6H8OQCZ5DNSTMO07" hidden="1">#REF!</definedName>
    <definedName name="BEx7KWHTBD21COXVI4HNEQH0Z3L8" localSheetId="1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9" hidden="1">'[60]10.08.2 - 2008 Expense'!#REF!</definedName>
    <definedName name="BEx7LZ0D7JSY0VK5FBGMZE26ZKFJ" localSheetId="20" hidden="1">'[61]10.08.2 - 2008 Expense'!#REF!</definedName>
    <definedName name="BEx7LZ0D7JSY0VK5FBGMZE26ZKFJ" hidden="1">'[61]10.08.2 - 2008 Expense'!#REF!</definedName>
    <definedName name="BEx7MAUI1JJFDIJGDW4RWY5384LY" localSheetId="15" hidden="1">#REF!</definedName>
    <definedName name="BEx7MAUI1JJFDIJGDW4RWY5384LY" localSheetId="16" hidden="1">#REF!</definedName>
    <definedName name="BEx7MAUI1JJFDIJGDW4RWY5384LY" localSheetId="17" hidden="1">#REF!</definedName>
    <definedName name="BEx7MAUI1JJFDIJGDW4RWY5384LY" localSheetId="20" hidden="1">#REF!</definedName>
    <definedName name="BEx7MAUI1JJFDIJGDW4RWY5384LY" hidden="1">#REF!</definedName>
    <definedName name="BEx7MJZO3UKAMJ53UWOJ5ZD4GGMQ" localSheetId="17" hidden="1">#REF!</definedName>
    <definedName name="BEx7MJZO3UKAMJ53UWOJ5ZD4GGMQ" localSheetId="20" hidden="1">#REF!</definedName>
    <definedName name="BEx7MJZO3UKAMJ53UWOJ5ZD4GGMQ" hidden="1">#REF!</definedName>
    <definedName name="BEx7MQ4RBQK32VUVPFRBYN76KSOD" localSheetId="17"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9" hidden="1">'[60]10.08.3 - 2008 Expense - TDBU'!#REF!</definedName>
    <definedName name="BEx911WE3W1AI7TEJHN5ROFMFVQ8" localSheetId="20" hidden="1">'[61]10.08.3 - 2008 Expense - TDBU'!#REF!</definedName>
    <definedName name="BEx911WE3W1AI7TEJHN5ROFMFVQ8" hidden="1">'[61]10.08.3 - 2008 Expense - TDBU'!#REF!</definedName>
    <definedName name="BEx9175B70QXYAU5A8DJPGZQ46L9" localSheetId="15" hidden="1">#REF!</definedName>
    <definedName name="BEx9175B70QXYAU5A8DJPGZQ46L9" localSheetId="16" hidden="1">#REF!</definedName>
    <definedName name="BEx9175B70QXYAU5A8DJPGZQ46L9" localSheetId="17" hidden="1">#REF!</definedName>
    <definedName name="BEx9175B70QXYAU5A8DJPGZQ46L9" localSheetId="20" hidden="1">#REF!</definedName>
    <definedName name="BEx9175B70QXYAU5A8DJPGZQ46L9" hidden="1">#REF!</definedName>
    <definedName name="BEx917QTZAYKMWFVDPZEDX8FH1J3" localSheetId="17" hidden="1">#REF!</definedName>
    <definedName name="BEx917QTZAYKMWFVDPZEDX8FH1J3" localSheetId="20" hidden="1">#REF!</definedName>
    <definedName name="BEx917QTZAYKMWFVDPZEDX8FH1J3" hidden="1">#REF!</definedName>
    <definedName name="BEx91AQQRTV87AO27VWHSFZAD4ZR" localSheetId="17"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9" hidden="1">'[60]10.08.5 - 2008 Capital - TDBU'!#REF!</definedName>
    <definedName name="BEx96KWJ7BHXX4IIM048C3O7S59S" localSheetId="20" hidden="1">'[61]10.08.5 - 2008 Capital - TDBU'!#REF!</definedName>
    <definedName name="BEx96KWJ7BHXX4IIM048C3O7S59S" hidden="1">'[61]10.08.5 - 2008 Capital - TDBU'!#REF!</definedName>
    <definedName name="BEx96SUFKHHFE8XQ6UUO6ILDOXHO" localSheetId="15" hidden="1">#REF!</definedName>
    <definedName name="BEx96SUFKHHFE8XQ6UUO6ILDOXHO" localSheetId="16" hidden="1">#REF!</definedName>
    <definedName name="BEx96SUFKHHFE8XQ6UUO6ILDOXHO" localSheetId="17" hidden="1">#REF!</definedName>
    <definedName name="BEx96SUFKHHFE8XQ6UUO6ILDOXHO" localSheetId="20" hidden="1">#REF!</definedName>
    <definedName name="BEx96SUFKHHFE8XQ6UUO6ILDOXHO" hidden="1">#REF!</definedName>
    <definedName name="BEx96UN4YWXBDEZ1U1ZUIPP41Z7I" localSheetId="17" hidden="1">#REF!</definedName>
    <definedName name="BEx96UN4YWXBDEZ1U1ZUIPP41Z7I" localSheetId="20" hidden="1">#REF!</definedName>
    <definedName name="BEx96UN4YWXBDEZ1U1ZUIPP41Z7I" hidden="1">#REF!</definedName>
    <definedName name="BEx970MYCPJ6DQ44TKLOIGZO5LHH" localSheetId="17"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9" hidden="1">'[60]10.08.5 - 2008 Capital - TDBU'!#REF!</definedName>
    <definedName name="BEx9HVQR4IC0WPZ653S8B4V0A13M" localSheetId="20" hidden="1">'[61]10.08.5 - 2008 Capital - TDBU'!#REF!</definedName>
    <definedName name="BEx9HVQR4IC0WPZ653S8B4V0A13M" hidden="1">'[61]10.08.5 - 2008 Capital - TDBU'!#REF!</definedName>
    <definedName name="BEx9I38IOO8BH8XCE1W3NL31U1L9" localSheetId="15" hidden="1">#REF!</definedName>
    <definedName name="BEx9I38IOO8BH8XCE1W3NL31U1L9" localSheetId="16" hidden="1">#REF!</definedName>
    <definedName name="BEx9I38IOO8BH8XCE1W3NL31U1L9" localSheetId="17" hidden="1">#REF!</definedName>
    <definedName name="BEx9I38IOO8BH8XCE1W3NL31U1L9" localSheetId="20" hidden="1">#REF!</definedName>
    <definedName name="BEx9I38IOO8BH8XCE1W3NL31U1L9" hidden="1">#REF!</definedName>
    <definedName name="BEx9I8XIG7E5NB48QQHXP23FIN60" localSheetId="17" hidden="1">#REF!</definedName>
    <definedName name="BEx9I8XIG7E5NB48QQHXP23FIN60" localSheetId="20" hidden="1">#REF!</definedName>
    <definedName name="BEx9I8XIG7E5NB48QQHXP23FIN60" hidden="1">#REF!</definedName>
    <definedName name="BEx9IHX7C0FG3M2R14H0SWIUGAOA" localSheetId="17"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9" hidden="1">'[60]10.08.5 - 2008 Capital - TDBU'!#REF!</definedName>
    <definedName name="BExAZXXGBA3DZ26LBRJCSRIMDYY6" localSheetId="20" hidden="1">'[61]10.08.5 - 2008 Capital - TDBU'!#REF!</definedName>
    <definedName name="BExAZXXGBA3DZ26LBRJCSRIMDYY6" hidden="1">'[61]10.08.5 - 2008 Capital - TDBU'!#REF!</definedName>
    <definedName name="BExB012NJ8GASTNNPBRRFTLHIOC9" localSheetId="15" hidden="1">#REF!</definedName>
    <definedName name="BExB012NJ8GASTNNPBRRFTLHIOC9" localSheetId="16" hidden="1">#REF!</definedName>
    <definedName name="BExB012NJ8GASTNNPBRRFTLHIOC9" localSheetId="17" hidden="1">#REF!</definedName>
    <definedName name="BExB012NJ8GASTNNPBRRFTLHIOC9" localSheetId="20" hidden="1">#REF!</definedName>
    <definedName name="BExB012NJ8GASTNNPBRRFTLHIOC9" hidden="1">#REF!</definedName>
    <definedName name="BExB072HHXVMUC0VYNGG48GRSH5Q" localSheetId="17" hidden="1">#REF!</definedName>
    <definedName name="BExB072HHXVMUC0VYNGG48GRSH5Q" localSheetId="20" hidden="1">#REF!</definedName>
    <definedName name="BExB072HHXVMUC0VYNGG48GRSH5Q" hidden="1">#REF!</definedName>
    <definedName name="BExB0FRDEYDEUEAB1W8KD6D965XA" localSheetId="17"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9" hidden="1">'[60]10.08.2 - 2008 Expense'!#REF!</definedName>
    <definedName name="BExBD05M2XLZ3FDJC1J5FM7IICZB" localSheetId="20" hidden="1">'[61]10.08.2 - 2008 Expense'!#REF!</definedName>
    <definedName name="BExBD05M2XLZ3FDJC1J5FM7IICZB" hidden="1">'[61]10.08.2 - 2008 Expense'!#REF!</definedName>
    <definedName name="BExBD4I559NXSV6J07Q343TKYMVJ" localSheetId="15" hidden="1">#REF!</definedName>
    <definedName name="BExBD4I559NXSV6J07Q343TKYMVJ" localSheetId="16" hidden="1">#REF!</definedName>
    <definedName name="BExBD4I559NXSV6J07Q343TKYMVJ" localSheetId="17" hidden="1">#REF!</definedName>
    <definedName name="BExBD4I559NXSV6J07Q343TKYMVJ" localSheetId="20" hidden="1">#REF!</definedName>
    <definedName name="BExBD4I559NXSV6J07Q343TKYMVJ" hidden="1">#REF!</definedName>
    <definedName name="BExBDBZQLTX3OGFYGULQFK5WEZU5" localSheetId="17" hidden="1">#REF!</definedName>
    <definedName name="BExBDBZQLTX3OGFYGULQFK5WEZU5" localSheetId="20" hidden="1">#REF!</definedName>
    <definedName name="BExBDBZQLTX3OGFYGULQFK5WEZU5" hidden="1">#REF!</definedName>
    <definedName name="BExBDJS9TUEU8Z84IV59E5V4T8K6" localSheetId="17"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9" hidden="1">'[60]10.08.5 - 2008 Capital - TDBU'!#REF!</definedName>
    <definedName name="BExBDVH3DOL955WK34ZBD4XWH6OI" localSheetId="20" hidden="1">'[61]10.08.5 - 2008 Capital - TDBU'!#REF!</definedName>
    <definedName name="BExBDVH3DOL955WK34ZBD4XWH6OI" hidden="1">'[61]10.08.5 - 2008 Capital - TDBU'!#REF!</definedName>
    <definedName name="BExBE162OSBKD30I7T1DKKPT3I9I" localSheetId="15" hidden="1">#REF!</definedName>
    <definedName name="BExBE162OSBKD30I7T1DKKPT3I9I" localSheetId="16" hidden="1">#REF!</definedName>
    <definedName name="BExBE162OSBKD30I7T1DKKPT3I9I" localSheetId="17" hidden="1">#REF!</definedName>
    <definedName name="BExBE162OSBKD30I7T1DKKPT3I9I" localSheetId="20" hidden="1">#REF!</definedName>
    <definedName name="BExBE162OSBKD30I7T1DKKPT3I9I" hidden="1">#REF!</definedName>
    <definedName name="BExBE5YPUY1T7N7DHMMIGGXK8TMP" localSheetId="17" hidden="1">#REF!</definedName>
    <definedName name="BExBE5YPUY1T7N7DHMMIGGXK8TMP" localSheetId="20" hidden="1">#REF!</definedName>
    <definedName name="BExBE5YPUY1T7N7DHMMIGGXK8TMP" hidden="1">#REF!</definedName>
    <definedName name="BExBE827OBMEXJZS59TKFQS6FC0Z" localSheetId="17"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9" hidden="1">'[60]10.08.2 - 2008 Expense'!#REF!</definedName>
    <definedName name="BExCUT768Y9WTBMX7GXYUGHWIXZD" localSheetId="20" hidden="1">'[61]10.08.2 - 2008 Expense'!#REF!</definedName>
    <definedName name="BExCUT768Y9WTBMX7GXYUGHWIXZD" hidden="1">'[61]10.08.2 - 2008 Expense'!#REF!</definedName>
    <definedName name="BExCUW1QXVMEP3B9SFPNEEWCG9I0" localSheetId="9" hidden="1">'[60]10.08.5 - 2008 Capital - TDBU'!#REF!</definedName>
    <definedName name="BExCUW1QXVMEP3B9SFPNEEWCG9I0" localSheetId="20" hidden="1">'[61]10.08.5 - 2008 Capital - TDBU'!#REF!</definedName>
    <definedName name="BExCUW1QXVMEP3B9SFPNEEWCG9I0" hidden="1">'[61]10.08.5 - 2008 Capital - TDBU'!#REF!</definedName>
    <definedName name="BExCUWN57J3KE1LMYFY8FAMDD57T" localSheetId="15" hidden="1">#REF!</definedName>
    <definedName name="BExCUWN57J3KE1LMYFY8FAMDD57T" localSheetId="16" hidden="1">#REF!</definedName>
    <definedName name="BExCUWN57J3KE1LMYFY8FAMDD57T" localSheetId="17" hidden="1">#REF!</definedName>
    <definedName name="BExCUWN57J3KE1LMYFY8FAMDD57T" localSheetId="20" hidden="1">#REF!</definedName>
    <definedName name="BExCUWN57J3KE1LMYFY8FAMDD57T" hidden="1">#REF!</definedName>
    <definedName name="BExCV4VXZA9HAYPSLTWYK66MGS3Y" localSheetId="17" hidden="1">#REF!</definedName>
    <definedName name="BExCV4VXZA9HAYPSLTWYK66MGS3Y" localSheetId="20" hidden="1">#REF!</definedName>
    <definedName name="BExCV4VXZA9HAYPSLTWYK66MGS3Y" hidden="1">#REF!</definedName>
    <definedName name="BExCV634L7SVHGB0UDDTRRQ2Q72H" localSheetId="17"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9" hidden="1">'[60]10.08.4 -2008 Capital'!#REF!</definedName>
    <definedName name="BExD4440VK5VJ036LP729F6A0YGC" localSheetId="20" hidden="1">'[61]10.08.4 -2008 Capital'!#REF!</definedName>
    <definedName name="BExD4440VK5VJ036LP729F6A0YGC" hidden="1">'[61]10.08.4 -2008 Capital'!#REF!</definedName>
    <definedName name="BExD4BLRYNKM0GO3B3KP6590EN75" localSheetId="15" hidden="1">#REF!</definedName>
    <definedName name="BExD4BLRYNKM0GO3B3KP6590EN75" localSheetId="16" hidden="1">#REF!</definedName>
    <definedName name="BExD4BLRYNKM0GO3B3KP6590EN75" localSheetId="17" hidden="1">#REF!</definedName>
    <definedName name="BExD4BLRYNKM0GO3B3KP6590EN75" localSheetId="20" hidden="1">#REF!</definedName>
    <definedName name="BExD4BLRYNKM0GO3B3KP6590EN75" hidden="1">#REF!</definedName>
    <definedName name="BExD4BR9HJ3MWWZ5KLVZWX9FJAUS" localSheetId="17" hidden="1">#REF!</definedName>
    <definedName name="BExD4BR9HJ3MWWZ5KLVZWX9FJAUS" localSheetId="20" hidden="1">#REF!</definedName>
    <definedName name="BExD4BR9HJ3MWWZ5KLVZWX9FJAUS" hidden="1">#REF!</definedName>
    <definedName name="BExD4CYDIFKUQ00ORL8MH1G8AEOH" localSheetId="17"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9" hidden="1">'[60]10.08.2 - 2008 Expense'!#REF!</definedName>
    <definedName name="BExD4ZQEW7F25SBOT6GFHWYONPD2" localSheetId="20" hidden="1">'[61]10.08.2 - 2008 Expense'!#REF!</definedName>
    <definedName name="BExD4ZQEW7F25SBOT6GFHWYONPD2" hidden="1">'[61]10.08.2 - 2008 Expense'!#REF!</definedName>
    <definedName name="BExD50MT3M6XZLNUP9JL93EG6D9R" localSheetId="15" hidden="1">#REF!</definedName>
    <definedName name="BExD50MT3M6XZLNUP9JL93EG6D9R" localSheetId="16" hidden="1">#REF!</definedName>
    <definedName name="BExD50MT3M6XZLNUP9JL93EG6D9R" localSheetId="17" hidden="1">#REF!</definedName>
    <definedName name="BExD50MT3M6XZLNUP9JL93EG6D9R" localSheetId="20" hidden="1">#REF!</definedName>
    <definedName name="BExD50MT3M6XZLNUP9JL93EG6D9R" hidden="1">#REF!</definedName>
    <definedName name="BExD58FB2E94KZRKVS2HR2X2RPON" localSheetId="17" hidden="1">#REF!</definedName>
    <definedName name="BExD58FB2E94KZRKVS2HR2X2RPON" localSheetId="20" hidden="1">#REF!</definedName>
    <definedName name="BExD58FB2E94KZRKVS2HR2X2RPON" hidden="1">#REF!</definedName>
    <definedName name="BExD5EV7KDSVF1CJT38M4IBPFLPY" localSheetId="17"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9" hidden="1">'[60]10.08.3 - 2008 Expense - TDBU'!#REF!</definedName>
    <definedName name="BExD9C0ZMLX1WR2QR1YPWX15IH8W" localSheetId="20" hidden="1">'[61]10.08.3 - 2008 Expense - TDBU'!#REF!</definedName>
    <definedName name="BExD9C0ZMLX1WR2QR1YPWX15IH8W" hidden="1">'[61]10.08.3 - 2008 Expense - TDBU'!#REF!</definedName>
    <definedName name="BExD9L0ID3VSOU609GKWYTA5BFMA" localSheetId="15" hidden="1">#REF!</definedName>
    <definedName name="BExD9L0ID3VSOU609GKWYTA5BFMA" localSheetId="16" hidden="1">#REF!</definedName>
    <definedName name="BExD9L0ID3VSOU609GKWYTA5BFMA" localSheetId="17" hidden="1">#REF!</definedName>
    <definedName name="BExD9L0ID3VSOU609GKWYTA5BFMA" localSheetId="20" hidden="1">#REF!</definedName>
    <definedName name="BExD9L0ID3VSOU609GKWYTA5BFMA" hidden="1">#REF!</definedName>
    <definedName name="BExD9M7SEMG0JK2FUTTZXWIEBTKB" localSheetId="17" hidden="1">#REF!</definedName>
    <definedName name="BExD9M7SEMG0JK2FUTTZXWIEBTKB" localSheetId="20" hidden="1">#REF!</definedName>
    <definedName name="BExD9M7SEMG0JK2FUTTZXWIEBTKB" hidden="1">#REF!</definedName>
    <definedName name="BExD9MNYBYB1AICQL5165G472IE2" localSheetId="17"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9" hidden="1">[62]Table!#REF!</definedName>
    <definedName name="BExERWCEBKQRYWRQLYJ4UCMMKTHG" localSheetId="20" hidden="1">[63]Table!#REF!</definedName>
    <definedName name="BExERWCEBKQRYWRQLYJ4UCMMKTHG" hidden="1">[63]Table!#REF!</definedName>
    <definedName name="BExES1QK2RJM42AWEVW7RIMFEW0F" localSheetId="15" hidden="1">#REF!</definedName>
    <definedName name="BExES1QK2RJM42AWEVW7RIMFEW0F" localSheetId="16" hidden="1">#REF!</definedName>
    <definedName name="BExES1QK2RJM42AWEVW7RIMFEW0F" localSheetId="17" hidden="1">#REF!</definedName>
    <definedName name="BExES1QK2RJM42AWEVW7RIMFEW0F" localSheetId="20" hidden="1">#REF!</definedName>
    <definedName name="BExES1QK2RJM42AWEVW7RIMFEW0F" hidden="1">#REF!</definedName>
    <definedName name="BExES44RHHDL3V7FLV6M20834WF1" localSheetId="17" hidden="1">#REF!</definedName>
    <definedName name="BExES44RHHDL3V7FLV6M20834WF1" localSheetId="20" hidden="1">#REF!</definedName>
    <definedName name="BExES44RHHDL3V7FLV6M20834WF1" hidden="1">#REF!</definedName>
    <definedName name="BExES4A7VE2X3RYYTVRLKZD4I7WU" localSheetId="17"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9" hidden="1">'[60]10.08.4 -2008 Capital'!#REF!</definedName>
    <definedName name="BExEV1H9B1FRT8LPRHN7ODLAOI8T" localSheetId="20" hidden="1">'[61]10.08.4 -2008 Capital'!#REF!</definedName>
    <definedName name="BExEV1H9B1FRT8LPRHN7ODLAOI8T" hidden="1">'[61]10.08.4 -2008 Capital'!#REF!</definedName>
    <definedName name="BExEV2TP7NA3ZR6RJGH5ER370OUM" localSheetId="15" hidden="1">#REF!</definedName>
    <definedName name="BExEV2TP7NA3ZR6RJGH5ER370OUM" localSheetId="16" hidden="1">#REF!</definedName>
    <definedName name="BExEV2TP7NA3ZR6RJGH5ER370OUM" localSheetId="17" hidden="1">#REF!</definedName>
    <definedName name="BExEV2TP7NA3ZR6RJGH5ER370OUM" localSheetId="20" hidden="1">#REF!</definedName>
    <definedName name="BExEV2TP7NA3ZR6RJGH5ER370OUM" hidden="1">#REF!</definedName>
    <definedName name="BExEV69USLNYO2QRJRC0J92XUF00" localSheetId="17" hidden="1">#REF!</definedName>
    <definedName name="BExEV69USLNYO2QRJRC0J92XUF00" localSheetId="20" hidden="1">#REF!</definedName>
    <definedName name="BExEV69USLNYO2QRJRC0J92XUF00" hidden="1">#REF!</definedName>
    <definedName name="BExEV6KNTQOCFD7GV726XQEVQ7R6" localSheetId="17"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9" hidden="1">'[60]10.08.4 -2008 Capital'!#REF!</definedName>
    <definedName name="BExEW5SCJJRAF57MFJ81MB2U6K1N" localSheetId="20" hidden="1">'[61]10.08.4 -2008 Capital'!#REF!</definedName>
    <definedName name="BExEW5SCJJRAF57MFJ81MB2U6K1N" hidden="1">'[61]10.08.4 -2008 Capital'!#REF!</definedName>
    <definedName name="BExEW68M9WL8214QH9C7VCK7BN08" localSheetId="15" hidden="1">#REF!</definedName>
    <definedName name="BExEW68M9WL8214QH9C7VCK7BN08" localSheetId="16" hidden="1">#REF!</definedName>
    <definedName name="BExEW68M9WL8214QH9C7VCK7BN08" localSheetId="17" hidden="1">#REF!</definedName>
    <definedName name="BExEW68M9WL8214QH9C7VCK7BN08" localSheetId="20" hidden="1">#REF!</definedName>
    <definedName name="BExEW68M9WL8214QH9C7VCK7BN08" hidden="1">#REF!</definedName>
    <definedName name="BExEW8C5SY1NQL4BKYZVXQ6JPR0W" localSheetId="17" hidden="1">#REF!</definedName>
    <definedName name="BExEW8C5SY1NQL4BKYZVXQ6JPR0W" localSheetId="20" hidden="1">#REF!</definedName>
    <definedName name="BExEW8C5SY1NQL4BKYZVXQ6JPR0W" hidden="1">#REF!</definedName>
    <definedName name="BExEW8HFKH6F47KIHYBDRUEFZ2ZZ" localSheetId="17"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9" hidden="1">'[60]10.08.2 - 2008 Expense'!#REF!</definedName>
    <definedName name="BExF3NO0RE1VBB19GCRR03V0B690" localSheetId="20" hidden="1">'[61]10.08.2 - 2008 Expense'!#REF!</definedName>
    <definedName name="BExF3NO0RE1VBB19GCRR03V0B690" hidden="1">'[61]10.08.2 - 2008 Expense'!#REF!</definedName>
    <definedName name="BExF3NTC4BGZEM6B87TCFX277QCS" localSheetId="15" hidden="1">#REF!</definedName>
    <definedName name="BExF3NTC4BGZEM6B87TCFX277QCS" localSheetId="16" hidden="1">#REF!</definedName>
    <definedName name="BExF3NTC4BGZEM6B87TCFX277QCS" localSheetId="17" hidden="1">#REF!</definedName>
    <definedName name="BExF3NTC4BGZEM6B87TCFX277QCS" localSheetId="20" hidden="1">#REF!</definedName>
    <definedName name="BExF3NTC4BGZEM6B87TCFX277QCS" hidden="1">#REF!</definedName>
    <definedName name="BExF3Q7NI90WT31QHYSJDIG0LLLJ" localSheetId="17" hidden="1">#REF!</definedName>
    <definedName name="BExF3Q7NI90WT31QHYSJDIG0LLLJ" localSheetId="20" hidden="1">#REF!</definedName>
    <definedName name="BExF3Q7NI90WT31QHYSJDIG0LLLJ" hidden="1">#REF!</definedName>
    <definedName name="BExF3QD55TIY1MSBSRK9TUJKBEWO" localSheetId="17"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9" hidden="1">'[60]10.08.5 - 2008 Capital - TDBU'!#REF!</definedName>
    <definedName name="BExGKVQARCQ9KIFMMXBXEKHDTREN" localSheetId="20" hidden="1">'[61]10.08.5 - 2008 Capital - TDBU'!#REF!</definedName>
    <definedName name="BExGKVQARCQ9KIFMMXBXEKHDTREN" hidden="1">'[61]10.08.5 - 2008 Capital - TDBU'!#REF!</definedName>
    <definedName name="BExGL97US0Y3KXXASUTVR26XLT70" localSheetId="15" hidden="1">#REF!</definedName>
    <definedName name="BExGL97US0Y3KXXASUTVR26XLT70" localSheetId="16" hidden="1">#REF!</definedName>
    <definedName name="BExGL97US0Y3KXXASUTVR26XLT70" localSheetId="17" hidden="1">#REF!</definedName>
    <definedName name="BExGL97US0Y3KXXASUTVR26XLT70" localSheetId="20" hidden="1">#REF!</definedName>
    <definedName name="BExGL97US0Y3KXXASUTVR26XLT70" hidden="1">#REF!</definedName>
    <definedName name="BExGLA47VYPH5Q19X9DS7CT55B4I" localSheetId="17" hidden="1">#REF!</definedName>
    <definedName name="BExGLA47VYPH5Q19X9DS7CT55B4I" localSheetId="20" hidden="1">#REF!</definedName>
    <definedName name="BExGLA47VYPH5Q19X9DS7CT55B4I" hidden="1">#REF!</definedName>
    <definedName name="BExGLC7R4C33RO0PID97ZPPVCW4M" localSheetId="17"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9" hidden="1">'[60]10.08.4 -2008 Capital'!#REF!</definedName>
    <definedName name="BExGO93Y9EAR1NQIAT7U7P8UVVPK" localSheetId="20" hidden="1">'[61]10.08.4 -2008 Capital'!#REF!</definedName>
    <definedName name="BExGO93Y9EAR1NQIAT7U7P8UVVPK" hidden="1">'[61]10.08.4 -2008 Capital'!#REF!</definedName>
    <definedName name="BExGOB25QJMQCQE76MRW9X58OIOO" localSheetId="15" hidden="1">#REF!</definedName>
    <definedName name="BExGOB25QJMQCQE76MRW9X58OIOO" localSheetId="16" hidden="1">#REF!</definedName>
    <definedName name="BExGOB25QJMQCQE76MRW9X58OIOO" localSheetId="17" hidden="1">#REF!</definedName>
    <definedName name="BExGOB25QJMQCQE76MRW9X58OIOO" localSheetId="20" hidden="1">#REF!</definedName>
    <definedName name="BExGOB25QJMQCQE76MRW9X58OIOO" hidden="1">#REF!</definedName>
    <definedName name="BExGOD5OOOBUBIMGTY10CMMLMXNN" localSheetId="17" hidden="1">#REF!</definedName>
    <definedName name="BExGOD5OOOBUBIMGTY10CMMLMXNN" localSheetId="20" hidden="1">#REF!</definedName>
    <definedName name="BExGOD5OOOBUBIMGTY10CMMLMXNN" hidden="1">#REF!</definedName>
    <definedName name="BExGODAZKJ9EXMQZNQR5YDBSS525" localSheetId="17"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9" hidden="1">'[60]10.08.5 - 2008 Capital - TDBU'!#REF!</definedName>
    <definedName name="BExGQNPYSR0588CMPYC6F4KV9EDE" localSheetId="20" hidden="1">'[61]10.08.5 - 2008 Capital - TDBU'!#REF!</definedName>
    <definedName name="BExGQNPYSR0588CMPYC6F4KV9EDE" hidden="1">'[61]10.08.5 - 2008 Capital - TDBU'!#REF!</definedName>
    <definedName name="BExGQPO7ENFEQC0NC6MC9OZR2LHY" localSheetId="15" hidden="1">#REF!</definedName>
    <definedName name="BExGQPO7ENFEQC0NC6MC9OZR2LHY" localSheetId="16" hidden="1">#REF!</definedName>
    <definedName name="BExGQPO7ENFEQC0NC6MC9OZR2LHY" localSheetId="17" hidden="1">#REF!</definedName>
    <definedName name="BExGQPO7ENFEQC0NC6MC9OZR2LHY" localSheetId="20" hidden="1">#REF!</definedName>
    <definedName name="BExGQPO7ENFEQC0NC6MC9OZR2LHY" hidden="1">#REF!</definedName>
    <definedName name="BExGQX0H4EZMXBJTKJJE4ICJWN5O" localSheetId="17" hidden="1">#REF!</definedName>
    <definedName name="BExGQX0H4EZMXBJTKJJE4ICJWN5O" localSheetId="20" hidden="1">#REF!</definedName>
    <definedName name="BExGQX0H4EZMXBJTKJJE4ICJWN5O" hidden="1">#REF!</definedName>
    <definedName name="BExGR4CW3WRIID17GGX4MI9ZDHFE" localSheetId="17"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9" hidden="1">'[60]10.08.4 -2008 Capital'!#REF!</definedName>
    <definedName name="BExH25LUU6AHETNY34SBU5S7UOWE" localSheetId="20" hidden="1">'[61]10.08.4 -2008 Capital'!#REF!</definedName>
    <definedName name="BExH25LUU6AHETNY34SBU5S7UOWE" hidden="1">'[61]10.08.4 -2008 Capital'!#REF!</definedName>
    <definedName name="BExH2EARUVJ0LN7IJXI0S3UWLQB2" localSheetId="15" hidden="1">#REF!</definedName>
    <definedName name="BExH2EARUVJ0LN7IJXI0S3UWLQB2" localSheetId="16" hidden="1">#REF!</definedName>
    <definedName name="BExH2EARUVJ0LN7IJXI0S3UWLQB2" localSheetId="17" hidden="1">#REF!</definedName>
    <definedName name="BExH2EARUVJ0LN7IJXI0S3UWLQB2" localSheetId="20" hidden="1">#REF!</definedName>
    <definedName name="BExH2EARUVJ0LN7IJXI0S3UWLQB2" hidden="1">#REF!</definedName>
    <definedName name="BExH2GJQR4JALNB314RY0LDI49VH" localSheetId="17" hidden="1">#REF!</definedName>
    <definedName name="BExH2GJQR4JALNB314RY0LDI49VH" localSheetId="20" hidden="1">#REF!</definedName>
    <definedName name="BExH2GJQR4JALNB314RY0LDI49VH" hidden="1">#REF!</definedName>
    <definedName name="BExH2JZR49T7644JFVE7B3N7RZM9" localSheetId="17"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9" hidden="1">'[60]10.08.4 -2008 Capital'!#REF!</definedName>
    <definedName name="BExIJRR7W9PHGSRPIHRCMIOQUEQQ" localSheetId="20" hidden="1">'[61]10.08.4 -2008 Capital'!#REF!</definedName>
    <definedName name="BExIJRR7W9PHGSRPIHRCMIOQUEQQ" hidden="1">'[61]10.08.4 -2008 Capital'!#REF!</definedName>
    <definedName name="BExIJV22J0QA7286KNPMHO1ZUCB3" localSheetId="15" hidden="1">#REF!</definedName>
    <definedName name="BExIJV22J0QA7286KNPMHO1ZUCB3" localSheetId="16" hidden="1">#REF!</definedName>
    <definedName name="BExIJV22J0QA7286KNPMHO1ZUCB3" localSheetId="17" hidden="1">#REF!</definedName>
    <definedName name="BExIJV22J0QA7286KNPMHO1ZUCB3" localSheetId="20" hidden="1">#REF!</definedName>
    <definedName name="BExIJV22J0QA7286KNPMHO1ZUCB3" hidden="1">#REF!</definedName>
    <definedName name="BExIJVI6OC7B6ZE9V4PAOYZXKNER" localSheetId="17" hidden="1">#REF!</definedName>
    <definedName name="BExIJVI6OC7B6ZE9V4PAOYZXKNER" localSheetId="20" hidden="1">#REF!</definedName>
    <definedName name="BExIJVI6OC7B6ZE9V4PAOYZXKNER" hidden="1">#REF!</definedName>
    <definedName name="BExIJWK0NGTGQ4X7D5VIVXD14JHI" localSheetId="17"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9" hidden="1">'[60]10.08.2 - 2008 Expense'!#REF!</definedName>
    <definedName name="BExILT6PKNSR8V0R7UE4IRG590K6" localSheetId="20" hidden="1">'[61]10.08.2 - 2008 Expense'!#REF!</definedName>
    <definedName name="BExILT6PKNSR8V0R7UE4IRG590K6" hidden="1">'[61]10.08.2 - 2008 Expense'!#REF!</definedName>
    <definedName name="BExIM2RXHXBO63HBPUTHF775IIRY" localSheetId="15" hidden="1">#REF!</definedName>
    <definedName name="BExIM2RXHXBO63HBPUTHF775IIRY" localSheetId="16" hidden="1">#REF!</definedName>
    <definedName name="BExIM2RXHXBO63HBPUTHF775IIRY" localSheetId="17" hidden="1">#REF!</definedName>
    <definedName name="BExIM2RXHXBO63HBPUTHF775IIRY" localSheetId="20" hidden="1">#REF!</definedName>
    <definedName name="BExIM2RXHXBO63HBPUTHF775IIRY" hidden="1">#REF!</definedName>
    <definedName name="BExIM2RXYS5BGYBDMFLU1RE8039Z" localSheetId="17" hidden="1">#REF!</definedName>
    <definedName name="BExIM2RXYS5BGYBDMFLU1RE8039Z" localSheetId="20" hidden="1">#REF!</definedName>
    <definedName name="BExIM2RXYS5BGYBDMFLU1RE8039Z" hidden="1">#REF!</definedName>
    <definedName name="BExIM2X90EG7J3TG4STQ3J1OK4O0" localSheetId="9" hidden="1">'[60]10.08.5 - 2008 Capital - TDBU'!#REF!</definedName>
    <definedName name="BExIM2X90EG7J3TG4STQ3J1OK4O0" localSheetId="17" hidden="1">'[61]10.08.5 - 2008 Capital - TDBU'!#REF!</definedName>
    <definedName name="BExIM2X90EG7J3TG4STQ3J1OK4O0" localSheetId="20" hidden="1">'[61]10.08.5 - 2008 Capital - TDBU'!#REF!</definedName>
    <definedName name="BExIM2X90EG7J3TG4STQ3J1OK4O0" hidden="1">'[61]10.08.5 - 2008 Capital - TDBU'!#REF!</definedName>
    <definedName name="BExIM9DBUB7ZGF4B20FVUO9QGOX2" localSheetId="15" hidden="1">#REF!</definedName>
    <definedName name="BExIM9DBUB7ZGF4B20FVUO9QGOX2" localSheetId="16" hidden="1">#REF!</definedName>
    <definedName name="BExIM9DBUB7ZGF4B20FVUO9QGOX2" localSheetId="17" hidden="1">#REF!</definedName>
    <definedName name="BExIM9DBUB7ZGF4B20FVUO9QGOX2" localSheetId="20" hidden="1">#REF!</definedName>
    <definedName name="BExIM9DBUB7ZGF4B20FVUO9QGOX2" hidden="1">#REF!</definedName>
    <definedName name="BExIMGK9Z94TFPWWZFMD10HV0IF6" localSheetId="17" hidden="1">#REF!</definedName>
    <definedName name="BExIMGK9Z94TFPWWZFMD10HV0IF6" localSheetId="20" hidden="1">#REF!</definedName>
    <definedName name="BExIMGK9Z94TFPWWZFMD10HV0IF6" hidden="1">#REF!</definedName>
    <definedName name="BExIMPEGKG18TELVC33T4OQTNBWC" localSheetId="17"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9" hidden="1">'[60]10.08.5 - 2008 Capital - TDBU'!#REF!</definedName>
    <definedName name="BExINT42RM5ESUGKCUN8IZFWEV0D" localSheetId="20" hidden="1">'[61]10.08.5 - 2008 Capital - TDBU'!#REF!</definedName>
    <definedName name="BExINT42RM5ESUGKCUN8IZFWEV0D" hidden="1">'[61]10.08.5 - 2008 Capital - TDBU'!#REF!</definedName>
    <definedName name="BExINZELBUXH0OXC3SAGC2RI7DXI" localSheetId="15" hidden="1">#REF!</definedName>
    <definedName name="BExINZELBUXH0OXC3SAGC2RI7DXI" localSheetId="16" hidden="1">#REF!</definedName>
    <definedName name="BExINZELBUXH0OXC3SAGC2RI7DXI" localSheetId="17" hidden="1">#REF!</definedName>
    <definedName name="BExINZELBUXH0OXC3SAGC2RI7DXI" localSheetId="20" hidden="1">#REF!</definedName>
    <definedName name="BExINZELBUXH0OXC3SAGC2RI7DXI" hidden="1">#REF!</definedName>
    <definedName name="BExINZELVWYGU876QUUZCIMXPBQC" localSheetId="17" hidden="1">#REF!</definedName>
    <definedName name="BExINZELVWYGU876QUUZCIMXPBQC" localSheetId="20" hidden="1">#REF!</definedName>
    <definedName name="BExINZELVWYGU876QUUZCIMXPBQC" hidden="1">#REF!</definedName>
    <definedName name="BExIOCQUQHKUU1KONGSDOLQTQEIC" localSheetId="17"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9" hidden="1">'[60]10.08.5 - 2008 Capital - TDBU'!#REF!</definedName>
    <definedName name="BExIRRM8X5MMN15Q3SPFK13165ZR" localSheetId="20" hidden="1">'[61]10.08.5 - 2008 Capital - TDBU'!#REF!</definedName>
    <definedName name="BExIRRM8X5MMN15Q3SPFK13165ZR" hidden="1">'[61]10.08.5 - 2008 Capital - TDBU'!#REF!</definedName>
    <definedName name="BExIS4T0DRF57HYO7OGG72KBOFOI" localSheetId="15" hidden="1">#REF!</definedName>
    <definedName name="BExIS4T0DRF57HYO7OGG72KBOFOI" localSheetId="16" hidden="1">#REF!</definedName>
    <definedName name="BExIS4T0DRF57HYO7OGG72KBOFOI" localSheetId="17" hidden="1">#REF!</definedName>
    <definedName name="BExIS4T0DRF57HYO7OGG72KBOFOI" localSheetId="20" hidden="1">#REF!</definedName>
    <definedName name="BExIS4T0DRF57HYO7OGG72KBOFOI" hidden="1">#REF!</definedName>
    <definedName name="BExIS77BJDDK18PGI9DSEYZPIL7P" localSheetId="17" hidden="1">#REF!</definedName>
    <definedName name="BExIS77BJDDK18PGI9DSEYZPIL7P" localSheetId="20" hidden="1">#REF!</definedName>
    <definedName name="BExIS77BJDDK18PGI9DSEYZPIL7P" hidden="1">#REF!</definedName>
    <definedName name="BExIS8UME1A94FJH5YHFVEO8E03Z" localSheetId="17"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9" hidden="1">'[60]10.08.2 - 2008 Expense'!#REF!</definedName>
    <definedName name="BExIYQ63QDPSPOEL1H0OP89YQTZH" localSheetId="20" hidden="1">'[61]10.08.2 - 2008 Expense'!#REF!</definedName>
    <definedName name="BExIYQ63QDPSPOEL1H0OP89YQTZH" hidden="1">'[61]10.08.2 - 2008 Expense'!#REF!</definedName>
    <definedName name="BExIYV9IMIVVVSZNL48E412WN7ZF" localSheetId="15" hidden="1">#REF!</definedName>
    <definedName name="BExIYV9IMIVVVSZNL48E412WN7ZF" localSheetId="16" hidden="1">#REF!</definedName>
    <definedName name="BExIYV9IMIVVVSZNL48E412WN7ZF" localSheetId="17" hidden="1">#REF!</definedName>
    <definedName name="BExIYV9IMIVVVSZNL48E412WN7ZF" localSheetId="20" hidden="1">#REF!</definedName>
    <definedName name="BExIYV9IMIVVVSZNL48E412WN7ZF" hidden="1">#REF!</definedName>
    <definedName name="BExIYWWSSNFJ49218D4EO9QWKL69" localSheetId="17" hidden="1">#REF!</definedName>
    <definedName name="BExIYWWSSNFJ49218D4EO9QWKL69" localSheetId="20" hidden="1">#REF!</definedName>
    <definedName name="BExIYWWSSNFJ49218D4EO9QWKL69" hidden="1">#REF!</definedName>
    <definedName name="BExIYZGLDQ1TN7BIIN4RLDP31GIM" localSheetId="17"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9" hidden="1">'[60]10.08.4 -2008 Capital'!#REF!</definedName>
    <definedName name="BExKMFUOVKD6ZRRWMW0FAANYOY14" localSheetId="20" hidden="1">'[61]10.08.4 -2008 Capital'!#REF!</definedName>
    <definedName name="BExKMFUOVKD6ZRRWMW0FAANYOY14" hidden="1">'[61]10.08.4 -2008 Capital'!#REF!</definedName>
    <definedName name="BExKMM52P2JTD826GL7EUFZ2GOWA" localSheetId="15" hidden="1">#REF!</definedName>
    <definedName name="BExKMM52P2JTD826GL7EUFZ2GOWA" localSheetId="16" hidden="1">#REF!</definedName>
    <definedName name="BExKMM52P2JTD826GL7EUFZ2GOWA" localSheetId="17" hidden="1">#REF!</definedName>
    <definedName name="BExKMM52P2JTD826GL7EUFZ2GOWA" localSheetId="20" hidden="1">#REF!</definedName>
    <definedName name="BExKMM52P2JTD826GL7EUFZ2GOWA" hidden="1">#REF!</definedName>
    <definedName name="BExKMWBX4EH3EYJ07UFEM08NB40Z" localSheetId="17" hidden="1">#REF!</definedName>
    <definedName name="BExKMWBX4EH3EYJ07UFEM08NB40Z" localSheetId="20" hidden="1">#REF!</definedName>
    <definedName name="BExKMWBX4EH3EYJ07UFEM08NB40Z" hidden="1">#REF!</definedName>
    <definedName name="BExKNBGV2IR3S7M0BX4810KZB4V3" localSheetId="17"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9" hidden="1">'[60]10.08.4 -2008 Capital'!#REF!</definedName>
    <definedName name="BExKP1NNUBCM89W1AWCQ4GYT46VL" localSheetId="20" hidden="1">'[61]10.08.4 -2008 Capital'!#REF!</definedName>
    <definedName name="BExKP1NNUBCM89W1AWCQ4GYT46VL" hidden="1">'[61]10.08.4 -2008 Capital'!#REF!</definedName>
    <definedName name="BExKPEZP0QTKOTLIMMIFSVTHQEEK" localSheetId="15" hidden="1">#REF!</definedName>
    <definedName name="BExKPEZP0QTKOTLIMMIFSVTHQEEK" localSheetId="16" hidden="1">#REF!</definedName>
    <definedName name="BExKPEZP0QTKOTLIMMIFSVTHQEEK" localSheetId="17" hidden="1">#REF!</definedName>
    <definedName name="BExKPEZP0QTKOTLIMMIFSVTHQEEK" localSheetId="20" hidden="1">#REF!</definedName>
    <definedName name="BExKPEZP0QTKOTLIMMIFSVTHQEEK" hidden="1">#REF!</definedName>
    <definedName name="BExKPJXT3SWOS15NRMD9RAD4AXOC" localSheetId="17" hidden="1">#REF!</definedName>
    <definedName name="BExKPJXT3SWOS15NRMD9RAD4AXOC" localSheetId="20" hidden="1">#REF!</definedName>
    <definedName name="BExKPJXT3SWOS15NRMD9RAD4AXOC" hidden="1">#REF!</definedName>
    <definedName name="BExKPLFRCAYNO7ZNGISMPGFFXB00" localSheetId="17"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9" hidden="1">'[60]10.08.5 - 2008 Capital - TDBU'!#REF!</definedName>
    <definedName name="BExKUPAT7VWF9ZS0PSYAV71U4N72" localSheetId="20" hidden="1">'[61]10.08.5 - 2008 Capital - TDBU'!#REF!</definedName>
    <definedName name="BExKUPAT7VWF9ZS0PSYAV71U4N72" hidden="1">'[61]10.08.5 - 2008 Capital - TDBU'!#REF!</definedName>
    <definedName name="BExKV08R85MKI3MAX9E2HERNQUNL" localSheetId="15" hidden="1">#REF!</definedName>
    <definedName name="BExKV08R85MKI3MAX9E2HERNQUNL" localSheetId="16" hidden="1">#REF!</definedName>
    <definedName name="BExKV08R85MKI3MAX9E2HERNQUNL" localSheetId="17" hidden="1">#REF!</definedName>
    <definedName name="BExKV08R85MKI3MAX9E2HERNQUNL" localSheetId="20" hidden="1">#REF!</definedName>
    <definedName name="BExKV08R85MKI3MAX9E2HERNQUNL" hidden="1">#REF!</definedName>
    <definedName name="BExKV334XOSQSXAYPE1ZFCWHR4J8" localSheetId="17" hidden="1">#REF!</definedName>
    <definedName name="BExKV334XOSQSXAYPE1ZFCWHR4J8" localSheetId="20" hidden="1">#REF!</definedName>
    <definedName name="BExKV334XOSQSXAYPE1ZFCWHR4J8" hidden="1">#REF!</definedName>
    <definedName name="BExKV4AAUNNJL5JWD7PX6BFKVS6O" localSheetId="17"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9" hidden="1">[62]Table!#REF!</definedName>
    <definedName name="BExMBYPQDG9AYDQ5E8IECVFREPO6" localSheetId="20" hidden="1">[63]Table!#REF!</definedName>
    <definedName name="BExMBYPQDG9AYDQ5E8IECVFREPO6" hidden="1">[63]Table!#REF!</definedName>
    <definedName name="BExMBZ5YTPW7PFDUD2A9VUJ4HTNH" localSheetId="15" hidden="1">#REF!</definedName>
    <definedName name="BExMBZ5YTPW7PFDUD2A9VUJ4HTNH" localSheetId="16" hidden="1">#REF!</definedName>
    <definedName name="BExMBZ5YTPW7PFDUD2A9VUJ4HTNH" localSheetId="17" hidden="1">#REF!</definedName>
    <definedName name="BExMBZ5YTPW7PFDUD2A9VUJ4HTNH" localSheetId="20" hidden="1">#REF!</definedName>
    <definedName name="BExMBZ5YTPW7PFDUD2A9VUJ4HTNH" hidden="1">#REF!</definedName>
    <definedName name="BExMBZM2XYYERB8X75SWZCZRQTT3" localSheetId="17" hidden="1">#REF!</definedName>
    <definedName name="BExMBZM2XYYERB8X75SWZCZRQTT3" localSheetId="20" hidden="1">#REF!</definedName>
    <definedName name="BExMBZM2XYYERB8X75SWZCZRQTT3" hidden="1">#REF!</definedName>
    <definedName name="BExMC8AZUTX8LG89K2JJR7ZG62XX" localSheetId="17"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9" hidden="1">'[60]10.08.5 - 2008 Capital - TDBU'!#REF!</definedName>
    <definedName name="BExMNAWJNSZ1W6QTQUX8O56Y0NF2" localSheetId="20" hidden="1">'[61]10.08.5 - 2008 Capital - TDBU'!#REF!</definedName>
    <definedName name="BExMNAWJNSZ1W6QTQUX8O56Y0NF2" hidden="1">'[61]10.08.5 - 2008 Capital - TDBU'!#REF!</definedName>
    <definedName name="BExMNDR4V2VG5RFZDGTAGD3Q9PPG" localSheetId="15" hidden="1">#REF!</definedName>
    <definedName name="BExMNDR4V2VG5RFZDGTAGD3Q9PPG" localSheetId="16" hidden="1">#REF!</definedName>
    <definedName name="BExMNDR4V2VG5RFZDGTAGD3Q9PPG" localSheetId="17" hidden="1">#REF!</definedName>
    <definedName name="BExMNDR4V2VG5RFZDGTAGD3Q9PPG" localSheetId="20" hidden="1">#REF!</definedName>
    <definedName name="BExMNDR4V2VG5RFZDGTAGD3Q9PPG" hidden="1">#REF!</definedName>
    <definedName name="BExMNJLFWZBRN9PZF1IO9CYWV1B2" localSheetId="17" hidden="1">#REF!</definedName>
    <definedName name="BExMNJLFWZBRN9PZF1IO9CYWV1B2" localSheetId="20" hidden="1">#REF!</definedName>
    <definedName name="BExMNJLFWZBRN9PZF1IO9CYWV1B2" hidden="1">#REF!</definedName>
    <definedName name="BExMNKCJ0FA57YEUUAJE43U1QN5P" localSheetId="17"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9" hidden="1">'[60]10.08.5 - 2008 Capital - TDBU'!#REF!</definedName>
    <definedName name="BExO4WGD4T7PXNGQYFD65V3BP906" localSheetId="20" hidden="1">'[61]10.08.5 - 2008 Capital - TDBU'!#REF!</definedName>
    <definedName name="BExO4WGD4T7PXNGQYFD65V3BP906" hidden="1">'[61]10.08.5 - 2008 Capital - TDBU'!#REF!</definedName>
    <definedName name="BExO55G2KVZ7MIJ30N827CLH0I2A" localSheetId="15" hidden="1">#REF!</definedName>
    <definedName name="BExO55G2KVZ7MIJ30N827CLH0I2A" localSheetId="16" hidden="1">#REF!</definedName>
    <definedName name="BExO55G2KVZ7MIJ30N827CLH0I2A" localSheetId="17" hidden="1">#REF!</definedName>
    <definedName name="BExO55G2KVZ7MIJ30N827CLH0I2A" localSheetId="20" hidden="1">#REF!</definedName>
    <definedName name="BExO55G2KVZ7MIJ30N827CLH0I2A" hidden="1">#REF!</definedName>
    <definedName name="BExO5A8PZD9EUHC5CMPU6N3SQ15L" localSheetId="17" hidden="1">#REF!</definedName>
    <definedName name="BExO5A8PZD9EUHC5CMPU6N3SQ15L" localSheetId="20" hidden="1">#REF!</definedName>
    <definedName name="BExO5A8PZD9EUHC5CMPU6N3SQ15L" hidden="1">#REF!</definedName>
    <definedName name="BExO5XMAHL7CY3X0B1OPKZ28DCJ5" localSheetId="17"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9" hidden="1">'[60]10.08.5 - 2008 Capital - TDBU'!#REF!</definedName>
    <definedName name="BExOF6VWODFNH2HUFTQI5L0UHNQ9" localSheetId="20" hidden="1">'[61]10.08.5 - 2008 Capital - TDBU'!#REF!</definedName>
    <definedName name="BExOF6VWODFNH2HUFTQI5L0UHNQ9" hidden="1">'[61]10.08.5 - 2008 Capital - TDBU'!#REF!</definedName>
    <definedName name="BExOFEDNCYI2TPTMQ8SJN3AW4YMF" localSheetId="15" hidden="1">#REF!</definedName>
    <definedName name="BExOFEDNCYI2TPTMQ8SJN3AW4YMF" localSheetId="16" hidden="1">#REF!</definedName>
    <definedName name="BExOFEDNCYI2TPTMQ8SJN3AW4YMF" localSheetId="17" hidden="1">#REF!</definedName>
    <definedName name="BExOFEDNCYI2TPTMQ8SJN3AW4YMF" localSheetId="20" hidden="1">#REF!</definedName>
    <definedName name="BExOFEDNCYI2TPTMQ8SJN3AW4YMF" hidden="1">#REF!</definedName>
    <definedName name="BExOFGRSPF8UTG0K1OGA8LX12P37" localSheetId="17" hidden="1">#REF!</definedName>
    <definedName name="BExOFGRSPF8UTG0K1OGA8LX12P37" localSheetId="20" hidden="1">#REF!</definedName>
    <definedName name="BExOFGRSPF8UTG0K1OGA8LX12P37" hidden="1">#REF!</definedName>
    <definedName name="BExOFVLXVD6RVHSQO8KZOOACSV24" localSheetId="1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9" hidden="1">'[60]10.08.3 - 2008 Expense - TDBU'!#REF!</definedName>
    <definedName name="BExOO0EYS79NAIW0WEELRXCYS9GK" localSheetId="20" hidden="1">'[61]10.08.3 - 2008 Expense - TDBU'!#REF!</definedName>
    <definedName name="BExOO0EYS79NAIW0WEELRXCYS9GK" hidden="1">'[61]10.08.3 - 2008 Expense - TDBU'!#REF!</definedName>
    <definedName name="BExOO1WWIZSGB0YTGKESB45TSVMZ" localSheetId="15" hidden="1">#REF!</definedName>
    <definedName name="BExOO1WWIZSGB0YTGKESB45TSVMZ" localSheetId="16" hidden="1">#REF!</definedName>
    <definedName name="BExOO1WWIZSGB0YTGKESB45TSVMZ" localSheetId="17" hidden="1">#REF!</definedName>
    <definedName name="BExOO1WWIZSGB0YTGKESB45TSVMZ" localSheetId="20" hidden="1">#REF!</definedName>
    <definedName name="BExOO1WWIZSGB0YTGKESB45TSVMZ" hidden="1">#REF!</definedName>
    <definedName name="BExOO4B8FPAFYPHCTYTX37P1TQM5" localSheetId="17" hidden="1">#REF!</definedName>
    <definedName name="BExOO4B8FPAFYPHCTYTX37P1TQM5" localSheetId="20" hidden="1">#REF!</definedName>
    <definedName name="BExOO4B8FPAFYPHCTYTX37P1TQM5" hidden="1">#REF!</definedName>
    <definedName name="BExOO5D2QZREOU0YQCGPBXBS4YQ1" localSheetId="17"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9" hidden="1">'[60]10.08.2 - 2008 Expense'!#REF!</definedName>
    <definedName name="BExQ5DVF3U6CH0PO809ZFLIE9A0F" localSheetId="20" hidden="1">'[61]10.08.2 - 2008 Expense'!#REF!</definedName>
    <definedName name="BExQ5DVF3U6CH0PO809ZFLIE9A0F" hidden="1">'[61]10.08.2 - 2008 Expense'!#REF!</definedName>
    <definedName name="BExQ5IO89JL1G3PO02VX1LHZHLZ1" localSheetId="15" hidden="1">#REF!</definedName>
    <definedName name="BExQ5IO89JL1G3PO02VX1LHZHLZ1" localSheetId="16" hidden="1">#REF!</definedName>
    <definedName name="BExQ5IO89JL1G3PO02VX1LHZHLZ1" localSheetId="17" hidden="1">#REF!</definedName>
    <definedName name="BExQ5IO89JL1G3PO02VX1LHZHLZ1" localSheetId="20" hidden="1">#REF!</definedName>
    <definedName name="BExQ5IO89JL1G3PO02VX1LHZHLZ1" hidden="1">#REF!</definedName>
    <definedName name="BExQ5KX3Z668H1KUCKZ9J24HUQ1F" localSheetId="17" hidden="1">#REF!</definedName>
    <definedName name="BExQ5KX3Z668H1KUCKZ9J24HUQ1F" localSheetId="20" hidden="1">#REF!</definedName>
    <definedName name="BExQ5KX3Z668H1KUCKZ9J24HUQ1F" hidden="1">#REF!</definedName>
    <definedName name="BExQ5SPMSOCJYLAY20NB5A6O32RE" localSheetId="17"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9" hidden="1">'[60]10.08.5 - 2008 Capital - TDBU'!#REF!</definedName>
    <definedName name="BExQ6Z48UU3475XVS5MSB61Y2LTN" localSheetId="20" hidden="1">'[61]10.08.5 - 2008 Capital - TDBU'!#REF!</definedName>
    <definedName name="BExQ6Z48UU3475XVS5MSB61Y2LTN" hidden="1">'[61]10.08.5 - 2008 Capital - TDBU'!#REF!</definedName>
    <definedName name="BExQ783XTMM2A9I3UKCFWJH1PP2N" localSheetId="15" hidden="1">#REF!</definedName>
    <definedName name="BExQ783XTMM2A9I3UKCFWJH1PP2N" localSheetId="16" hidden="1">#REF!</definedName>
    <definedName name="BExQ783XTMM2A9I3UKCFWJH1PP2N" localSheetId="17" hidden="1">#REF!</definedName>
    <definedName name="BExQ783XTMM2A9I3UKCFWJH1PP2N" localSheetId="20" hidden="1">#REF!</definedName>
    <definedName name="BExQ783XTMM2A9I3UKCFWJH1PP2N" hidden="1">#REF!</definedName>
    <definedName name="BExQ79LX01ZPQB8EGD1ZHR2VK2H3" localSheetId="17" hidden="1">#REF!</definedName>
    <definedName name="BExQ79LX01ZPQB8EGD1ZHR2VK2H3" localSheetId="20" hidden="1">#REF!</definedName>
    <definedName name="BExQ79LX01ZPQB8EGD1ZHR2VK2H3" hidden="1">#REF!</definedName>
    <definedName name="BExQ7AT1ON4L7W584EXCOXCQ8AF8" localSheetId="17"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9" hidden="1">[62]Table!#REF!</definedName>
    <definedName name="BExQ9ZLYHWABXAA9NJDW8ZS0UQ9P" localSheetId="20" hidden="1">[63]Table!#REF!</definedName>
    <definedName name="BExQ9ZLYHWABXAA9NJDW8ZS0UQ9P" hidden="1">[63]Table!#REF!</definedName>
    <definedName name="BExQA324HSCK40ENJUT9CS9EC71B" localSheetId="15" hidden="1">#REF!</definedName>
    <definedName name="BExQA324HSCK40ENJUT9CS9EC71B" localSheetId="16" hidden="1">#REF!</definedName>
    <definedName name="BExQA324HSCK40ENJUT9CS9EC71B" localSheetId="17" hidden="1">#REF!</definedName>
    <definedName name="BExQA324HSCK40ENJUT9CS9EC71B" localSheetId="20" hidden="1">#REF!</definedName>
    <definedName name="BExQA324HSCK40ENJUT9CS9EC71B" hidden="1">#REF!</definedName>
    <definedName name="BExQA55GY0STSNBWQCWN8E31ZXCS" localSheetId="17" hidden="1">#REF!</definedName>
    <definedName name="BExQA55GY0STSNBWQCWN8E31ZXCS" localSheetId="20" hidden="1">#REF!</definedName>
    <definedName name="BExQA55GY0STSNBWQCWN8E31ZXCS" hidden="1">#REF!</definedName>
    <definedName name="BExQA6Y7SIFO3MVYCQACIZ6YV0WS" localSheetId="17"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9" hidden="1">'[60]10.08.2 - 2008 Expense'!#REF!</definedName>
    <definedName name="BExS64QH0TK7BFMOHTRNM3DTXCZ5" localSheetId="20" hidden="1">'[61]10.08.2 - 2008 Expense'!#REF!</definedName>
    <definedName name="BExS64QH0TK7BFMOHTRNM3DTXCZ5" hidden="1">'[61]10.08.2 - 2008 Expense'!#REF!</definedName>
    <definedName name="BExS668EZXO8KT71OK13TBL2MYVF" localSheetId="15" hidden="1">#REF!</definedName>
    <definedName name="BExS668EZXO8KT71OK13TBL2MYVF" localSheetId="16" hidden="1">#REF!</definedName>
    <definedName name="BExS668EZXO8KT71OK13TBL2MYVF" localSheetId="17" hidden="1">#REF!</definedName>
    <definedName name="BExS668EZXO8KT71OK13TBL2MYVF" localSheetId="20" hidden="1">#REF!</definedName>
    <definedName name="BExS668EZXO8KT71OK13TBL2MYVF" hidden="1">#REF!</definedName>
    <definedName name="BExS6GKQ96EHVLYWNJDWXZXUZW90" localSheetId="17" hidden="1">#REF!</definedName>
    <definedName name="BExS6GKQ96EHVLYWNJDWXZXUZW90" localSheetId="20" hidden="1">#REF!</definedName>
    <definedName name="BExS6GKQ96EHVLYWNJDWXZXUZW90" hidden="1">#REF!</definedName>
    <definedName name="BExS6ITKSZFRR01YD5B0F676SYN7" localSheetId="17" hidden="1">#REF!</definedName>
    <definedName name="BExS6ITKSZFRR01YD5B0F676SYN7" localSheetId="20" hidden="1">#REF!</definedName>
    <definedName name="BExS6ITKSZFRR01YD5B0F676SYN7" hidden="1">#REF!</definedName>
    <definedName name="BExS6M4AG8VGSMFGJXMMJ6YYATZI" localSheetId="9" hidden="1">'[60]10.08.5 - 2008 Capital - TDBU'!#REF!</definedName>
    <definedName name="BExS6M4AG8VGSMFGJXMMJ6YYATZI" localSheetId="17" hidden="1">'[61]10.08.5 - 2008 Capital - TDBU'!#REF!</definedName>
    <definedName name="BExS6M4AG8VGSMFGJXMMJ6YYATZI" localSheetId="20" hidden="1">'[61]10.08.5 - 2008 Capital - TDBU'!#REF!</definedName>
    <definedName name="BExS6M4AG8VGSMFGJXMMJ6YYATZI" hidden="1">'[61]10.08.5 - 2008 Capital - TDBU'!#REF!</definedName>
    <definedName name="BExS6N0LI574IAC89EFW6CLTCQ33" localSheetId="15" hidden="1">#REF!</definedName>
    <definedName name="BExS6N0LI574IAC89EFW6CLTCQ33" localSheetId="16" hidden="1">#REF!</definedName>
    <definedName name="BExS6N0LI574IAC89EFW6CLTCQ33" localSheetId="17" hidden="1">#REF!</definedName>
    <definedName name="BExS6N0LI574IAC89EFW6CLTCQ33" localSheetId="20" hidden="1">#REF!</definedName>
    <definedName name="BExS6N0LI574IAC89EFW6CLTCQ33" hidden="1">#REF!</definedName>
    <definedName name="BExS6WRDBF3ST86ZOBBUL3GTCR11" localSheetId="17" hidden="1">#REF!</definedName>
    <definedName name="BExS6WRDBF3ST86ZOBBUL3GTCR11" localSheetId="20" hidden="1">#REF!</definedName>
    <definedName name="BExS6WRDBF3ST86ZOBBUL3GTCR11" hidden="1">#REF!</definedName>
    <definedName name="BExS6XNRKR0C3MTA0LV5B60UB908" localSheetId="17"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9" hidden="1">'[60]10.08.3 - 2008 Expense - TDBU'!#REF!</definedName>
    <definedName name="BExSB3CYILY5VM7EWWCYC2RHW5GS" localSheetId="20" hidden="1">'[61]10.08.3 - 2008 Expense - TDBU'!#REF!</definedName>
    <definedName name="BExSB3CYILY5VM7EWWCYC2RHW5GS" hidden="1">'[61]10.08.3 - 2008 Expense - TDBU'!#REF!</definedName>
    <definedName name="BExSB4JYKQ3MINI7RAYK5M8BLJDC" localSheetId="15" hidden="1">#REF!</definedName>
    <definedName name="BExSB4JYKQ3MINI7RAYK5M8BLJDC" localSheetId="16" hidden="1">#REF!</definedName>
    <definedName name="BExSB4JYKQ3MINI7RAYK5M8BLJDC" localSheetId="17" hidden="1">#REF!</definedName>
    <definedName name="BExSB4JYKQ3MINI7RAYK5M8BLJDC" localSheetId="20" hidden="1">#REF!</definedName>
    <definedName name="BExSB4JYKQ3MINI7RAYK5M8BLJDC" hidden="1">#REF!</definedName>
    <definedName name="BExSB6NLRVUI2GHH9VI5V6MY8ZL7" localSheetId="17" hidden="1">#REF!</definedName>
    <definedName name="BExSB6NLRVUI2GHH9VI5V6MY8ZL7" localSheetId="20" hidden="1">#REF!</definedName>
    <definedName name="BExSB6NLRVUI2GHH9VI5V6MY8ZL7" hidden="1">#REF!</definedName>
    <definedName name="BExSBMOS41ZRLWYLOU29V6Y7YORR" localSheetId="1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9" hidden="1">'[60]10.08.2 - 2008 Expense'!#REF!</definedName>
    <definedName name="BExSFLHT3DWP12GA4DDKMCK3E4F9" localSheetId="20" hidden="1">'[61]10.08.2 - 2008 Expense'!#REF!</definedName>
    <definedName name="BExSFLHT3DWP12GA4DDKMCK3E4F9" hidden="1">'[61]10.08.2 - 2008 Expense'!#REF!</definedName>
    <definedName name="BExSFYDRRTAZVPXRWUF5PDQ97WFF" localSheetId="15" hidden="1">#REF!</definedName>
    <definedName name="BExSFYDRRTAZVPXRWUF5PDQ97WFF" localSheetId="16" hidden="1">#REF!</definedName>
    <definedName name="BExSFYDRRTAZVPXRWUF5PDQ97WFF" localSheetId="17" hidden="1">#REF!</definedName>
    <definedName name="BExSFYDRRTAZVPXRWUF5PDQ97WFF" localSheetId="20" hidden="1">#REF!</definedName>
    <definedName name="BExSFYDRRTAZVPXRWUF5PDQ97WFF" hidden="1">#REF!</definedName>
    <definedName name="BExSFZVPFTXA3F0IJ2NGH1GXX9R7" localSheetId="17" hidden="1">#REF!</definedName>
    <definedName name="BExSFZVPFTXA3F0IJ2NGH1GXX9R7" localSheetId="20" hidden="1">#REF!</definedName>
    <definedName name="BExSFZVPFTXA3F0IJ2NGH1GXX9R7" hidden="1">#REF!</definedName>
    <definedName name="BExSG90Q4ZUU2IPGDYOM169NJV9S" localSheetId="1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9" hidden="1">'[60]10.08.2 - 2008 Expense'!#REF!</definedName>
    <definedName name="BExSGP7BU5UM9A7AOHIGT50GZN74" localSheetId="20" hidden="1">'[61]10.08.2 - 2008 Expense'!#REF!</definedName>
    <definedName name="BExSGP7BU5UM9A7AOHIGT50GZN74" hidden="1">'[61]10.08.2 - 2008 Expense'!#REF!</definedName>
    <definedName name="BExSGR5JQVX2HQ0PKCGZNSSUM1RV" localSheetId="15" hidden="1">#REF!</definedName>
    <definedName name="BExSGR5JQVX2HQ0PKCGZNSSUM1RV" localSheetId="16" hidden="1">#REF!</definedName>
    <definedName name="BExSGR5JQVX2HQ0PKCGZNSSUM1RV" localSheetId="17" hidden="1">#REF!</definedName>
    <definedName name="BExSGR5JQVX2HQ0PKCGZNSSUM1RV" localSheetId="20" hidden="1">#REF!</definedName>
    <definedName name="BExSGR5JQVX2HQ0PKCGZNSSUM1RV" hidden="1">#REF!</definedName>
    <definedName name="BExSGVHX69GJZHD99DKE4RZ042B1" localSheetId="17" hidden="1">#REF!</definedName>
    <definedName name="BExSGVHX69GJZHD99DKE4RZ042B1" localSheetId="20" hidden="1">#REF!</definedName>
    <definedName name="BExSGVHX69GJZHD99DKE4RZ042B1" hidden="1">#REF!</definedName>
    <definedName name="BExSGZJO4J4ZO04E2N2ECVYS9DEZ" localSheetId="17"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9" hidden="1">[62]Table!#REF!</definedName>
    <definedName name="BExTUY9WNSJ91GV8CP0SKJTEIV82" localSheetId="20" hidden="1">[63]Table!#REF!</definedName>
    <definedName name="BExTUY9WNSJ91GV8CP0SKJTEIV82" hidden="1">[63]Table!#REF!</definedName>
    <definedName name="BExTV67VIM8PV6KO253M4DUBJQLC" localSheetId="15" hidden="1">#REF!</definedName>
    <definedName name="BExTV67VIM8PV6KO253M4DUBJQLC" localSheetId="16" hidden="1">#REF!</definedName>
    <definedName name="BExTV67VIM8PV6KO253M4DUBJQLC" localSheetId="17" hidden="1">#REF!</definedName>
    <definedName name="BExTV67VIM8PV6KO253M4DUBJQLC" localSheetId="20" hidden="1">#REF!</definedName>
    <definedName name="BExTV67VIM8PV6KO253M4DUBJQLC" hidden="1">#REF!</definedName>
    <definedName name="BExTVELZCF2YA5L6F23BYZZR6WHF" localSheetId="17" hidden="1">#REF!</definedName>
    <definedName name="BExTVELZCF2YA5L6F23BYZZR6WHF" localSheetId="20" hidden="1">#REF!</definedName>
    <definedName name="BExTVELZCF2YA5L6F23BYZZR6WHF" hidden="1">#REF!</definedName>
    <definedName name="BExTVGPIQZ99YFXUC8OONUX5BD42" localSheetId="17"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9" hidden="1">'[60]10.08.4 -2008 Capital'!#REF!</definedName>
    <definedName name="BExTYL3GR8LX1FWLOOBTAZQOOO7D" localSheetId="20" hidden="1">'[61]10.08.4 -2008 Capital'!#REF!</definedName>
    <definedName name="BExTYL3GR8LX1FWLOOBTAZQOOO7D" hidden="1">'[61]10.08.4 -2008 Capital'!#REF!</definedName>
    <definedName name="BExTYLUCLWGGQOEPH6W91DIYL3RQ" localSheetId="15" hidden="1">#REF!</definedName>
    <definedName name="BExTYLUCLWGGQOEPH6W91DIYL3RQ" localSheetId="16" hidden="1">#REF!</definedName>
    <definedName name="BExTYLUCLWGGQOEPH6W91DIYL3RQ" localSheetId="17" hidden="1">#REF!</definedName>
    <definedName name="BExTYLUCLWGGQOEPH6W91DIYL3RQ" localSheetId="20" hidden="1">#REF!</definedName>
    <definedName name="BExTYLUCLWGGQOEPH6W91DIYL3RQ" hidden="1">#REF!</definedName>
    <definedName name="BExTYOZQGNRDMMFZOG8515WQDGU3" localSheetId="9" hidden="1">'[60]10.08.5 - 2008 Capital - TDBU'!#REF!</definedName>
    <definedName name="BExTYOZQGNRDMMFZOG8515WQDGU3" localSheetId="15" hidden="1">'[61]10.08.5 - 2008 Capital - TDBU'!#REF!</definedName>
    <definedName name="BExTYOZQGNRDMMFZOG8515WQDGU3" localSheetId="16" hidden="1">'[61]10.08.5 - 2008 Capital - TDBU'!#REF!</definedName>
    <definedName name="BExTYOZQGNRDMMFZOG8515WQDGU3" localSheetId="20" hidden="1">'[61]10.08.5 - 2008 Capital - TDBU'!#REF!</definedName>
    <definedName name="BExTYOZQGNRDMMFZOG8515WQDGU3" hidden="1">'[61]10.08.5 - 2008 Capital - TDBU'!#REF!</definedName>
    <definedName name="BExTYPLA9N640MFRJJQPKXT7P88M" localSheetId="15" hidden="1">#REF!</definedName>
    <definedName name="BExTYPLA9N640MFRJJQPKXT7P88M" localSheetId="16" hidden="1">#REF!</definedName>
    <definedName name="BExTYPLA9N640MFRJJQPKXT7P88M" localSheetId="17" hidden="1">#REF!</definedName>
    <definedName name="BExTYPLA9N640MFRJJQPKXT7P88M" localSheetId="20" hidden="1">#REF!</definedName>
    <definedName name="BExTYPLA9N640MFRJJQPKXT7P88M" hidden="1">#REF!</definedName>
    <definedName name="BExTYQMZFH06S0SMRP98OBQF34G8" localSheetId="17" hidden="1">#REF!</definedName>
    <definedName name="BExTYQMZFH06S0SMRP98OBQF34G8" localSheetId="20" hidden="1">#REF!</definedName>
    <definedName name="BExTYQMZFH06S0SMRP98OBQF34G8" hidden="1">#REF!</definedName>
    <definedName name="BExTZ7F71SNTOX4LLZCK5R9VUMIJ" localSheetId="17"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9" hidden="1">'[60]10.08.2 - 2008 Expense'!#REF!</definedName>
    <definedName name="BExU4H4QVOMTUDXRKDNWMMIRSYHD" localSheetId="20" hidden="1">'[61]10.08.2 - 2008 Expense'!#REF!</definedName>
    <definedName name="BExU4H4QVOMTUDXRKDNWMMIRSYHD" hidden="1">'[61]10.08.2 - 2008 Expense'!#REF!</definedName>
    <definedName name="BExU4I148DA7PRCCISLWQ6ABXFK6" localSheetId="15" hidden="1">#REF!</definedName>
    <definedName name="BExU4I148DA7PRCCISLWQ6ABXFK6" localSheetId="16" hidden="1">#REF!</definedName>
    <definedName name="BExU4I148DA7PRCCISLWQ6ABXFK6" localSheetId="17" hidden="1">#REF!</definedName>
    <definedName name="BExU4I148DA7PRCCISLWQ6ABXFK6" localSheetId="20" hidden="1">#REF!</definedName>
    <definedName name="BExU4I148DA7PRCCISLWQ6ABXFK6" hidden="1">#REF!</definedName>
    <definedName name="BExU4L101H2KQHVKCKQ4PBAWZV6K" localSheetId="17" hidden="1">#REF!</definedName>
    <definedName name="BExU4L101H2KQHVKCKQ4PBAWZV6K" localSheetId="20" hidden="1">#REF!</definedName>
    <definedName name="BExU4L101H2KQHVKCKQ4PBAWZV6K" hidden="1">#REF!</definedName>
    <definedName name="BExU4NA00RRRBGRT6TOB0MXZRCRZ" localSheetId="17"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9" hidden="1">'[60]10.08.5 - 2008 Capital - TDBU'!#REF!</definedName>
    <definedName name="BExU935WUOV28D64L2EAFTLHA8XK" localSheetId="20" hidden="1">'[61]10.08.5 - 2008 Capital - TDBU'!#REF!</definedName>
    <definedName name="BExU935WUOV28D64L2EAFTLHA8XK" hidden="1">'[61]10.08.5 - 2008 Capital - TDBU'!#REF!</definedName>
    <definedName name="BExU96M1J7P9DZQ3S9H0C12KGYTW" localSheetId="15" hidden="1">#REF!</definedName>
    <definedName name="BExU96M1J7P9DZQ3S9H0C12KGYTW" localSheetId="16" hidden="1">#REF!</definedName>
    <definedName name="BExU96M1J7P9DZQ3S9H0C12KGYTW" localSheetId="17" hidden="1">#REF!</definedName>
    <definedName name="BExU96M1J7P9DZQ3S9H0C12KGYTW" localSheetId="20" hidden="1">#REF!</definedName>
    <definedName name="BExU96M1J7P9DZQ3S9H0C12KGYTW" hidden="1">#REF!</definedName>
    <definedName name="BExU9F05OR1GZ3057R6UL3WPEIYI" localSheetId="17" hidden="1">#REF!</definedName>
    <definedName name="BExU9F05OR1GZ3057R6UL3WPEIYI" localSheetId="20" hidden="1">#REF!</definedName>
    <definedName name="BExU9F05OR1GZ3057R6UL3WPEIYI" hidden="1">#REF!</definedName>
    <definedName name="BExU9GCSO5YILIKG6VAHN13DL75K" localSheetId="17"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9" hidden="1">'[60]10.08.5 - 2008 Capital - TDBU'!#REF!</definedName>
    <definedName name="BExUABTJG7CHXQDBVDEEMHSVE1YY" localSheetId="20" hidden="1">'[61]10.08.5 - 2008 Capital - TDBU'!#REF!</definedName>
    <definedName name="BExUABTJG7CHXQDBVDEEMHSVE1YY" hidden="1">'[61]10.08.5 - 2008 Capital - TDBU'!#REF!</definedName>
    <definedName name="BExUAE7VUMCVDFX37BD0AFOQDTE3" localSheetId="15" hidden="1">#REF!</definedName>
    <definedName name="BExUAE7VUMCVDFX37BD0AFOQDTE3" localSheetId="16" hidden="1">#REF!</definedName>
    <definedName name="BExUAE7VUMCVDFX37BD0AFOQDTE3" localSheetId="17" hidden="1">#REF!</definedName>
    <definedName name="BExUAE7VUMCVDFX37BD0AFOQDTE3" localSheetId="20" hidden="1">#REF!</definedName>
    <definedName name="BExUAE7VUMCVDFX37BD0AFOQDTE3" hidden="1">#REF!</definedName>
    <definedName name="BExUAFV4JMBSM2SKBQL9NHL0NIBS" localSheetId="17" hidden="1">#REF!</definedName>
    <definedName name="BExUAFV4JMBSM2SKBQL9NHL0NIBS" localSheetId="20" hidden="1">#REF!</definedName>
    <definedName name="BExUAFV4JMBSM2SKBQL9NHL0NIBS" hidden="1">#REF!</definedName>
    <definedName name="BExUAMWQODKBXMRH1QCMJLJBF8M7" localSheetId="17"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9" hidden="1">'[60]10.08.5 - 2008 Capital - TDBU'!#REF!</definedName>
    <definedName name="BExVVNMYEAFCCP9QT0J8H252JWD9" localSheetId="20" hidden="1">'[61]10.08.5 - 2008 Capital - TDBU'!#REF!</definedName>
    <definedName name="BExVVNMYEAFCCP9QT0J8H252JWD9" hidden="1">'[61]10.08.5 - 2008 Capital - TDBU'!#REF!</definedName>
    <definedName name="BExVVPFO2J7FMSRPD36909HN4BZJ" localSheetId="15" hidden="1">#REF!</definedName>
    <definedName name="BExVVPFO2J7FMSRPD36909HN4BZJ" localSheetId="16" hidden="1">#REF!</definedName>
    <definedName name="BExVVPFO2J7FMSRPD36909HN4BZJ" localSheetId="17" hidden="1">#REF!</definedName>
    <definedName name="BExVVPFO2J7FMSRPD36909HN4BZJ" localSheetId="20" hidden="1">#REF!</definedName>
    <definedName name="BExVVPFO2J7FMSRPD36909HN4BZJ" hidden="1">#REF!</definedName>
    <definedName name="BExVVQ19AQ3VCARJOC38SF7OYE9Y" localSheetId="17" hidden="1">#REF!</definedName>
    <definedName name="BExVVQ19AQ3VCARJOC38SF7OYE9Y" localSheetId="20" hidden="1">#REF!</definedName>
    <definedName name="BExVVQ19AQ3VCARJOC38SF7OYE9Y" hidden="1">#REF!</definedName>
    <definedName name="BExVVQ19TAECID45CS4HXT1RD3AQ" localSheetId="17" hidden="1">#REF!</definedName>
    <definedName name="BExVVQ19TAECID45CS4HXT1RD3AQ" localSheetId="20" hidden="1">#REF!</definedName>
    <definedName name="BExVVQ19TAECID45CS4HXT1RD3AQ" hidden="1">#REF!</definedName>
    <definedName name="BExVW0Z6US3NTJHJDYWIZB98DPUY" localSheetId="9" hidden="1">'[60]10.08.3 - 2008 Expense - TDBU'!#REF!</definedName>
    <definedName name="BExVW0Z6US3NTJHJDYWIZB98DPUY" localSheetId="17" hidden="1">'[61]10.08.3 - 2008 Expense - TDBU'!#REF!</definedName>
    <definedName name="BExVW0Z6US3NTJHJDYWIZB98DPUY" localSheetId="20" hidden="1">'[61]10.08.3 - 2008 Expense - TDBU'!#REF!</definedName>
    <definedName name="BExVW0Z6US3NTJHJDYWIZB98DPUY" hidden="1">'[61]10.08.3 - 2008 Expense - TDBU'!#REF!</definedName>
    <definedName name="BExVW1Q2P0JOW0VUQZZGZKEGMFKS" localSheetId="15" hidden="1">#REF!</definedName>
    <definedName name="BExVW1Q2P0JOW0VUQZZGZKEGMFKS" localSheetId="16" hidden="1">#REF!</definedName>
    <definedName name="BExVW1Q2P0JOW0VUQZZGZKEGMFKS" localSheetId="17" hidden="1">#REF!</definedName>
    <definedName name="BExVW1Q2P0JOW0VUQZZGZKEGMFKS" localSheetId="20" hidden="1">#REF!</definedName>
    <definedName name="BExVW1Q2P0JOW0VUQZZGZKEGMFKS" hidden="1">#REF!</definedName>
    <definedName name="BExVW3YV5XGIVJ97UUPDJGJ2P15B" localSheetId="17" hidden="1">#REF!</definedName>
    <definedName name="BExVW3YV5XGIVJ97UUPDJGJ2P15B" localSheetId="20" hidden="1">#REF!</definedName>
    <definedName name="BExVW3YV5XGIVJ97UUPDJGJ2P15B" hidden="1">#REF!</definedName>
    <definedName name="BExVW5X571GEYR5SCU1Z2DHKWM79" localSheetId="17"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9" hidden="1">'[60]10.08.2 - 2008 Expense'!#REF!</definedName>
    <definedName name="BExVYFL875EZ1Y283MJDADGHT55S" localSheetId="20" hidden="1">'[61]10.08.2 - 2008 Expense'!#REF!</definedName>
    <definedName name="BExVYFL875EZ1Y283MJDADGHT55S" hidden="1">'[61]10.08.2 - 2008 Expense'!#REF!</definedName>
    <definedName name="BExVYHDYIV5397LC02V4FEP8VD6W" localSheetId="15" hidden="1">#REF!</definedName>
    <definedName name="BExVYHDYIV5397LC02V4FEP8VD6W" localSheetId="16" hidden="1">#REF!</definedName>
    <definedName name="BExVYHDYIV5397LC02V4FEP8VD6W" localSheetId="17" hidden="1">#REF!</definedName>
    <definedName name="BExVYHDYIV5397LC02V4FEP8VD6W" localSheetId="20" hidden="1">#REF!</definedName>
    <definedName name="BExVYHDYIV5397LC02V4FEP8VD6W" hidden="1">#REF!</definedName>
    <definedName name="BExVYJXKYUCSEU1BZ19KSB39VXMD" localSheetId="17" hidden="1">#REF!</definedName>
    <definedName name="BExVYJXKYUCSEU1BZ19KSB39VXMD" localSheetId="20" hidden="1">#REF!</definedName>
    <definedName name="BExVYJXKYUCSEU1BZ19KSB39VXMD" hidden="1">#REF!</definedName>
    <definedName name="BExVYOVIZDA18YIQ0A30Q052PCAK" localSheetId="17"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9" hidden="1">'[60]10.08.5 - 2008 Capital - TDBU'!#REF!</definedName>
    <definedName name="BExW06IWPRMJLGPZWY6KNMR28VMQ" localSheetId="20" hidden="1">'[61]10.08.5 - 2008 Capital - TDBU'!#REF!</definedName>
    <definedName name="BExW06IWPRMJLGPZWY6KNMR28VMQ" hidden="1">'[61]10.08.5 - 2008 Capital - TDBU'!#REF!</definedName>
    <definedName name="BExW08MEDLGNM5Z5KYW1HQXCBUR6" localSheetId="15" hidden="1">#REF!</definedName>
    <definedName name="BExW08MEDLGNM5Z5KYW1HQXCBUR6" localSheetId="16" hidden="1">#REF!</definedName>
    <definedName name="BExW08MEDLGNM5Z5KYW1HQXCBUR6" localSheetId="17" hidden="1">#REF!</definedName>
    <definedName name="BExW08MEDLGNM5Z5KYW1HQXCBUR6" localSheetId="20" hidden="1">#REF!</definedName>
    <definedName name="BExW08MEDLGNM5Z5KYW1HQXCBUR6" hidden="1">#REF!</definedName>
    <definedName name="BExW0CIO5SH0TQLZQ1VMKX3JZ7NW" localSheetId="17" hidden="1">#REF!</definedName>
    <definedName name="BExW0CIO5SH0TQLZQ1VMKX3JZ7NW" localSheetId="20" hidden="1">#REF!</definedName>
    <definedName name="BExW0CIO5SH0TQLZQ1VMKX3JZ7NW" hidden="1">#REF!</definedName>
    <definedName name="BExW0FYP4WXY71CYUG40SUBG9UWU" localSheetId="17"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9" hidden="1">'[60]10.08.3 - 2008 Expense - TDBU'!#REF!</definedName>
    <definedName name="BExW21T2WD1YDR47I9BWVRGJZMKW" localSheetId="20" hidden="1">'[61]10.08.3 - 2008 Expense - TDBU'!#REF!</definedName>
    <definedName name="BExW21T2WD1YDR47I9BWVRGJZMKW" hidden="1">'[61]10.08.3 - 2008 Expense - TDBU'!#REF!</definedName>
    <definedName name="BExW24NI0GQA13RVEGFK7ISS512B" localSheetId="15" hidden="1">#REF!</definedName>
    <definedName name="BExW24NI0GQA13RVEGFK7ISS512B" localSheetId="16" hidden="1">#REF!</definedName>
    <definedName name="BExW24NI0GQA13RVEGFK7ISS512B" localSheetId="17" hidden="1">#REF!</definedName>
    <definedName name="BExW24NI0GQA13RVEGFK7ISS512B" localSheetId="20" hidden="1">#REF!</definedName>
    <definedName name="BExW24NI0GQA13RVEGFK7ISS512B" hidden="1">#REF!</definedName>
    <definedName name="BExW283NP9D366XFPXLGSCI5UB0L" localSheetId="17" hidden="1">#REF!</definedName>
    <definedName name="BExW283NP9D366XFPXLGSCI5UB0L" localSheetId="20" hidden="1">#REF!</definedName>
    <definedName name="BExW283NP9D366XFPXLGSCI5UB0L" hidden="1">#REF!</definedName>
    <definedName name="BExW2F54PEPPIGMV5I4XLXMKJOTG" localSheetId="17"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9" hidden="1">'[60]10.08.5 - 2008 Capital - TDBU'!#REF!</definedName>
    <definedName name="BExW2V0ZEMESP2BVDJGZFBJOIOIQ" localSheetId="20" hidden="1">'[61]10.08.5 - 2008 Capital - TDBU'!#REF!</definedName>
    <definedName name="BExW2V0ZEMESP2BVDJGZFBJOIOIQ" hidden="1">'[61]10.08.5 - 2008 Capital - TDBU'!#REF!</definedName>
    <definedName name="BExW36V9N91OHCUMGWJQL3I5P4JK" localSheetId="15" hidden="1">#REF!</definedName>
    <definedName name="BExW36V9N91OHCUMGWJQL3I5P4JK" localSheetId="16" hidden="1">#REF!</definedName>
    <definedName name="BExW36V9N91OHCUMGWJQL3I5P4JK" localSheetId="17" hidden="1">#REF!</definedName>
    <definedName name="BExW36V9N91OHCUMGWJQL3I5P4JK" localSheetId="20" hidden="1">#REF!</definedName>
    <definedName name="BExW36V9N91OHCUMGWJQL3I5P4JK" hidden="1">#REF!</definedName>
    <definedName name="BExW3EIBA1J9Q9NA9VCGZGRS8WV7" localSheetId="17" hidden="1">#REF!</definedName>
    <definedName name="BExW3EIBA1J9Q9NA9VCGZGRS8WV7" localSheetId="20" hidden="1">#REF!</definedName>
    <definedName name="BExW3EIBA1J9Q9NA9VCGZGRS8WV7" hidden="1">#REF!</definedName>
    <definedName name="BExW3FEO8FI8N6AGQKYEG4SQVJWB" localSheetId="1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9" hidden="1">'[60]10.08.2 - 2008 Expense'!#REF!</definedName>
    <definedName name="BExW5YYNT0AJF2AFS43IFCHR7WQQ" localSheetId="20" hidden="1">'[61]10.08.2 - 2008 Expense'!#REF!</definedName>
    <definedName name="BExW5YYNT0AJF2AFS43IFCHR7WQQ" hidden="1">'[61]10.08.2 - 2008 Expense'!#REF!</definedName>
    <definedName name="BExW660AV1TUV2XNUPD65RZR3QOO" localSheetId="15" hidden="1">#REF!</definedName>
    <definedName name="BExW660AV1TUV2XNUPD65RZR3QOO" localSheetId="16" hidden="1">#REF!</definedName>
    <definedName name="BExW660AV1TUV2XNUPD65RZR3QOO" localSheetId="17" hidden="1">#REF!</definedName>
    <definedName name="BExW660AV1TUV2XNUPD65RZR3QOO" localSheetId="20" hidden="1">#REF!</definedName>
    <definedName name="BExW660AV1TUV2XNUPD65RZR3QOO" hidden="1">#REF!</definedName>
    <definedName name="BExW66LVVZK656PQY1257QMHP2AY" localSheetId="17" hidden="1">#REF!</definedName>
    <definedName name="BExW66LVVZK656PQY1257QMHP2AY" localSheetId="20" hidden="1">#REF!</definedName>
    <definedName name="BExW66LVVZK656PQY1257QMHP2AY" hidden="1">#REF!</definedName>
    <definedName name="BExW6EJPHAP1TWT380AZLXNHR22P" localSheetId="17"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9" hidden="1">'[60]10.08.3 - 2008 Expense - TDBU'!#REF!</definedName>
    <definedName name="BExW82C756R4HC5DTN5Z29F0D3QO" localSheetId="20" hidden="1">'[61]10.08.3 - 2008 Expense - TDBU'!#REF!</definedName>
    <definedName name="BExW82C756R4HC5DTN5Z29F0D3QO" hidden="1">'[61]10.08.3 - 2008 Expense - TDBU'!#REF!</definedName>
    <definedName name="BExW87VVJSJLAJQQHUHH974N4MAO" localSheetId="15" hidden="1">#REF!</definedName>
    <definedName name="BExW87VVJSJLAJQQHUHH974N4MAO" localSheetId="16" hidden="1">#REF!</definedName>
    <definedName name="BExW87VVJSJLAJQQHUHH974N4MAO" localSheetId="17" hidden="1">#REF!</definedName>
    <definedName name="BExW87VVJSJLAJQQHUHH974N4MAO" localSheetId="20" hidden="1">#REF!</definedName>
    <definedName name="BExW87VVJSJLAJQQHUHH974N4MAO" hidden="1">#REF!</definedName>
    <definedName name="BExW8COJI4803WMVPHGL8240OBIU" localSheetId="17" hidden="1">#REF!</definedName>
    <definedName name="BExW8COJI4803WMVPHGL8240OBIU" localSheetId="20" hidden="1">#REF!</definedName>
    <definedName name="BExW8COJI4803WMVPHGL8240OBIU" hidden="1">#REF!</definedName>
    <definedName name="BExW8K0SSIPSKBVP06IJ71600HJZ" localSheetId="17"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9" hidden="1">'[60]10.08.5 - 2008 Capital - TDBU'!#REF!</definedName>
    <definedName name="BExXX7V6XV8D71NMUTIG4TUF6DF3" localSheetId="20" hidden="1">'[61]10.08.5 - 2008 Capital - TDBU'!#REF!</definedName>
    <definedName name="BExXX7V6XV8D71NMUTIG4TUF6DF3" hidden="1">'[61]10.08.5 - 2008 Capital - TDBU'!#REF!</definedName>
    <definedName name="BExXX9D3XK7CEZ9SI9UOA6F79ZPL" localSheetId="15" hidden="1">#REF!</definedName>
    <definedName name="BExXX9D3XK7CEZ9SI9UOA6F79ZPL" localSheetId="16" hidden="1">#REF!</definedName>
    <definedName name="BExXX9D3XK7CEZ9SI9UOA6F79ZPL" localSheetId="17" hidden="1">#REF!</definedName>
    <definedName name="BExXX9D3XK7CEZ9SI9UOA6F79ZPL" localSheetId="20" hidden="1">#REF!</definedName>
    <definedName name="BExXX9D3XK7CEZ9SI9UOA6F79ZPL" hidden="1">#REF!</definedName>
    <definedName name="BExXXBBCLDS7K2HB4LLGA6TTTXO3" localSheetId="17" hidden="1">#REF!</definedName>
    <definedName name="BExXXBBCLDS7K2HB4LLGA6TTTXO3" localSheetId="20" hidden="1">#REF!</definedName>
    <definedName name="BExXXBBCLDS7K2HB4LLGA6TTTXO3" hidden="1">#REF!</definedName>
    <definedName name="BExXXBGNQF0HXLZNUFVN9AGYLRGU" localSheetId="17"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9" hidden="1">'[60]10.08.5 - 2008 Capital - TDBU'!#REF!</definedName>
    <definedName name="BExY1JK5FLBIKGF4D7K1BMSTT2W7" localSheetId="20" hidden="1">'[61]10.08.5 - 2008 Capital - TDBU'!#REF!</definedName>
    <definedName name="BExY1JK5FLBIKGF4D7K1BMSTT2W7" hidden="1">'[61]10.08.5 - 2008 Capital - TDBU'!#REF!</definedName>
    <definedName name="BExY1JUYIFR0O90W747XIO278VF6" localSheetId="15" hidden="1">#REF!</definedName>
    <definedName name="BExY1JUYIFR0O90W747XIO278VF6" localSheetId="16" hidden="1">#REF!</definedName>
    <definedName name="BExY1JUYIFR0O90W747XIO278VF6" localSheetId="17" hidden="1">#REF!</definedName>
    <definedName name="BExY1JUYIFR0O90W747XIO278VF6" localSheetId="20" hidden="1">#REF!</definedName>
    <definedName name="BExY1JUYIFR0O90W747XIO278VF6" hidden="1">#REF!</definedName>
    <definedName name="BExY1NWOXXFV9GGZ3PX444LZ8TVX" localSheetId="17" hidden="1">#REF!</definedName>
    <definedName name="BExY1NWOXXFV9GGZ3PX444LZ8TVX" localSheetId="20" hidden="1">#REF!</definedName>
    <definedName name="BExY1NWOXXFV9GGZ3PX444LZ8TVX" hidden="1">#REF!</definedName>
    <definedName name="BExY1R7F5GLGAYZT2TMJYZVT5X8X" localSheetId="17"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9" hidden="1">'[60]10.08.5 - 2008 Capital - TDBU'!#REF!</definedName>
    <definedName name="BExZRXAKDKQ1K9GZ7R5F89HTIP5Y" localSheetId="20" hidden="1">'[61]10.08.5 - 2008 Capital - TDBU'!#REF!</definedName>
    <definedName name="BExZRXAKDKQ1K9GZ7R5F89HTIP5Y" hidden="1">'[61]10.08.5 - 2008 Capital - TDBU'!#REF!</definedName>
    <definedName name="BExZS2OY9JTSSP01ZQ6V2T2LO5R9" localSheetId="15" hidden="1">#REF!</definedName>
    <definedName name="BExZS2OY9JTSSP01ZQ6V2T2LO5R9" localSheetId="16" hidden="1">#REF!</definedName>
    <definedName name="BExZS2OY9JTSSP01ZQ6V2T2LO5R9" localSheetId="17" hidden="1">#REF!</definedName>
    <definedName name="BExZS2OY9JTSSP01ZQ6V2T2LO5R9" localSheetId="20" hidden="1">#REF!</definedName>
    <definedName name="BExZS2OY9JTSSP01ZQ6V2T2LO5R9" hidden="1">#REF!</definedName>
    <definedName name="BExZSI9USDLZAN8LI8M4YYQL24GZ" localSheetId="17" hidden="1">#REF!</definedName>
    <definedName name="BExZSI9USDLZAN8LI8M4YYQL24GZ" localSheetId="20" hidden="1">#REF!</definedName>
    <definedName name="BExZSI9USDLZAN8LI8M4YYQL24GZ" hidden="1">#REF!</definedName>
    <definedName name="BExZSM0TL3458X254CZLZZ3GBCNQ" localSheetId="17"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 localSheetId="9">[39]Assumptions!$E$33</definedName>
    <definedName name="BGS_Cost_Scenario">[40]Assumptions!$E$33</definedName>
    <definedName name="BGS_Forecast" localSheetId="9">[64]Assumptions!#REF!</definedName>
    <definedName name="BGS_Forecast" localSheetId="17">[65]Assumptions!#REF!</definedName>
    <definedName name="BGS_Forecast">[65]Assumptions!#REF!</definedName>
    <definedName name="BGS_Rate" localSheetId="17">#REF!</definedName>
    <definedName name="BGS_Rate">#REF!</definedName>
    <definedName name="BGS_RFP" localSheetId="9">[39]Assumptions!$E$36</definedName>
    <definedName name="BGS_RFP">[40]Assumptions!$E$36</definedName>
    <definedName name="Bill" localSheetId="17">#REF!</definedName>
    <definedName name="Bill">#REF!</definedName>
    <definedName name="bill1" localSheetId="17">#REF!</definedName>
    <definedName name="bill1">#REF!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'[55]Aday IS DECo &amp; Other'!#REF!</definedName>
    <definedName name="Biomass_Energy_YR_2006">'[55]Aday IS DECo &amp; Other'!#REF!</definedName>
    <definedName name="Biomass_Energy_YR_2007">'[55]Aday IS DECo &amp; Other'!#REF!</definedName>
    <definedName name="Biomass_Energy_YR_2008">'[55]Aday IS DECo &amp; Other'!#REF!</definedName>
    <definedName name="Biomass_Growth_YR_2003" localSheetId="17">#REF!</definedName>
    <definedName name="Biomass_Growth_YR_2003">#REF!</definedName>
    <definedName name="Biomass_Growth_YR_2004" localSheetId="17">#REF!</definedName>
    <definedName name="Biomass_Growth_YR_2004">#REF!</definedName>
    <definedName name="Biomass_Growth_YR_2005" localSheetId="17">#REF!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 localSheetId="9">[66]Assumptions!$E$28</definedName>
    <definedName name="BLE_Close_Date">[67]Assumptions!$E$28</definedName>
    <definedName name="Book__Gain__Loss_on_Asset_Sale" localSheetId="17">#REF!</definedName>
    <definedName name="Book__Gain__Loss_on_Asset_Sale">#REF!</definedName>
    <definedName name="bpgr84" localSheetId="9">[17]Print!$C$48</definedName>
    <definedName name="bpgr84">[18]Print!$C$48</definedName>
    <definedName name="bpgr85" localSheetId="9">[17]Print!$E$48</definedName>
    <definedName name="bpgr85">[18]Print!$E$48</definedName>
    <definedName name="bpgr86" localSheetId="9">[17]Print!$G$48</definedName>
    <definedName name="bpgr86">[18]Print!$G$48</definedName>
    <definedName name="bpgr87" localSheetId="9">[17]Print!$I$48</definedName>
    <definedName name="bpgr87">[18]Print!$I$48</definedName>
    <definedName name="bpgr88" localSheetId="9">[17]Print!$K$48</definedName>
    <definedName name="bpgr88">[18]Print!$K$48</definedName>
    <definedName name="bpqre84" localSheetId="9">[17]Print!$C$41</definedName>
    <definedName name="bpqre84">[18]Print!$C$41</definedName>
    <definedName name="bpqre85" localSheetId="9">[17]Print!$E$41</definedName>
    <definedName name="bpqre85">[18]Print!$E$41</definedName>
    <definedName name="bpqre86" localSheetId="9">[17]Print!$G$41</definedName>
    <definedName name="bpqre86">[18]Print!$G$41</definedName>
    <definedName name="bpqre87" localSheetId="9">[17]Print!$I$41</definedName>
    <definedName name="bpqre87">[18]Print!$I$41</definedName>
    <definedName name="bpqre88" localSheetId="9">[17]Print!$K$41</definedName>
    <definedName name="bpqre88">[18]Print!$K$41</definedName>
    <definedName name="Brenda" localSheetId="17">#REF!</definedName>
    <definedName name="Brenda">#REF!</definedName>
    <definedName name="bu10total100" localSheetId="17">#REF!</definedName>
    <definedName name="bu10total100">#REF!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 localSheetId="9">[17]B_U_10!$C$95</definedName>
    <definedName name="bu10total84">[18]B_U_10!$C$95</definedName>
    <definedName name="bu10total84a" localSheetId="9">[17]B_U_10!$C$103</definedName>
    <definedName name="bu10total84a">[18]B_U_10!$C$103</definedName>
    <definedName name="bu10total85" localSheetId="9">[17]B_U_10!$D$95</definedName>
    <definedName name="bu10total85">[18]B_U_10!$D$95</definedName>
    <definedName name="bu10total85a" localSheetId="9">[17]B_U_10!$D$103</definedName>
    <definedName name="bu10total85a">[18]B_U_10!$D$103</definedName>
    <definedName name="bu10total86" localSheetId="9">[17]B_U_10!$E$95</definedName>
    <definedName name="bu10total86">[18]B_U_10!$E$95</definedName>
    <definedName name="bu10total86a" localSheetId="9">[17]B_U_10!$E$103</definedName>
    <definedName name="bu10total86a">[18]B_U_10!$E$103</definedName>
    <definedName name="bu10total87" localSheetId="9">[17]B_U_10!$F$95</definedName>
    <definedName name="bu10total87">[18]B_U_10!$F$95</definedName>
    <definedName name="bu10total87a" localSheetId="9">[17]B_U_10!$F$103</definedName>
    <definedName name="bu10total87a">[18]B_U_10!$F$103</definedName>
    <definedName name="bu10total88" localSheetId="9">[17]B_U_10!$G$95</definedName>
    <definedName name="bu10total88">[18]B_U_10!$G$95</definedName>
    <definedName name="bu10total88a" localSheetId="9">[17]B_U_10!$G$103</definedName>
    <definedName name="bu10total88a">[18]B_U_10!$G$103</definedName>
    <definedName name="bu10total89" localSheetId="9">[17]B_U_10!$H$95</definedName>
    <definedName name="bu10total89">[18]B_U_10!$H$95</definedName>
    <definedName name="bu10total89a" localSheetId="9">[17]B_U_10!$H$103</definedName>
    <definedName name="bu10total89a">[18]B_U_10!$H$103</definedName>
    <definedName name="bu10total90" localSheetId="9">[17]B_U_10!$I$95</definedName>
    <definedName name="bu10total90">[18]B_U_10!$I$95</definedName>
    <definedName name="bu10total90a" localSheetId="9">[17]B_U_10!$I$103</definedName>
    <definedName name="bu10total90a">[18]B_U_10!$I$103</definedName>
    <definedName name="bu10total91" localSheetId="9">[17]B_U_10!$J$95</definedName>
    <definedName name="bu10total91">[18]B_U_10!$J$95</definedName>
    <definedName name="bu10total91a" localSheetId="9">[17]B_U_10!$J$103</definedName>
    <definedName name="bu10total91a">[18]B_U_10!$J$103</definedName>
    <definedName name="bu10total92" localSheetId="9">[17]B_U_10!$K$95</definedName>
    <definedName name="bu10total92">[18]B_U_10!$K$95</definedName>
    <definedName name="bu10total92a" localSheetId="9">[17]B_U_10!$K$103</definedName>
    <definedName name="bu10total92a">[18]B_U_10!$K$103</definedName>
    <definedName name="bu10total93" localSheetId="9">[17]B_U_10!$L$95</definedName>
    <definedName name="bu10total93">[18]B_U_10!$L$95</definedName>
    <definedName name="bu10total93a" localSheetId="9">[17]B_U_10!$L$103</definedName>
    <definedName name="bu10total93a">[18]B_U_10!$L$103</definedName>
    <definedName name="bu10total94" localSheetId="9">[17]B_U_10!$M$95</definedName>
    <definedName name="bu10total94">[18]B_U_10!$M$95</definedName>
    <definedName name="bu10total94a" localSheetId="9">[17]B_U_10!$M$103</definedName>
    <definedName name="bu10total94a">[18]B_U_10!$M$103</definedName>
    <definedName name="bu10total95" localSheetId="9">[17]B_U_10!$N$95</definedName>
    <definedName name="bu10total95">[18]B_U_10!$N$95</definedName>
    <definedName name="bu10total95a" localSheetId="9">[17]B_U_10!$N$103</definedName>
    <definedName name="bu10total95a">[18]B_U_10!$N$103</definedName>
    <definedName name="bu10total96" localSheetId="9">[17]B_U_10!$O$95</definedName>
    <definedName name="bu10total96">[18]B_U_10!$O$95</definedName>
    <definedName name="bu10total96a" localSheetId="9">[17]B_U_10!$O$103</definedName>
    <definedName name="bu10total96a">[18]B_U_10!$O$103</definedName>
    <definedName name="bu10total97" localSheetId="9">[17]B_U_10!$P$95</definedName>
    <definedName name="bu10total97">[18]B_U_10!$P$95</definedName>
    <definedName name="bu10total97a" localSheetId="9">[17]B_U_10!$P$103</definedName>
    <definedName name="bu10total97a">[18]B_U_10!$P$103</definedName>
    <definedName name="bu10total98" localSheetId="9">[17]B_U_10!$Q$95</definedName>
    <definedName name="bu10total98">[18]B_U_10!$Q$95</definedName>
    <definedName name="bu10total98a" localSheetId="9">[17]B_U_10!$Q$103</definedName>
    <definedName name="bu10total98a">[18]B_U_10!$Q$103</definedName>
    <definedName name="bu10total99" localSheetId="17">#REF!</definedName>
    <definedName name="bu10total99">#REF!</definedName>
    <definedName name="bu10total99a" localSheetId="17">#REF!</definedName>
    <definedName name="bu10total99a">#REF!</definedName>
    <definedName name="bu11total100" localSheetId="17">#REF!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 localSheetId="9">[17]B_U_11!$C$95</definedName>
    <definedName name="bu11total84">[18]B_U_11!$C$95</definedName>
    <definedName name="bu11total84a" localSheetId="9">[17]B_U_11!$C$103</definedName>
    <definedName name="bu11total84a">[18]B_U_11!$C$103</definedName>
    <definedName name="bu11total85" localSheetId="9">[17]B_U_11!$D$95</definedName>
    <definedName name="bu11total85">[18]B_U_11!$D$95</definedName>
    <definedName name="bu11total85a" localSheetId="9">[17]B_U_11!$D$103</definedName>
    <definedName name="bu11total85a">[18]B_U_11!$D$103</definedName>
    <definedName name="bu11total86" localSheetId="9">[17]B_U_11!$E$95</definedName>
    <definedName name="bu11total86">[18]B_U_11!$E$95</definedName>
    <definedName name="bu11total86a" localSheetId="9">[17]B_U_11!$E$103</definedName>
    <definedName name="bu11total86a">[18]B_U_11!$E$103</definedName>
    <definedName name="bu11total87" localSheetId="9">[17]B_U_11!$F$95</definedName>
    <definedName name="bu11total87">[18]B_U_11!$F$95</definedName>
    <definedName name="bu11total87a" localSheetId="9">[17]B_U_11!$F$103</definedName>
    <definedName name="bu11total87a">[18]B_U_11!$F$103</definedName>
    <definedName name="bu11total88" localSheetId="9">[17]B_U_11!$G$95</definedName>
    <definedName name="bu11total88">[18]B_U_11!$G$95</definedName>
    <definedName name="bu11total88a" localSheetId="9">[17]B_U_11!$G$103</definedName>
    <definedName name="bu11total88a">[18]B_U_11!$G$103</definedName>
    <definedName name="bu11total89" localSheetId="9">[17]B_U_11!$H$95</definedName>
    <definedName name="bu11total89">[18]B_U_11!$H$95</definedName>
    <definedName name="bu11total89a" localSheetId="9">[17]B_U_11!$H$103</definedName>
    <definedName name="bu11total89a">[18]B_U_11!$H$103</definedName>
    <definedName name="bu11total90" localSheetId="9">[17]B_U_11!$I$95</definedName>
    <definedName name="bu11total90">[18]B_U_11!$I$95</definedName>
    <definedName name="bu11total90a" localSheetId="9">[17]B_U_11!$I$103</definedName>
    <definedName name="bu11total90a">[18]B_U_11!$I$103</definedName>
    <definedName name="bu11total91" localSheetId="9">[17]B_U_11!$J$95</definedName>
    <definedName name="bu11total91">[18]B_U_11!$J$95</definedName>
    <definedName name="bu11total91a" localSheetId="9">[17]B_U_11!$J$103</definedName>
    <definedName name="bu11total91a">[18]B_U_11!$J$103</definedName>
    <definedName name="bu11total92" localSheetId="9">[17]B_U_11!$K$95</definedName>
    <definedName name="bu11total92">[18]B_U_11!$K$95</definedName>
    <definedName name="bu11total92a" localSheetId="9">[17]B_U_11!$K$103</definedName>
    <definedName name="bu11total92a">[18]B_U_11!$K$103</definedName>
    <definedName name="bu11total93" localSheetId="9">[17]B_U_11!$L$95</definedName>
    <definedName name="bu11total93">[18]B_U_11!$L$95</definedName>
    <definedName name="bu11total93a" localSheetId="9">[17]B_U_11!$L$103</definedName>
    <definedName name="bu11total93a">[18]B_U_11!$L$103</definedName>
    <definedName name="bu11total94" localSheetId="9">[17]B_U_11!$M$95</definedName>
    <definedName name="bu11total94">[18]B_U_11!$M$95</definedName>
    <definedName name="bu11total94a" localSheetId="9">[17]B_U_11!$M$103</definedName>
    <definedName name="bu11total94a">[18]B_U_11!$M$103</definedName>
    <definedName name="bu11total95" localSheetId="9">[17]B_U_11!$N$95</definedName>
    <definedName name="bu11total95">[18]B_U_11!$N$95</definedName>
    <definedName name="bu11total95a" localSheetId="9">[17]B_U_11!$N$103</definedName>
    <definedName name="bu11total95a">[18]B_U_11!$N$103</definedName>
    <definedName name="bu11total96" localSheetId="9">[17]B_U_11!$O$95</definedName>
    <definedName name="bu11total96">[18]B_U_11!$O$95</definedName>
    <definedName name="bu11total96a" localSheetId="9">[17]B_U_11!$O$103</definedName>
    <definedName name="bu11total96a">[18]B_U_11!$O$103</definedName>
    <definedName name="bu11total97" localSheetId="9">[17]B_U_11!$P$95</definedName>
    <definedName name="bu11total97">[18]B_U_11!$P$95</definedName>
    <definedName name="bu11total97a" localSheetId="9">[17]B_U_11!$P$103</definedName>
    <definedName name="bu11total97a">[18]B_U_11!$P$103</definedName>
    <definedName name="bu11total98" localSheetId="9">[17]B_U_11!$Q$95</definedName>
    <definedName name="bu11total98">[18]B_U_11!$Q$95</definedName>
    <definedName name="bu11total98a" localSheetId="9">[17]B_U_11!$Q$103</definedName>
    <definedName name="bu11total98a">[18]B_U_11!$Q$103</definedName>
    <definedName name="bu11total99" localSheetId="17">#REF!</definedName>
    <definedName name="bu11total99">#REF!</definedName>
    <definedName name="bu11total99a" localSheetId="17">#REF!</definedName>
    <definedName name="bu11total99a">#REF!</definedName>
    <definedName name="bu12total100" localSheetId="17">#REF!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 localSheetId="9">[17]B_U_12!$C$95</definedName>
    <definedName name="bu12total84">[18]B_U_12!$C$95</definedName>
    <definedName name="bu12total84a" localSheetId="9">[17]B_U_12!$C$103</definedName>
    <definedName name="bu12total84a">[18]B_U_12!$C$103</definedName>
    <definedName name="bu12total85" localSheetId="9">[17]B_U_12!$D$95</definedName>
    <definedName name="bu12total85">[18]B_U_12!$D$95</definedName>
    <definedName name="bu12total85a" localSheetId="9">[17]B_U_12!$D$103</definedName>
    <definedName name="bu12total85a">[18]B_U_12!$D$103</definedName>
    <definedName name="bu12total86" localSheetId="9">[17]B_U_12!$E$95</definedName>
    <definedName name="bu12total86">[18]B_U_12!$E$95</definedName>
    <definedName name="bu12total86a" localSheetId="9">[17]B_U_12!$E$103</definedName>
    <definedName name="bu12total86a">[18]B_U_12!$E$103</definedName>
    <definedName name="bu12total87" localSheetId="9">[17]B_U_12!$F$95</definedName>
    <definedName name="bu12total87">[18]B_U_12!$F$95</definedName>
    <definedName name="bu12total87a" localSheetId="9">[17]B_U_12!$F$103</definedName>
    <definedName name="bu12total87a">[18]B_U_12!$F$103</definedName>
    <definedName name="bu12total88" localSheetId="9">[17]B_U_12!$G$95</definedName>
    <definedName name="bu12total88">[18]B_U_12!$G$95</definedName>
    <definedName name="bu12total88a" localSheetId="9">[17]B_U_12!$G$103</definedName>
    <definedName name="bu12total88a">[18]B_U_12!$G$103</definedName>
    <definedName name="bu12total89" localSheetId="9">[17]B_U_12!$H$95</definedName>
    <definedName name="bu12total89">[18]B_U_12!$H$95</definedName>
    <definedName name="bu12total89a" localSheetId="9">[17]B_U_12!$H$103</definedName>
    <definedName name="bu12total89a">[18]B_U_12!$H$103</definedName>
    <definedName name="bu12total90" localSheetId="9">[17]B_U_12!$I$95</definedName>
    <definedName name="bu12total90">[18]B_U_12!$I$95</definedName>
    <definedName name="bu12total90a" localSheetId="9">[17]B_U_12!$I$103</definedName>
    <definedName name="bu12total90a">[18]B_U_12!$I$103</definedName>
    <definedName name="bu12total91" localSheetId="9">[17]B_U_12!$J$95</definedName>
    <definedName name="bu12total91">[18]B_U_12!$J$95</definedName>
    <definedName name="bu12total91a" localSheetId="9">[17]B_U_12!$J$103</definedName>
    <definedName name="bu12total91a">[18]B_U_12!$J$103</definedName>
    <definedName name="bu12total92" localSheetId="9">[17]B_U_12!$K$95</definedName>
    <definedName name="bu12total92">[18]B_U_12!$K$95</definedName>
    <definedName name="bu12total92a" localSheetId="9">[17]B_U_12!$K$103</definedName>
    <definedName name="bu12total92a">[18]B_U_12!$K$103</definedName>
    <definedName name="bu12total93" localSheetId="9">[17]B_U_12!$L$95</definedName>
    <definedName name="bu12total93">[18]B_U_12!$L$95</definedName>
    <definedName name="bu12total93a" localSheetId="9">[17]B_U_12!$L$103</definedName>
    <definedName name="bu12total93a">[18]B_U_12!$L$103</definedName>
    <definedName name="bu12total94" localSheetId="9">[17]B_U_12!$M$95</definedName>
    <definedName name="bu12total94">[18]B_U_12!$M$95</definedName>
    <definedName name="bu12total94a" localSheetId="9">[17]B_U_12!$M$103</definedName>
    <definedName name="bu12total94a">[18]B_U_12!$M$103</definedName>
    <definedName name="bu12total95" localSheetId="9">[17]B_U_12!$N$95</definedName>
    <definedName name="bu12total95">[18]B_U_12!$N$95</definedName>
    <definedName name="bu12total95a" localSheetId="9">[17]B_U_12!$N$103</definedName>
    <definedName name="bu12total95a">[18]B_U_12!$N$103</definedName>
    <definedName name="bu12total96" localSheetId="9">[17]B_U_12!$O$95</definedName>
    <definedName name="bu12total96">[18]B_U_12!$O$95</definedName>
    <definedName name="bu12total96a" localSheetId="9">[17]B_U_12!$O$103</definedName>
    <definedName name="bu12total96a">[18]B_U_12!$O$103</definedName>
    <definedName name="bu12total97" localSheetId="9">[17]B_U_12!$P$95</definedName>
    <definedName name="bu12total97">[18]B_U_12!$P$95</definedName>
    <definedName name="bu12total97a" localSheetId="9">[17]B_U_12!$P$103</definedName>
    <definedName name="bu12total97a">[18]B_U_12!$P$103</definedName>
    <definedName name="bu12total98" localSheetId="9">[17]B_U_12!$Q$95</definedName>
    <definedName name="bu12total98">[18]B_U_12!$Q$95</definedName>
    <definedName name="bu12total98a" localSheetId="9">[17]B_U_12!$Q$103</definedName>
    <definedName name="bu12total98a">[18]B_U_12!$Q$103</definedName>
    <definedName name="bu12total99" localSheetId="17">#REF!</definedName>
    <definedName name="bu12total99">#REF!</definedName>
    <definedName name="bu12total99a" localSheetId="17">#REF!</definedName>
    <definedName name="bu12total99a">#REF!</definedName>
    <definedName name="bu13total100" localSheetId="17">#REF!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 localSheetId="9">[17]B_U_13!$C$95</definedName>
    <definedName name="bu13total84">[18]B_U_13!$C$95</definedName>
    <definedName name="bu13total84a" localSheetId="9">[17]B_U_13!$C$103</definedName>
    <definedName name="bu13total84a">[18]B_U_13!$C$103</definedName>
    <definedName name="bu13total85" localSheetId="9">[17]B_U_13!$D$95</definedName>
    <definedName name="bu13total85">[18]B_U_13!$D$95</definedName>
    <definedName name="bu13total85a" localSheetId="9">[17]B_U_13!$D$103</definedName>
    <definedName name="bu13total85a">[18]B_U_13!$D$103</definedName>
    <definedName name="bu13total86" localSheetId="9">[17]B_U_13!$E$95</definedName>
    <definedName name="bu13total86">[18]B_U_13!$E$95</definedName>
    <definedName name="bu13total86a" localSheetId="9">[17]B_U_13!$E$103</definedName>
    <definedName name="bu13total86a">[18]B_U_13!$E$103</definedName>
    <definedName name="bu13total87" localSheetId="9">[17]B_U_13!$F$95</definedName>
    <definedName name="bu13total87">[18]B_U_13!$F$95</definedName>
    <definedName name="bu13total87a" localSheetId="9">[17]B_U_13!$F$103</definedName>
    <definedName name="bu13total87a">[18]B_U_13!$F$103</definedName>
    <definedName name="bu13total88" localSheetId="9">[17]B_U_13!$G$95</definedName>
    <definedName name="bu13total88">[18]B_U_13!$G$95</definedName>
    <definedName name="bu13total88a" localSheetId="9">[17]B_U_13!$G$103</definedName>
    <definedName name="bu13total88a">[18]B_U_13!$G$103</definedName>
    <definedName name="bu13total89" localSheetId="9">[17]B_U_13!$H$95</definedName>
    <definedName name="bu13total89">[18]B_U_13!$H$95</definedName>
    <definedName name="bu13total89a" localSheetId="9">[17]B_U_13!$H$103</definedName>
    <definedName name="bu13total89a">[18]B_U_13!$H$103</definedName>
    <definedName name="bu13total90" localSheetId="9">[17]B_U_13!$I$95</definedName>
    <definedName name="bu13total90">[18]B_U_13!$I$95</definedName>
    <definedName name="bu13total90a" localSheetId="9">[17]B_U_13!$I$103</definedName>
    <definedName name="bu13total90a">[18]B_U_13!$I$103</definedName>
    <definedName name="bu13total91" localSheetId="9">[17]B_U_13!$J$95</definedName>
    <definedName name="bu13total91">[18]B_U_13!$J$95</definedName>
    <definedName name="bu13total91a" localSheetId="9">[17]B_U_13!$J$103</definedName>
    <definedName name="bu13total91a">[18]B_U_13!$J$103</definedName>
    <definedName name="bu13total92" localSheetId="9">[17]B_U_13!$K$95</definedName>
    <definedName name="bu13total92">[18]B_U_13!$K$95</definedName>
    <definedName name="bu13total92a" localSheetId="9">[17]B_U_13!$K$103</definedName>
    <definedName name="bu13total92a">[18]B_U_13!$K$103</definedName>
    <definedName name="bu13total93" localSheetId="9">[17]B_U_13!$L$95</definedName>
    <definedName name="bu13total93">[18]B_U_13!$L$95</definedName>
    <definedName name="bu13total93a" localSheetId="9">[17]B_U_13!$L$103</definedName>
    <definedName name="bu13total93a">[18]B_U_13!$L$103</definedName>
    <definedName name="bu13total94" localSheetId="9">[17]B_U_13!$M$95</definedName>
    <definedName name="bu13total94">[18]B_U_13!$M$95</definedName>
    <definedName name="bu13total94a" localSheetId="9">[17]B_U_13!$M$103</definedName>
    <definedName name="bu13total94a">[18]B_U_13!$M$103</definedName>
    <definedName name="bu13total95" localSheetId="9">[17]B_U_13!$N$95</definedName>
    <definedName name="bu13total95">[18]B_U_13!$N$95</definedName>
    <definedName name="bu13total95a" localSheetId="9">[17]B_U_13!$N$103</definedName>
    <definedName name="bu13total95a">[18]B_U_13!$N$103</definedName>
    <definedName name="bu13total96" localSheetId="9">[17]B_U_13!$O$95</definedName>
    <definedName name="bu13total96">[18]B_U_13!$O$95</definedName>
    <definedName name="bu13total96a" localSheetId="9">[17]B_U_13!$O$103</definedName>
    <definedName name="bu13total96a">[18]B_U_13!$O$103</definedName>
    <definedName name="bu13total97" localSheetId="9">[17]B_U_13!$P$95</definedName>
    <definedName name="bu13total97">[18]B_U_13!$P$95</definedName>
    <definedName name="bu13total97a" localSheetId="9">[17]B_U_13!$P$103</definedName>
    <definedName name="bu13total97a">[18]B_U_13!$P$103</definedName>
    <definedName name="bu13total98" localSheetId="9">[17]B_U_13!$Q$95</definedName>
    <definedName name="bu13total98">[18]B_U_13!$Q$95</definedName>
    <definedName name="bu13total98a" localSheetId="9">[17]B_U_13!$Q$103</definedName>
    <definedName name="bu13total98a">[18]B_U_13!$Q$103</definedName>
    <definedName name="bu13total99" localSheetId="17">#REF!</definedName>
    <definedName name="bu13total99">#REF!</definedName>
    <definedName name="bu13total99a" localSheetId="17">#REF!</definedName>
    <definedName name="bu13total99a">#REF!</definedName>
    <definedName name="bu14total100" localSheetId="17">#REF!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 localSheetId="9">[17]B_U_14!$C$95</definedName>
    <definedName name="bu14total84">[18]B_U_14!$C$95</definedName>
    <definedName name="bu14total84a" localSheetId="9">[17]B_U_14!$C$103</definedName>
    <definedName name="bu14total84a">[18]B_U_14!$C$103</definedName>
    <definedName name="bu14total85" localSheetId="9">[17]B_U_14!$D$95</definedName>
    <definedName name="bu14total85">[18]B_U_14!$D$95</definedName>
    <definedName name="bu14total85a" localSheetId="9">[17]B_U_14!$D$103</definedName>
    <definedName name="bu14total85a">[18]B_U_14!$D$103</definedName>
    <definedName name="bu14total86" localSheetId="9">[17]B_U_14!$E$95</definedName>
    <definedName name="bu14total86">[18]B_U_14!$E$95</definedName>
    <definedName name="bu14total86a" localSheetId="9">[17]B_U_14!$E$103</definedName>
    <definedName name="bu14total86a">[18]B_U_14!$E$103</definedName>
    <definedName name="bu14total87" localSheetId="9">[17]B_U_14!$F$95</definedName>
    <definedName name="bu14total87">[18]B_U_14!$F$95</definedName>
    <definedName name="bu14total87a" localSheetId="9">[17]B_U_14!$F$103</definedName>
    <definedName name="bu14total87a">[18]B_U_14!$F$103</definedName>
    <definedName name="bu14total88" localSheetId="9">[17]B_U_14!$G$95</definedName>
    <definedName name="bu14total88">[18]B_U_14!$G$95</definedName>
    <definedName name="bu14total88a" localSheetId="9">[17]B_U_14!$G$103</definedName>
    <definedName name="bu14total88a">[18]B_U_14!$G$103</definedName>
    <definedName name="bu14total89" localSheetId="9">[17]B_U_14!$H$95</definedName>
    <definedName name="bu14total89">[18]B_U_14!$H$95</definedName>
    <definedName name="bu14total89a" localSheetId="9">[17]B_U_14!$H$103</definedName>
    <definedName name="bu14total89a">[18]B_U_14!$H$103</definedName>
    <definedName name="bu14total90" localSheetId="9">[17]B_U_14!$I$95</definedName>
    <definedName name="bu14total90">[18]B_U_14!$I$95</definedName>
    <definedName name="bu14total90a" localSheetId="9">[17]B_U_14!$I$103</definedName>
    <definedName name="bu14total90a">[18]B_U_14!$I$103</definedName>
    <definedName name="bu14total91" localSheetId="9">[17]B_U_14!$J$95</definedName>
    <definedName name="bu14total91">[18]B_U_14!$J$95</definedName>
    <definedName name="bu14total91a" localSheetId="9">[17]B_U_14!$J$103</definedName>
    <definedName name="bu14total91a">[18]B_U_14!$J$103</definedName>
    <definedName name="bu14total92" localSheetId="9">[17]B_U_14!$K$95</definedName>
    <definedName name="bu14total92">[18]B_U_14!$K$95</definedName>
    <definedName name="bu14total92a" localSheetId="9">[17]B_U_14!$K$103</definedName>
    <definedName name="bu14total92a">[18]B_U_14!$K$103</definedName>
    <definedName name="bu14total93" localSheetId="9">[17]B_U_14!$L$95</definedName>
    <definedName name="bu14total93">[18]B_U_14!$L$95</definedName>
    <definedName name="bu14total93a" localSheetId="9">[17]B_U_14!$L$103</definedName>
    <definedName name="bu14total93a">[18]B_U_14!$L$103</definedName>
    <definedName name="bu14total94" localSheetId="9">[17]B_U_14!$M$95</definedName>
    <definedName name="bu14total94">[18]B_U_14!$M$95</definedName>
    <definedName name="bu14total94a" localSheetId="9">[17]B_U_14!$M$103</definedName>
    <definedName name="bu14total94a">[18]B_U_14!$M$103</definedName>
    <definedName name="bu14total95" localSheetId="9">[17]B_U_14!$N$95</definedName>
    <definedName name="bu14total95">[18]B_U_14!$N$95</definedName>
    <definedName name="bu14total95a" localSheetId="9">[17]B_U_14!$N$103</definedName>
    <definedName name="bu14total95a">[18]B_U_14!$N$103</definedName>
    <definedName name="bu14total96" localSheetId="9">[17]B_U_14!$O$95</definedName>
    <definedName name="bu14total96">[18]B_U_14!$O$95</definedName>
    <definedName name="bu14total96a" localSheetId="9">[17]B_U_14!$O$103</definedName>
    <definedName name="bu14total96a">[18]B_U_14!$O$103</definedName>
    <definedName name="bu14total97" localSheetId="9">[17]B_U_14!$P$95</definedName>
    <definedName name="bu14total97">[18]B_U_14!$P$95</definedName>
    <definedName name="bu14total97a" localSheetId="9">[17]B_U_14!$P$103</definedName>
    <definedName name="bu14total97a">[18]B_U_14!$P$103</definedName>
    <definedName name="bu14total98" localSheetId="9">[17]B_U_14!$Q$95</definedName>
    <definedName name="bu14total98">[18]B_U_14!$Q$95</definedName>
    <definedName name="bu14total98a" localSheetId="9">[17]B_U_14!$Q$103</definedName>
    <definedName name="bu14total98a">[18]B_U_14!$Q$103</definedName>
    <definedName name="bu14total99" localSheetId="17">#REF!</definedName>
    <definedName name="bu14total99">#REF!</definedName>
    <definedName name="bu14total99a" localSheetId="17">#REF!</definedName>
    <definedName name="bu14total99a">#REF!</definedName>
    <definedName name="bu15total100" localSheetId="17">#REF!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 localSheetId="9">[17]B_U_15!$C$95</definedName>
    <definedName name="bu15total84">[18]B_U_15!$C$95</definedName>
    <definedName name="bu15total84a" localSheetId="9">[17]B_U_15!$C$103</definedName>
    <definedName name="bu15total84a">[18]B_U_15!$C$103</definedName>
    <definedName name="bu15total85" localSheetId="9">[17]B_U_15!$D$95</definedName>
    <definedName name="bu15total85">[18]B_U_15!$D$95</definedName>
    <definedName name="bu15total85a" localSheetId="9">[17]B_U_15!$D$103</definedName>
    <definedName name="bu15total85a">[18]B_U_15!$D$103</definedName>
    <definedName name="bu15total86" localSheetId="9">[17]B_U_15!$E$95</definedName>
    <definedName name="bu15total86">[18]B_U_15!$E$95</definedName>
    <definedName name="bu15total86a" localSheetId="9">[17]B_U_15!$E$103</definedName>
    <definedName name="bu15total86a">[18]B_U_15!$E$103</definedName>
    <definedName name="bu15total87" localSheetId="9">[17]B_U_15!$F$95</definedName>
    <definedName name="bu15total87">[18]B_U_15!$F$95</definedName>
    <definedName name="bu15total87a" localSheetId="9">[17]B_U_15!$F$103</definedName>
    <definedName name="bu15total87a">[18]B_U_15!$F$103</definedName>
    <definedName name="bu15total88" localSheetId="9">[17]B_U_15!$G$95</definedName>
    <definedName name="bu15total88">[18]B_U_15!$G$95</definedName>
    <definedName name="bu15total88a" localSheetId="9">[17]B_U_15!$G$103</definedName>
    <definedName name="bu15total88a">[18]B_U_15!$G$103</definedName>
    <definedName name="bu15total89" localSheetId="9">[17]B_U_15!$H$95</definedName>
    <definedName name="bu15total89">[18]B_U_15!$H$95</definedName>
    <definedName name="bu15total89a" localSheetId="9">[17]B_U_15!$H$103</definedName>
    <definedName name="bu15total89a">[18]B_U_15!$H$103</definedName>
    <definedName name="bu15total90" localSheetId="9">[17]B_U_15!$I$95</definedName>
    <definedName name="bu15total90">[18]B_U_15!$I$95</definedName>
    <definedName name="bu15total90a" localSheetId="9">[17]B_U_15!$I$103</definedName>
    <definedName name="bu15total90a">[18]B_U_15!$I$103</definedName>
    <definedName name="bu15total91" localSheetId="9">[17]B_U_15!$J$95</definedName>
    <definedName name="bu15total91">[18]B_U_15!$J$95</definedName>
    <definedName name="bu15total91a" localSheetId="9">[17]B_U_15!$J$103</definedName>
    <definedName name="bu15total91a">[18]B_U_15!$J$103</definedName>
    <definedName name="bu15total92" localSheetId="9">[17]B_U_15!$K$95</definedName>
    <definedName name="bu15total92">[18]B_U_15!$K$95</definedName>
    <definedName name="bu15total92a" localSheetId="9">[17]B_U_15!$K$103</definedName>
    <definedName name="bu15total92a">[18]B_U_15!$K$103</definedName>
    <definedName name="bu15total93" localSheetId="9">[17]B_U_15!$L$95</definedName>
    <definedName name="bu15total93">[18]B_U_15!$L$95</definedName>
    <definedName name="bu15total93a" localSheetId="9">[17]B_U_15!$L$103</definedName>
    <definedName name="bu15total93a">[18]B_U_15!$L$103</definedName>
    <definedName name="bu15total94" localSheetId="9">[17]B_U_15!$M$95</definedName>
    <definedName name="bu15total94">[18]B_U_15!$M$95</definedName>
    <definedName name="bu15total94a" localSheetId="9">[17]B_U_15!$M$103</definedName>
    <definedName name="bu15total94a">[18]B_U_15!$M$103</definedName>
    <definedName name="bu15total95" localSheetId="9">[17]B_U_15!$N$95</definedName>
    <definedName name="bu15total95">[18]B_U_15!$N$95</definedName>
    <definedName name="bu15total95a" localSheetId="9">[17]B_U_15!$N$103</definedName>
    <definedName name="bu15total95a">[18]B_U_15!$N$103</definedName>
    <definedName name="bu15total96" localSheetId="9">[17]B_U_15!$O$95</definedName>
    <definedName name="bu15total96">[18]B_U_15!$O$95</definedName>
    <definedName name="bu15total96a" localSheetId="9">[17]B_U_15!$O$103</definedName>
    <definedName name="bu15total96a">[18]B_U_15!$O$103</definedName>
    <definedName name="bu15total97" localSheetId="9">[17]B_U_15!$P$95</definedName>
    <definedName name="bu15total97">[18]B_U_15!$P$95</definedName>
    <definedName name="bu15total97a" localSheetId="9">[17]B_U_15!$P$103</definedName>
    <definedName name="bu15total97a">[18]B_U_15!$P$103</definedName>
    <definedName name="bu15total98" localSheetId="9">[17]B_U_15!$Q$95</definedName>
    <definedName name="bu15total98">[18]B_U_15!$Q$95</definedName>
    <definedName name="bu15total98a" localSheetId="9">[17]B_U_15!$Q$103</definedName>
    <definedName name="bu15total98a">[18]B_U_15!$Q$103</definedName>
    <definedName name="bu15total99" localSheetId="17">#REF!</definedName>
    <definedName name="bu15total99">#REF!</definedName>
    <definedName name="bu15total99a" localSheetId="17">#REF!</definedName>
    <definedName name="bu15total99a">#REF!</definedName>
    <definedName name="bu16total100" localSheetId="17">#REF!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 localSheetId="9">[17]B_U_16!$C$95</definedName>
    <definedName name="bu16total84">[18]B_U_16!$C$95</definedName>
    <definedName name="bu16total84a" localSheetId="9">[17]B_U_16!$C$103</definedName>
    <definedName name="bu16total84a">[18]B_U_16!$C$103</definedName>
    <definedName name="bu16total85" localSheetId="9">[17]B_U_16!$D$95</definedName>
    <definedName name="bu16total85">[18]B_U_16!$D$95</definedName>
    <definedName name="bu16total85a" localSheetId="9">[17]B_U_16!$D$103</definedName>
    <definedName name="bu16total85a">[18]B_U_16!$D$103</definedName>
    <definedName name="bu16total86" localSheetId="9">[17]B_U_16!$E$95</definedName>
    <definedName name="bu16total86">[18]B_U_16!$E$95</definedName>
    <definedName name="bu16total86a" localSheetId="9">[17]B_U_16!$E$103</definedName>
    <definedName name="bu16total86a">[18]B_U_16!$E$103</definedName>
    <definedName name="bu16total87" localSheetId="9">[17]B_U_16!$F$95</definedName>
    <definedName name="bu16total87">[18]B_U_16!$F$95</definedName>
    <definedName name="bu16total87a" localSheetId="9">[17]B_U_16!$F$103</definedName>
    <definedName name="bu16total87a">[18]B_U_16!$F$103</definedName>
    <definedName name="bu16total88" localSheetId="9">[17]B_U_16!$G$95</definedName>
    <definedName name="bu16total88">[18]B_U_16!$G$95</definedName>
    <definedName name="bu16total88a" localSheetId="9">[17]B_U_16!$G$103</definedName>
    <definedName name="bu16total88a">[18]B_U_16!$G$103</definedName>
    <definedName name="bu16total89" localSheetId="9">[17]B_U_16!$H$95</definedName>
    <definedName name="bu16total89">[18]B_U_16!$H$95</definedName>
    <definedName name="bu16total89a" localSheetId="9">[17]B_U_16!$H$103</definedName>
    <definedName name="bu16total89a">[18]B_U_16!$H$103</definedName>
    <definedName name="bu16total90" localSheetId="9">[17]B_U_16!$I$95</definedName>
    <definedName name="bu16total90">[18]B_U_16!$I$95</definedName>
    <definedName name="bu16total90a" localSheetId="9">[17]B_U_16!$I$103</definedName>
    <definedName name="bu16total90a">[18]B_U_16!$I$103</definedName>
    <definedName name="bu16total91" localSheetId="9">[17]B_U_16!$J$95</definedName>
    <definedName name="bu16total91">[18]B_U_16!$J$95</definedName>
    <definedName name="bu16total91a" localSheetId="9">[17]B_U_16!$J$103</definedName>
    <definedName name="bu16total91a">[18]B_U_16!$J$103</definedName>
    <definedName name="bu16total92" localSheetId="9">[17]B_U_16!$K$95</definedName>
    <definedName name="bu16total92">[18]B_U_16!$K$95</definedName>
    <definedName name="bu16total92a" localSheetId="9">[17]B_U_16!$K$103</definedName>
    <definedName name="bu16total92a">[18]B_U_16!$K$103</definedName>
    <definedName name="bu16total93" localSheetId="9">[17]B_U_16!$L$95</definedName>
    <definedName name="bu16total93">[18]B_U_16!$L$95</definedName>
    <definedName name="bu16total93a" localSheetId="9">[17]B_U_16!$L$103</definedName>
    <definedName name="bu16total93a">[18]B_U_16!$L$103</definedName>
    <definedName name="bu16total94" localSheetId="9">[17]B_U_16!$M$95</definedName>
    <definedName name="bu16total94">[18]B_U_16!$M$95</definedName>
    <definedName name="bu16total94a" localSheetId="9">[17]B_U_16!$M$103</definedName>
    <definedName name="bu16total94a">[18]B_U_16!$M$103</definedName>
    <definedName name="bu16total95" localSheetId="9">[17]B_U_16!$N$95</definedName>
    <definedName name="bu16total95">[18]B_U_16!$N$95</definedName>
    <definedName name="bu16total95a" localSheetId="9">[17]B_U_16!$N$103</definedName>
    <definedName name="bu16total95a">[18]B_U_16!$N$103</definedName>
    <definedName name="bu16total96" localSheetId="9">[17]B_U_16!$O$95</definedName>
    <definedName name="bu16total96">[18]B_U_16!$O$95</definedName>
    <definedName name="bu16total96a" localSheetId="9">[17]B_U_16!$O$103</definedName>
    <definedName name="bu16total96a">[18]B_U_16!$O$103</definedName>
    <definedName name="bu16total97" localSheetId="9">[17]B_U_16!$P$95</definedName>
    <definedName name="bu16total97">[18]B_U_16!$P$95</definedName>
    <definedName name="bu16total97a" localSheetId="9">[17]B_U_16!$P$103</definedName>
    <definedName name="bu16total97a">[18]B_U_16!$P$103</definedName>
    <definedName name="bu16total98" localSheetId="9">[17]B_U_16!$Q$95</definedName>
    <definedName name="bu16total98">[18]B_U_16!$Q$95</definedName>
    <definedName name="bu16total98a" localSheetId="9">[17]B_U_16!$Q$103</definedName>
    <definedName name="bu16total98a">[18]B_U_16!$Q$103</definedName>
    <definedName name="bu16total99" localSheetId="17">#REF!</definedName>
    <definedName name="bu16total99">#REF!</definedName>
    <definedName name="bu16total99a" localSheetId="17">#REF!</definedName>
    <definedName name="bu16total99a">#REF!</definedName>
    <definedName name="bu17total100" localSheetId="17">#REF!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 localSheetId="9">[17]B_U_17!$C$95</definedName>
    <definedName name="bu17total84">[18]B_U_17!$C$95</definedName>
    <definedName name="bu17total84a" localSheetId="9">[17]B_U_17!$C$103</definedName>
    <definedName name="bu17total84a">[18]B_U_17!$C$103</definedName>
    <definedName name="bu17total85" localSheetId="9">[17]B_U_17!$D$95</definedName>
    <definedName name="bu17total85">[18]B_U_17!$D$95</definedName>
    <definedName name="bu17total85a" localSheetId="9">[17]B_U_17!$D$103</definedName>
    <definedName name="bu17total85a">[18]B_U_17!$D$103</definedName>
    <definedName name="bu17total86" localSheetId="9">[17]B_U_17!$E$95</definedName>
    <definedName name="bu17total86">[18]B_U_17!$E$95</definedName>
    <definedName name="bu17total86a" localSheetId="9">[17]B_U_17!$E$103</definedName>
    <definedName name="bu17total86a">[18]B_U_17!$E$103</definedName>
    <definedName name="bu17total87" localSheetId="9">[17]B_U_17!$F$95</definedName>
    <definedName name="bu17total87">[18]B_U_17!$F$95</definedName>
    <definedName name="bu17total87a" localSheetId="9">[17]B_U_17!$F$103</definedName>
    <definedName name="bu17total87a">[18]B_U_17!$F$103</definedName>
    <definedName name="bu17total88" localSheetId="9">[17]B_U_17!$G$95</definedName>
    <definedName name="bu17total88">[18]B_U_17!$G$95</definedName>
    <definedName name="bu17total88a" localSheetId="9">[17]B_U_17!$G$103</definedName>
    <definedName name="bu17total88a">[18]B_U_17!$G$103</definedName>
    <definedName name="bu17total89" localSheetId="9">[17]B_U_17!$H$95</definedName>
    <definedName name="bu17total89">[18]B_U_17!$H$95</definedName>
    <definedName name="bu17total89a" localSheetId="9">[17]B_U_17!$H$103</definedName>
    <definedName name="bu17total89a">[18]B_U_17!$H$103</definedName>
    <definedName name="bu17total90" localSheetId="9">[17]B_U_17!$I$95</definedName>
    <definedName name="bu17total90">[18]B_U_17!$I$95</definedName>
    <definedName name="bu17total90a" localSheetId="9">[17]B_U_17!$I$103</definedName>
    <definedName name="bu17total90a">[18]B_U_17!$I$103</definedName>
    <definedName name="bu17total91" localSheetId="9">[17]B_U_17!$J$95</definedName>
    <definedName name="bu17total91">[18]B_U_17!$J$95</definedName>
    <definedName name="bu17total91a" localSheetId="9">[17]B_U_17!$J$103</definedName>
    <definedName name="bu17total91a">[18]B_U_17!$J$103</definedName>
    <definedName name="bu17total92" localSheetId="9">[17]B_U_17!$K$95</definedName>
    <definedName name="bu17total92">[18]B_U_17!$K$95</definedName>
    <definedName name="bu17total92a" localSheetId="9">[17]B_U_17!$K$103</definedName>
    <definedName name="bu17total92a">[18]B_U_17!$K$103</definedName>
    <definedName name="bu17total93" localSheetId="9">[17]B_U_17!$L$95</definedName>
    <definedName name="bu17total93">[18]B_U_17!$L$95</definedName>
    <definedName name="bu17total93a" localSheetId="9">[17]B_U_17!$L$103</definedName>
    <definedName name="bu17total93a">[18]B_U_17!$L$103</definedName>
    <definedName name="bu17total94" localSheetId="9">[17]B_U_17!$M$95</definedName>
    <definedName name="bu17total94">[18]B_U_17!$M$95</definedName>
    <definedName name="bu17total94a" localSheetId="9">[17]B_U_17!$M$103</definedName>
    <definedName name="bu17total94a">[18]B_U_17!$M$103</definedName>
    <definedName name="bu17total95" localSheetId="9">[17]B_U_17!$N$95</definedName>
    <definedName name="bu17total95">[18]B_U_17!$N$95</definedName>
    <definedName name="bu17total95a" localSheetId="9">[17]B_U_17!$N$103</definedName>
    <definedName name="bu17total95a">[18]B_U_17!$N$103</definedName>
    <definedName name="bu17total96" localSheetId="9">[17]B_U_17!$O$95</definedName>
    <definedName name="bu17total96">[18]B_U_17!$O$95</definedName>
    <definedName name="bu17total96a" localSheetId="9">[17]B_U_17!$O$103</definedName>
    <definedName name="bu17total96a">[18]B_U_17!$O$103</definedName>
    <definedName name="bu17total97" localSheetId="9">[17]B_U_17!$P$95</definedName>
    <definedName name="bu17total97">[18]B_U_17!$P$95</definedName>
    <definedName name="bu17total97a" localSheetId="9">[17]B_U_17!$P$103</definedName>
    <definedName name="bu17total97a">[18]B_U_17!$P$103</definedName>
    <definedName name="bu17total98" localSheetId="9">[17]B_U_17!$Q$95</definedName>
    <definedName name="bu17total98">[18]B_U_17!$Q$95</definedName>
    <definedName name="bu17total98a" localSheetId="9">[17]B_U_17!$Q$103</definedName>
    <definedName name="bu17total98a">[18]B_U_17!$Q$103</definedName>
    <definedName name="bu17total99" localSheetId="17">#REF!</definedName>
    <definedName name="bu17total99">#REF!</definedName>
    <definedName name="bu17total99a" localSheetId="17">#REF!</definedName>
    <definedName name="bu17total99a">#REF!</definedName>
    <definedName name="bu18total100" localSheetId="17">#REF!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 localSheetId="9">[17]B_U_18!$C$95</definedName>
    <definedName name="bu18total84">[18]B_U_18!$C$95</definedName>
    <definedName name="bu18total84a" localSheetId="9">[17]B_U_18!$C$103</definedName>
    <definedName name="bu18total84a">[18]B_U_18!$C$103</definedName>
    <definedName name="bu18total85" localSheetId="9">[17]B_U_18!$D$95</definedName>
    <definedName name="bu18total85">[18]B_U_18!$D$95</definedName>
    <definedName name="bu18total85a" localSheetId="9">[17]B_U_18!$D$103</definedName>
    <definedName name="bu18total85a">[18]B_U_18!$D$103</definedName>
    <definedName name="bu18total86" localSheetId="9">[17]B_U_18!$E$95</definedName>
    <definedName name="bu18total86">[18]B_U_18!$E$95</definedName>
    <definedName name="bu18total86a" localSheetId="9">[17]B_U_18!$E$103</definedName>
    <definedName name="bu18total86a">[18]B_U_18!$E$103</definedName>
    <definedName name="bu18total87" localSheetId="9">[17]B_U_18!$F$95</definedName>
    <definedName name="bu18total87">[18]B_U_18!$F$95</definedName>
    <definedName name="bu18total87a" localSheetId="9">[17]B_U_18!$F$103</definedName>
    <definedName name="bu18total87a">[18]B_U_18!$F$103</definedName>
    <definedName name="bu18total88" localSheetId="9">[17]B_U_18!$G$95</definedName>
    <definedName name="bu18total88">[18]B_U_18!$G$95</definedName>
    <definedName name="bu18total88a" localSheetId="9">[17]B_U_18!$G$103</definedName>
    <definedName name="bu18total88a">[18]B_U_18!$G$103</definedName>
    <definedName name="bu18total89" localSheetId="9">[17]B_U_18!$H$95</definedName>
    <definedName name="bu18total89">[18]B_U_18!$H$95</definedName>
    <definedName name="bu18total89a" localSheetId="9">[17]B_U_18!$H$103</definedName>
    <definedName name="bu18total89a">[18]B_U_18!$H$103</definedName>
    <definedName name="bu18total90" localSheetId="9">[17]B_U_18!$I$95</definedName>
    <definedName name="bu18total90">[18]B_U_18!$I$95</definedName>
    <definedName name="bu18total90a" localSheetId="9">[17]B_U_18!$I$103</definedName>
    <definedName name="bu18total90a">[18]B_U_18!$I$103</definedName>
    <definedName name="bu18total91" localSheetId="9">[17]B_U_18!$J$95</definedName>
    <definedName name="bu18total91">[18]B_U_18!$J$95</definedName>
    <definedName name="bu18total91a" localSheetId="9">[17]B_U_18!$J$103</definedName>
    <definedName name="bu18total91a">[18]B_U_18!$J$103</definedName>
    <definedName name="bu18total92" localSheetId="9">[17]B_U_18!$K$95</definedName>
    <definedName name="bu18total92">[18]B_U_18!$K$95</definedName>
    <definedName name="bu18total92a" localSheetId="9">[17]B_U_18!$K$103</definedName>
    <definedName name="bu18total92a">[18]B_U_18!$K$103</definedName>
    <definedName name="bu18total93" localSheetId="9">[17]B_U_18!$L$95</definedName>
    <definedName name="bu18total93">[18]B_U_18!$L$95</definedName>
    <definedName name="bu18total93a" localSheetId="9">[17]B_U_18!$L$103</definedName>
    <definedName name="bu18total93a">[18]B_U_18!$L$103</definedName>
    <definedName name="bu18total94" localSheetId="9">[17]B_U_18!$M$95</definedName>
    <definedName name="bu18total94">[18]B_U_18!$M$95</definedName>
    <definedName name="bu18total94a" localSheetId="9">[17]B_U_18!$M$103</definedName>
    <definedName name="bu18total94a">[18]B_U_18!$M$103</definedName>
    <definedName name="bu18total95" localSheetId="9">[17]B_U_18!$N$95</definedName>
    <definedName name="bu18total95">[18]B_U_18!$N$95</definedName>
    <definedName name="bu18total95a" localSheetId="9">[17]B_U_18!$N$103</definedName>
    <definedName name="bu18total95a">[18]B_U_18!$N$103</definedName>
    <definedName name="bu18total96" localSheetId="9">[17]B_U_18!$O$95</definedName>
    <definedName name="bu18total96">[18]B_U_18!$O$95</definedName>
    <definedName name="bu18total96a" localSheetId="9">[17]B_U_18!$O$103</definedName>
    <definedName name="bu18total96a">[18]B_U_18!$O$103</definedName>
    <definedName name="bu18total97" localSheetId="9">[17]B_U_18!$P$95</definedName>
    <definedName name="bu18total97">[18]B_U_18!$P$95</definedName>
    <definedName name="bu18total97a" localSheetId="9">[17]B_U_18!$P$103</definedName>
    <definedName name="bu18total97a">[18]B_U_18!$P$103</definedName>
    <definedName name="bu18total98" localSheetId="9">[17]B_U_18!$Q$95</definedName>
    <definedName name="bu18total98">[18]B_U_18!$Q$95</definedName>
    <definedName name="bu18total98a" localSheetId="9">[17]B_U_18!$Q$103</definedName>
    <definedName name="bu18total98a">[18]B_U_18!$Q$103</definedName>
    <definedName name="bu18total99" localSheetId="17">#REF!</definedName>
    <definedName name="bu18total99">#REF!</definedName>
    <definedName name="bu18total99a" localSheetId="17">#REF!</definedName>
    <definedName name="bu18total99a">#REF!</definedName>
    <definedName name="bu19total100" localSheetId="17">#REF!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 localSheetId="9">[17]B_U_19!$C$95</definedName>
    <definedName name="bu19total84">[18]B_U_19!$C$95</definedName>
    <definedName name="bu19total84a" localSheetId="9">[17]B_U_19!$C$103</definedName>
    <definedName name="bu19total84a">[18]B_U_19!$C$103</definedName>
    <definedName name="bu19total85" localSheetId="9">[17]B_U_19!$D$95</definedName>
    <definedName name="bu19total85">[18]B_U_19!$D$95</definedName>
    <definedName name="bu19total85a" localSheetId="9">[17]B_U_19!$D$103</definedName>
    <definedName name="bu19total85a">[18]B_U_19!$D$103</definedName>
    <definedName name="bu19total86" localSheetId="9">[17]B_U_19!$E$95</definedName>
    <definedName name="bu19total86">[18]B_U_19!$E$95</definedName>
    <definedName name="bu19total86a" localSheetId="9">[17]B_U_19!$E$103</definedName>
    <definedName name="bu19total86a">[18]B_U_19!$E$103</definedName>
    <definedName name="bu19total87" localSheetId="9">[17]B_U_19!$F$95</definedName>
    <definedName name="bu19total87">[18]B_U_19!$F$95</definedName>
    <definedName name="bu19total87a" localSheetId="9">[17]B_U_19!$F$103</definedName>
    <definedName name="bu19total87a">[18]B_U_19!$F$103</definedName>
    <definedName name="bu19total88" localSheetId="9">[17]B_U_19!$G$95</definedName>
    <definedName name="bu19total88">[18]B_U_19!$G$95</definedName>
    <definedName name="bu19total88a" localSheetId="9">[17]B_U_19!$G$103</definedName>
    <definedName name="bu19total88a">[18]B_U_19!$G$103</definedName>
    <definedName name="bu19total89" localSheetId="9">[17]B_U_19!$H$95</definedName>
    <definedName name="bu19total89">[18]B_U_19!$H$95</definedName>
    <definedName name="bu19total89a" localSheetId="9">[17]B_U_19!$H$103</definedName>
    <definedName name="bu19total89a">[18]B_U_19!$H$103</definedName>
    <definedName name="bu19total90" localSheetId="9">[17]B_U_19!$I$95</definedName>
    <definedName name="bu19total90">[18]B_U_19!$I$95</definedName>
    <definedName name="bu19total90a" localSheetId="9">[17]B_U_19!$I$103</definedName>
    <definedName name="bu19total90a">[18]B_U_19!$I$103</definedName>
    <definedName name="bu19total91" localSheetId="9">[17]B_U_19!$J$95</definedName>
    <definedName name="bu19total91">[18]B_U_19!$J$95</definedName>
    <definedName name="bu19total91a" localSheetId="9">[17]B_U_19!$J$103</definedName>
    <definedName name="bu19total91a">[18]B_U_19!$J$103</definedName>
    <definedName name="bu19total92" localSheetId="9">[17]B_U_19!$K$95</definedName>
    <definedName name="bu19total92">[18]B_U_19!$K$95</definedName>
    <definedName name="bu19total92a" localSheetId="9">[17]B_U_19!$K$103</definedName>
    <definedName name="bu19total92a">[18]B_U_19!$K$103</definedName>
    <definedName name="bu19total93" localSheetId="9">[17]B_U_19!$L$95</definedName>
    <definedName name="bu19total93">[18]B_U_19!$L$95</definedName>
    <definedName name="bu19total93a" localSheetId="9">[17]B_U_19!$L$103</definedName>
    <definedName name="bu19total93a">[18]B_U_19!$L$103</definedName>
    <definedName name="bu19total94" localSheetId="9">[17]B_U_19!$M$95</definedName>
    <definedName name="bu19total94">[18]B_U_19!$M$95</definedName>
    <definedName name="bu19total94a" localSheetId="9">[17]B_U_19!$M$103</definedName>
    <definedName name="bu19total94a">[18]B_U_19!$M$103</definedName>
    <definedName name="bu19total95" localSheetId="9">[17]B_U_19!$N$95</definedName>
    <definedName name="bu19total95">[18]B_U_19!$N$95</definedName>
    <definedName name="bu19total95a" localSheetId="9">[17]B_U_19!$N$103</definedName>
    <definedName name="bu19total95a">[18]B_U_19!$N$103</definedName>
    <definedName name="bu19total96" localSheetId="9">[17]B_U_19!$O$95</definedName>
    <definedName name="bu19total96">[18]B_U_19!$O$95</definedName>
    <definedName name="bu19total96a" localSheetId="9">[17]B_U_19!$O$103</definedName>
    <definedName name="bu19total96a">[18]B_U_19!$O$103</definedName>
    <definedName name="bu19total97" localSheetId="9">[17]B_U_19!$P$95</definedName>
    <definedName name="bu19total97">[18]B_U_19!$P$95</definedName>
    <definedName name="bu19total97a" localSheetId="9">[17]B_U_19!$P$103</definedName>
    <definedName name="bu19total97a">[18]B_U_19!$P$103</definedName>
    <definedName name="bu19total98" localSheetId="9">[17]B_U_19!$Q$95</definedName>
    <definedName name="bu19total98">[18]B_U_19!$Q$95</definedName>
    <definedName name="bu19total98a" localSheetId="9">[17]B_U_19!$Q$103</definedName>
    <definedName name="bu19total98a">[18]B_U_19!$Q$103</definedName>
    <definedName name="bu19total99" localSheetId="17">#REF!</definedName>
    <definedName name="bu19total99">#REF!</definedName>
    <definedName name="bu19total99a" localSheetId="17">#REF!</definedName>
    <definedName name="bu19total99a">#REF!</definedName>
    <definedName name="bu1total100" localSheetId="17">#REF!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 localSheetId="9">'[17]PHASE II'!$C$95</definedName>
    <definedName name="bu1total84">'[18]PHASE II'!$C$95</definedName>
    <definedName name="bu1total84a" localSheetId="9">'[17]PHASE II'!$C$103</definedName>
    <definedName name="bu1total84a">'[18]PHASE II'!$C$103</definedName>
    <definedName name="bu1total85" localSheetId="9">'[17]PHASE II'!$D$95</definedName>
    <definedName name="bu1total85">'[18]PHASE II'!$D$95</definedName>
    <definedName name="bu1total85a" localSheetId="9">'[17]PHASE II'!$D$103</definedName>
    <definedName name="bu1total85a">'[18]PHASE II'!$D$103</definedName>
    <definedName name="bu1total86" localSheetId="9">'[17]PHASE II'!$E$95</definedName>
    <definedName name="bu1total86">'[18]PHASE II'!$E$95</definedName>
    <definedName name="bu1total86a" localSheetId="9">'[17]PHASE II'!$E$103</definedName>
    <definedName name="bu1total86a">'[18]PHASE II'!$E$103</definedName>
    <definedName name="bu1total87" localSheetId="9">'[17]PHASE II'!$F$95</definedName>
    <definedName name="bu1total87">'[18]PHASE II'!$F$95</definedName>
    <definedName name="bu1total87a" localSheetId="9">'[17]PHASE II'!$F$103</definedName>
    <definedName name="bu1total87a">'[18]PHASE II'!$F$103</definedName>
    <definedName name="bu1total88" localSheetId="9">'[17]PHASE II'!$G$95</definedName>
    <definedName name="bu1total88">'[18]PHASE II'!$G$95</definedName>
    <definedName name="bu1total88a" localSheetId="9">'[17]PHASE II'!$G$103</definedName>
    <definedName name="bu1total88a">'[18]PHASE II'!$G$103</definedName>
    <definedName name="bu1total89" localSheetId="9">'[17]PHASE II'!$H$95</definedName>
    <definedName name="bu1total89">'[18]PHASE II'!$H$95</definedName>
    <definedName name="bu1total89a" localSheetId="9">'[17]PHASE II'!$H$103</definedName>
    <definedName name="bu1total89a">'[18]PHASE II'!$H$103</definedName>
    <definedName name="bu1total90" localSheetId="9">'[17]PHASE II'!$I$95</definedName>
    <definedName name="bu1total90">'[18]PHASE II'!$I$95</definedName>
    <definedName name="bu1total90a" localSheetId="9">'[17]PHASE II'!$I$103</definedName>
    <definedName name="bu1total90a">'[18]PHASE II'!$I$103</definedName>
    <definedName name="bu1total91" localSheetId="9">'[17]PHASE II'!$K$95</definedName>
    <definedName name="bu1total91">'[18]PHASE II'!$K$95</definedName>
    <definedName name="bu1total91a" localSheetId="9">'[17]PHASE II'!$K$103</definedName>
    <definedName name="bu1total91a">'[18]PHASE II'!$K$103</definedName>
    <definedName name="bu1total92" localSheetId="9">'[17]PHASE II'!$M$95</definedName>
    <definedName name="bu1total92">'[18]PHASE II'!$M$95</definedName>
    <definedName name="bu1total92a" localSheetId="9">'[17]PHASE II'!$M$103</definedName>
    <definedName name="bu1total92a">'[18]PHASE II'!$M$103</definedName>
    <definedName name="bu1total93" localSheetId="9">'[17]PHASE II'!$O$95</definedName>
    <definedName name="bu1total93">'[18]PHASE II'!$O$95</definedName>
    <definedName name="bu1total93a" localSheetId="9">'[17]PHASE II'!$O$103</definedName>
    <definedName name="bu1total93a">'[18]PHASE II'!$O$103</definedName>
    <definedName name="bu1total94" localSheetId="9">'[17]PHASE II'!$Q$95</definedName>
    <definedName name="bu1total94">'[18]PHASE II'!$Q$95</definedName>
    <definedName name="bu1total94a" localSheetId="9">'[17]PHASE II'!$Q$103</definedName>
    <definedName name="bu1total94a">'[18]PHASE II'!$Q$103</definedName>
    <definedName name="bu1total95" localSheetId="9">'[17]PHASE II'!$S$95</definedName>
    <definedName name="bu1total95">'[18]PHASE II'!$S$95</definedName>
    <definedName name="bu1total95a" localSheetId="9">'[17]PHASE II'!$S$103</definedName>
    <definedName name="bu1total95a">'[18]PHASE II'!$S$103</definedName>
    <definedName name="bu1total96" localSheetId="9">'[17]PHASE II'!$T$95</definedName>
    <definedName name="bu1total96">'[18]PHASE II'!$T$95</definedName>
    <definedName name="bu1total96a" localSheetId="9">'[17]PHASE II'!$T$103</definedName>
    <definedName name="bu1total96a">'[18]PHASE II'!$T$103</definedName>
    <definedName name="bu1total97" localSheetId="9">'[17]PHASE II'!$U$95</definedName>
    <definedName name="bu1total97">'[18]PHASE II'!$U$95</definedName>
    <definedName name="bu1total97a" localSheetId="9">'[17]PHASE II'!$U$103</definedName>
    <definedName name="bu1total97a">'[18]PHASE II'!$U$103</definedName>
    <definedName name="bu1total98" localSheetId="9">'[17]PHASE II'!$W$95</definedName>
    <definedName name="bu1total98">'[18]PHASE II'!$W$95</definedName>
    <definedName name="bu1total98a" localSheetId="9">'[17]PHASE II'!$W$103</definedName>
    <definedName name="bu1total98a">'[18]PHASE II'!$W$103</definedName>
    <definedName name="bu1total99" localSheetId="17">#REF!</definedName>
    <definedName name="bu1total99">#REF!</definedName>
    <definedName name="bu1total99a" localSheetId="17">#REF!</definedName>
    <definedName name="bu1total99a">#REF!</definedName>
    <definedName name="bu20total100" localSheetId="17">#REF!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 localSheetId="9">[17]B_U_20!$C$95</definedName>
    <definedName name="bu20total84">[18]B_U_20!$C$95</definedName>
    <definedName name="bu20total84a" localSheetId="9">[17]B_U_20!$C$103</definedName>
    <definedName name="bu20total84a">[18]B_U_20!$C$103</definedName>
    <definedName name="bu20total85" localSheetId="9">[17]B_U_20!$D$95</definedName>
    <definedName name="bu20total85">[18]B_U_20!$D$95</definedName>
    <definedName name="bu20total85a" localSheetId="9">[17]B_U_20!$D$103</definedName>
    <definedName name="bu20total85a">[18]B_U_20!$D$103</definedName>
    <definedName name="bu20total86" localSheetId="9">[17]B_U_20!$E$95</definedName>
    <definedName name="bu20total86">[18]B_U_20!$E$95</definedName>
    <definedName name="bu20total86a" localSheetId="9">[17]B_U_20!$E$103</definedName>
    <definedName name="bu20total86a">[18]B_U_20!$E$103</definedName>
    <definedName name="bu20total87" localSheetId="9">[17]B_U_20!$F$95</definedName>
    <definedName name="bu20total87">[18]B_U_20!$F$95</definedName>
    <definedName name="bu20total87a" localSheetId="9">[17]B_U_20!$F$103</definedName>
    <definedName name="bu20total87a">[18]B_U_20!$F$103</definedName>
    <definedName name="bu20total88" localSheetId="9">[17]B_U_20!$G$95</definedName>
    <definedName name="bu20total88">[18]B_U_20!$G$95</definedName>
    <definedName name="bu20total88a" localSheetId="9">[17]B_U_20!$G$103</definedName>
    <definedName name="bu20total88a">[18]B_U_20!$G$103</definedName>
    <definedName name="bu20total89" localSheetId="9">[17]B_U_20!$H$95</definedName>
    <definedName name="bu20total89">[18]B_U_20!$H$95</definedName>
    <definedName name="bu20total89a" localSheetId="9">[17]B_U_20!$H$103</definedName>
    <definedName name="bu20total89a">[18]B_U_20!$H$103</definedName>
    <definedName name="bu20total90" localSheetId="9">[17]B_U_20!$I$95</definedName>
    <definedName name="bu20total90">[18]B_U_20!$I$95</definedName>
    <definedName name="bu20total90a" localSheetId="9">[17]B_U_20!$I$103</definedName>
    <definedName name="bu20total90a">[18]B_U_20!$I$103</definedName>
    <definedName name="bu20total91" localSheetId="9">[17]B_U_20!$J$95</definedName>
    <definedName name="bu20total91">[18]B_U_20!$J$95</definedName>
    <definedName name="bu20total91a" localSheetId="9">[17]B_U_20!$J$103</definedName>
    <definedName name="bu20total91a">[18]B_U_20!$J$103</definedName>
    <definedName name="bu20total92" localSheetId="9">[17]B_U_20!$K$95</definedName>
    <definedName name="bu20total92">[18]B_U_20!$K$95</definedName>
    <definedName name="bu20total92a" localSheetId="9">[17]B_U_20!$K$103</definedName>
    <definedName name="bu20total92a">[18]B_U_20!$K$103</definedName>
    <definedName name="bu20total93" localSheetId="9">[17]B_U_20!$L$95</definedName>
    <definedName name="bu20total93">[18]B_U_20!$L$95</definedName>
    <definedName name="bu20total93a" localSheetId="9">[17]B_U_20!$L$103</definedName>
    <definedName name="bu20total93a">[18]B_U_20!$L$103</definedName>
    <definedName name="bu20total94" localSheetId="9">[17]B_U_20!$M$95</definedName>
    <definedName name="bu20total94">[18]B_U_20!$M$95</definedName>
    <definedName name="bu20total94a" localSheetId="9">[17]B_U_20!$M$103</definedName>
    <definedName name="bu20total94a">[18]B_U_20!$M$103</definedName>
    <definedName name="bu20total95" localSheetId="9">[17]B_U_20!$N$95</definedName>
    <definedName name="bu20total95">[18]B_U_20!$N$95</definedName>
    <definedName name="bu20total95a" localSheetId="9">[17]B_U_20!$N$103</definedName>
    <definedName name="bu20total95a">[18]B_U_20!$N$103</definedName>
    <definedName name="bu20total96" localSheetId="9">[17]B_U_20!$O$95</definedName>
    <definedName name="bu20total96">[18]B_U_20!$O$95</definedName>
    <definedName name="bu20total96a" localSheetId="9">[17]B_U_20!$O$103</definedName>
    <definedName name="bu20total96a">[18]B_U_20!$O$103</definedName>
    <definedName name="bu20total97" localSheetId="9">[17]B_U_20!$P$95</definedName>
    <definedName name="bu20total97">[18]B_U_20!$P$95</definedName>
    <definedName name="bu20total97a" localSheetId="9">[17]B_U_20!$P$103</definedName>
    <definedName name="bu20total97a">[18]B_U_20!$P$103</definedName>
    <definedName name="bu20total98" localSheetId="9">[17]B_U_20!$Q$95</definedName>
    <definedName name="bu20total98">[18]B_U_20!$Q$95</definedName>
    <definedName name="bu20total98a" localSheetId="9">[17]B_U_20!$Q$103</definedName>
    <definedName name="bu20total98a">[18]B_U_20!$Q$103</definedName>
    <definedName name="bu20total99" localSheetId="17">#REF!</definedName>
    <definedName name="bu20total99">#REF!</definedName>
    <definedName name="bu20total99a" localSheetId="17">#REF!</definedName>
    <definedName name="bu20total99a">#REF!</definedName>
    <definedName name="bu21total100" localSheetId="17">#REF!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 localSheetId="9">[17]B_U_21!$C$95</definedName>
    <definedName name="bu21total84">[18]B_U_21!$C$95</definedName>
    <definedName name="bu21total84a" localSheetId="9">[17]B_U_21!$C$103</definedName>
    <definedName name="bu21total84a">[18]B_U_21!$C$103</definedName>
    <definedName name="bu21total85" localSheetId="9">[17]B_U_21!$D$95</definedName>
    <definedName name="bu21total85">[18]B_U_21!$D$95</definedName>
    <definedName name="bu21total85a" localSheetId="9">[17]B_U_21!$D$103</definedName>
    <definedName name="bu21total85a">[18]B_U_21!$D$103</definedName>
    <definedName name="bu21total86" localSheetId="9">[17]B_U_21!$E$95</definedName>
    <definedName name="bu21total86">[18]B_U_21!$E$95</definedName>
    <definedName name="bu21total86a" localSheetId="9">[17]B_U_21!$E$103</definedName>
    <definedName name="bu21total86a">[18]B_U_21!$E$103</definedName>
    <definedName name="bu21total87" localSheetId="9">[17]B_U_21!$F$95</definedName>
    <definedName name="bu21total87">[18]B_U_21!$F$95</definedName>
    <definedName name="bu21total87a" localSheetId="9">[17]B_U_21!$F$103</definedName>
    <definedName name="bu21total87a">[18]B_U_21!$F$103</definedName>
    <definedName name="bu21total88" localSheetId="9">[17]B_U_21!$G$95</definedName>
    <definedName name="bu21total88">[18]B_U_21!$G$95</definedName>
    <definedName name="bu21total88a" localSheetId="9">[17]B_U_21!$G$103</definedName>
    <definedName name="bu21total88a">[18]B_U_21!$G$103</definedName>
    <definedName name="bu21total89" localSheetId="9">[17]B_U_21!$H$95</definedName>
    <definedName name="bu21total89">[18]B_U_21!$H$95</definedName>
    <definedName name="bu21total89a" localSheetId="9">[17]B_U_21!$H$103</definedName>
    <definedName name="bu21total89a">[18]B_U_21!$H$103</definedName>
    <definedName name="bu21total90" localSheetId="9">[17]B_U_21!$I$95</definedName>
    <definedName name="bu21total90">[18]B_U_21!$I$95</definedName>
    <definedName name="bu21total90a" localSheetId="9">[17]B_U_21!$I$103</definedName>
    <definedName name="bu21total90a">[18]B_U_21!$I$103</definedName>
    <definedName name="bu21total91" localSheetId="9">[17]B_U_21!$J$95</definedName>
    <definedName name="bu21total91">[18]B_U_21!$J$95</definedName>
    <definedName name="bu21total91a" localSheetId="9">[17]B_U_21!$J$103</definedName>
    <definedName name="bu21total91a">[18]B_U_21!$J$103</definedName>
    <definedName name="bu21total92" localSheetId="9">[17]B_U_21!$K$95</definedName>
    <definedName name="bu21total92">[18]B_U_21!$K$95</definedName>
    <definedName name="bu21total92a" localSheetId="9">[17]B_U_21!$K$103</definedName>
    <definedName name="bu21total92a">[18]B_U_21!$K$103</definedName>
    <definedName name="bu21total93" localSheetId="9">[17]B_U_21!$L$95</definedName>
    <definedName name="bu21total93">[18]B_U_21!$L$95</definedName>
    <definedName name="bu21total93a" localSheetId="9">[17]B_U_21!$L$103</definedName>
    <definedName name="bu21total93a">[18]B_U_21!$L$103</definedName>
    <definedName name="bu21total94" localSheetId="9">[17]B_U_21!$M$95</definedName>
    <definedName name="bu21total94">[18]B_U_21!$M$95</definedName>
    <definedName name="bu21total94a" localSheetId="9">[17]B_U_21!$M$103</definedName>
    <definedName name="bu21total94a">[18]B_U_21!$M$103</definedName>
    <definedName name="bu21total95" localSheetId="9">[17]B_U_21!$N$95</definedName>
    <definedName name="bu21total95">[18]B_U_21!$N$95</definedName>
    <definedName name="bu21total95a" localSheetId="9">[17]B_U_21!$N$103</definedName>
    <definedName name="bu21total95a">[18]B_U_21!$N$103</definedName>
    <definedName name="bu21total96" localSheetId="9">[17]B_U_21!$O$95</definedName>
    <definedName name="bu21total96">[18]B_U_21!$O$95</definedName>
    <definedName name="bu21total96a" localSheetId="9">[17]B_U_21!$O$103</definedName>
    <definedName name="bu21total96a">[18]B_U_21!$O$103</definedName>
    <definedName name="bu21total97" localSheetId="9">[17]B_U_21!$P$95</definedName>
    <definedName name="bu21total97">[18]B_U_21!$P$95</definedName>
    <definedName name="bu21total97a" localSheetId="9">[17]B_U_21!$P$103</definedName>
    <definedName name="bu21total97a">[18]B_U_21!$P$103</definedName>
    <definedName name="bu21total98" localSheetId="9">[17]B_U_21!$Q$95</definedName>
    <definedName name="bu21total98">[18]B_U_21!$Q$95</definedName>
    <definedName name="bu21total98a" localSheetId="9">[17]B_U_21!$Q$103</definedName>
    <definedName name="bu21total98a">[18]B_U_21!$Q$103</definedName>
    <definedName name="bu21total99" localSheetId="17">#REF!</definedName>
    <definedName name="bu21total99">#REF!</definedName>
    <definedName name="bu21total99a" localSheetId="17">#REF!</definedName>
    <definedName name="bu21total99a">#REF!</definedName>
    <definedName name="bu22total100" localSheetId="17">#REF!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 localSheetId="9">[17]B_U_22!$C$95</definedName>
    <definedName name="bu22total84">[18]B_U_22!$C$95</definedName>
    <definedName name="bu22total84a" localSheetId="9">[17]B_U_22!$C$103</definedName>
    <definedName name="bu22total84a">[18]B_U_22!$C$103</definedName>
    <definedName name="bu22total85" localSheetId="9">[17]B_U_22!$D$95</definedName>
    <definedName name="bu22total85">[18]B_U_22!$D$95</definedName>
    <definedName name="bu22total85a" localSheetId="9">[17]B_U_22!$D$103</definedName>
    <definedName name="bu22total85a">[18]B_U_22!$D$103</definedName>
    <definedName name="bu22total86" localSheetId="9">[17]B_U_22!$E$95</definedName>
    <definedName name="bu22total86">[18]B_U_22!$E$95</definedName>
    <definedName name="bu22total86a" localSheetId="9">[17]B_U_22!$E$103</definedName>
    <definedName name="bu22total86a">[18]B_U_22!$E$103</definedName>
    <definedName name="bu22total87" localSheetId="9">[17]B_U_22!$F$95</definedName>
    <definedName name="bu22total87">[18]B_U_22!$F$95</definedName>
    <definedName name="bu22total87a" localSheetId="9">[17]B_U_22!$F$103</definedName>
    <definedName name="bu22total87a">[18]B_U_22!$F$103</definedName>
    <definedName name="bu22total88" localSheetId="9">[17]B_U_22!$G$95</definedName>
    <definedName name="bu22total88">[18]B_U_22!$G$95</definedName>
    <definedName name="bu22total88a" localSheetId="9">[17]B_U_22!$G$103</definedName>
    <definedName name="bu22total88a">[18]B_U_22!$G$103</definedName>
    <definedName name="bu22total89" localSheetId="9">[17]B_U_22!$H$95</definedName>
    <definedName name="bu22total89">[18]B_U_22!$H$95</definedName>
    <definedName name="bu22total89a" localSheetId="9">[17]B_U_22!$H$103</definedName>
    <definedName name="bu22total89a">[18]B_U_22!$H$103</definedName>
    <definedName name="bu22total90" localSheetId="9">[17]B_U_22!$I$95</definedName>
    <definedName name="bu22total90">[18]B_U_22!$I$95</definedName>
    <definedName name="bu22total90a" localSheetId="9">[17]B_U_22!$I$103</definedName>
    <definedName name="bu22total90a">[18]B_U_22!$I$103</definedName>
    <definedName name="bu22total91" localSheetId="9">[17]B_U_22!$J$95</definedName>
    <definedName name="bu22total91">[18]B_U_22!$J$95</definedName>
    <definedName name="bu22total91a" localSheetId="9">[17]B_U_22!$J$103</definedName>
    <definedName name="bu22total91a">[18]B_U_22!$J$103</definedName>
    <definedName name="bu22total92" localSheetId="9">[17]B_U_22!$K$95</definedName>
    <definedName name="bu22total92">[18]B_U_22!$K$95</definedName>
    <definedName name="bu22total92a" localSheetId="9">[17]B_U_22!$K$103</definedName>
    <definedName name="bu22total92a">[18]B_U_22!$K$103</definedName>
    <definedName name="bu22total93" localSheetId="9">[17]B_U_22!$L$95</definedName>
    <definedName name="bu22total93">[18]B_U_22!$L$95</definedName>
    <definedName name="bu22total93a" localSheetId="9">[17]B_U_22!$L$103</definedName>
    <definedName name="bu22total93a">[18]B_U_22!$L$103</definedName>
    <definedName name="bu22total94" localSheetId="9">[17]B_U_22!$M$95</definedName>
    <definedName name="bu22total94">[18]B_U_22!$M$95</definedName>
    <definedName name="bu22total94a" localSheetId="9">[17]B_U_22!$M$103</definedName>
    <definedName name="bu22total94a">[18]B_U_22!$M$103</definedName>
    <definedName name="bu22total95" localSheetId="9">[17]B_U_22!$N$95</definedName>
    <definedName name="bu22total95">[18]B_U_22!$N$95</definedName>
    <definedName name="bu22total95a" localSheetId="9">[17]B_U_22!$N$103</definedName>
    <definedName name="bu22total95a">[18]B_U_22!$N$103</definedName>
    <definedName name="bu22total96" localSheetId="9">[17]B_U_22!$O$95</definedName>
    <definedName name="bu22total96">[18]B_U_22!$O$95</definedName>
    <definedName name="bu22total96a" localSheetId="9">[17]B_U_22!$O$103</definedName>
    <definedName name="bu22total96a">[18]B_U_22!$O$103</definedName>
    <definedName name="bu22total97" localSheetId="9">[17]B_U_22!$P$95</definedName>
    <definedName name="bu22total97">[18]B_U_22!$P$95</definedName>
    <definedName name="bu22total97a" localSheetId="9">[17]B_U_22!$P$103</definedName>
    <definedName name="bu22total97a">[18]B_U_22!$P$103</definedName>
    <definedName name="bu22total98" localSheetId="9">[17]B_U_22!$Q$95</definedName>
    <definedName name="bu22total98">[18]B_U_22!$Q$95</definedName>
    <definedName name="bu22total98a" localSheetId="9">[17]B_U_22!$Q$103</definedName>
    <definedName name="bu22total98a">[18]B_U_22!$Q$103</definedName>
    <definedName name="bu22total99" localSheetId="17">#REF!</definedName>
    <definedName name="bu22total99">#REF!</definedName>
    <definedName name="bu22total99a" localSheetId="17">#REF!</definedName>
    <definedName name="bu22total99a">#REF!</definedName>
    <definedName name="bu23total100" localSheetId="17">#REF!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 localSheetId="9">[17]B_U_23!$C$95</definedName>
    <definedName name="bu23total84">[18]B_U_23!$C$95</definedName>
    <definedName name="bu23total84a" localSheetId="9">[17]B_U_23!$C$103</definedName>
    <definedName name="bu23total84a">[18]B_U_23!$C$103</definedName>
    <definedName name="bu23total85" localSheetId="9">[17]B_U_23!$D$95</definedName>
    <definedName name="bu23total85">[18]B_U_23!$D$95</definedName>
    <definedName name="bu23total85a" localSheetId="9">[17]B_U_23!$D$103</definedName>
    <definedName name="bu23total85a">[18]B_U_23!$D$103</definedName>
    <definedName name="bu23total86" localSheetId="9">[17]B_U_23!$E$95</definedName>
    <definedName name="bu23total86">[18]B_U_23!$E$95</definedName>
    <definedName name="bu23total86a" localSheetId="9">[17]B_U_23!$E$103</definedName>
    <definedName name="bu23total86a">[18]B_U_23!$E$103</definedName>
    <definedName name="bu23total87" localSheetId="9">[17]B_U_23!$F$95</definedName>
    <definedName name="bu23total87">[18]B_U_23!$F$95</definedName>
    <definedName name="bu23total87a" localSheetId="9">[17]B_U_23!$F$103</definedName>
    <definedName name="bu23total87a">[18]B_U_23!$F$103</definedName>
    <definedName name="bu23total88" localSheetId="9">[17]B_U_23!$G$95</definedName>
    <definedName name="bu23total88">[18]B_U_23!$G$95</definedName>
    <definedName name="bu23total88a" localSheetId="9">[17]B_U_23!$G$103</definedName>
    <definedName name="bu23total88a">[18]B_U_23!$G$103</definedName>
    <definedName name="bu23total89" localSheetId="9">[17]B_U_23!$H$95</definedName>
    <definedName name="bu23total89">[18]B_U_23!$H$95</definedName>
    <definedName name="bu23total89a" localSheetId="9">[17]B_U_23!$H$103</definedName>
    <definedName name="bu23total89a">[18]B_U_23!$H$103</definedName>
    <definedName name="bu23total90" localSheetId="9">[17]B_U_23!$I$95</definedName>
    <definedName name="bu23total90">[18]B_U_23!$I$95</definedName>
    <definedName name="bu23total90a" localSheetId="9">[17]B_U_23!$I$103</definedName>
    <definedName name="bu23total90a">[18]B_U_23!$I$103</definedName>
    <definedName name="bu23total91" localSheetId="9">[17]B_U_23!$J$95</definedName>
    <definedName name="bu23total91">[18]B_U_23!$J$95</definedName>
    <definedName name="bu23total91a" localSheetId="9">[17]B_U_23!$J$103</definedName>
    <definedName name="bu23total91a">[18]B_U_23!$J$103</definedName>
    <definedName name="bu23total92" localSheetId="9">[17]B_U_23!$K$95</definedName>
    <definedName name="bu23total92">[18]B_U_23!$K$95</definedName>
    <definedName name="bu23total92a" localSheetId="9">[17]B_U_23!$K$103</definedName>
    <definedName name="bu23total92a">[18]B_U_23!$K$103</definedName>
    <definedName name="bu23total93" localSheetId="9">[17]B_U_23!$L$95</definedName>
    <definedName name="bu23total93">[18]B_U_23!$L$95</definedName>
    <definedName name="bu23total93a" localSheetId="9">[17]B_U_23!$L$103</definedName>
    <definedName name="bu23total93a">[18]B_U_23!$L$103</definedName>
    <definedName name="bu23total94" localSheetId="9">[17]B_U_23!$M$95</definedName>
    <definedName name="bu23total94">[18]B_U_23!$M$95</definedName>
    <definedName name="bu23total94a" localSheetId="9">[17]B_U_23!$M$103</definedName>
    <definedName name="bu23total94a">[18]B_U_23!$M$103</definedName>
    <definedName name="bu23total95" localSheetId="9">[17]B_U_23!$N$95</definedName>
    <definedName name="bu23total95">[18]B_U_23!$N$95</definedName>
    <definedName name="bu23total95a" localSheetId="9">[17]B_U_23!$N$103</definedName>
    <definedName name="bu23total95a">[18]B_U_23!$N$103</definedName>
    <definedName name="bu23total96" localSheetId="9">[17]B_U_23!$O$95</definedName>
    <definedName name="bu23total96">[18]B_U_23!$O$95</definedName>
    <definedName name="bu23total96a" localSheetId="9">[17]B_U_23!$O$103</definedName>
    <definedName name="bu23total96a">[18]B_U_23!$O$103</definedName>
    <definedName name="bu23total97" localSheetId="9">[17]B_U_23!$P$95</definedName>
    <definedName name="bu23total97">[18]B_U_23!$P$95</definedName>
    <definedName name="bu23total97a" localSheetId="9">[17]B_U_23!$P$103</definedName>
    <definedName name="bu23total97a">[18]B_U_23!$P$103</definedName>
    <definedName name="bu23total98" localSheetId="9">[17]B_U_23!$Q$95</definedName>
    <definedName name="bu23total98">[18]B_U_23!$Q$95</definedName>
    <definedName name="bu23total98a" localSheetId="9">[17]B_U_23!$Q$103</definedName>
    <definedName name="bu23total98a">[18]B_U_23!$Q$103</definedName>
    <definedName name="bu23total99" localSheetId="17">#REF!</definedName>
    <definedName name="bu23total99">#REF!</definedName>
    <definedName name="bu23total99a" localSheetId="17">#REF!</definedName>
    <definedName name="bu23total99a">#REF!</definedName>
    <definedName name="bu2total100" localSheetId="17">#REF!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 localSheetId="9">'[17]ORIGINAL CLAIM'!$C$95</definedName>
    <definedName name="bu2total84">'[18]ORIGINAL CLAIM'!$C$95</definedName>
    <definedName name="bu2total84a" localSheetId="9">'[17]ORIGINAL CLAIM'!$C$103</definedName>
    <definedName name="bu2total84a">'[18]ORIGINAL CLAIM'!$C$103</definedName>
    <definedName name="bu2total85" localSheetId="9">'[17]ORIGINAL CLAIM'!$D$95</definedName>
    <definedName name="bu2total85">'[18]ORIGINAL CLAIM'!$D$95</definedName>
    <definedName name="bu2total85a" localSheetId="9">'[17]ORIGINAL CLAIM'!$D$103</definedName>
    <definedName name="bu2total85a">'[18]ORIGINAL CLAIM'!$D$103</definedName>
    <definedName name="bu2total86" localSheetId="9">'[17]ORIGINAL CLAIM'!$E$95</definedName>
    <definedName name="bu2total86">'[18]ORIGINAL CLAIM'!$E$95</definedName>
    <definedName name="bu2total86a" localSheetId="9">'[17]ORIGINAL CLAIM'!$E$103</definedName>
    <definedName name="bu2total86a">'[18]ORIGINAL CLAIM'!$E$103</definedName>
    <definedName name="bu2total87" localSheetId="9">'[17]ORIGINAL CLAIM'!$F$95</definedName>
    <definedName name="bu2total87">'[18]ORIGINAL CLAIM'!$F$95</definedName>
    <definedName name="bu2total87a" localSheetId="9">'[17]ORIGINAL CLAIM'!$F$103</definedName>
    <definedName name="bu2total87a">'[18]ORIGINAL CLAIM'!$F$103</definedName>
    <definedName name="bu2total88" localSheetId="9">'[17]ORIGINAL CLAIM'!$G$95</definedName>
    <definedName name="bu2total88">'[18]ORIGINAL CLAIM'!$G$95</definedName>
    <definedName name="bu2total88a" localSheetId="9">'[17]ORIGINAL CLAIM'!$G$103</definedName>
    <definedName name="bu2total88a">'[18]ORIGINAL CLAIM'!$G$103</definedName>
    <definedName name="bu2total89" localSheetId="9">'[17]ORIGINAL CLAIM'!$H$95</definedName>
    <definedName name="bu2total89">'[18]ORIGINAL CLAIM'!$H$95</definedName>
    <definedName name="bu2total89a" localSheetId="9">'[17]ORIGINAL CLAIM'!$H$103</definedName>
    <definedName name="bu2total89a">'[18]ORIGINAL CLAIM'!$H$103</definedName>
    <definedName name="bu2total90" localSheetId="9">'[17]ORIGINAL CLAIM'!$I$95</definedName>
    <definedName name="bu2total90">'[18]ORIGINAL CLAIM'!$I$95</definedName>
    <definedName name="bu2total90a" localSheetId="9">'[17]ORIGINAL CLAIM'!$I$103</definedName>
    <definedName name="bu2total90a">'[18]ORIGINAL CLAIM'!$I$103</definedName>
    <definedName name="bu2total91" localSheetId="9">'[17]ORIGINAL CLAIM'!$J$95</definedName>
    <definedName name="bu2total91">'[18]ORIGINAL CLAIM'!$J$95</definedName>
    <definedName name="bu2total91a" localSheetId="9">'[17]ORIGINAL CLAIM'!$J$103</definedName>
    <definedName name="bu2total91a">'[18]ORIGINAL CLAIM'!$J$103</definedName>
    <definedName name="bu2total92" localSheetId="9">'[17]ORIGINAL CLAIM'!$K$95</definedName>
    <definedName name="bu2total92">'[18]ORIGINAL CLAIM'!$K$95</definedName>
    <definedName name="bu2total92a" localSheetId="9">'[17]ORIGINAL CLAIM'!$K$103</definedName>
    <definedName name="bu2total92a">'[18]ORIGINAL CLAIM'!$K$103</definedName>
    <definedName name="bu2total93" localSheetId="9">'[17]ORIGINAL CLAIM'!$L$95</definedName>
    <definedName name="bu2total93">'[18]ORIGINAL CLAIM'!$L$95</definedName>
    <definedName name="bu2total93a" localSheetId="9">'[17]ORIGINAL CLAIM'!$L$103</definedName>
    <definedName name="bu2total93a">'[18]ORIGINAL CLAIM'!$L$103</definedName>
    <definedName name="bu2total94" localSheetId="9">'[17]ORIGINAL CLAIM'!$M$95</definedName>
    <definedName name="bu2total94">'[18]ORIGINAL CLAIM'!$M$95</definedName>
    <definedName name="bu2total94a" localSheetId="9">'[17]ORIGINAL CLAIM'!$M$103</definedName>
    <definedName name="bu2total94a">'[18]ORIGINAL CLAIM'!$M$103</definedName>
    <definedName name="bu2total95" localSheetId="9">'[17]ORIGINAL CLAIM'!$N$95</definedName>
    <definedName name="bu2total95">'[18]ORIGINAL CLAIM'!$N$95</definedName>
    <definedName name="bu2total95a" localSheetId="9">'[17]ORIGINAL CLAIM'!$N$103</definedName>
    <definedName name="bu2total95a">'[18]ORIGINAL CLAIM'!$N$103</definedName>
    <definedName name="bu2total96" localSheetId="9">'[17]ORIGINAL CLAIM'!$O$95</definedName>
    <definedName name="bu2total96">'[18]ORIGINAL CLAIM'!$O$95</definedName>
    <definedName name="bu2total96a" localSheetId="9">'[17]ORIGINAL CLAIM'!$O$103</definedName>
    <definedName name="bu2total96a">'[18]ORIGINAL CLAIM'!$O$103</definedName>
    <definedName name="bu2total97" localSheetId="9">'[17]ORIGINAL CLAIM'!$P$95</definedName>
    <definedName name="bu2total97">'[18]ORIGINAL CLAIM'!$P$95</definedName>
    <definedName name="bu2total97a" localSheetId="9">'[17]ORIGINAL CLAIM'!$P$103</definedName>
    <definedName name="bu2total97a">'[18]ORIGINAL CLAIM'!$P$103</definedName>
    <definedName name="bu2total98" localSheetId="9">'[17]ORIGINAL CLAIM'!$Q$95</definedName>
    <definedName name="bu2total98">'[18]ORIGINAL CLAIM'!$Q$95</definedName>
    <definedName name="bu2total98a" localSheetId="9">'[17]ORIGINAL CLAIM'!$Q$103</definedName>
    <definedName name="bu2total98a">'[18]ORIGINAL CLAIM'!$Q$103</definedName>
    <definedName name="bu2total99" localSheetId="17">#REF!</definedName>
    <definedName name="bu2total99">#REF!</definedName>
    <definedName name="bu2total99a" localSheetId="17">#REF!</definedName>
    <definedName name="bu2total99a">#REF!</definedName>
    <definedName name="bu3total100" localSheetId="17">#REF!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 localSheetId="9">[17]B_U_3!$C$95</definedName>
    <definedName name="bu3total84">[18]B_U_3!$C$95</definedName>
    <definedName name="bu3total84a" localSheetId="9">[17]B_U_3!$C$103</definedName>
    <definedName name="bu3total84a">[18]B_U_3!$C$103</definedName>
    <definedName name="bu3total85" localSheetId="9">[17]B_U_3!$D$95</definedName>
    <definedName name="bu3total85">[18]B_U_3!$D$95</definedName>
    <definedName name="bu3total85a" localSheetId="9">[17]B_U_3!$D$103</definedName>
    <definedName name="bu3total85a">[18]B_U_3!$D$103</definedName>
    <definedName name="bu3total86" localSheetId="9">[17]B_U_3!$E$95</definedName>
    <definedName name="bu3total86">[18]B_U_3!$E$95</definedName>
    <definedName name="bu3total86a" localSheetId="9">[17]B_U_3!$E$103</definedName>
    <definedName name="bu3total86a">[18]B_U_3!$E$103</definedName>
    <definedName name="bu3total87" localSheetId="9">[17]B_U_3!$F$95</definedName>
    <definedName name="bu3total87">[18]B_U_3!$F$95</definedName>
    <definedName name="bu3total87a" localSheetId="9">[17]B_U_3!$F$103</definedName>
    <definedName name="bu3total87a">[18]B_U_3!$F$103</definedName>
    <definedName name="bu3total88" localSheetId="9">[17]B_U_3!$G$95</definedName>
    <definedName name="bu3total88">[18]B_U_3!$G$95</definedName>
    <definedName name="bu3total88a" localSheetId="9">[17]B_U_3!$G$103</definedName>
    <definedName name="bu3total88a">[18]B_U_3!$G$103</definedName>
    <definedName name="bu3total89" localSheetId="9">[17]B_U_3!$H$95</definedName>
    <definedName name="bu3total89">[18]B_U_3!$H$95</definedName>
    <definedName name="bu3total89a" localSheetId="9">[17]B_U_3!$H$103</definedName>
    <definedName name="bu3total89a">[18]B_U_3!$H$103</definedName>
    <definedName name="bu3total90" localSheetId="9">[17]B_U_3!$I$95</definedName>
    <definedName name="bu3total90">[18]B_U_3!$I$95</definedName>
    <definedName name="bu3total90a" localSheetId="9">[17]B_U_3!$I$103</definedName>
    <definedName name="bu3total90a">[18]B_U_3!$I$103</definedName>
    <definedName name="bu3total91" localSheetId="9">[17]B_U_3!$J$95</definedName>
    <definedName name="bu3total91">[18]B_U_3!$J$95</definedName>
    <definedName name="bu3total91a" localSheetId="9">[17]B_U_3!$J$103</definedName>
    <definedName name="bu3total91a">[18]B_U_3!$J$103</definedName>
    <definedName name="bu3total92" localSheetId="9">[17]B_U_3!$K$95</definedName>
    <definedName name="bu3total92">[18]B_U_3!$K$95</definedName>
    <definedName name="bu3total92a" localSheetId="9">[17]B_U_3!$K$103</definedName>
    <definedName name="bu3total92a">[18]B_U_3!$K$103</definedName>
    <definedName name="bu3total93" localSheetId="9">[17]B_U_3!$L$95</definedName>
    <definedName name="bu3total93">[18]B_U_3!$L$95</definedName>
    <definedName name="bu3total93a" localSheetId="9">[17]B_U_3!$L$103</definedName>
    <definedName name="bu3total93a">[18]B_U_3!$L$103</definedName>
    <definedName name="bu3total94" localSheetId="9">[17]B_U_3!$M$95</definedName>
    <definedName name="bu3total94">[18]B_U_3!$M$95</definedName>
    <definedName name="bu3total94a" localSheetId="9">[17]B_U_3!$M$103</definedName>
    <definedName name="bu3total94a">[18]B_U_3!$M$103</definedName>
    <definedName name="bu3total95" localSheetId="9">[17]B_U_3!$N$95</definedName>
    <definedName name="bu3total95">[18]B_U_3!$N$95</definedName>
    <definedName name="bu3total95a" localSheetId="9">[17]B_U_3!$N$103</definedName>
    <definedName name="bu3total95a">[18]B_U_3!$N$103</definedName>
    <definedName name="bu3total96" localSheetId="9">[17]B_U_3!$O$95</definedName>
    <definedName name="bu3total96">[18]B_U_3!$O$95</definedName>
    <definedName name="bu3total96a" localSheetId="9">[17]B_U_3!$O$103</definedName>
    <definedName name="bu3total96a">[18]B_U_3!$O$103</definedName>
    <definedName name="bu3total97" localSheetId="9">[17]B_U_3!$P$95</definedName>
    <definedName name="bu3total97">[18]B_U_3!$P$95</definedName>
    <definedName name="bu3total97a" localSheetId="9">[17]B_U_3!$P$103</definedName>
    <definedName name="bu3total97a">[18]B_U_3!$P$103</definedName>
    <definedName name="bu3total98" localSheetId="9">[17]B_U_3!$Q$95</definedName>
    <definedName name="bu3total98">[18]B_U_3!$Q$95</definedName>
    <definedName name="bu3total98a" localSheetId="9">[17]B_U_3!$Q$103</definedName>
    <definedName name="bu3total98a">[18]B_U_3!$Q$103</definedName>
    <definedName name="bu3total99" localSheetId="17">#REF!</definedName>
    <definedName name="bu3total99">#REF!</definedName>
    <definedName name="bu3total99a" localSheetId="17">#REF!</definedName>
    <definedName name="bu3total99a">#REF!</definedName>
    <definedName name="bu4total100" localSheetId="17">#REF!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 localSheetId="9">[17]B_U_4!$C$95</definedName>
    <definedName name="bu4total84">[18]B_U_4!$C$95</definedName>
    <definedName name="bu4total84a" localSheetId="9">[17]B_U_4!$C$103</definedName>
    <definedName name="bu4total84a">[18]B_U_4!$C$103</definedName>
    <definedName name="bu4total85" localSheetId="9">[17]B_U_4!$D$95</definedName>
    <definedName name="bu4total85">[18]B_U_4!$D$95</definedName>
    <definedName name="bu4total85a" localSheetId="9">[17]B_U_4!$D$103</definedName>
    <definedName name="bu4total85a">[18]B_U_4!$D$103</definedName>
    <definedName name="bu4total86" localSheetId="9">[17]B_U_4!$E$95</definedName>
    <definedName name="bu4total86">[18]B_U_4!$E$95</definedName>
    <definedName name="bu4total86a" localSheetId="9">[17]B_U_4!$E$103</definedName>
    <definedName name="bu4total86a">[18]B_U_4!$E$103</definedName>
    <definedName name="bu4total87" localSheetId="9">[17]B_U_4!$F$95</definedName>
    <definedName name="bu4total87">[18]B_U_4!$F$95</definedName>
    <definedName name="bu4total87a" localSheetId="9">[17]B_U_4!$F$103</definedName>
    <definedName name="bu4total87a">[18]B_U_4!$F$103</definedName>
    <definedName name="bu4total88" localSheetId="9">[17]B_U_4!$G$95</definedName>
    <definedName name="bu4total88">[18]B_U_4!$G$95</definedName>
    <definedName name="bu4total88a" localSheetId="9">[17]B_U_4!$G$103</definedName>
    <definedName name="bu4total88a">[18]B_U_4!$G$103</definedName>
    <definedName name="bu4total89" localSheetId="9">[17]B_U_4!$H$95</definedName>
    <definedName name="bu4total89">[18]B_U_4!$H$95</definedName>
    <definedName name="bu4total89a" localSheetId="9">[17]B_U_4!$H$103</definedName>
    <definedName name="bu4total89a">[18]B_U_4!$H$103</definedName>
    <definedName name="bu4total90" localSheetId="9">[17]B_U_4!$I$95</definedName>
    <definedName name="bu4total90">[18]B_U_4!$I$95</definedName>
    <definedName name="bu4total90a" localSheetId="9">[17]B_U_4!$I$103</definedName>
    <definedName name="bu4total90a">[18]B_U_4!$I$103</definedName>
    <definedName name="bu4total91" localSheetId="9">[17]B_U_4!$J$95</definedName>
    <definedName name="bu4total91">[18]B_U_4!$J$95</definedName>
    <definedName name="bu4total91a" localSheetId="9">[17]B_U_4!$J$103</definedName>
    <definedName name="bu4total91a">[18]B_U_4!$J$103</definedName>
    <definedName name="bu4total92" localSheetId="9">[17]B_U_4!$K$95</definedName>
    <definedName name="bu4total92">[18]B_U_4!$K$95</definedName>
    <definedName name="bu4total92a" localSheetId="9">[17]B_U_4!$K$103</definedName>
    <definedName name="bu4total92a">[18]B_U_4!$K$103</definedName>
    <definedName name="bu4total93" localSheetId="9">[17]B_U_4!$L$95</definedName>
    <definedName name="bu4total93">[18]B_U_4!$L$95</definedName>
    <definedName name="bu4total93a" localSheetId="9">[17]B_U_4!$L$103</definedName>
    <definedName name="bu4total93a">[18]B_U_4!$L$103</definedName>
    <definedName name="bu4total94" localSheetId="9">[17]B_U_4!$M$95</definedName>
    <definedName name="bu4total94">[18]B_U_4!$M$95</definedName>
    <definedName name="bu4total94a" localSheetId="9">[17]B_U_4!$M$103</definedName>
    <definedName name="bu4total94a">[18]B_U_4!$M$103</definedName>
    <definedName name="bu4total95" localSheetId="9">[17]B_U_4!$N$95</definedName>
    <definedName name="bu4total95">[18]B_U_4!$N$95</definedName>
    <definedName name="bu4total95a" localSheetId="9">[17]B_U_4!$N$103</definedName>
    <definedName name="bu4total95a">[18]B_U_4!$N$103</definedName>
    <definedName name="bu4total96" localSheetId="9">[17]B_U_4!$O$95</definedName>
    <definedName name="bu4total96">[18]B_U_4!$O$95</definedName>
    <definedName name="bu4total96a" localSheetId="9">[17]B_U_4!$O$103</definedName>
    <definedName name="bu4total96a">[18]B_U_4!$O$103</definedName>
    <definedName name="bu4total97" localSheetId="9">[17]B_U_4!$P$95</definedName>
    <definedName name="bu4total97">[18]B_U_4!$P$95</definedName>
    <definedName name="bu4total97a" localSheetId="9">[17]B_U_4!$P$103</definedName>
    <definedName name="bu4total97a">[18]B_U_4!$P$103</definedName>
    <definedName name="bu4total98" localSheetId="9">[17]B_U_4!$Q$95</definedName>
    <definedName name="bu4total98">[18]B_U_4!$Q$95</definedName>
    <definedName name="bu4total98a" localSheetId="9">[17]B_U_4!$Q$103</definedName>
    <definedName name="bu4total98a">[18]B_U_4!$Q$103</definedName>
    <definedName name="bu4total99" localSheetId="17">#REF!</definedName>
    <definedName name="bu4total99">#REF!</definedName>
    <definedName name="bu4total99a" localSheetId="17">#REF!</definedName>
    <definedName name="bu4total99a">#REF!</definedName>
    <definedName name="bu5total100" localSheetId="17">#REF!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 localSheetId="9">[17]B_U_5!$C$95</definedName>
    <definedName name="bu5total84">[18]B_U_5!$C$95</definedName>
    <definedName name="bu5total84a" localSheetId="9">[17]B_U_5!$C$103</definedName>
    <definedName name="bu5total84a">[18]B_U_5!$C$103</definedName>
    <definedName name="bu5total85" localSheetId="9">[17]B_U_5!$D$95</definedName>
    <definedName name="bu5total85">[18]B_U_5!$D$95</definedName>
    <definedName name="bu5total85a" localSheetId="9">[17]B_U_5!$D$103</definedName>
    <definedName name="bu5total85a">[18]B_U_5!$D$103</definedName>
    <definedName name="bu5total86" localSheetId="9">[17]B_U_5!$E$95</definedName>
    <definedName name="bu5total86">[18]B_U_5!$E$95</definedName>
    <definedName name="bu5total86a" localSheetId="9">[17]B_U_5!$E$103</definedName>
    <definedName name="bu5total86a">[18]B_U_5!$E$103</definedName>
    <definedName name="bu5total87" localSheetId="9">[17]B_U_5!$F$95</definedName>
    <definedName name="bu5total87">[18]B_U_5!$F$95</definedName>
    <definedName name="bu5total87a" localSheetId="9">[17]B_U_5!$F$103</definedName>
    <definedName name="bu5total87a">[18]B_U_5!$F$103</definedName>
    <definedName name="bu5total88" localSheetId="9">[17]B_U_5!$G$95</definedName>
    <definedName name="bu5total88">[18]B_U_5!$G$95</definedName>
    <definedName name="bu5total88a" localSheetId="9">[17]B_U_5!$G$103</definedName>
    <definedName name="bu5total88a">[18]B_U_5!$G$103</definedName>
    <definedName name="bu5total89" localSheetId="9">[17]B_U_5!$H$95</definedName>
    <definedName name="bu5total89">[18]B_U_5!$H$95</definedName>
    <definedName name="bu5total89a" localSheetId="9">[17]B_U_5!$H$103</definedName>
    <definedName name="bu5total89a">[18]B_U_5!$H$103</definedName>
    <definedName name="bu5total90" localSheetId="9">[17]B_U_5!$I$95</definedName>
    <definedName name="bu5total90">[18]B_U_5!$I$95</definedName>
    <definedName name="bu5total90a" localSheetId="9">[17]B_U_5!$I$103</definedName>
    <definedName name="bu5total90a">[18]B_U_5!$I$103</definedName>
    <definedName name="bu5total91" localSheetId="9">[17]B_U_5!$J$95</definedName>
    <definedName name="bu5total91">[18]B_U_5!$J$95</definedName>
    <definedName name="bu5total91a" localSheetId="9">[17]B_U_5!$J$103</definedName>
    <definedName name="bu5total91a">[18]B_U_5!$J$103</definedName>
    <definedName name="bu5total92" localSheetId="9">[17]B_U_5!$K$95</definedName>
    <definedName name="bu5total92">[18]B_U_5!$K$95</definedName>
    <definedName name="bu5total92a" localSheetId="9">[17]B_U_5!$K$103</definedName>
    <definedName name="bu5total92a">[18]B_U_5!$K$103</definedName>
    <definedName name="bu5total93" localSheetId="9">[17]B_U_5!$L$95</definedName>
    <definedName name="bu5total93">[18]B_U_5!$L$95</definedName>
    <definedName name="bu5total93a" localSheetId="9">[17]B_U_5!$L$103</definedName>
    <definedName name="bu5total93a">[18]B_U_5!$L$103</definedName>
    <definedName name="bu5total94" localSheetId="9">[17]B_U_5!$M$95</definedName>
    <definedName name="bu5total94">[18]B_U_5!$M$95</definedName>
    <definedName name="bu5total94a" localSheetId="9">[17]B_U_5!$M$103</definedName>
    <definedName name="bu5total94a">[18]B_U_5!$M$103</definedName>
    <definedName name="bu5total95" localSheetId="9">[17]B_U_5!$N$95</definedName>
    <definedName name="bu5total95">[18]B_U_5!$N$95</definedName>
    <definedName name="bu5total95a" localSheetId="9">[17]B_U_5!$N$103</definedName>
    <definedName name="bu5total95a">[18]B_U_5!$N$103</definedName>
    <definedName name="bu5total96" localSheetId="9">[17]B_U_5!$O$95</definedName>
    <definedName name="bu5total96">[18]B_U_5!$O$95</definedName>
    <definedName name="bu5total96a" localSheetId="9">[17]B_U_5!$O$103</definedName>
    <definedName name="bu5total96a">[18]B_U_5!$O$103</definedName>
    <definedName name="bu5total97" localSheetId="9">[17]B_U_5!$P$95</definedName>
    <definedName name="bu5total97">[18]B_U_5!$P$95</definedName>
    <definedName name="bu5total97a" localSheetId="9">[17]B_U_5!$P$103</definedName>
    <definedName name="bu5total97a">[18]B_U_5!$P$103</definedName>
    <definedName name="bu5total98" localSheetId="9">[17]B_U_5!$Q$95</definedName>
    <definedName name="bu5total98">[18]B_U_5!$Q$95</definedName>
    <definedName name="bu5total98a" localSheetId="9">[17]B_U_5!$Q$103</definedName>
    <definedName name="bu5total98a">[18]B_U_5!$Q$103</definedName>
    <definedName name="bu5total99" localSheetId="17">#REF!</definedName>
    <definedName name="bu5total99">#REF!</definedName>
    <definedName name="bu5total99a" localSheetId="17">#REF!</definedName>
    <definedName name="bu5total99a">#REF!</definedName>
    <definedName name="bu6total100" localSheetId="17">#REF!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 localSheetId="9">[17]B_U_6!$C$94</definedName>
    <definedName name="bu6total84">[18]B_U_6!$C$94</definedName>
    <definedName name="bu6total84a" localSheetId="9">[17]B_U_6!$C$103</definedName>
    <definedName name="bu6total84a">[18]B_U_6!$C$103</definedName>
    <definedName name="bu6total85" localSheetId="9">[17]B_U_6!$D$94</definedName>
    <definedName name="bu6total85">[18]B_U_6!$D$94</definedName>
    <definedName name="bu6total85a" localSheetId="9">[17]B_U_6!$D$103</definedName>
    <definedName name="bu6total85a">[18]B_U_6!$D$103</definedName>
    <definedName name="bu6total86" localSheetId="9">[17]B_U_6!$E$94</definedName>
    <definedName name="bu6total86">[18]B_U_6!$E$94</definedName>
    <definedName name="bu6total86a" localSheetId="9">[17]B_U_6!$E$103</definedName>
    <definedName name="bu6total86a">[18]B_U_6!$E$103</definedName>
    <definedName name="bu6total87" localSheetId="9">[17]B_U_6!$F$94</definedName>
    <definedName name="bu6total87">[18]B_U_6!$F$94</definedName>
    <definedName name="bu6total87a" localSheetId="9">[17]B_U_6!$F$103</definedName>
    <definedName name="bu6total87a">[18]B_U_6!$F$103</definedName>
    <definedName name="bu6total88" localSheetId="9">[17]B_U_6!$G$94</definedName>
    <definedName name="bu6total88">[18]B_U_6!$G$94</definedName>
    <definedName name="bu6total88a" localSheetId="9">[17]B_U_6!$G$103</definedName>
    <definedName name="bu6total88a">[18]B_U_6!$G$103</definedName>
    <definedName name="bu6total89" localSheetId="9">[17]B_U_6!$H$94</definedName>
    <definedName name="bu6total89">[18]B_U_6!$H$94</definedName>
    <definedName name="bu6total89a" localSheetId="9">[17]B_U_6!$H$103</definedName>
    <definedName name="bu6total89a">[18]B_U_6!$H$103</definedName>
    <definedName name="bu6total90" localSheetId="9">[17]B_U_6!$I$94</definedName>
    <definedName name="bu6total90">[18]B_U_6!$I$94</definedName>
    <definedName name="bu6total90a" localSheetId="9">[17]B_U_6!$I$103</definedName>
    <definedName name="bu6total90a">[18]B_U_6!$I$103</definedName>
    <definedName name="bu6total91" localSheetId="9">[17]B_U_6!$J$94</definedName>
    <definedName name="bu6total91">[18]B_U_6!$J$94</definedName>
    <definedName name="bu6total91a" localSheetId="9">[17]B_U_6!$J$103</definedName>
    <definedName name="bu6total91a">[18]B_U_6!$J$103</definedName>
    <definedName name="bu6total92" localSheetId="9">[17]B_U_6!$K$94</definedName>
    <definedName name="bu6total92">[18]B_U_6!$K$94</definedName>
    <definedName name="bu6total92a" localSheetId="9">[17]B_U_6!$K$103</definedName>
    <definedName name="bu6total92a">[18]B_U_6!$K$103</definedName>
    <definedName name="bu6total93" localSheetId="9">[17]B_U_6!$L$94</definedName>
    <definedName name="bu6total93">[18]B_U_6!$L$94</definedName>
    <definedName name="bu6total93a" localSheetId="9">[17]B_U_6!$L$103</definedName>
    <definedName name="bu6total93a">[18]B_U_6!$L$103</definedName>
    <definedName name="bu6total94" localSheetId="9">[17]B_U_6!$M$94</definedName>
    <definedName name="bu6total94">[18]B_U_6!$M$94</definedName>
    <definedName name="bu6total94a" localSheetId="9">[17]B_U_6!$M$103</definedName>
    <definedName name="bu6total94a">[18]B_U_6!$M$103</definedName>
    <definedName name="bu6total95" localSheetId="9">[17]B_U_6!$N$94</definedName>
    <definedName name="bu6total95">[18]B_U_6!$N$94</definedName>
    <definedName name="bu6total95a" localSheetId="9">[17]B_U_6!$N$103</definedName>
    <definedName name="bu6total95a">[18]B_U_6!$N$103</definedName>
    <definedName name="bu6total96" localSheetId="9">[17]B_U_6!$O$94</definedName>
    <definedName name="bu6total96">[18]B_U_6!$O$94</definedName>
    <definedName name="bu6total96a" localSheetId="9">[17]B_U_6!$O$103</definedName>
    <definedName name="bu6total96a">[18]B_U_6!$O$103</definedName>
    <definedName name="bu6total97" localSheetId="9">[17]B_U_6!$P$94</definedName>
    <definedName name="bu6total97">[18]B_U_6!$P$94</definedName>
    <definedName name="bu6total97a" localSheetId="9">[17]B_U_6!$P$103</definedName>
    <definedName name="bu6total97a">[18]B_U_6!$P$103</definedName>
    <definedName name="bu6total98" localSheetId="9">[17]B_U_6!$Q$94</definedName>
    <definedName name="bu6total98">[18]B_U_6!$Q$94</definedName>
    <definedName name="bu6total98a" localSheetId="9">[17]B_U_6!$Q$103</definedName>
    <definedName name="bu6total98a">[18]B_U_6!$Q$103</definedName>
    <definedName name="bu6total99" localSheetId="17">#REF!</definedName>
    <definedName name="bu6total99">#REF!</definedName>
    <definedName name="bu6total99a" localSheetId="17">#REF!</definedName>
    <definedName name="bu6total99a">#REF!</definedName>
    <definedName name="bu7total100" localSheetId="17">#REF!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 localSheetId="9">[17]B_U_7!$C$95</definedName>
    <definedName name="bu7total84">[18]B_U_7!$C$95</definedName>
    <definedName name="bu7total84a" localSheetId="9">[17]B_U_7!$C$103</definedName>
    <definedName name="bu7total84a">[18]B_U_7!$C$103</definedName>
    <definedName name="bu7total85" localSheetId="9">[17]B_U_7!$D$95</definedName>
    <definedName name="bu7total85">[18]B_U_7!$D$95</definedName>
    <definedName name="bu7total85a" localSheetId="9">[17]B_U_7!$D$103</definedName>
    <definedName name="bu7total85a">[18]B_U_7!$D$103</definedName>
    <definedName name="bu7total86" localSheetId="9">[17]B_U_7!$E$95</definedName>
    <definedName name="bu7total86">[18]B_U_7!$E$95</definedName>
    <definedName name="bu7total86a" localSheetId="9">[17]B_U_7!$E$103</definedName>
    <definedName name="bu7total86a">[18]B_U_7!$E$103</definedName>
    <definedName name="bu7total87" localSheetId="9">[17]B_U_7!$F$95</definedName>
    <definedName name="bu7total87">[18]B_U_7!$F$95</definedName>
    <definedName name="bu7total87a" localSheetId="9">[17]B_U_7!$F$103</definedName>
    <definedName name="bu7total87a">[18]B_U_7!$F$103</definedName>
    <definedName name="bu7total88" localSheetId="9">[17]B_U_7!$G$95</definedName>
    <definedName name="bu7total88">[18]B_U_7!$G$95</definedName>
    <definedName name="bu7total88a" localSheetId="9">[17]B_U_7!$G$103</definedName>
    <definedName name="bu7total88a">[18]B_U_7!$G$103</definedName>
    <definedName name="bu7total89" localSheetId="9">[17]B_U_7!$H$95</definedName>
    <definedName name="bu7total89">[18]B_U_7!$H$95</definedName>
    <definedName name="bu7total89a" localSheetId="9">[17]B_U_7!$H$103</definedName>
    <definedName name="bu7total89a">[18]B_U_7!$H$103</definedName>
    <definedName name="bu7total90" localSheetId="9">[17]B_U_7!$I$95</definedName>
    <definedName name="bu7total90">[18]B_U_7!$I$95</definedName>
    <definedName name="bu7total90a" localSheetId="9">[17]B_U_7!$I$103</definedName>
    <definedName name="bu7total90a">[18]B_U_7!$I$103</definedName>
    <definedName name="bu7total91" localSheetId="9">[17]B_U_7!$J$95</definedName>
    <definedName name="bu7total91">[18]B_U_7!$J$95</definedName>
    <definedName name="bu7total91a" localSheetId="9">[17]B_U_7!$J$103</definedName>
    <definedName name="bu7total91a">[18]B_U_7!$J$103</definedName>
    <definedName name="bu7total92" localSheetId="9">[17]B_U_7!$K$95</definedName>
    <definedName name="bu7total92">[18]B_U_7!$K$95</definedName>
    <definedName name="bu7total92a" localSheetId="9">[17]B_U_7!$K$103</definedName>
    <definedName name="bu7total92a">[18]B_U_7!$K$103</definedName>
    <definedName name="bu7total93" localSheetId="9">[17]B_U_7!$L$95</definedName>
    <definedName name="bu7total93">[18]B_U_7!$L$95</definedName>
    <definedName name="bu7total93a" localSheetId="9">[17]B_U_7!$L$103</definedName>
    <definedName name="bu7total93a">[18]B_U_7!$L$103</definedName>
    <definedName name="bu7total94" localSheetId="9">[17]B_U_7!$M$95</definedName>
    <definedName name="bu7total94">[18]B_U_7!$M$95</definedName>
    <definedName name="bu7total94a" localSheetId="9">[17]B_U_7!$M$103</definedName>
    <definedName name="bu7total94a">[18]B_U_7!$M$103</definedName>
    <definedName name="bu7total95" localSheetId="9">[17]B_U_7!$N$95</definedName>
    <definedName name="bu7total95">[18]B_U_7!$N$95</definedName>
    <definedName name="bu7total95a" localSheetId="9">[17]B_U_7!$N$103</definedName>
    <definedName name="bu7total95a">[18]B_U_7!$N$103</definedName>
    <definedName name="bu7total96" localSheetId="9">[17]B_U_7!$O$95</definedName>
    <definedName name="bu7total96">[18]B_U_7!$O$95</definedName>
    <definedName name="bu7total96a" localSheetId="9">[17]B_U_7!$O$103</definedName>
    <definedName name="bu7total96a">[18]B_U_7!$O$103</definedName>
    <definedName name="bu7total97" localSheetId="9">[17]B_U_7!$P$95</definedName>
    <definedName name="bu7total97">[18]B_U_7!$P$95</definedName>
    <definedName name="bu7total97a" localSheetId="9">[17]B_U_7!$P$103</definedName>
    <definedName name="bu7total97a">[18]B_U_7!$P$103</definedName>
    <definedName name="bu7total98" localSheetId="9">[17]B_U_7!$Q$95</definedName>
    <definedName name="bu7total98">[18]B_U_7!$Q$95</definedName>
    <definedName name="bu7total98a" localSheetId="9">[17]B_U_7!$Q$103</definedName>
    <definedName name="bu7total98a">[18]B_U_7!$Q$103</definedName>
    <definedName name="bu7total99" localSheetId="17">#REF!</definedName>
    <definedName name="bu7total99">#REF!</definedName>
    <definedName name="bu7total99a" localSheetId="17">#REF!</definedName>
    <definedName name="bu7total99a">#REF!</definedName>
    <definedName name="bu8total100" localSheetId="17">#REF!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 localSheetId="9">[17]B_U_8!$C$94</definedName>
    <definedName name="bu8total84">[18]B_U_8!$C$94</definedName>
    <definedName name="bu8total84a" localSheetId="9">[17]B_U_8!$C$103</definedName>
    <definedName name="bu8total84a">[18]B_U_8!$C$103</definedName>
    <definedName name="bu8total85" localSheetId="9">[17]B_U_8!$D$94</definedName>
    <definedName name="bu8total85">[18]B_U_8!$D$94</definedName>
    <definedName name="bu8total85a" localSheetId="9">[17]B_U_8!$D$103</definedName>
    <definedName name="bu8total85a">[18]B_U_8!$D$103</definedName>
    <definedName name="bu8total86" localSheetId="9">[17]B_U_8!$E$94</definedName>
    <definedName name="bu8total86">[18]B_U_8!$E$94</definedName>
    <definedName name="bu8total86a" localSheetId="9">[17]B_U_8!$E$103</definedName>
    <definedName name="bu8total86a">[18]B_U_8!$E$103</definedName>
    <definedName name="bu8total87" localSheetId="9">[17]B_U_8!$F$94</definedName>
    <definedName name="bu8total87">[18]B_U_8!$F$94</definedName>
    <definedName name="bu8total87a" localSheetId="9">[17]B_U_8!$F$103</definedName>
    <definedName name="bu8total87a">[18]B_U_8!$F$103</definedName>
    <definedName name="bu8total88" localSheetId="9">[17]B_U_8!$G$94</definedName>
    <definedName name="bu8total88">[18]B_U_8!$G$94</definedName>
    <definedName name="bu8total88a" localSheetId="9">[17]B_U_8!$G$103</definedName>
    <definedName name="bu8total88a">[18]B_U_8!$G$103</definedName>
    <definedName name="bu8total89" localSheetId="9">[17]B_U_8!$H$94</definedName>
    <definedName name="bu8total89">[18]B_U_8!$H$94</definedName>
    <definedName name="bu8total89a" localSheetId="9">[17]B_U_8!$H$103</definedName>
    <definedName name="bu8total89a">[18]B_U_8!$H$103</definedName>
    <definedName name="bu8total90" localSheetId="9">[17]B_U_8!$I$94</definedName>
    <definedName name="bu8total90">[18]B_U_8!$I$94</definedName>
    <definedName name="bu8total90a" localSheetId="9">[17]B_U_8!$I$103</definedName>
    <definedName name="bu8total90a">[18]B_U_8!$I$103</definedName>
    <definedName name="bu8total91" localSheetId="9">[17]B_U_8!$J$94</definedName>
    <definedName name="bu8total91">[18]B_U_8!$J$94</definedName>
    <definedName name="bu8total91a" localSheetId="9">[17]B_U_8!$J$103</definedName>
    <definedName name="bu8total91a">[18]B_U_8!$J$103</definedName>
    <definedName name="bu8total92" localSheetId="9">[17]B_U_8!$K$94</definedName>
    <definedName name="bu8total92">[18]B_U_8!$K$94</definedName>
    <definedName name="bu8total92a" localSheetId="9">[17]B_U_8!$K$103</definedName>
    <definedName name="bu8total92a">[18]B_U_8!$K$103</definedName>
    <definedName name="bu8total93" localSheetId="9">[17]B_U_8!$L$94</definedName>
    <definedName name="bu8total93">[18]B_U_8!$L$94</definedName>
    <definedName name="bu8total93a" localSheetId="9">[17]B_U_8!$L$103</definedName>
    <definedName name="bu8total93a">[18]B_U_8!$L$103</definedName>
    <definedName name="bu8total94" localSheetId="9">[17]B_U_8!$M$94</definedName>
    <definedName name="bu8total94">[18]B_U_8!$M$94</definedName>
    <definedName name="bu8total94a" localSheetId="9">[17]B_U_8!$M$103</definedName>
    <definedName name="bu8total94a">[18]B_U_8!$M$103</definedName>
    <definedName name="bu8total95" localSheetId="9">[17]B_U_8!$N$94</definedName>
    <definedName name="bu8total95">[18]B_U_8!$N$94</definedName>
    <definedName name="bu8total95a" localSheetId="9">[17]B_U_8!$N$103</definedName>
    <definedName name="bu8total95a">[18]B_U_8!$N$103</definedName>
    <definedName name="bu8total96" localSheetId="9">[17]B_U_8!$O$94</definedName>
    <definedName name="bu8total96">[18]B_U_8!$O$94</definedName>
    <definedName name="bu8total96a" localSheetId="9">[17]B_U_8!$O$103</definedName>
    <definedName name="bu8total96a">[18]B_U_8!$O$103</definedName>
    <definedName name="bu8total97" localSheetId="9">[17]B_U_8!$P$94</definedName>
    <definedName name="bu8total97">[18]B_U_8!$P$94</definedName>
    <definedName name="bu8total97a" localSheetId="9">[17]B_U_8!$P$103</definedName>
    <definedName name="bu8total97a">[18]B_U_8!$P$103</definedName>
    <definedName name="bu8total98" localSheetId="9">[17]B_U_8!$Q$94</definedName>
    <definedName name="bu8total98">[18]B_U_8!$Q$94</definedName>
    <definedName name="bu8total98a" localSheetId="9">[17]B_U_8!$Q$103</definedName>
    <definedName name="bu8total98a">[18]B_U_8!$Q$103</definedName>
    <definedName name="bu8total99" localSheetId="17">#REF!</definedName>
    <definedName name="bu8total99">#REF!</definedName>
    <definedName name="bu8total99a" localSheetId="17">#REF!</definedName>
    <definedName name="bu8total99a">#REF!</definedName>
    <definedName name="bu9total100" localSheetId="17">#REF!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 localSheetId="9">[17]B_U_9!$C$95</definedName>
    <definedName name="bu9total84">[18]B_U_9!$C$95</definedName>
    <definedName name="bu9total84a" localSheetId="9">[17]B_U_9!$C$103</definedName>
    <definedName name="bu9total84a">[18]B_U_9!$C$103</definedName>
    <definedName name="bu9total85" localSheetId="9">[17]B_U_9!$D$95</definedName>
    <definedName name="bu9total85">[18]B_U_9!$D$95</definedName>
    <definedName name="bu9total85a" localSheetId="9">[17]B_U_9!$D$103</definedName>
    <definedName name="bu9total85a">[18]B_U_9!$D$103</definedName>
    <definedName name="bu9total86" localSheetId="9">[17]B_U_9!$E$95</definedName>
    <definedName name="bu9total86">[18]B_U_9!$E$95</definedName>
    <definedName name="bu9total86a" localSheetId="9">[17]B_U_9!$E$103</definedName>
    <definedName name="bu9total86a">[18]B_U_9!$E$103</definedName>
    <definedName name="bu9total87" localSheetId="9">[17]B_U_9!$F$95</definedName>
    <definedName name="bu9total87">[18]B_U_9!$F$95</definedName>
    <definedName name="bu9total87a" localSheetId="9">[17]B_U_9!$F$103</definedName>
    <definedName name="bu9total87a">[18]B_U_9!$F$103</definedName>
    <definedName name="bu9total88" localSheetId="9">[17]B_U_9!$G$95</definedName>
    <definedName name="bu9total88">[18]B_U_9!$G$95</definedName>
    <definedName name="bu9total88a" localSheetId="9">[17]B_U_9!$G$103</definedName>
    <definedName name="bu9total88a">[18]B_U_9!$G$103</definedName>
    <definedName name="bu9total89" localSheetId="9">[17]B_U_9!$H$95</definedName>
    <definedName name="bu9total89">[18]B_U_9!$H$95</definedName>
    <definedName name="bu9total89a" localSheetId="9">[17]B_U_9!$H$103</definedName>
    <definedName name="bu9total89a">[18]B_U_9!$H$103</definedName>
    <definedName name="bu9total90" localSheetId="9">[17]B_U_9!$I$95</definedName>
    <definedName name="bu9total90">[18]B_U_9!$I$95</definedName>
    <definedName name="bu9total90a" localSheetId="9">[17]B_U_9!$I$103</definedName>
    <definedName name="bu9total90a">[18]B_U_9!$I$103</definedName>
    <definedName name="bu9total91" localSheetId="9">[17]B_U_9!$J$95</definedName>
    <definedName name="bu9total91">[18]B_U_9!$J$95</definedName>
    <definedName name="bu9total91a" localSheetId="9">[17]B_U_9!$J$103</definedName>
    <definedName name="bu9total91a">[18]B_U_9!$J$103</definedName>
    <definedName name="bu9total92" localSheetId="9">[17]B_U_9!$K$95</definedName>
    <definedName name="bu9total92">[18]B_U_9!$K$95</definedName>
    <definedName name="bu9total92a" localSheetId="9">[17]B_U_9!$K$103</definedName>
    <definedName name="bu9total92a">[18]B_U_9!$K$103</definedName>
    <definedName name="bu9total93" localSheetId="9">[17]B_U_9!$L$95</definedName>
    <definedName name="bu9total93">[18]B_U_9!$L$95</definedName>
    <definedName name="bu9total93a" localSheetId="9">[17]B_U_9!$L$103</definedName>
    <definedName name="bu9total93a">[18]B_U_9!$L$103</definedName>
    <definedName name="bu9total94" localSheetId="9">[17]B_U_9!$M$95</definedName>
    <definedName name="bu9total94">[18]B_U_9!$M$95</definedName>
    <definedName name="bu9total94a" localSheetId="9">[17]B_U_9!$M$103</definedName>
    <definedName name="bu9total94a">[18]B_U_9!$M$103</definedName>
    <definedName name="bu9total95" localSheetId="9">[17]B_U_9!$N$95</definedName>
    <definedName name="bu9total95">[18]B_U_9!$N$95</definedName>
    <definedName name="bu9total95a" localSheetId="9">[17]B_U_9!$N$103</definedName>
    <definedName name="bu9total95a">[18]B_U_9!$N$103</definedName>
    <definedName name="bu9total96" localSheetId="9">[17]B_U_9!$O$95</definedName>
    <definedName name="bu9total96">[18]B_U_9!$O$95</definedName>
    <definedName name="bu9total96a" localSheetId="9">[17]B_U_9!$O$103</definedName>
    <definedName name="bu9total96a">[18]B_U_9!$O$103</definedName>
    <definedName name="bu9total97" localSheetId="9">[17]B_U_9!$P$95</definedName>
    <definedName name="bu9total97">[18]B_U_9!$P$95</definedName>
    <definedName name="bu9total97a" localSheetId="9">[17]B_U_9!$P$103</definedName>
    <definedName name="bu9total97a">[18]B_U_9!$P$103</definedName>
    <definedName name="bu9total98" localSheetId="9">[17]B_U_9!$Q$95</definedName>
    <definedName name="bu9total98">[18]B_U_9!$Q$95</definedName>
    <definedName name="bu9total98a" localSheetId="9">[17]B_U_9!$Q$103</definedName>
    <definedName name="bu9total98a">[18]B_U_9!$Q$103</definedName>
    <definedName name="bu9total99" localSheetId="17">#REF!</definedName>
    <definedName name="bu9total99">#REF!</definedName>
    <definedName name="bu9total99a" localSheetId="17">#REF!</definedName>
    <definedName name="bu9total99a">#REF!</definedName>
    <definedName name="budget">#REF!</definedName>
    <definedName name="Budget_Info">#REF!</definedName>
    <definedName name="BUN">#REF!</definedName>
    <definedName name="C_">'[68]RR 8 2'!#REF!</definedName>
    <definedName name="CALC_C03" localSheetId="17">#REF!</definedName>
    <definedName name="CALC_C03">#REF!</definedName>
    <definedName name="CALC_C04" localSheetId="17">#REF!</definedName>
    <definedName name="CALC_C04">#REF!</definedName>
    <definedName name="CALC_C09" localSheetId="17">#REF!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9"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 localSheetId="9">'[58]Input Page'!$E$16</definedName>
    <definedName name="cap_interest">'[59]Input Page'!$E$16</definedName>
    <definedName name="CapBank2" localSheetId="17">#REF!</definedName>
    <definedName name="CapBank2">#REF!</definedName>
    <definedName name="Capital_Investment_excl._Corp._Alloc." localSheetId="17">#REF!</definedName>
    <definedName name="Capital_Investment_excl._Corp._Alloc.">#REF!</definedName>
    <definedName name="Capital_Investments_CPM" localSheetId="17">#REF!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9"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localSheetId="17"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 localSheetId="17">#REF!</definedName>
    <definedName name="CBT">#REF!</definedName>
    <definedName name="CC_TST">'[41]A.2 PTP'!$P$33</definedName>
    <definedName name="cc1end" localSheetId="9">[17]Model!$A$68:$IV$68</definedName>
    <definedName name="cc1end">[18]Model!$A$68:$IV$68</definedName>
    <definedName name="cc1subrange" localSheetId="9">[17]Model!$A$48:$IV$75</definedName>
    <definedName name="cc1subrange">[18]Model!$A$48:$IV$75</definedName>
    <definedName name="cc2origin" localSheetId="9">[17]Model!$A$76</definedName>
    <definedName name="cc2origin">[18]Model!$A$76</definedName>
    <definedName name="cc2subrange" localSheetId="9">[17]Model!$A$124:$IV$146</definedName>
    <definedName name="cc2subrange">[18]Model!$A$124:$IV$146</definedName>
    <definedName name="cc3subrange" localSheetId="9">[17]Model!$A$152:$IV$179</definedName>
    <definedName name="cc3subrange">[18]Model!$A$152:$IV$179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9"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localSheetId="17"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9"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9"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'[41]C. Input'!$F$37</definedName>
    <definedName name="CE_EAI">'[41]C. Input'!$I$37</definedName>
    <definedName name="CE_EGSI">'[41]C. Input'!$L$37</definedName>
    <definedName name="CE_ELI">'[41]C. Input'!$O$37</definedName>
    <definedName name="CE_EMI">'[41]C. Input'!$R$37</definedName>
    <definedName name="CE_ENOI">'[41]C. Input'!$X$37</definedName>
    <definedName name="CELL">#N/A</definedName>
    <definedName name="cell.above">!A1048576</definedName>
    <definedName name="cell.below">!A2</definedName>
    <definedName name="cell.left">!XFD1</definedName>
    <definedName name="cell.right">!B1</definedName>
    <definedName name="cents" localSheetId="17">#REF!</definedName>
    <definedName name="cents">#REF!</definedName>
    <definedName name="CEP_Amortization" localSheetId="9">'[66]JFJ-4 CEP Rate'!$A$28:$F$78</definedName>
    <definedName name="CEP_Amortization">'[67]JFJ-4 CEP Rate'!$A$28:$F$78</definedName>
    <definedName name="cf_90" localSheetId="17">#REF!</definedName>
    <definedName name="cf_90">#REF!</definedName>
    <definedName name="cf_91" localSheetId="17">#REF!</definedName>
    <definedName name="cf_91">#REF!</definedName>
    <definedName name="cf_92" localSheetId="17">#REF!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 localSheetId="9">'[17]QRE Charts'!$C$274:$R$297</definedName>
    <definedName name="chrtContract">'[18]QRE Charts'!$C$274:$R$297</definedName>
    <definedName name="chrtSensitivity" localSheetId="9">'[17]QRE Charts'!$D$372:$O$375</definedName>
    <definedName name="chrtSensitivity">'[18]QRE Charts'!$D$372:$O$375</definedName>
    <definedName name="chrtSensWages" localSheetId="9">'[17]Sens_QRE''s'!$C$118:$R$141</definedName>
    <definedName name="chrtSensWages">'[18]Sens_QRE''s'!$C$118:$R$141</definedName>
    <definedName name="chrtSupplies" localSheetId="9">'[17]QRE Charts'!$C$248:$R$271</definedName>
    <definedName name="chrtSupplies">'[18]QRE Charts'!$C$248:$R$271</definedName>
    <definedName name="chrtTax" localSheetId="9">'[17]QRE Charts'!$C$327:$E$342</definedName>
    <definedName name="chrtTax">'[18]QRE Charts'!$C$327:$E$342</definedName>
    <definedName name="chrtTotalByCo" localSheetId="9">'[17]QRE Charts'!$C$300:$R$323</definedName>
    <definedName name="chrtTotalByCo">'[18]QRE Charts'!$C$300:$R$323</definedName>
    <definedName name="chrtTotalByType" localSheetId="9">'[17]QRE Charts'!$C$216:$R$219</definedName>
    <definedName name="chrtTotalByType">'[18]QRE Charts'!$C$216:$R$219</definedName>
    <definedName name="chrtWages" localSheetId="9">'[17]QRE Charts'!$C$222:$R$245</definedName>
    <definedName name="chrtWages">'[18]QRE Charts'!$C$222:$R$245</definedName>
    <definedName name="CIPS_IL_EZ_parcels" localSheetId="17">#REF!</definedName>
    <definedName name="CIPS_IL_EZ_parcels">#REF!</definedName>
    <definedName name="Citizens_Gas" localSheetId="17">#REF!</definedName>
    <definedName name="Citizens_Gas">#REF!</definedName>
    <definedName name="Citizens_Gas_YR_2005" localSheetId="17">'[55]Aday IS EG Subs'!#REF!</definedName>
    <definedName name="Citizens_Gas_YR_2005">'[55]Aday IS EG Subs'!#REF!</definedName>
    <definedName name="Citizens_Gas_YR_2006" localSheetId="17">'[55]Aday IS EG Subs'!#REF!</definedName>
    <definedName name="Citizens_Gas_YR_2006">'[55]Aday IS EG Subs'!#REF!</definedName>
    <definedName name="Citizens_Gas_YR_2007" localSheetId="17">'[55]Aday IS EG Subs'!#REF!</definedName>
    <definedName name="Citizens_Gas_YR_2007">'[55]Aday IS EG Subs'!#REF!</definedName>
    <definedName name="Citizens_Gas_YR_2008" localSheetId="17">'[55]Aday IS EG Subs'!#REF!</definedName>
    <definedName name="Citizens_Gas_YR_2008">'[55]Aday IS EG Subs'!#REF!</definedName>
    <definedName name="Citizens2003" localSheetId="17">#REF!</definedName>
    <definedName name="Citizens2003">#REF!</definedName>
    <definedName name="Citizens2004" localSheetId="17">#REF!</definedName>
    <definedName name="Citizens2004">#REF!</definedName>
    <definedName name="Citizens2005" localSheetId="17">#REF!</definedName>
    <definedName name="Citizens2005">#REF!</definedName>
    <definedName name="Citizens2006">#REF!</definedName>
    <definedName name="Citizens2007">#REF!</definedName>
    <definedName name="Citizens2008">#REF!</definedName>
    <definedName name="CLASSES">#N/A</definedName>
    <definedName name="cleanup" localSheetId="9"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localSheetId="17"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 localSheetId="17">#REF!</definedName>
    <definedName name="CMARCS">#REF!</definedName>
    <definedName name="Coal_Bed_Methane_E_P" localSheetId="17">#REF!</definedName>
    <definedName name="Coal_Bed_Methane_E_P">#REF!</definedName>
    <definedName name="Coal_Bed_Methane_Yates_Center" localSheetId="17">#REF!</definedName>
    <definedName name="Coal_Bed_Methane_Yates_Center">#REF!</definedName>
    <definedName name="Coal_Bed_Methane_Yates_Center_YR_2005" localSheetId="17">'[55]Aday IS EG Subs'!#REF!</definedName>
    <definedName name="Coal_Bed_Methane_Yates_Center_YR_2005">'[55]Aday IS EG Subs'!#REF!</definedName>
    <definedName name="Coal_Bed_Methane_Yates_Center_YR_2006" localSheetId="17">'[55]Aday IS EG Subs'!#REF!</definedName>
    <definedName name="Coal_Bed_Methane_Yates_Center_YR_2006">'[55]Aday IS EG Subs'!#REF!</definedName>
    <definedName name="Coal_Bed_Methane_Yates_Center_YR_2007" localSheetId="17">'[55]Aday IS EG Subs'!#REF!</definedName>
    <definedName name="Coal_Bed_Methane_Yates_Center_YR_2007">'[55]Aday IS EG Subs'!#REF!</definedName>
    <definedName name="Coal_Bed_Methane_Yates_Center_YR_2008" localSheetId="17">'[55]Aday IS EG Subs'!#REF!</definedName>
    <definedName name="Coal_Bed_Methane_Yates_Center_YR_2008">'[55]Aday IS EG Subs'!#REF!</definedName>
    <definedName name="Coal_Growth_YR_2003" localSheetId="17">#REF!</definedName>
    <definedName name="Coal_Growth_YR_2003">#REF!</definedName>
    <definedName name="Coal_Growth_YR_2004" localSheetId="17">#REF!</definedName>
    <definedName name="Coal_Growth_YR_2004">#REF!</definedName>
    <definedName name="Coal_Growth_YR_2005" localSheetId="17">#REF!</definedName>
    <definedName name="Coal_Growth_YR_2005">#REF!</definedName>
    <definedName name="Coal_Growth_YR_2006">#REF!</definedName>
    <definedName name="Coal_Growth_YR_2007">#REF!</definedName>
    <definedName name="Coal_Growth_YR_2008">#REF!</definedName>
    <definedName name="coal_handling" localSheetId="9">'[58]Input Page'!#REF!</definedName>
    <definedName name="coal_handling">'[59]Input Page'!#REF!</definedName>
    <definedName name="coal_purchase" localSheetId="9">'[58]Input Page'!#REF!</definedName>
    <definedName name="coal_purchase">'[59]Input Page'!#REF!</definedName>
    <definedName name="coal_sampling" localSheetId="9">'[58]Input Page'!#REF!</definedName>
    <definedName name="coal_sampling">'[59]Input Page'!#REF!</definedName>
    <definedName name="Coal_Services" localSheetId="17">#REF!</definedName>
    <definedName name="Coal_Services">#REF!</definedName>
    <definedName name="Coal_Services_YR_2005" localSheetId="17">'[55]Aday IS DECo &amp; Other'!#REF!</definedName>
    <definedName name="Coal_Services_YR_2005">'[55]Aday IS DECo &amp; Other'!#REF!</definedName>
    <definedName name="Coal_Services_YR_2006" localSheetId="17">'[55]Aday IS DECo &amp; Other'!#REF!</definedName>
    <definedName name="Coal_Services_YR_2006">'[55]Aday IS DECo &amp; Other'!#REF!</definedName>
    <definedName name="Coal_Services_YR_2007">'[55]Aday IS DECo &amp; Other'!#REF!</definedName>
    <definedName name="Coal_Services_YR_2008">'[55]Aday IS DECo &amp; Other'!#REF!</definedName>
    <definedName name="Code" localSheetId="9">'[69]Array Tables'!$B$4:$B$236</definedName>
    <definedName name="Code">'[70]Array Tables'!$B$4:$B$236</definedName>
    <definedName name="CoEnergy___Purch_Acct_Sub_Total" localSheetId="17">#REF!</definedName>
    <definedName name="CoEnergy___Purch_Acct_Sub_Total">#REF!</definedName>
    <definedName name="CoEnergy___Purch_Acct_Sub_Total_YR_2005" localSheetId="17">'[55]Aday IS DECo &amp; Other'!#REF!</definedName>
    <definedName name="CoEnergy___Purch_Acct_Sub_Total_YR_2005">'[55]Aday IS DECo &amp; Other'!#REF!</definedName>
    <definedName name="CoEnergy___Purch_Acct_Sub_Total_YR_2006" localSheetId="17">'[55]Aday IS DECo &amp; Other'!#REF!</definedName>
    <definedName name="CoEnergy___Purch_Acct_Sub_Total_YR_2006">'[55]Aday IS DECo &amp; Other'!#REF!</definedName>
    <definedName name="CoEnergy___Purch_Acct_Sub_Total_YR_2007" localSheetId="17">'[55]Aday IS DECo &amp; Other'!#REF!</definedName>
    <definedName name="CoEnergy___Purch_Acct_Sub_Total_YR_2007">'[55]Aday IS DECo &amp; Other'!#REF!</definedName>
    <definedName name="CoEnergy___Purch_Acct_Sub_Total_YR_2008" localSheetId="17">'[55]Aday IS DECo &amp; Other'!#REF!</definedName>
    <definedName name="CoEnergy___Purch_Acct_Sub_Total_YR_2008">'[55]Aday IS DECo &amp; Other'!#REF!</definedName>
    <definedName name="CoEnergy_Trading" localSheetId="17">#REF!</definedName>
    <definedName name="CoEnergy_Trading">#REF!</definedName>
    <definedName name="CoEnergy_Trading_YR_2005" localSheetId="17">'[55]Aday IS DECo &amp; Other'!#REF!</definedName>
    <definedName name="CoEnergy_Trading_YR_2005">'[55]Aday IS DECo &amp; Other'!#REF!</definedName>
    <definedName name="CoEnergy_Trading_YR_2006" localSheetId="17">'[55]Aday IS DECo &amp; Other'!#REF!</definedName>
    <definedName name="CoEnergy_Trading_YR_2006">'[55]Aday IS DECo &amp; Other'!#REF!</definedName>
    <definedName name="CoEnergy_Trading_YR_2007" localSheetId="17">'[55]Aday IS DECo &amp; Other'!#REF!</definedName>
    <definedName name="CoEnergy_Trading_YR_2007">'[55]Aday IS DECo &amp; Other'!#REF!</definedName>
    <definedName name="CoEnergy_Trading_YR_2008" localSheetId="17">'[55]Aday IS DECo &amp; Other'!#REF!</definedName>
    <definedName name="CoEnergy_Trading_YR_2008">'[55]Aday IS DECo &amp; Other'!#REF!</definedName>
    <definedName name="COGEN" localSheetId="9">'[71]October Tariff kwh'!$A$1:$H$83</definedName>
    <definedName name="COGEN">'[72]October Tariff kwh'!$A$1:$H$83</definedName>
    <definedName name="COGS_Affiliate_CPM" localSheetId="17">#REF!</definedName>
    <definedName name="COGS_Affiliate_CPM">#REF!</definedName>
    <definedName name="ColorNames" localSheetId="17">#REF!</definedName>
    <definedName name="ColorNames">#REF!</definedName>
    <definedName name="Commercial_Paper_CPM" localSheetId="17">#REF!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 localSheetId="9">[17]Menu!$I$11</definedName>
    <definedName name="Company_Name">[18]Menu!$I$11</definedName>
    <definedName name="CompanyCount" localSheetId="9">'[17]QRE Charts'!$F$214</definedName>
    <definedName name="CompanyCount">'[18]QRE Charts'!$F$214</definedName>
    <definedName name="CompanyName">'[73]Title Page'!$A$22</definedName>
    <definedName name="CompanyTextLen" localSheetId="17">#REF!</definedName>
    <definedName name="CompanyTextLen">#REF!</definedName>
    <definedName name="COMPAR_PRT_RNG" localSheetId="9">[17]Comparison!$B$8:$BT$170</definedName>
    <definedName name="COMPAR_PRT_RNG">[18]Comparison!$B$8:$BT$170</definedName>
    <definedName name="compInc">[74]Inputs!$B$4</definedName>
    <definedName name="CONSOLDEFTAXBAL" localSheetId="17">#REF!</definedName>
    <definedName name="CONSOLDEFTAXBAL">#REF!</definedName>
    <definedName name="CONSOLDEFTAXSUM" localSheetId="17">#REF!</definedName>
    <definedName name="CONSOLDEFTAXSUM">#REF!</definedName>
    <definedName name="Consolid" localSheetId="21" hidden="1">{#N/A,#N/A,FALSE,"O&amp;M by processes";#N/A,#N/A,FALSE,"Elec Act vs Bud";#N/A,#N/A,FALSE,"G&amp;A";#N/A,#N/A,FALSE,"BGS";#N/A,#N/A,FALSE,"Res Cost"}</definedName>
    <definedName name="Consolid" localSheetId="9"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9"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'[75]2004 TAX PROV'!$U$11:$AR$764</definedName>
    <definedName name="Contract_Services" localSheetId="17">#REF!</definedName>
    <definedName name="Contract_Services">#REF!</definedName>
    <definedName name="Conventions" localSheetId="17">#REF!</definedName>
    <definedName name="Conventions">#REF!</definedName>
    <definedName name="CONVERT_IT" localSheetId="17">#REF!</definedName>
    <definedName name="CONVERT_IT">#REF!</definedName>
    <definedName name="CONVERT_RTN">#REF!</definedName>
    <definedName name="Convertible_Equity_Units">#REF!</definedName>
    <definedName name="Corporate_Purch_Acct">#REF!</definedName>
    <definedName name="Corporate_Purch_Acct_YR_2005">'[55]Aday IS DECo &amp; Other'!#REF!</definedName>
    <definedName name="Corporate_Purch_Acct_YR_2006">'[55]Aday IS DECo &amp; Other'!#REF!</definedName>
    <definedName name="Corporate_Purch_Acct_YR_2007">'[55]Aday IS DECo &amp; Other'!#REF!</definedName>
    <definedName name="Corporate_Purch_Acct_YR_2008">'[55]Aday IS DECo &amp; Other'!#REF!</definedName>
    <definedName name="CORPPA2003" localSheetId="17">#REF!</definedName>
    <definedName name="CORPPA2003">#REF!</definedName>
    <definedName name="CORPPA2004" localSheetId="17">#REF!</definedName>
    <definedName name="CORPPA2004">#REF!</definedName>
    <definedName name="CORPPA2005" localSheetId="17">#REF!</definedName>
    <definedName name="CORPPA2005">#REF!</definedName>
    <definedName name="CORPPA2006">#REF!</definedName>
    <definedName name="CORPPA2007">#REF!</definedName>
    <definedName name="CORPPA2008">#REF!</definedName>
    <definedName name="COST">[30]DEPR96!#REF!</definedName>
    <definedName name="Cost_Center" localSheetId="9">'[69]Array Tables'!$A$4:$A$236</definedName>
    <definedName name="Cost_Center">'[70]Array Tables'!$A$4:$A$236</definedName>
    <definedName name="cost_of_good_sold" localSheetId="9">'[58]Input Page'!$E$11</definedName>
    <definedName name="cost_of_good_sold">'[59]Input Page'!$E$11</definedName>
    <definedName name="Cost_of_Goods_Sold" localSheetId="17">#REF!</definedName>
    <definedName name="Cost_of_Goods_Sold">#REF!</definedName>
    <definedName name="Cost_of_Goods_Sold_CPM" localSheetId="17">#REF!</definedName>
    <definedName name="Cost_of_Goods_Sold_CPM">#REF!</definedName>
    <definedName name="cost2001" localSheetId="9">[76]Input!$M$23</definedName>
    <definedName name="cost2001">[77]Input!$M$23</definedName>
    <definedName name="COUNTER" localSheetId="9">'[17]Macro Tables'!$C$21</definedName>
    <definedName name="COUNTER">'[18]Macro Tables'!$C$21</definedName>
    <definedName name="cover" localSheetId="17">#REF!</definedName>
    <definedName name="cover">#REF!</definedName>
    <definedName name="CP">#N/A</definedName>
    <definedName name="CP_1">#N/A</definedName>
    <definedName name="CP_PG1B" localSheetId="17">#REF!</definedName>
    <definedName name="CP_PG1B">#REF!</definedName>
    <definedName name="cp_pg2">#REF!</definedName>
    <definedName name="cp_pg2b">#REF!</definedName>
    <definedName name="CP_PG3B">#REF!</definedName>
    <definedName name="CPK1X">#REF!</definedName>
    <definedName name="CPK2X">#REF!</definedName>
    <definedName name="CPM" localSheetId="17">#REF!</definedName>
    <definedName name="CPM">#REF!</definedName>
    <definedName name="CPUC_Cashflow_Summary_Table">#REF!</definedName>
    <definedName name="CR">'[41]C. Input'!$F$27</definedName>
    <definedName name="credit_rate" localSheetId="9">[17]Print!$I$18</definedName>
    <definedName name="credit_rate">[18]Print!$I$18</definedName>
    <definedName name="CREDITS" localSheetId="17">#REF!</definedName>
    <definedName name="CREDITS">#REF!</definedName>
    <definedName name="creditsummary" localSheetId="9">[17]Model!$A$180:$E$201</definedName>
    <definedName name="creditsummary">[18]Model!$A$180:$E$201</definedName>
    <definedName name="cropdeftaxbalance" localSheetId="17">#REF!</definedName>
    <definedName name="cropdeftaxbalance">#REF!</definedName>
    <definedName name="CROPTAXPROV" localSheetId="17">#REF!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R">'3a - Shared Revenues'!$E$52</definedName>
    <definedName name="CTY_ANNUAL" localSheetId="9">#REF!</definedName>
    <definedName name="CTY_ANNUAL" localSheetId="17">#REF!</definedName>
    <definedName name="CTY_ANNUAL">#REF!</definedName>
    <definedName name="cty_peak_sum" localSheetId="9">#REF!</definedName>
    <definedName name="cty_peak_sum">#REF!</definedName>
    <definedName name="CUR_QRES" localSheetId="9">[17]Sens_QRE_Factor!$I$8:$R$98</definedName>
    <definedName name="CUR_QRES">[18]Sens_QRE_Factor!$I$8:$R$98</definedName>
    <definedName name="CUR_QRES0.75" localSheetId="9">'[17]QRE Charts'!$E$367</definedName>
    <definedName name="CUR_QRES0.75">'[18]QRE Charts'!$E$367</definedName>
    <definedName name="CUR_QRES0.80" localSheetId="9">'[17]QRE Charts'!$F$367</definedName>
    <definedName name="CUR_QRES0.80">'[18]QRE Charts'!$F$367</definedName>
    <definedName name="CUR_QRES0.85" localSheetId="9">'[17]QRE Charts'!$G$367</definedName>
    <definedName name="CUR_QRES0.85">'[18]QRE Charts'!$G$367</definedName>
    <definedName name="CUR_QRES0.90" localSheetId="9">'[17]QRE Charts'!$H$367</definedName>
    <definedName name="CUR_QRES0.90">'[18]QRE Charts'!$H$367</definedName>
    <definedName name="CUR_QRES0.95" localSheetId="9">'[17]QRE Charts'!$I$367</definedName>
    <definedName name="CUR_QRES0.95">'[18]QRE Charts'!$I$367</definedName>
    <definedName name="CUR_QRES1.00" localSheetId="9">'[17]QRE Charts'!$J$367</definedName>
    <definedName name="CUR_QRES1.00">'[18]QRE Charts'!$J$367</definedName>
    <definedName name="CUR_QRES1.05" localSheetId="9">'[17]QRE Charts'!$K$367</definedName>
    <definedName name="CUR_QRES1.05">'[18]QRE Charts'!$K$367</definedName>
    <definedName name="CUR_QRES1.10" localSheetId="9">'[17]QRE Charts'!$L$367</definedName>
    <definedName name="CUR_QRES1.10">'[18]QRE Charts'!$L$367</definedName>
    <definedName name="CUR_QRES1.15" localSheetId="9">'[17]QRE Charts'!$M$367</definedName>
    <definedName name="CUR_QRES1.15">'[18]QRE Charts'!$M$367</definedName>
    <definedName name="CUR_QRES1.20" localSheetId="9">'[17]QRE Charts'!$N$367</definedName>
    <definedName name="CUR_QRES1.20">'[18]QRE Charts'!$N$367</definedName>
    <definedName name="CUR_QRES1.25" localSheetId="9">'[17]QRE Charts'!$O$367</definedName>
    <definedName name="CUR_QRES1.25">'[18]QRE Charts'!$O$367</definedName>
    <definedName name="CUR_SENS_FACT" localSheetId="17">#REF!</definedName>
    <definedName name="CUR_SENS_FACT">#REF!</definedName>
    <definedName name="CURR" localSheetId="17">[30]DEPR96!#REF!</definedName>
    <definedName name="CURR">[30]DEPR96!#REF!</definedName>
    <definedName name="Current_Asset_from_Risk_Mgt_Activities" localSheetId="17">#REF!</definedName>
    <definedName name="Current_Asset_from_Risk_Mgt_Activities">#REF!</definedName>
    <definedName name="Current_Assets" localSheetId="17">#REF!</definedName>
    <definedName name="Current_Assets">#REF!</definedName>
    <definedName name="Current_Assets_CPM" localSheetId="17">#REF!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 localSheetId="9">[64]Assumptions!#REF!</definedName>
    <definedName name="Curve_Date">[65]Assumptions!#REF!</definedName>
    <definedName name="CUST">#N/A</definedName>
    <definedName name="CUST1">#N/A</definedName>
    <definedName name="CUSTOM1">#REF!</definedName>
    <definedName name="CUSTOM2">#REF!</definedName>
    <definedName name="CUSTP">'3a - Shared Revenues'!$E$53</definedName>
    <definedName name="CUSTR">'3a - Shared Revenues'!$E$54</definedName>
    <definedName name="custRetain" localSheetId="9">[76]Input!#REF!</definedName>
    <definedName name="custRetain" localSheetId="17">[77]Input!#REF!</definedName>
    <definedName name="custRetain">[77]Input!#REF!</definedName>
    <definedName name="CUT" localSheetId="9">[78]AFUDC_CCRF!$A$1:$N$303</definedName>
    <definedName name="CUT">[79]AFUDC_CCRF!$A$1:$N$303</definedName>
    <definedName name="CUTINS" localSheetId="9">[78]AFUDC_CCRF!$A$73:$N$160</definedName>
    <definedName name="CUTINS">[79]AFUDC_CCRF!$A$73:$N$160</definedName>
    <definedName name="CUTINT1" localSheetId="9">#REF!</definedName>
    <definedName name="CUTINT1" localSheetId="17">#REF!</definedName>
    <definedName name="CUTINT1">#REF!</definedName>
    <definedName name="CUTINT2" localSheetId="9">#REF!</definedName>
    <definedName name="CUTINT2" localSheetId="17">#REF!</definedName>
    <definedName name="CUTINT2">#REF!</definedName>
    <definedName name="D">'[41]C. Input'!$F$33</definedName>
    <definedName name="D_EAI">'[41]C. Input'!$I$33</definedName>
    <definedName name="D_EGSI">'[41]C. Input'!$L$33</definedName>
    <definedName name="D_EMI">'[41]C. Input'!$R$33</definedName>
    <definedName name="D_ENOI">'[41]C. Input'!$X$33</definedName>
    <definedName name="D_Tech___Other_Wolverine" localSheetId="17">#REF!</definedName>
    <definedName name="D_Tech___Other_Wolverine">#REF!</definedName>
    <definedName name="D_Tech___Other_Wolverine_YR_2005" localSheetId="17">'[55]Aday IS DECo &amp; Other'!#REF!</definedName>
    <definedName name="D_Tech___Other_Wolverine_YR_2005">'[55]Aday IS DECo &amp; Other'!#REF!</definedName>
    <definedName name="D_Tech___Other_Wolverine_YR_2006" localSheetId="17">'[55]Aday IS DECo &amp; Other'!#REF!</definedName>
    <definedName name="D_Tech___Other_Wolverine_YR_2006">'[55]Aday IS DECo &amp; Other'!#REF!</definedName>
    <definedName name="D_Tech___Other_Wolverine_YR_2007">'[55]Aday IS DECo &amp; Other'!#REF!</definedName>
    <definedName name="D_Tech___Other_Wolverine_YR_2008">'[55]Aday IS DECo &amp; Other'!#REF!</definedName>
    <definedName name="da" localSheetId="21" hidden="1">{#N/A,#N/A,FALSE,"O&amp;M by processes";#N/A,#N/A,FALSE,"Elec Act vs Bud";#N/A,#N/A,FALSE,"G&amp;A";#N/A,#N/A,FALSE,"BGS";#N/A,#N/A,FALSE,"Res Cost"}</definedName>
    <definedName name="da" localSheetId="9"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9"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 localSheetId="9">[11]Sheet1!$B$2:$B$29</definedName>
    <definedName name="dae">[12]Sheet1!$B$2:$B$29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9"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localSheetId="17"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 localSheetId="17">#REF!</definedName>
    <definedName name="Data">#REF!</definedName>
    <definedName name="data_year">'[47]Appendix A'!$H$6</definedName>
    <definedName name="DATA05" localSheetId="17">#REF!</definedName>
    <definedName name="DATA05">#REF!</definedName>
    <definedName name="Data06" localSheetId="17">#REF!</definedName>
    <definedName name="Data06">#REF!</definedName>
    <definedName name="DATA1" localSheetId="17">'[80]New Accts 2009'!#REF!</definedName>
    <definedName name="DATA1">'[81]New Accts 2009'!#REF!</definedName>
    <definedName name="DATA10" localSheetId="9">'[82]3640'!#REF!</definedName>
    <definedName name="DATA10" localSheetId="17">'[83]3640'!#REF!</definedName>
    <definedName name="DATA10">'[83]3640'!#REF!</definedName>
    <definedName name="DATA11" localSheetId="9">'[82]3640'!#REF!</definedName>
    <definedName name="DATA11" localSheetId="17">'[83]3640'!#REF!</definedName>
    <definedName name="DATA11">'[83]3640'!#REF!</definedName>
    <definedName name="DATA12" localSheetId="9">#REF!</definedName>
    <definedName name="DATA12" localSheetId="17">#REF!</definedName>
    <definedName name="DATA12">#REF!</definedName>
    <definedName name="DATA13" localSheetId="9">#REF!</definedName>
    <definedName name="DATA13" localSheetId="17">#REF!</definedName>
    <definedName name="DATA13">#REF!</definedName>
    <definedName name="DATA14" localSheetId="17">#REF!</definedName>
    <definedName name="DATA14">#REF!</definedName>
    <definedName name="DATA15">#REF!</definedName>
    <definedName name="DATA2" localSheetId="9">'[84]190100'!#REF!</definedName>
    <definedName name="DATA2" localSheetId="17">'[85]190100'!#REF!</definedName>
    <definedName name="DATA2">'[85]190100'!#REF!</definedName>
    <definedName name="DATA3" localSheetId="9">'[84]190100'!#REF!</definedName>
    <definedName name="DATA3">'[85]190100'!#REF!</definedName>
    <definedName name="DATA4" localSheetId="9">'[84]190100'!#REF!</definedName>
    <definedName name="DATA4">'[85]190100'!#REF!</definedName>
    <definedName name="DATA5" localSheetId="9">#REF!</definedName>
    <definedName name="DATA5" localSheetId="17">#REF!</definedName>
    <definedName name="DATA5">#REF!</definedName>
    <definedName name="DATA6" localSheetId="17">#REF!</definedName>
    <definedName name="DATA6">#REF!</definedName>
    <definedName name="DATA7" localSheetId="9">'[84]190100'!#REF!</definedName>
    <definedName name="DATA7" localSheetId="17">'[85]190100'!#REF!</definedName>
    <definedName name="DATA7">'[85]190100'!#REF!</definedName>
    <definedName name="DATA8" localSheetId="9">'[84]190100'!#REF!</definedName>
    <definedName name="DATA8" localSheetId="17">'[85]190100'!#REF!</definedName>
    <definedName name="DATA8">'[85]190100'!#REF!</definedName>
    <definedName name="DATA9" localSheetId="9">'[82]3640'!#REF!</definedName>
    <definedName name="DATA9" localSheetId="17">'[83]3640'!#REF!</definedName>
    <definedName name="DATA9">'[83]3640'!#REF!</definedName>
    <definedName name="data97" localSheetId="9">#REF!</definedName>
    <definedName name="data97" localSheetId="17">#REF!</definedName>
    <definedName name="data97">#REF!</definedName>
    <definedName name="_xlnm.Database" localSheetId="9">[86]DSUM!#REF!</definedName>
    <definedName name="_xlnm.Database" localSheetId="17">[87]DSUM!#REF!</definedName>
    <definedName name="_xlnm.Database">[87]DSUM!#REF!</definedName>
    <definedName name="Database_MI" localSheetId="9">#REF!</definedName>
    <definedName name="Database_MI" localSheetId="17">#REF!</definedName>
    <definedName name="Database_MI">#REF!</definedName>
    <definedName name="DATAFEEDER" localSheetId="9">[88]!DATAFEEDER</definedName>
    <definedName name="DATAFEEDER">[89]!DATAFEEDER</definedName>
    <definedName name="DATALINE" localSheetId="9">'[1]Header Data'!#REF!</definedName>
    <definedName name="DATALINE" localSheetId="17">'[1]Header Data'!#REF!</definedName>
    <definedName name="DATALINE">'[1]Header Data'!#REF!</definedName>
    <definedName name="Date" localSheetId="21" hidden="1">"b1"</definedName>
    <definedName name="Date" localSheetId="9">[90]Settings!$F$23</definedName>
    <definedName name="Date" localSheetId="15" hidden="1">"b1"</definedName>
    <definedName name="Date" localSheetId="14" hidden="1">"b1"</definedName>
    <definedName name="Date" localSheetId="19" hidden="1">"b1"</definedName>
    <definedName name="Date" localSheetId="20" hidden="1">"b1"</definedName>
    <definedName name="Date">[91]Settings!$F$23</definedName>
    <definedName name="DATE1" localSheetId="9">#REF!</definedName>
    <definedName name="DATE1" localSheetId="17">#REF!</definedName>
    <definedName name="DATE1">#REF!</definedName>
    <definedName name="DATE2" localSheetId="17">#REF!</definedName>
    <definedName name="DATE2">#REF!</definedName>
    <definedName name="DATE3">#REF!</definedName>
    <definedName name="DATE4">#REF!</definedName>
    <definedName name="DateTime">#REF!</definedName>
    <definedName name="DB_CPK">#N/A</definedName>
    <definedName name="DB_CPK1">[92]FERCFACT!#REF!</definedName>
    <definedName name="DB_CPK2" localSheetId="9">#REF!</definedName>
    <definedName name="DB_CPK2" localSheetId="17">#REF!</definedName>
    <definedName name="DB_CPK2">#REF!</definedName>
    <definedName name="DB_CPK3" localSheetId="9">#REF!</definedName>
    <definedName name="DB_CPK3" localSheetId="17">#REF!</definedName>
    <definedName name="DB_CPK3">#REF!</definedName>
    <definedName name="DB_CUST">#N/A</definedName>
    <definedName name="DB_EGR">#N/A</definedName>
    <definedName name="DB_EGR1" localSheetId="9">[92]FERCFACT!#REF!</definedName>
    <definedName name="DB_EGR1" localSheetId="17">[92]FERCFACT!#REF!</definedName>
    <definedName name="DB_EGR1">[92]FERCFACT!#REF!</definedName>
    <definedName name="DB_EGR2" localSheetId="9">#REF!</definedName>
    <definedName name="DB_EGR2" localSheetId="17">#REF!</definedName>
    <definedName name="DB_EGR2">#REF!</definedName>
    <definedName name="DB_IMAX">#N/A</definedName>
    <definedName name="DB_NCPK">#N/A</definedName>
    <definedName name="DB_NCPK1" localSheetId="9">#REF!</definedName>
    <definedName name="DB_NCPK1" localSheetId="17">#REF!</definedName>
    <definedName name="DB_NCPK1">#REF!</definedName>
    <definedName name="DB_NCPK2" localSheetId="9">#REF!</definedName>
    <definedName name="DB_NCPK2" localSheetId="17">#REF!</definedName>
    <definedName name="DB_NCPK2">#REF!</definedName>
    <definedName name="DB_NCPK3" localSheetId="17">#REF!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9">[93]IS!#REF!</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[94]IS!#REF!</definedName>
    <definedName name="DD.">[95]Input!$F$33</definedName>
    <definedName name="ddd" localSheetId="9">[96]Sheet1!$J$130</definedName>
    <definedName name="ddd">[97]Sheet1!$J$130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9"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localSheetId="17"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 localSheetId="17">#REF!</definedName>
    <definedName name="debt">#REF!</definedName>
    <definedName name="DEBT___PREFERRED_FINANCING" localSheetId="17">#REF!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9" hidden="1">{#N/A,#N/A,FALSE,"ARREC"}</definedName>
    <definedName name="DEC00" localSheetId="15" hidden="1">{#N/A,#N/A,FALSE,"ARREC"}</definedName>
    <definedName name="DEC00" localSheetId="16" hidden="1">{#N/A,#N/A,FALSE,"ARREC"}</definedName>
    <definedName name="DEC00" localSheetId="14" hidden="1">{#N/A,#N/A,FALSE,"ARREC"}</definedName>
    <definedName name="DEC00" localSheetId="17" hidden="1">{#N/A,#N/A,FALSE,"ARREC"}</definedName>
    <definedName name="DEC00" hidden="1">{#N/A,#N/A,FALSE,"ARREC"}</definedName>
    <definedName name="DecCP">#REF!</definedName>
    <definedName name="DECo_Corporate_Unallocated_YR_2005">'[55]Aday IS DECo &amp; Other'!#REF!</definedName>
    <definedName name="DECo_Corporate_Unallocated_YR_2006">'[55]Aday IS DECo &amp; Other'!#REF!</definedName>
    <definedName name="DECo_Corporate_Unallocated_YR_2007">'[55]Aday IS DECo &amp; Other'!#REF!</definedName>
    <definedName name="DECo_Corporate_Unallocated_YR_2008">'[55]Aday IS DECo &amp; Other'!#REF!</definedName>
    <definedName name="Decommissioning_Rate" localSheetId="17">#REF!</definedName>
    <definedName name="Decommissioning_Rate">#REF!</definedName>
    <definedName name="Deferral_Interest_Rate" localSheetId="9">[39]Assumptions!$H$14</definedName>
    <definedName name="Deferral_Interest_Rate">[40]Assumptions!$H$14</definedName>
    <definedName name="Deferral_Recovery" localSheetId="9">'[66]JFJ-1 Deferral Recovery Rate'!$A$14:$F$64</definedName>
    <definedName name="Deferral_Recovery">'[67]JFJ-1 Deferral Recovery Rate'!$A$14:$F$64</definedName>
    <definedName name="Deferred_Assets" localSheetId="9">#REF!</definedName>
    <definedName name="Deferred_Assets" localSheetId="17">#REF!</definedName>
    <definedName name="Deferred_Assets">#REF!</definedName>
    <definedName name="Deferred_FIT___ITC_CPM" localSheetId="17">#REF!</definedName>
    <definedName name="Deferred_FIT___ITC_CPM">#REF!</definedName>
    <definedName name="Deferred_Income_Tax___Current_Benefit" localSheetId="17">#REF!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 localSheetId="9">[98]Lists!$A$2:$A$4</definedName>
    <definedName name="DefTax">[99]Lists!$A$2:$A$4</definedName>
    <definedName name="delete" localSheetId="21" hidden="1">{#N/A,#N/A,FALSE,"CURRENT"}</definedName>
    <definedName name="delete" localSheetId="9"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7"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[30]DEPR96!#REF!</definedName>
    <definedName name="DESCR">[30]DEPR96!#REF!</definedName>
    <definedName name="detail" localSheetId="17">#REF!</definedName>
    <definedName name="detail">#REF!</definedName>
    <definedName name="Detroit_Edison" localSheetId="17">#REF!</definedName>
    <definedName name="Detroit_Edison">#REF!</definedName>
    <definedName name="Detroit_Edison_Consolidated_YR_2005" localSheetId="17">'[55]Aday IS DECo &amp; Other'!#REF!</definedName>
    <definedName name="Detroit_Edison_Consolidated_YR_2005">'[55]Aday IS DECo &amp; Other'!#REF!</definedName>
    <definedName name="Detroit_Edison_Consolidated_YR_2006" localSheetId="17">'[55]Aday IS DECo &amp; Other'!#REF!</definedName>
    <definedName name="Detroit_Edison_Consolidated_YR_2006">'[55]Aday IS DECo &amp; Other'!#REF!</definedName>
    <definedName name="Detroit_Edison_Consolidated_YR_2007" localSheetId="17">'[55]Aday IS DECo &amp; Other'!#REF!</definedName>
    <definedName name="Detroit_Edison_Consolidated_YR_2007">'[55]Aday IS DECo &amp; Other'!#REF!</definedName>
    <definedName name="Detroit_Edison_Consolidated_YR_2008" localSheetId="17">'[55]Aday IS DECo &amp; Other'!#REF!</definedName>
    <definedName name="Detroit_Edison_Consolidated_YR_2008">'[55]Aday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9"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localSheetId="17"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9"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localSheetId="17"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9"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localSheetId="17"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'[41]A.2 PTP'!$P$288</definedName>
    <definedName name="DISPLAY">#N/A</definedName>
    <definedName name="Distribution_Rate_Adjustment" localSheetId="17">#REF!</definedName>
    <definedName name="Distribution_Rate_Adjustment">#REF!</definedName>
    <definedName name="Dividend_from__Infusion_to__Consolidated_Sub" localSheetId="17">#REF!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'[41]A.2 PTP'!$P$294</definedName>
    <definedName name="DOIT" localSheetId="9">[17]Comparison!$CK$11</definedName>
    <definedName name="DOIT">[18]Comparison!$CK$11</definedName>
    <definedName name="don" localSheetId="9" hidden="1">{"assumptions",#N/A,FALSE,"Scenario 1";"valuation",#N/A,FALSE,"Scenario 1"}</definedName>
    <definedName name="don" localSheetId="17" hidden="1">{"assumptions",#N/A,FALSE,"Scenario 1";"valuation",#N/A,FALSE,"Scenario 1"}</definedName>
    <definedName name="don" hidden="1">{"assumptions",#N/A,FALSE,"Scenario 1";"valuation",#N/A,FALSE,"Scenario 1"}</definedName>
    <definedName name="Don_1" localSheetId="9" hidden="1">{"assumptions",#N/A,FALSE,"Scenario 1";"valuation",#N/A,FALSE,"Scenario 1"}</definedName>
    <definedName name="Don_1" localSheetId="17"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'[41]C. Input'!$F$166</definedName>
    <definedName name="DPTSUM" localSheetId="17">#REF!</definedName>
    <definedName name="DPTSUM">#REF!</definedName>
    <definedName name="DR">'[41]C.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9"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localSheetId="17"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 localSheetId="17">#REF!</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'[55]Aday IS DECo &amp; Other'!#REF!</definedName>
    <definedName name="DTE_Eliminations_YR_2006">'[55]Aday IS DECo &amp; Other'!#REF!</definedName>
    <definedName name="DTE_Eliminations_YR_2007">'[55]Aday IS DECo &amp; Other'!#REF!</definedName>
    <definedName name="DTE_Eliminations_YR_2008">'[55]Aday IS DECo &amp; Other'!#REF!</definedName>
    <definedName name="DTE_Enterprises_Corporate" localSheetId="17">#REF!</definedName>
    <definedName name="DTE_Enterprises_Corporate">#REF!</definedName>
    <definedName name="DTE_Enterprises_Corporate_YR_2005" localSheetId="17">'[55]Aday IS DECo &amp; Other'!#REF!</definedName>
    <definedName name="DTE_Enterprises_Corporate_YR_2005">'[55]Aday IS DECo &amp; Other'!#REF!</definedName>
    <definedName name="DTE_Enterprises_Corporate_YR_2006" localSheetId="17">'[55]Aday IS DECo &amp; Other'!#REF!</definedName>
    <definedName name="DTE_Enterprises_Corporate_YR_2006">'[55]Aday IS DECo &amp; Other'!#REF!</definedName>
    <definedName name="DTE_Enterprises_Corporate_YR_2007">'[55]Aday IS DECo &amp; Other'!#REF!</definedName>
    <definedName name="DTE_Enterprises_Corporate_YR_2008">'[55]Aday IS DECo &amp; Other'!#REF!</definedName>
    <definedName name="DTE_Holding_Co." localSheetId="17">#REF!</definedName>
    <definedName name="DTE_Holding_Co.">#REF!</definedName>
    <definedName name="DTE_Holding_Co._YR_2005" localSheetId="17">'[55]Aday IS DECo &amp; Other'!#REF!</definedName>
    <definedName name="DTE_Holding_Co._YR_2005">'[55]Aday IS DECo &amp; Other'!#REF!</definedName>
    <definedName name="DTE_Holding_Co._YR_2006" localSheetId="17">'[55]Aday IS DECo &amp; Other'!#REF!</definedName>
    <definedName name="DTE_Holding_Co._YR_2006">'[55]Aday IS DECo &amp; Other'!#REF!</definedName>
    <definedName name="DTE_Holding_Co._YR_2007">'[55]Aday IS DECo &amp; Other'!#REF!</definedName>
    <definedName name="DTE_Holding_Co._YR_2008">'[55]Aday IS DECo &amp; Other'!#REF!</definedName>
    <definedName name="DTE_HOLDING_CO___ELIMS" localSheetId="17">#REF!</definedName>
    <definedName name="DTE_HOLDING_CO___ELIMS">#REF!</definedName>
    <definedName name="DTech2003" localSheetId="17">#REF!</definedName>
    <definedName name="DTech2003">#REF!</definedName>
    <definedName name="DTech2004" localSheetId="17">#REF!</definedName>
    <definedName name="DTech2004">#REF!</definedName>
    <definedName name="DTech2005">#REF!</definedName>
    <definedName name="DTech2006">#REF!</definedName>
    <definedName name="DTech2007">#REF!</definedName>
    <definedName name="DTech2008">#REF!</definedName>
    <definedName name="dy" localSheetId="9">[17]Print!$A$8</definedName>
    <definedName name="dy">[18]Print!$A$8</definedName>
    <definedName name="dyCR" localSheetId="9">[17]Print!$G$8</definedName>
    <definedName name="dyCR">[18]Print!$G$8</definedName>
    <definedName name="dyqre100" localSheetId="17">#REF!</definedName>
    <definedName name="dyqre100">#REF!</definedName>
    <definedName name="dyqre101" localSheetId="17">#REF!</definedName>
    <definedName name="dyqre101">#REF!</definedName>
    <definedName name="dyqre102" localSheetId="17">#REF!</definedName>
    <definedName name="dyqre102">#REF!</definedName>
    <definedName name="dyqre103">#REF!</definedName>
    <definedName name="dyqre90" localSheetId="9">[17]Model!$I$90</definedName>
    <definedName name="dyqre90">[18]Model!$I$90</definedName>
    <definedName name="dyqre91" localSheetId="9">[17]Model!$J$94</definedName>
    <definedName name="dyqre91">[18]Model!$J$94</definedName>
    <definedName name="dyqre92" localSheetId="9">[17]Model!$K$98</definedName>
    <definedName name="dyqre92">[18]Model!$K$98</definedName>
    <definedName name="dyqre93" localSheetId="9">[17]Model!$L$101</definedName>
    <definedName name="dyqre93">[18]Model!$L$101</definedName>
    <definedName name="dyqre94" localSheetId="9">[17]Model!$M$105</definedName>
    <definedName name="dyqre94">[18]Model!$M$105</definedName>
    <definedName name="dyqre95" localSheetId="9">[17]Model!$N$109</definedName>
    <definedName name="dyqre95">[18]Model!$N$109</definedName>
    <definedName name="dyqre96" localSheetId="9">[17]Model!$O$113</definedName>
    <definedName name="dyqre96">[18]Model!$O$113</definedName>
    <definedName name="dyqre97" localSheetId="9">[17]Model!$P$119</definedName>
    <definedName name="dyqre97">[18]Model!$P$119</definedName>
    <definedName name="dyqre98" localSheetId="9">[17]Model!$Q$123</definedName>
    <definedName name="dyqre98">[18]Model!$Q$123</definedName>
    <definedName name="dyqre99" localSheetId="17">#REF!</definedName>
    <definedName name="dyqre99">#REF!</definedName>
    <definedName name="dyQW" localSheetId="9">[17]Print!$C$8</definedName>
    <definedName name="dyQW">[18]Print!$C$8</definedName>
    <definedName name="dyS" localSheetId="9">[17]Print!$E$8</definedName>
    <definedName name="dyS">[18]Print!$E$8</definedName>
    <definedName name="e_sam1" localSheetId="17">#REF!</definedName>
    <definedName name="e_sam1">#REF!</definedName>
    <definedName name="ED_NON_REGULATED">'[100]#REF'!$AS$5:$AS$85</definedName>
    <definedName name="ED_NON_REGULATED_YR_2005">'[55]Aday IS DECo &amp; Other'!#REF!</definedName>
    <definedName name="ED_NON_REGULATED_YR_2006">'[55]Aday IS DECo &amp; Other'!#REF!</definedName>
    <definedName name="ED_NON_REGULATED_YR_2007">'[55]Aday IS DECo &amp; Other'!#REF!</definedName>
    <definedName name="ED_NON_REGULATED_YR_2008">'[55]Aday IS DECo &amp; Other'!#REF!</definedName>
    <definedName name="ED8_BIOFLORA_Print" localSheetId="17">#REF!</definedName>
    <definedName name="ED8_BIOFLORA_Print">#REF!</definedName>
    <definedName name="Edison_Development" localSheetId="17">#REF!</definedName>
    <definedName name="Edison_Development">#REF!</definedName>
    <definedName name="Edison_Development_YR_2005" localSheetId="17">'[55]Aday IS DECo &amp; Other'!#REF!</definedName>
    <definedName name="Edison_Development_YR_2005">'[55]Aday IS DECo &amp; Other'!#REF!</definedName>
    <definedName name="Edison_Development_YR_2006" localSheetId="17">'[55]Aday IS DECo &amp; Other'!#REF!</definedName>
    <definedName name="Edison_Development_YR_2006">'[55]Aday IS DECo &amp; Other'!#REF!</definedName>
    <definedName name="Edison_Development_YR_2007">'[55]Aday IS DECo &amp; Other'!#REF!</definedName>
    <definedName name="Edison_Development_YR_2008">'[55]Aday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9"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localSheetId="17"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9"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'[41]C. Input'!$F$205</definedName>
    <definedName name="EFF_DATE">'[1]Header Data'!#REF!</definedName>
    <definedName name="EG_NON_REGULATED" localSheetId="17">#REF!</definedName>
    <definedName name="EG_NON_REGULATED">#REF!</definedName>
    <definedName name="EG_Non_Regulated_Growth_YR_2005" localSheetId="17">'[55]Aday IS EG Subs'!#REF!</definedName>
    <definedName name="EG_Non_Regulated_Growth_YR_2005">'[55]Aday IS EG Subs'!#REF!</definedName>
    <definedName name="EG_Non_Regulated_Growth_YR_2006" localSheetId="17">'[55]Aday IS EG Subs'!#REF!</definedName>
    <definedName name="EG_Non_Regulated_Growth_YR_2006">'[55]Aday IS EG Subs'!#REF!</definedName>
    <definedName name="EG_Non_Regulated_Growth_YR_2007">'[55]Aday IS EG Subs'!#REF!</definedName>
    <definedName name="EG_Non_Regulated_Growth_YR_2008">'[55]Aday IS EG Subs'!#REF!</definedName>
    <definedName name="EG_REGULATED" localSheetId="17">#REF!</definedName>
    <definedName name="EG_REGULATED">#REF!</definedName>
    <definedName name="EG_Regulated_Growth_YR_2003" localSheetId="17">#REF!</definedName>
    <definedName name="EG_Regulated_Growth_YR_2003">#REF!</definedName>
    <definedName name="EG_Regulated_Growth_YR_2004" localSheetId="17">#REF!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 localSheetId="17">#REF!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 localSheetId="17">#REF!</definedName>
    <definedName name="elec">#REF!</definedName>
    <definedName name="elec06">#REF!</definedName>
    <definedName name="elec2">#REF!</definedName>
    <definedName name="ELECTACT" localSheetId="9">'[4]Curr adj - depn basis diff'!#REF!</definedName>
    <definedName name="ELECTACT">'[5]Curr adj - depn basis diff'!#REF!</definedName>
    <definedName name="Electric_Power" localSheetId="17">#REF!</definedName>
    <definedName name="Electric_Power">#REF!</definedName>
    <definedName name="Electric_Power_YR_2005" localSheetId="17">'[55]Aday IS DECo &amp; Other'!#REF!</definedName>
    <definedName name="Electric_Power_YR_2005">'[55]Aday IS DECo &amp; Other'!#REF!</definedName>
    <definedName name="Electric_Power_YR_2006">'[55]Aday IS DECo &amp; Other'!#REF!</definedName>
    <definedName name="Electric_Power_YR_2007">'[55]Aday IS DECo &amp; Other'!#REF!</definedName>
    <definedName name="Electric_Power_YR_2008">'[55]Aday IS DECo &amp; Other'!#REF!</definedName>
    <definedName name="ELEVEN">#N/A</definedName>
    <definedName name="Elim" localSheetId="17">#REF!</definedName>
    <definedName name="Elim">#REF!</definedName>
    <definedName name="Elim_Yates_Center" localSheetId="17">#REF!</definedName>
    <definedName name="Elim_Yates_Center">#REF!</definedName>
    <definedName name="En_Svcs_Base_Overlay_YR_2005" localSheetId="17">'[55]Aday IS DECo &amp; Other'!#REF!</definedName>
    <definedName name="En_Svcs_Base_Overlay_YR_2005">'[55]Aday IS DECo &amp; Other'!#REF!</definedName>
    <definedName name="En_Svcs_Base_Overlay_YR_2006" localSheetId="17">'[55]Aday IS DECo &amp; Other'!#REF!</definedName>
    <definedName name="En_Svcs_Base_Overlay_YR_2006">'[55]Aday IS DECo &amp; Other'!#REF!</definedName>
    <definedName name="En_Svcs_Base_Overlay_YR_2007" localSheetId="17">'[55]Aday IS DECo &amp; Other'!#REF!</definedName>
    <definedName name="En_Svcs_Base_Overlay_YR_2007">'[55]Aday IS DECo &amp; Other'!#REF!</definedName>
    <definedName name="En_Svcs_Base_Overlay_YR_2008" localSheetId="17">'[55]Aday IS DECo &amp; Other'!#REF!</definedName>
    <definedName name="En_Svcs_Base_Overlay_YR_2008">'[55]Aday IS DECo &amp; Other'!#REF!</definedName>
    <definedName name="END" localSheetId="17">#REF!</definedName>
    <definedName name="END">#REF!</definedName>
    <definedName name="end_coal" localSheetId="9">'[58]Input Page'!#REF!</definedName>
    <definedName name="end_coal">'[59]Input Page'!#REF!</definedName>
    <definedName name="end_CWIP" localSheetId="9">'[58]Input Page'!#REF!</definedName>
    <definedName name="end_CWIP">'[59]Input Page'!#REF!</definedName>
    <definedName name="ENERGY" localSheetId="17">#REF!</definedName>
    <definedName name="ENERGY">#REF!</definedName>
    <definedName name="ENERGY_GAS_GROWTH_YR_2005" localSheetId="17">'[55]Aday IS EG Subs'!#REF!</definedName>
    <definedName name="ENERGY_GAS_GROWTH_YR_2005">'[55]Aday IS EG Subs'!#REF!</definedName>
    <definedName name="ENERGY_GAS_GROWTH_YR_2006">'[55]Aday IS EG Subs'!#REF!</definedName>
    <definedName name="ENERGY_GAS_GROWTH_YR_2007">'[55]Aday IS EG Subs'!#REF!</definedName>
    <definedName name="ENERGY_GAS_GROWTH_YR_2008">'[55]Aday IS EG Subs'!#REF!</definedName>
    <definedName name="ENERGY_GAS_NON_REGULATED_YR_2003">'[55]Aday IS DECo &amp; Other'!#REF!</definedName>
    <definedName name="ENERGY_GAS_NON_REGULATED_YR_2004">'[55]Aday IS DECo &amp; Other'!#REF!</definedName>
    <definedName name="ENERGY_GAS_NON_REGULATED_YR_2005">'[55]Aday IS DECo &amp; Other'!#REF!</definedName>
    <definedName name="ENERGY_GAS_NON_REGULATED_YR_2006">'[55]Aday IS DECo &amp; Other'!#REF!</definedName>
    <definedName name="ENERGY_GAS_NON_REGULATED_YR_2007">'[55]Aday IS DECo &amp; Other'!#REF!</definedName>
    <definedName name="ENERGY_GAS_NON_REGULATED_YR_2008">'[55]Aday IS DECo &amp; Other'!#REF!</definedName>
    <definedName name="Energy_Holdings_Purch_Acct" localSheetId="17">#REF!</definedName>
    <definedName name="Energy_Holdings_Purch_Acct">#REF!</definedName>
    <definedName name="Energy_Holdings_Purch_Acct_YR_2005" localSheetId="17">'[55]Aday IS DECo &amp; Other'!#REF!</definedName>
    <definedName name="Energy_Holdings_Purch_Acct_YR_2005">'[55]Aday IS DECo &amp; Other'!#REF!</definedName>
    <definedName name="Energy_Holdings_Purch_Acct_YR_2006" localSheetId="17">'[55]Aday IS DECo &amp; Other'!#REF!</definedName>
    <definedName name="Energy_Holdings_Purch_Acct_YR_2006">'[55]Aday IS DECo &amp; Other'!#REF!</definedName>
    <definedName name="Energy_Holdings_Purch_Acct_YR_2007">'[55]Aday IS DECo &amp; Other'!#REF!</definedName>
    <definedName name="Energy_Holdings_Purch_Acct_YR_2008">'[55]Aday IS DECo &amp; Other'!#REF!</definedName>
    <definedName name="Energy_Marketing" localSheetId="17">#REF!</definedName>
    <definedName name="Energy_Marketing">#REF!</definedName>
    <definedName name="Energy_Marketing_YR_2005" localSheetId="17">'[55]Aday IS DECo &amp; Other'!#REF!</definedName>
    <definedName name="Energy_Marketing_YR_2005">'[55]Aday IS DECo &amp; Other'!#REF!</definedName>
    <definedName name="Energy_Marketing_YR_2006" localSheetId="17">'[55]Aday IS DECo &amp; Other'!#REF!</definedName>
    <definedName name="Energy_Marketing_YR_2006">'[55]Aday IS DECo &amp; Other'!#REF!</definedName>
    <definedName name="Energy_Marketing_YR_2007">'[55]Aday IS DECo &amp; Other'!#REF!</definedName>
    <definedName name="Energy_Marketing_YR_2008">'[55]Aday IS DECo &amp; Other'!#REF!</definedName>
    <definedName name="Energy_Res_Inc." localSheetId="17">#REF!</definedName>
    <definedName name="Energy_Res_Inc.">#REF!</definedName>
    <definedName name="Energy_Res_Inc._YR_2005" localSheetId="17">'[55]Aday IS DECo &amp; Other'!#REF!</definedName>
    <definedName name="Energy_Res_Inc._YR_2005">'[55]Aday IS DECo &amp; Other'!#REF!</definedName>
    <definedName name="Energy_Res_Inc._YR_2006" localSheetId="17">'[55]Aday IS DECo &amp; Other'!#REF!</definedName>
    <definedName name="Energy_Res_Inc._YR_2006">'[55]Aday IS DECo &amp; Other'!#REF!</definedName>
    <definedName name="Energy_Res_Inc._YR_2007">'[55]Aday IS DECo &amp; Other'!#REF!</definedName>
    <definedName name="Energy_Res_Inc._YR_2008">'[55]Aday IS DECo &amp; Other'!#REF!</definedName>
    <definedName name="Energy_Resources__DEENE__Total" localSheetId="17">#REF!</definedName>
    <definedName name="Energy_Resources__DEENE__Total">#REF!</definedName>
    <definedName name="Energy_Services" localSheetId="17">#REF!</definedName>
    <definedName name="Energy_Services">#REF!</definedName>
    <definedName name="Energy_Services_Growth_YR_2003" localSheetId="17">#REF!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'[55]Aday IS DECo &amp; Other'!#REF!</definedName>
    <definedName name="Energy_Services_YR_2006">'[55]Aday IS DECo &amp; Other'!#REF!</definedName>
    <definedName name="Energy_Services_YR_2007">'[55]Aday IS DECo &amp; Other'!#REF!</definedName>
    <definedName name="Energy_Services_YR_2008">'[55]Aday IS DECo &amp; Other'!#REF!</definedName>
    <definedName name="ENERGY_SUP">[92]FERCFACT!#REF!</definedName>
    <definedName name="Energy_Trading" localSheetId="9">#REF!</definedName>
    <definedName name="Energy_Trading" localSheetId="17">#REF!</definedName>
    <definedName name="Energy_Trading">#REF!</definedName>
    <definedName name="Energy_Trading_YR_2005" localSheetId="9">'[55]Aday IS DECo &amp; Other'!#REF!</definedName>
    <definedName name="Energy_Trading_YR_2005" localSheetId="17">'[55]Aday IS DECo &amp; Other'!#REF!</definedName>
    <definedName name="Energy_Trading_YR_2005">'[55]Aday IS DECo &amp; Other'!#REF!</definedName>
    <definedName name="Energy_Trading_YR_2006" localSheetId="9">'[55]Aday IS DECo &amp; Other'!#REF!</definedName>
    <definedName name="Energy_Trading_YR_2006" localSheetId="17">'[55]Aday IS DECo &amp; Other'!#REF!</definedName>
    <definedName name="Energy_Trading_YR_2006">'[55]Aday IS DECo &amp; Other'!#REF!</definedName>
    <definedName name="Energy_Trading_YR_2007">'[55]Aday IS DECo &amp; Other'!#REF!</definedName>
    <definedName name="Energy_Trading_YR_2008">'[55]Aday IS DECo &amp; Other'!#REF!</definedName>
    <definedName name="ENERGY1">#N/A</definedName>
    <definedName name="eng_design" localSheetId="9">'[44]Input Page'!$G$17</definedName>
    <definedName name="eng_design">'[45]Input Page'!$G$17</definedName>
    <definedName name="Entities" localSheetId="9">[37]Entities!$1:$1048576</definedName>
    <definedName name="Entities">[38]Entities!$1:$1048576</definedName>
    <definedName name="ENTITY" localSheetId="9">[90]Settings!$F$17</definedName>
    <definedName name="ENTITY">[91]Settings!$F$17</definedName>
    <definedName name="ENVIRONMENTAL" localSheetId="9">#REF!</definedName>
    <definedName name="ENVIRONMENTAL" localSheetId="17">#REF!</definedName>
    <definedName name="ENVIRONMENTAL">#REF!</definedName>
    <definedName name="EPRI">'[41]C. Input'!$F$203</definedName>
    <definedName name="Equity__Earnings__Losses_of_Consol_Subs" localSheetId="17">#REF!</definedName>
    <definedName name="Equity__Earnings__Losses_of_Consol_Subs">#REF!</definedName>
    <definedName name="Equity__Earnings__Losses_of_Unconsol_Subs" localSheetId="17">#REF!</definedName>
    <definedName name="Equity__Earnings__Losses_of_Unconsol_Subs">#REF!</definedName>
    <definedName name="Equity_Earnings_CPM" localSheetId="17">#REF!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'[55]Aday IS DECo &amp; Other'!#REF!</definedName>
    <definedName name="ER_Eliminations_YR_2006">'[55]Aday IS DECo &amp; Other'!#REF!</definedName>
    <definedName name="ER_Eliminations_YR_2007">'[55]Aday IS DECo &amp; Other'!#REF!</definedName>
    <definedName name="ER_Eliminations_YR_2008">'[55]Aday IS DECo &amp; Other'!#REF!</definedName>
    <definedName name="ER_NON_REGULATED" localSheetId="17">#REF!</definedName>
    <definedName name="ER_NON_REGULATED">#REF!</definedName>
    <definedName name="ER_Non_Regulated_Growth_YR_2005" localSheetId="17">'[55]Aday IS DECo &amp; Other'!#REF!</definedName>
    <definedName name="ER_Non_Regulated_Growth_YR_2005">'[55]Aday IS DECo &amp; Other'!#REF!</definedName>
    <definedName name="ER_Non_Regulated_Growth_YR_2006" localSheetId="17">'[55]Aday IS DECo &amp; Other'!#REF!</definedName>
    <definedName name="ER_Non_Regulated_Growth_YR_2006">'[55]Aday IS DECo &amp; Other'!#REF!</definedName>
    <definedName name="ER_Non_Regulated_Growth_YR_2007">'[55]Aday IS DECo &amp; Other'!#REF!</definedName>
    <definedName name="ER_Non_Regulated_Growth_YR_2008">'[55]Aday IS DECo &amp; Other'!#REF!</definedName>
    <definedName name="ER_Non_Regulated_Support" localSheetId="17">#REF!</definedName>
    <definedName name="ER_Non_Regulated_Support">#REF!</definedName>
    <definedName name="ER_Non_Regulated_Support_YR_2005" localSheetId="17">'[55]Aday IS DECo &amp; Other'!#REF!</definedName>
    <definedName name="ER_Non_Regulated_Support_YR_2005">'[55]Aday IS DECo &amp; Other'!#REF!</definedName>
    <definedName name="ER_Non_Regulated_Support_YR_2006" localSheetId="17">'[55]Aday IS DECo &amp; Other'!#REF!</definedName>
    <definedName name="ER_Non_Regulated_Support_YR_2006">'[55]Aday IS DECo &amp; Other'!#REF!</definedName>
    <definedName name="ER_Non_Regulated_Support_YR_2007">'[55]Aday IS DECo &amp; Other'!#REF!</definedName>
    <definedName name="ER_Non_Regulated_Support_YR_2008">'[55]Aday IS DECo &amp; Other'!#REF!</definedName>
    <definedName name="ER_Non_Regulated_YR_2005">'[55]Aday IS DECo &amp; Other'!#REF!</definedName>
    <definedName name="ER_Non_Regulated_YR_2006">'[55]Aday IS DECo &amp; Other'!#REF!</definedName>
    <definedName name="ER_Non_Regulated_YR_2007">'[55]Aday IS DECo &amp; Other'!#REF!</definedName>
    <definedName name="ER_Non_Regulated_YR_2008">'[55]Aday IS DECo &amp; Other'!#REF!</definedName>
    <definedName name="EROA">[74]Inputs!$B$3</definedName>
    <definedName name="ERROR" localSheetId="17">#REF!</definedName>
    <definedName name="ERROR">#REF!</definedName>
    <definedName name="ESPYMT" localSheetId="17">#REF!</definedName>
    <definedName name="ESPYMT">#REF!</definedName>
    <definedName name="EssOptions">"1100000000130100_11-          00"</definedName>
    <definedName name="EST_2005" localSheetId="17">#REF!</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 localSheetId="9">'[58]Input Page'!#REF!</definedName>
    <definedName name="exclude_cap" localSheetId="17">'[59]Input Page'!#REF!</definedName>
    <definedName name="exclude_cap">'[59]Input Page'!#REF!</definedName>
    <definedName name="Expl___Prod_Growth_YR_2003" localSheetId="17">#REF!</definedName>
    <definedName name="Expl___Prod_Growth_YR_2003">#REF!</definedName>
    <definedName name="Expl___Prod_Growth_YR_2004" localSheetId="17">#REF!</definedName>
    <definedName name="Expl___Prod_Growth_YR_2004">#REF!</definedName>
    <definedName name="Expl___Prod_Growth_YR_2005" localSheetId="17">#REF!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9"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localSheetId="17"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 localSheetId="17">#REF!</definedName>
    <definedName name="f1_respondent_id">#REF!</definedName>
    <definedName name="FA">'3a - Shared Revenues'!$E$56</definedName>
    <definedName name="FACE" localSheetId="9">#REF!</definedName>
    <definedName name="FACE" localSheetId="17">#REF!</definedName>
    <definedName name="FACE">#REF!</definedName>
    <definedName name="Facilities">1700</definedName>
    <definedName name="FACTOR_.75" localSheetId="9">'[17]Macro Tables'!$C$27</definedName>
    <definedName name="FACTOR_.75">'[18]Macro Tables'!$C$27</definedName>
    <definedName name="FACTOR_.80" localSheetId="9">'[17]Macro Tables'!$C$28</definedName>
    <definedName name="FACTOR_.80">'[18]Macro Tables'!$C$28</definedName>
    <definedName name="FACTOR_.85" localSheetId="9">'[17]Macro Tables'!$C$29</definedName>
    <definedName name="FACTOR_.85">'[18]Macro Tables'!$C$29</definedName>
    <definedName name="FACTOR_.90" localSheetId="9">'[17]Macro Tables'!$C$30</definedName>
    <definedName name="FACTOR_.90">'[18]Macro Tables'!$C$30</definedName>
    <definedName name="FACTOR_.95" localSheetId="9">'[17]Macro Tables'!$C$31</definedName>
    <definedName name="FACTOR_.95">'[18]Macro Tables'!$C$31</definedName>
    <definedName name="FACTOR_1" localSheetId="9">'[17]Macro Tables'!$C$32</definedName>
    <definedName name="FACTOR_1">'[18]Macro Tables'!$C$32</definedName>
    <definedName name="FACTOR_1.05" localSheetId="9">'[17]Macro Tables'!$C$33</definedName>
    <definedName name="FACTOR_1.05">'[18]Macro Tables'!$C$33</definedName>
    <definedName name="FACTOR_1.1" localSheetId="9">'[17]Macro Tables'!$C$34</definedName>
    <definedName name="FACTOR_1.1">'[18]Macro Tables'!$C$34</definedName>
    <definedName name="FACTOR_1.15" localSheetId="9">'[17]Macro Tables'!$C$35</definedName>
    <definedName name="FACTOR_1.15">'[18]Macro Tables'!$C$35</definedName>
    <definedName name="FACTOR_1.2" localSheetId="9">'[17]Macro Tables'!$C$36</definedName>
    <definedName name="FACTOR_1.2">'[18]Macro Tables'!$C$36</definedName>
    <definedName name="FACTOR_1.25" localSheetId="9">'[17]Macro Tables'!$C$37</definedName>
    <definedName name="FACTOR_1.25">'[18]Macro Tables'!$C$37</definedName>
    <definedName name="FACTOR_NAME" localSheetId="9">'[17]Macro Tables'!$C$22</definedName>
    <definedName name="FACTOR_NAME">'[18]Macro Tables'!$C$22</definedName>
    <definedName name="FACTOR_TABLE" localSheetId="9">'[17]Macro Tables'!$B$27:$C$37</definedName>
    <definedName name="FACTOR_TABLE">'[18]Macro Tables'!$B$27:$C$37</definedName>
    <definedName name="FACTOR_VALUE" localSheetId="9">'[17]Macro Tables'!$C$23</definedName>
    <definedName name="FACTOR_VALUE">'[18]Macro Tables'!$C$23</definedName>
    <definedName name="FACTORS" localSheetId="17">#REF!</definedName>
    <definedName name="FACTORS">#REF!</definedName>
    <definedName name="FACTRS" localSheetId="17">#REF!</definedName>
    <definedName name="FACTRS">#REF!</definedName>
    <definedName name="FAS109YTD" localSheetId="9">[35]December!#REF!</definedName>
    <definedName name="FAS109YTD" localSheetId="17">[36]December!#REF!</definedName>
    <definedName name="FAS109YTD">[36]December!#REF!</definedName>
    <definedName name="FB_CUSTOMERS" localSheetId="17">#REF!</definedName>
    <definedName name="FB_CUSTOMERS">#REF!</definedName>
    <definedName name="FB_LINES" localSheetId="17">#REF!</definedName>
    <definedName name="FB_LINES">#REF!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9"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localSheetId="17"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 localSheetId="17">#REF!</definedName>
    <definedName name="FEB">#REF!</definedName>
    <definedName name="FEB00" localSheetId="21" hidden="1">{#N/A,#N/A,FALSE,"ARREC"}</definedName>
    <definedName name="FEB00" localSheetId="9" hidden="1">{#N/A,#N/A,FALSE,"ARREC"}</definedName>
    <definedName name="FEB00" localSheetId="15" hidden="1">{#N/A,#N/A,FALSE,"ARREC"}</definedName>
    <definedName name="FEB00" localSheetId="16" hidden="1">{#N/A,#N/A,FALSE,"ARREC"}</definedName>
    <definedName name="FEB00" localSheetId="14" hidden="1">{#N/A,#N/A,FALSE,"ARREC"}</definedName>
    <definedName name="FEB00" localSheetId="17" hidden="1">{#N/A,#N/A,FALSE,"ARREC"}</definedName>
    <definedName name="FEB00" hidden="1">{#N/A,#N/A,FALSE,"ARREC"}</definedName>
    <definedName name="FED" localSheetId="17">#REF!</definedName>
    <definedName name="FED">#REF!</definedName>
    <definedName name="fed_inc_tax" localSheetId="9">'[58]Input Page'!$E$13</definedName>
    <definedName name="fed_inc_tax">'[59]Input Page'!$E$13</definedName>
    <definedName name="FEDCUME">[30]DEPR96!#REF!</definedName>
    <definedName name="FEDCURR">[30]DEPR96!#REF!</definedName>
    <definedName name="FEDDEFERREDTAX" localSheetId="17">#REF!</definedName>
    <definedName name="FEDDEFERREDTAX">#REF!</definedName>
    <definedName name="Federal___Other_Inc_Tax_CPM" localSheetId="17">#REF!</definedName>
    <definedName name="Federal___Other_Inc_Tax_CPM">#REF!</definedName>
    <definedName name="FEDLIFE" localSheetId="17">[30]DEPR96!#REF!</definedName>
    <definedName name="FEDLIFE">[30]DEPR96!#REF!</definedName>
    <definedName name="FEDMETH" localSheetId="17">[30]DEPR96!#REF!</definedName>
    <definedName name="FEDMETH">[30]DEPR96!#REF!</definedName>
    <definedName name="FEDNO" localSheetId="17">[30]DEPR96!#REF!</definedName>
    <definedName name="FEDNO">[30]DEPR96!#REF!</definedName>
    <definedName name="FEDRATE" localSheetId="17">[30]DEPR96!#REF!</definedName>
    <definedName name="FEDRATE">[30]DEPR96!#REF!</definedName>
    <definedName name="FEDYR">[30]DEPR96!#REF!</definedName>
    <definedName name="FEDYRNO">[30]DEPR96!#REF!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9"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localSheetId="17"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'[47]FERC Form 1 data'!$B$7:$L$89</definedName>
    <definedName name="FF1_INPUT_columns">'[47]FERC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9"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localSheetId="17"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9"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localSheetId="17"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 localSheetId="9">[76]Input!#REF!</definedName>
    <definedName name="fieldNo">[77]Input!#REF!</definedName>
    <definedName name="fieldProd" localSheetId="9">[76]Input!#REF!</definedName>
    <definedName name="fieldProd">[77]Input!#REF!</definedName>
    <definedName name="fieldSalary" localSheetId="9">[76]Input!#REF!</definedName>
    <definedName name="fieldSalary">[77]Input!#REF!</definedName>
    <definedName name="FIN" localSheetId="17">#REF!</definedName>
    <definedName name="FIN">#REF!</definedName>
    <definedName name="Final_Consolidation" localSheetId="17">#REF!</definedName>
    <definedName name="Final_Consolidation">#REF!</definedName>
    <definedName name="Financing_Sources__Uses__CPM" localSheetId="17">#REF!</definedName>
    <definedName name="Financing_Sources__Uses__CPM">#REF!</definedName>
    <definedName name="FINAWOFF">#REF!</definedName>
    <definedName name="FIT" localSheetId="9">'3a - Shared Revenues'!$E$49</definedName>
    <definedName name="FIT" localSheetId="17">#REF!</definedName>
    <definedName name="FIT">#REF!</definedName>
    <definedName name="FIVE">#N/A</definedName>
    <definedName name="fleet_cap" localSheetId="9">'[58]Input Page'!$E$7</definedName>
    <definedName name="fleet_cap">'[59]Input Page'!$E$7</definedName>
    <definedName name="fleet_total" localSheetId="9">'[58]Input Page'!$E$8</definedName>
    <definedName name="fleet_total">'[59]Input Page'!$E$8</definedName>
    <definedName name="FORM" localSheetId="17">#REF!</definedName>
    <definedName name="FORM">#REF!</definedName>
    <definedName name="Format" localSheetId="17">#REF!</definedName>
    <definedName name="Format">#REF!</definedName>
    <definedName name="Forms">#REF!</definedName>
    <definedName name="Fossil_BGS" localSheetId="9">[66]Assumptions!$E$58</definedName>
    <definedName name="Fossil_BGS">[67]Assumptions!$E$58</definedName>
    <definedName name="Fossil_Secur_Date" localSheetId="9">[39]Assumptions!$E$22</definedName>
    <definedName name="Fossil_Secur_Date">[40]Assumptions!$E$22</definedName>
    <definedName name="FOUR">#N/A</definedName>
    <definedName name="fp" localSheetId="17">#REF!</definedName>
    <definedName name="fp">#REF!</definedName>
    <definedName name="Free_Cash_Flow_CPM" localSheetId="17">#REF!</definedName>
    <definedName name="Free_Cash_Flow_CPM">#REF!</definedName>
    <definedName name="FREV">'[41]C.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9"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localSheetId="17"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9"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localSheetId="17"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9"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localSheetId="17"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9"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localSheetId="17"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 localSheetId="17">#REF!</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 localSheetId="9">[17]Print!$I$20</definedName>
    <definedName name="full_credit">[18]Print!$I$20</definedName>
    <definedName name="fullyrcredit100" localSheetId="17">#REF!</definedName>
    <definedName name="fullyrcredit100">#REF!</definedName>
    <definedName name="fullyrcredit101" localSheetId="17">#REF!</definedName>
    <definedName name="fullyrcredit101">#REF!</definedName>
    <definedName name="fullyrcredit102" localSheetId="17">#REF!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9"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localSheetId="17"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 localSheetId="17">#REF!</definedName>
    <definedName name="FY1999_AU_ACTY_ACCT">#REF!</definedName>
    <definedName name="FYE">[101]Input1!$B$6</definedName>
    <definedName name="FYR" localSheetId="9">'[50]Gas Ferc 2 2003'!$V$3</definedName>
    <definedName name="FYR">'[51]Gas Ferc 2 2003'!$V$3</definedName>
    <definedName name="FYY" localSheetId="17">#REF!</definedName>
    <definedName name="FYY">#REF!</definedName>
    <definedName name="FYYYY" localSheetId="17">#REF!</definedName>
    <definedName name="FYYYY">#REF!</definedName>
    <definedName name="Gain__Loss_on_Sale_of_Joint_Ventures" localSheetId="17">#REF!</definedName>
    <definedName name="Gain__Loss_on_Sale_of_Joint_Ventures">#REF!</definedName>
    <definedName name="Gas">#REF!</definedName>
    <definedName name="Gas_Dist_Purch_Acct">#REF!</definedName>
    <definedName name="Gas_Dist_Purch_Acct_YR_2005">'[55]Aday IS EG Subs'!#REF!</definedName>
    <definedName name="Gas_Dist_Purch_Acct_YR_2006">'[55]Aday IS EG Subs'!#REF!</definedName>
    <definedName name="Gas_Dist_Purch_Acct_YR_2007">'[55]Aday IS EG Subs'!#REF!</definedName>
    <definedName name="Gas_Dist_Purch_Acct_YR_2008">'[55]Aday IS EG Subs'!#REF!</definedName>
    <definedName name="Gas_Marketing_Purch_Acct" localSheetId="17">#REF!</definedName>
    <definedName name="Gas_Marketing_Purch_Acct">#REF!</definedName>
    <definedName name="Gas_Marketing_Purch_Acct_YR_2005" localSheetId="17">'[55]Aday IS DECo &amp; Other'!#REF!</definedName>
    <definedName name="Gas_Marketing_Purch_Acct_YR_2005">'[55]Aday IS DECo &amp; Other'!#REF!</definedName>
    <definedName name="Gas_Marketing_Purch_Acct_YR_2006" localSheetId="17">'[55]Aday IS DECo &amp; Other'!#REF!</definedName>
    <definedName name="Gas_Marketing_Purch_Acct_YR_2006">'[55]Aday IS DECo &amp; Other'!#REF!</definedName>
    <definedName name="Gas_Marketing_Purch_Acct_YR_2007">'[55]Aday IS DECo &amp; Other'!#REF!</definedName>
    <definedName name="Gas_Marketing_Purch_Acct_YR_2008">'[55]Aday IS DECo &amp; Other'!#REF!</definedName>
    <definedName name="Gas_Purchases___Affiliate" localSheetId="17">#REF!</definedName>
    <definedName name="Gas_Purchases___Affiliate">#REF!</definedName>
    <definedName name="Gas_Purchases___External" localSheetId="17">#REF!</definedName>
    <definedName name="Gas_Purchases___External">#REF!</definedName>
    <definedName name="Gas_Resources_Growth_YR_2003" localSheetId="17">#REF!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'[55]Aday IS EG Subs'!#REF!</definedName>
    <definedName name="Gas_Storage_YR_2006">'[55]Aday IS EG Subs'!#REF!</definedName>
    <definedName name="Gas_Storage_YR_2007">'[55]Aday IS EG Subs'!#REF!</definedName>
    <definedName name="Gas_Storage_YR_2008">'[55]Aday IS EG Subs'!#REF!</definedName>
    <definedName name="GASACT" localSheetId="9">'[4]Curr adj - depn basis diff'!#REF!</definedName>
    <definedName name="GASACT">'[5]Curr adj - depn basis diff'!#REF!</definedName>
    <definedName name="GASPA2003" localSheetId="17">#REF!</definedName>
    <definedName name="GASPA2003">#REF!</definedName>
    <definedName name="GASPA2004" localSheetId="17">#REF!</definedName>
    <definedName name="GASPA2004">#REF!</definedName>
    <definedName name="GASPA2005" localSheetId="17">#REF!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'[41]C. Input'!$F$237</definedName>
    <definedName name="GDX">'[41]C. Input'!$F$309</definedName>
    <definedName name="GDX_TD">'[41]C. Input'!#REF!</definedName>
    <definedName name="GENERAL_HELP" localSheetId="17">#REF!</definedName>
    <definedName name="GENERAL_HELP">#REF!</definedName>
    <definedName name="General_Taxes" localSheetId="17">#REF!</definedName>
    <definedName name="General_Taxes">#REF!</definedName>
    <definedName name="General_Taxes_Payable">#REF!</definedName>
    <definedName name="Generation">#REF!</definedName>
    <definedName name="Generation_YR_2005">'[55]Aday IS DECo &amp; Other'!#REF!</definedName>
    <definedName name="Generation_YR_2006">'[55]Aday IS DECo &amp; Other'!#REF!</definedName>
    <definedName name="Generation_YR_2007">'[55]Aday IS DECo &amp; Other'!#REF!</definedName>
    <definedName name="Generation_YR_2008">'[55]Aday IS DECo &amp; Other'!#REF!</definedName>
    <definedName name="GenLedger" localSheetId="9">[102]PEPCO!$A$9:$H$774</definedName>
    <definedName name="GenLedger">[103]PEPCO!$A$9:$H$774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9"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localSheetId="17"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9"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localSheetId="17"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9"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localSheetId="17"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9"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localSheetId="17"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9" hidden="1">ISBLANK(gIsRef)</definedName>
    <definedName name="gIsBlank" localSheetId="17" hidden="1">ISBLANK(gIsRef)</definedName>
    <definedName name="gIsBlank" hidden="1">ISBLANK(gIsRef)</definedName>
    <definedName name="gIsError" localSheetId="9" hidden="1">ISERROR(gIsRef)</definedName>
    <definedName name="gIsError" localSheetId="17" hidden="1">ISERROR(gIsRef)</definedName>
    <definedName name="gIsError" hidden="1">ISERROR(gIsRef)</definedName>
    <definedName name="gIsInPrintArea" localSheetId="9" hidden="1">NOT(ISERROR(gIsRef !Print_Area))</definedName>
    <definedName name="gIsInPrintArea" localSheetId="17" hidden="1">NOT(ISERROR(gIsRef !Print_Area))</definedName>
    <definedName name="gIsInPrintArea" hidden="1">NOT(ISERROR(gIsRef !Print_Area))</definedName>
    <definedName name="gIsInPrintTitles" localSheetId="9" hidden="1">NOT(ISERROR(gIsRef !Print_Titles))</definedName>
    <definedName name="gIsInPrintTitles" localSheetId="17" hidden="1">NOT(ISERROR(gIsRef !Print_Titles))</definedName>
    <definedName name="gIsInPrintTitles" hidden="1">NOT(ISERROR(gIsRef !Print_Titles))</definedName>
    <definedName name="gIsNumber" localSheetId="9" hidden="1">ISNUMBER(gIsRef)</definedName>
    <definedName name="gIsNumber" localSheetId="17" hidden="1">ISNUMBER(gIsRef)</definedName>
    <definedName name="gIsNumber" hidden="1">ISNUMBER(gIsRef)</definedName>
    <definedName name="gIsPreviousSheet" localSheetId="9" hidden="1">PrevShtCellValue(gIsRef)&lt;&gt;gIsRef</definedName>
    <definedName name="gIsPreviousSheet" localSheetId="17" hidden="1">PrevShtCellValue(gIsRef)&lt;&gt;gIsRef</definedName>
    <definedName name="gIsPreviousSheet" hidden="1">PrevShtCellValue(gIsRef)&lt;&gt;gIsRef</definedName>
    <definedName name="gIsRef" hidden="1">INDIRECT("rc",FALSE)</definedName>
    <definedName name="gIsText" localSheetId="9" hidden="1">ISTEXT(gIsRef)</definedName>
    <definedName name="gIsText" localSheetId="17" hidden="1">ISTEXT(gIsRef)</definedName>
    <definedName name="gIsText" hidden="1">ISTEXT(gIsRef)</definedName>
    <definedName name="gita" localSheetId="21" hidden="1">{#N/A,#N/A,FALSE,"O&amp;M by processes";#N/A,#N/A,FALSE,"Elec Act vs Bud";#N/A,#N/A,FALSE,"G&amp;A";#N/A,#N/A,FALSE,"BGS";#N/A,#N/A,FALSE,"Res Cost"}</definedName>
    <definedName name="gita" localSheetId="9"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9"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 localSheetId="17">#REF!</definedName>
    <definedName name="Goodwill">#REF!</definedName>
    <definedName name="Goodwill_CPM" localSheetId="17">#REF!</definedName>
    <definedName name="Goodwill_CPM">#REF!</definedName>
    <definedName name="GP">'3a - Shared Revenues'!$E$58</definedName>
    <definedName name="GPLT">'[41]C. Input'!$F$168</definedName>
    <definedName name="GPURS" localSheetId="17">#REF!</definedName>
    <definedName name="GPURS">#REF!</definedName>
    <definedName name="GR" localSheetId="17">#REF!</definedName>
    <definedName name="GR">#REF!</definedName>
    <definedName name="GR_PRT_RANGE" localSheetId="9">[17]Gross_Rec!$A$8:$R$52</definedName>
    <definedName name="GR_PRT_RANGE">[18]Gross_Rec!$A$8:$R$52</definedName>
    <definedName name="GRAND_TOTAL_CAPITAL_INVESTMENTS" localSheetId="9">#REF!</definedName>
    <definedName name="GRAND_TOTAL_CAPITAL_INVESTMENTS" localSheetId="17">#REF!</definedName>
    <definedName name="GRAND_TOTAL_CAPITAL_INVESTMENTS">#REF!</definedName>
    <definedName name="GRAPH_SELECT" localSheetId="17">#REF!</definedName>
    <definedName name="GRAPH_SELECT">#REF!</definedName>
    <definedName name="GRAPH_TABLE" localSheetId="17">#REF!</definedName>
    <definedName name="GRAPH_TABLE">#REF!</definedName>
    <definedName name="grec84100">#REF!</definedName>
    <definedName name="grec84101">#REF!</definedName>
    <definedName name="grec84102">#REF!</definedName>
    <definedName name="grec84103">#REF!</definedName>
    <definedName name="grec8490" localSheetId="9">[17]Model!$I$50</definedName>
    <definedName name="grec8490">[18]Model!$I$50</definedName>
    <definedName name="grec8491" localSheetId="9">[17]Model!$J$50</definedName>
    <definedName name="grec8491">[18]Model!$J$50</definedName>
    <definedName name="grec8492" localSheetId="9">[17]Model!$K$50</definedName>
    <definedName name="grec8492">[18]Model!$K$50</definedName>
    <definedName name="grec8493" localSheetId="9">[17]Model!$L$50</definedName>
    <definedName name="grec8493">[18]Model!$L$50</definedName>
    <definedName name="grec8494" localSheetId="9">[17]Model!$M$50</definedName>
    <definedName name="grec8494">[18]Model!$M$50</definedName>
    <definedName name="grec8495" localSheetId="9">[17]Model!$N$50</definedName>
    <definedName name="grec8495">[18]Model!$N$50</definedName>
    <definedName name="grec8496" localSheetId="9">[17]Model!$O$50</definedName>
    <definedName name="grec8496">[18]Model!$O$50</definedName>
    <definedName name="grec8497" localSheetId="9">[17]Model!$P$50</definedName>
    <definedName name="grec8497">[18]Model!$P$50</definedName>
    <definedName name="grec8498" localSheetId="9">[17]Model!$Q$50</definedName>
    <definedName name="grec8498">[18]Model!$Q$50</definedName>
    <definedName name="grec8499" localSheetId="17">#REF!</definedName>
    <definedName name="grec8499">#REF!</definedName>
    <definedName name="grec85100" localSheetId="17">#REF!</definedName>
    <definedName name="grec85100">#REF!</definedName>
    <definedName name="grec85101" localSheetId="17">#REF!</definedName>
    <definedName name="grec85101">#REF!</definedName>
    <definedName name="grec85102">#REF!</definedName>
    <definedName name="grec85103">#REF!</definedName>
    <definedName name="grec8590" localSheetId="9">[17]Model!$I$51</definedName>
    <definedName name="grec8590">[18]Model!$I$51</definedName>
    <definedName name="grec8591" localSheetId="9">[17]Model!$J$51</definedName>
    <definedName name="grec8591">[18]Model!$J$51</definedName>
    <definedName name="grec8592" localSheetId="9">[17]Model!$K$51</definedName>
    <definedName name="grec8592">[18]Model!$K$51</definedName>
    <definedName name="grec8593" localSheetId="9">[17]Model!$L$51</definedName>
    <definedName name="grec8593">[18]Model!$L$51</definedName>
    <definedName name="grec8594" localSheetId="9">[17]Model!$M$51</definedName>
    <definedName name="grec8594">[18]Model!$M$51</definedName>
    <definedName name="grec8595" localSheetId="9">[17]Model!$N$51</definedName>
    <definedName name="grec8595">[18]Model!$N$51</definedName>
    <definedName name="grec8596" localSheetId="9">[17]Model!$O$51</definedName>
    <definedName name="grec8596">[18]Model!$O$51</definedName>
    <definedName name="grec8597" localSheetId="9">[17]Model!$P$51</definedName>
    <definedName name="grec8597">[18]Model!$P$51</definedName>
    <definedName name="grec8598" localSheetId="9">[17]Model!$Q$51</definedName>
    <definedName name="grec8598">[18]Model!$Q$51</definedName>
    <definedName name="grec8599" localSheetId="17">#REF!</definedName>
    <definedName name="grec8599">#REF!</definedName>
    <definedName name="grec86100" localSheetId="17">#REF!</definedName>
    <definedName name="grec86100">#REF!</definedName>
    <definedName name="grec86101" localSheetId="17">#REF!</definedName>
    <definedName name="grec86101">#REF!</definedName>
    <definedName name="grec86102">#REF!</definedName>
    <definedName name="grec86103">#REF!</definedName>
    <definedName name="grec8690" localSheetId="9">[17]Model!$I$52</definedName>
    <definedName name="grec8690">[18]Model!$I$52</definedName>
    <definedName name="grec8691" localSheetId="9">[17]Model!$J$52</definedName>
    <definedName name="grec8691">[18]Model!$J$52</definedName>
    <definedName name="grec8692" localSheetId="9">[17]Model!$K$52</definedName>
    <definedName name="grec8692">[18]Model!$K$52</definedName>
    <definedName name="grec8693" localSheetId="9">[17]Model!$L$52</definedName>
    <definedName name="grec8693">[18]Model!$L$52</definedName>
    <definedName name="grec8694" localSheetId="9">[17]Model!$M$52</definedName>
    <definedName name="grec8694">[18]Model!$M$52</definedName>
    <definedName name="grec8695" localSheetId="9">[17]Model!$N$52</definedName>
    <definedName name="grec8695">[18]Model!$N$52</definedName>
    <definedName name="grec8696" localSheetId="9">[17]Model!$O$52</definedName>
    <definedName name="grec8696">[18]Model!$O$52</definedName>
    <definedName name="grec8697" localSheetId="9">[17]Model!$P$52</definedName>
    <definedName name="grec8697">[18]Model!$P$52</definedName>
    <definedName name="grec8698" localSheetId="9">[17]Model!$Q$52</definedName>
    <definedName name="grec8698">[18]Model!$Q$52</definedName>
    <definedName name="grec8699" localSheetId="17">#REF!</definedName>
    <definedName name="grec8699">#REF!</definedName>
    <definedName name="grec87100" localSheetId="17">#REF!</definedName>
    <definedName name="grec87100">#REF!</definedName>
    <definedName name="grec87101" localSheetId="17">#REF!</definedName>
    <definedName name="grec87101">#REF!</definedName>
    <definedName name="grec87102">#REF!</definedName>
    <definedName name="grec87103">#REF!</definedName>
    <definedName name="grec8790" localSheetId="9">[17]Model!$I$53</definedName>
    <definedName name="grec8790">[18]Model!$I$53</definedName>
    <definedName name="grec8791" localSheetId="9">[17]Model!$J$53</definedName>
    <definedName name="grec8791">[18]Model!$J$53</definedName>
    <definedName name="grec8792" localSheetId="9">[17]Model!$K$53</definedName>
    <definedName name="grec8792">[18]Model!$K$53</definedName>
    <definedName name="grec8793" localSheetId="9">[17]Model!$L$53</definedName>
    <definedName name="grec8793">[18]Model!$L$53</definedName>
    <definedName name="grec8794" localSheetId="9">[17]Model!$M$53</definedName>
    <definedName name="grec8794">[18]Model!$M$53</definedName>
    <definedName name="grec8795" localSheetId="9">[17]Model!$N$53</definedName>
    <definedName name="grec8795">[18]Model!$N$53</definedName>
    <definedName name="grec8796" localSheetId="9">[17]Model!$O$53</definedName>
    <definedName name="grec8796">[18]Model!$O$53</definedName>
    <definedName name="grec8797" localSheetId="9">[17]Model!$P$53</definedName>
    <definedName name="grec8797">[18]Model!$P$53</definedName>
    <definedName name="grec8798" localSheetId="9">[17]Model!$Q$53</definedName>
    <definedName name="grec8798">[18]Model!$Q$53</definedName>
    <definedName name="grec8799" localSheetId="17">#REF!</definedName>
    <definedName name="grec8799">#REF!</definedName>
    <definedName name="grec88100" localSheetId="17">#REF!</definedName>
    <definedName name="grec88100">#REF!</definedName>
    <definedName name="grec88101" localSheetId="17">#REF!</definedName>
    <definedName name="grec88101">#REF!</definedName>
    <definedName name="grec88102">#REF!</definedName>
    <definedName name="grec88103">#REF!</definedName>
    <definedName name="grec8890" localSheetId="9">[17]Model!$I$54</definedName>
    <definedName name="grec8890">[18]Model!$I$54</definedName>
    <definedName name="grec8891" localSheetId="9">[17]Model!$J$54</definedName>
    <definedName name="grec8891">[18]Model!$J$54</definedName>
    <definedName name="grec8892" localSheetId="9">[17]Model!$K$54</definedName>
    <definedName name="grec8892">[18]Model!$K$54</definedName>
    <definedName name="grec8893" localSheetId="9">[17]Model!$L$54</definedName>
    <definedName name="grec8893">[18]Model!$L$54</definedName>
    <definedName name="grec8894" localSheetId="9">[17]Model!$M$54</definedName>
    <definedName name="grec8894">[18]Model!$M$54</definedName>
    <definedName name="grec8895" localSheetId="9">[17]Model!$N$54</definedName>
    <definedName name="grec8895">[18]Model!$N$54</definedName>
    <definedName name="grec8896" localSheetId="9">[17]Model!$O$54</definedName>
    <definedName name="grec8896">[18]Model!$O$54</definedName>
    <definedName name="grec8897" localSheetId="9">[17]Model!$P$54</definedName>
    <definedName name="grec8897">[18]Model!$P$54</definedName>
    <definedName name="grec8898" localSheetId="9">[17]Model!$Q$54</definedName>
    <definedName name="grec8898">[18]Model!$Q$54</definedName>
    <definedName name="grec8899" localSheetId="17">#REF!</definedName>
    <definedName name="grec8899">#REF!</definedName>
    <definedName name="gross_rec_caution" localSheetId="9">[17]Gross_Rec!$A$51:$IV$52</definedName>
    <definedName name="gross_rec_caution">[18]Gross_Rec!$A$51:$IV$52</definedName>
    <definedName name="GROSS_RECEIPTS" localSheetId="9">#REF!</definedName>
    <definedName name="GROSS_RECEIPTS" localSheetId="17">#REF!</definedName>
    <definedName name="GROSS_RECEIPTS">#REF!</definedName>
    <definedName name="Growth_Contingency_YR_2005" localSheetId="9">'[55]Aday IS DECo &amp; Other'!#REF!</definedName>
    <definedName name="Growth_Contingency_YR_2005" localSheetId="17">'[55]Aday IS DECo &amp; Other'!#REF!</definedName>
    <definedName name="Growth_Contingency_YR_2005">'[55]Aday IS DECo &amp; Other'!#REF!</definedName>
    <definedName name="Growth_Contingency_YR_2006" localSheetId="9">'[55]Aday IS DECo &amp; Other'!#REF!</definedName>
    <definedName name="Growth_Contingency_YR_2006" localSheetId="17">'[55]Aday IS DECo &amp; Other'!#REF!</definedName>
    <definedName name="Growth_Contingency_YR_2006">'[55]Aday IS DECo &amp; Other'!#REF!</definedName>
    <definedName name="Growth_Contingency_YR_2007" localSheetId="17">'[55]Aday IS DECo &amp; Other'!#REF!</definedName>
    <definedName name="Growth_Contingency_YR_2007">'[55]Aday IS DECo &amp; Other'!#REF!</definedName>
    <definedName name="Growth_Contingency_YR_2008" localSheetId="17">'[55]Aday IS DECo &amp; Other'!#REF!</definedName>
    <definedName name="Growth_Contingency_YR_2008">'[55]Aday IS DECo &amp; Other'!#REF!</definedName>
    <definedName name="GRS" localSheetId="9">[17]Gross_Rec!$B$2:$M$49</definedName>
    <definedName name="GRS">[18]Gross_Rec!$B$2:$M$49</definedName>
    <definedName name="GRT" localSheetId="9">#REF!</definedName>
    <definedName name="GRT" localSheetId="17">#REF!</definedName>
    <definedName name="GRT">#REF!</definedName>
    <definedName name="grtm1" localSheetId="9">[17]Print!$I$32</definedName>
    <definedName name="grtm1">[18]Print!$I$32</definedName>
    <definedName name="grtm2" localSheetId="9">[17]Print!$G$32</definedName>
    <definedName name="grtm2">[18]Print!$G$32</definedName>
    <definedName name="grtm3" localSheetId="9">[17]Print!$E$32</definedName>
    <definedName name="grtm3">[18]Print!$E$32</definedName>
    <definedName name="grtm4" localSheetId="9">[17]Print!$C$32</definedName>
    <definedName name="grtm4">[18]Print!$C$32</definedName>
    <definedName name="GTDAMERICAS" localSheetId="17">#REF!</definedName>
    <definedName name="GTDAMERICAS">#REF!</definedName>
    <definedName name="GTDCROP" localSheetId="17">#REF!</definedName>
    <definedName name="GTDCROP">#REF!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9"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localSheetId="17"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9"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localSheetId="17"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 localSheetId="9">'[104]Tony''s Categories'!$B$6:$B$11</definedName>
    <definedName name="High_Level">'[105]Tony''s Categories'!$B$6:$B$11</definedName>
    <definedName name="historiccents" localSheetId="9">#REF!</definedName>
    <definedName name="historiccents" localSheetId="17">#REF!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9"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localSheetId="17"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9"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localSheetId="17"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 localSheetId="17">#REF!</definedName>
    <definedName name="HOLDING_CO___OTHER_TOTAL">#REF!</definedName>
    <definedName name="HOLDING_CO___OTHER_TOTAL_YR_2005" localSheetId="17">'[55]Aday IS DECo &amp; Other'!#REF!</definedName>
    <definedName name="HOLDING_CO___OTHER_TOTAL_YR_2005">'[55]Aday IS DECo &amp; Other'!#REF!</definedName>
    <definedName name="HOLDING_CO___OTHER_TOTAL_YR_2006" localSheetId="17">'[55]Aday IS DECo &amp; Other'!#REF!</definedName>
    <definedName name="HOLDING_CO___OTHER_TOTAL_YR_2006">'[55]Aday IS DECo &amp; Other'!#REF!</definedName>
    <definedName name="HOLDING_CO___OTHER_TOTAL_YR_2007" localSheetId="17">'[55]Aday IS DECo &amp; Other'!#REF!</definedName>
    <definedName name="HOLDING_CO___OTHER_TOTAL_YR_2007">'[55]Aday IS DECo &amp; Other'!#REF!</definedName>
    <definedName name="HOLDING_CO___OTHER_TOTAL_YR_2008" localSheetId="17">'[55]Aday IS DECo &amp; Other'!#REF!</definedName>
    <definedName name="HOLDING_CO___OTHER_TOTAL_YR_2008">'[55]Aday IS DECo &amp; Other'!#REF!</definedName>
    <definedName name="homeNo" localSheetId="9">[76]Input!#REF!</definedName>
    <definedName name="homeNo">[77]Input!#REF!</definedName>
    <definedName name="homeProd" localSheetId="9">[76]Input!#REF!</definedName>
    <definedName name="homeProd">[77]Input!#REF!</definedName>
    <definedName name="homeSalary" localSheetId="9">[76]Input!#REF!</definedName>
    <definedName name="homeSalary">[77]Input!#REF!</definedName>
    <definedName name="HONTSR">'[41]A.2 PTP'!$P$333</definedName>
    <definedName name="HOURS" localSheetId="17">#REF!</definedName>
    <definedName name="HOURS">#REF!</definedName>
    <definedName name="howToChange" localSheetId="17">#REF!</definedName>
    <definedName name="howToChange">#REF!</definedName>
    <definedName name="howToCheck">#REF!</definedName>
    <definedName name="HPNTSR">'[41]A.2 PTP'!$P$332</definedName>
    <definedName name="HTML_CodePage">1252</definedName>
    <definedName name="HTML_Control" localSheetId="9">{"'Metretek HTML'!$A$7:$W$42"}</definedName>
    <definedName name="HTML_Control" localSheetId="15">{"'Metretek HTML'!$A$7:$W$42"}</definedName>
    <definedName name="HTML_Control" localSheetId="16">{"'Metretek HTML'!$A$7:$W$42"}</definedName>
    <definedName name="HTML_Control" localSheetId="17">{"'Metretek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 localSheetId="17">#REF!</definedName>
    <definedName name="IBMDirDoc">#REF!</definedName>
    <definedName name="IBMDirDollars" localSheetId="17">#REF!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 localSheetId="9">[106]Inputs!#REF!</definedName>
    <definedName name="Include_OTRA_Kwhrs" localSheetId="17">[107]Inputs!#REF!</definedName>
    <definedName name="Include_OTRA_Kwhrs">[107]Inputs!#REF!</definedName>
    <definedName name="Income_Taxes" localSheetId="9">#REF!</definedName>
    <definedName name="Income_Taxes" localSheetId="17">#REF!</definedName>
    <definedName name="Income_Taxes">#REF!</definedName>
    <definedName name="Income_Taxes_CPM" localSheetId="17">#REF!</definedName>
    <definedName name="Income_Taxes_CPM">#REF!</definedName>
    <definedName name="Income_Taxes_Federal" localSheetId="17">#REF!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 localSheetId="17">#REF!</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[108]Nonlevelized-IOU'!$K$7,'[108]Nonlevelized-IOU'!$D$10,'[108]Nonlevelized-IOU'!$I$26,'[108]Nonlevelized-IOU'!$D$89:$D$92,'[108]Nonlevelized-IOU'!$D$97:$D$100,'[108]Nonlevelized-IOU'!$D$113:$D$116,'[108]Nonlevelized-IOU'!$D$124:$D$125,'[108]Nonlevelized-IOU'!$D$162,'[108]Nonlevelized-IOU'!$D$164:$D$165,'[108]Nonlevelized-IOU'!$D$167,'[108]Nonlevelized-IOU'!$D$174:$D$175,'[108]Nonlevelized-IOU'!$D$181,'[108]Nonlevelized-IOU'!$D$184,'[108]Nonlevelized-IOU'!$I$233:$I$234,'[108]Nonlevelized-IOU'!$D$250:$D$253,'[108]Nonlevelized-IOU'!$D$257:$D$259,'[108]Nonlevelized-IOU'!$I$263,'[108]Nonlevelized-IOU'!$I$265,'[108]Nonlevelized-IOU'!$I$268,'[108]Nonlevelized-IOU'!$D$274:$D$275,'[108]Nonlevelized-IOU'!$I$289,'[108]Nonlevelized-IOU'!$D$325:$D$327</definedName>
    <definedName name="Inputs_EndYrBal">[47]Inputs!$E$16:$E$73</definedName>
    <definedName name="Inputs_EndYrBal_prior">[47]Inputs!$D$16:$D$73</definedName>
    <definedName name="Inputs_FF1_Map">[47]Inputs!$F$16:$F$73</definedName>
    <definedName name="INSERTRANGE" localSheetId="9">#REF!</definedName>
    <definedName name="INSERTRANGE" localSheetId="17">#REF!</definedName>
    <definedName name="INSERTRANGE">#REF!</definedName>
    <definedName name="int_rate" localSheetId="17">#REF!</definedName>
    <definedName name="int_rate">#REF!</definedName>
    <definedName name="intang_afudc910" localSheetId="9">[109]criteria!$A$5:$B$6</definedName>
    <definedName name="intang_afudc910">[110]criteria!$A$5:$B$6</definedName>
    <definedName name="INTCUT" localSheetId="9">#REF!</definedName>
    <definedName name="INTCUT" localSheetId="17">#REF!</definedName>
    <definedName name="INTCUT">#REF!</definedName>
    <definedName name="intedp2data" localSheetId="9">#REF!</definedName>
    <definedName name="intedp2data" localSheetId="17">#REF!</definedName>
    <definedName name="intedp2data">#REF!</definedName>
    <definedName name="Intercompany_Loan" localSheetId="17">#REF!</definedName>
    <definedName name="Intercompany_Loan">#REF!</definedName>
    <definedName name="Intercompany_Loan_CPM" localSheetId="17">#REF!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'[55]Aday IS DECo &amp; Other'!#REF!</definedName>
    <definedName name="International_Trans._Co._YR_2006">'[55]Aday IS DECo &amp; Other'!#REF!</definedName>
    <definedName name="International_Trans._Co._YR_2007">'[55]Aday IS DECo &amp; Other'!#REF!</definedName>
    <definedName name="International_Trans._Co._YR_2008">'[55]Aday IS DECo &amp; Other'!#REF!</definedName>
    <definedName name="INTQ" localSheetId="9">'[111]IR COMP'!$B$39</definedName>
    <definedName name="INTQ">'[112]IR COMP'!$B$39</definedName>
    <definedName name="INTY" localSheetId="9">'[111]IR COMP'!$C$39</definedName>
    <definedName name="INTY">'[112]IR COMP'!$C$39</definedName>
    <definedName name="Inv_JE" localSheetId="9">#REF!</definedName>
    <definedName name="Inv_JE" localSheetId="17">#REF!</definedName>
    <definedName name="Inv_JE">#REF!</definedName>
    <definedName name="Inv_wp" localSheetId="17">#REF!</definedName>
    <definedName name="Inv_wp">#REF!</definedName>
    <definedName name="Inventories" localSheetId="17">#REF!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'[41]C. Input'!#REF!</definedName>
    <definedName name="IPPINT">'[41]C. Input'!#REF!</definedName>
    <definedName name="IPPIRB">'[41]C. Input'!#REF!</definedName>
    <definedName name="IPPRB">'[41]C. Input'!#REF!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'[41]C. Input'!$F$146</definedName>
    <definedName name="ITCWO">'[41]C. Input'!$F$325</definedName>
    <definedName name="ITE" localSheetId="9">[113]PL!$A:$IV</definedName>
    <definedName name="ITE">[114]PL!$A:$IV</definedName>
    <definedName name="itec" localSheetId="9">[113]PL!$A$1:$A$65536</definedName>
    <definedName name="itec">[114]PL!$A$1:$A$65536</definedName>
    <definedName name="JAN" localSheetId="9">#REF!</definedName>
    <definedName name="JAN" localSheetId="17">#REF!</definedName>
    <definedName name="JAN">#REF!</definedName>
    <definedName name="JanCP" localSheetId="9">#REF!</definedName>
    <definedName name="JanCP" localSheetId="17">#REF!</definedName>
    <definedName name="JanCP">#REF!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9"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localSheetId="17"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9"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localSheetId="17"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9"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localSheetId="17"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 localSheetId="17">#REF!</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9"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localSheetId="17"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9" hidden="1">{"PRINT",#N/A,TRUE,"APPA";"PRINT",#N/A,TRUE,"APS";"PRINT",#N/A,TRUE,"BHPL";"PRINT",#N/A,TRUE,"BHPL2";"PRINT",#N/A,TRUE,"CDWR";"PRINT",#N/A,TRUE,"EWEB";"PRINT",#N/A,TRUE,"LADWP";"PRINT",#N/A,TRUE,"NEVBASE"}</definedName>
    <definedName name="Keep" localSheetId="17"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9" hidden="1">{"PRINT",#N/A,TRUE,"APPA";"PRINT",#N/A,TRUE,"APS";"PRINT",#N/A,TRUE,"BHPL";"PRINT",#N/A,TRUE,"BHPL2";"PRINT",#N/A,TRUE,"CDWR";"PRINT",#N/A,TRUE,"EWEB";"PRINT",#N/A,TRUE,"LADWP";"PRINT",#N/A,TRUE,"NEVBASE"}</definedName>
    <definedName name="keep2" localSheetId="17"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 localSheetId="9">'[104]Tony''s Categories'!$D$6:$D$100</definedName>
    <definedName name="Key_Concept">'[105]Tony''s Categories'!$D$6:$D$100</definedName>
    <definedName name="KeyCon_Close_Date" localSheetId="9">[66]Assumptions!$E$29</definedName>
    <definedName name="KeyCon_Close_Date">[67]Assumptions!$E$29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9"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localSheetId="17"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9"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localSheetId="17"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9">{"'Metretek HTML'!$A$7:$W$42"}</definedName>
    <definedName name="klio" localSheetId="15">{"'Metretek HTML'!$A$7:$W$42"}</definedName>
    <definedName name="klio" localSheetId="16">{"'Metretek HTML'!$A$7:$W$42"}</definedName>
    <definedName name="klio" localSheetId="17">{"'Metretek HTML'!$A$7:$W$42"}</definedName>
    <definedName name="klio">{"'Metretek HTML'!$A$7:$W$42"}</definedName>
    <definedName name="l" localSheetId="9">[115]Lists!$A$2:$A$4</definedName>
    <definedName name="l" localSheetId="17">[116]Lists!$A$2:$A$4</definedName>
    <definedName name="l">[117]Lists!$A$2:$A$4</definedName>
    <definedName name="L4_A" localSheetId="9">[118]total!#REF!</definedName>
    <definedName name="L4_A" localSheetId="17">[119]total!#REF!</definedName>
    <definedName name="L4_A">[119]total!#REF!</definedName>
    <definedName name="L4_B" localSheetId="9">[118]total!#REF!</definedName>
    <definedName name="L4_B" localSheetId="17">[119]total!#REF!</definedName>
    <definedName name="L4_B">[119]total!#REF!</definedName>
    <definedName name="LabHour" localSheetId="9">#REF!</definedName>
    <definedName name="LabHour" localSheetId="17">#REF!</definedName>
    <definedName name="LabHour">#REF!</definedName>
    <definedName name="Labor" localSheetId="17">#REF!</definedName>
    <definedName name="Labor">#REF!</definedName>
    <definedName name="Labor__excl._Cost_of_Sales_labor">#REF!</definedName>
    <definedName name="Labor_Total">#REF!</definedName>
    <definedName name="lastrow" localSheetId="9">'[17]QRE''s'!$A$95:$IV$95</definedName>
    <definedName name="lastrow">'[18]QRE''s'!$A$95:$IV$95</definedName>
    <definedName name="LAYOUT" localSheetId="17">#REF!</definedName>
    <definedName name="LAYOUT">#REF!</definedName>
    <definedName name="LAYOUT_NAME" localSheetId="17">#REF!</definedName>
    <definedName name="LAYOUT_NAME">#REF!</definedName>
    <definedName name="left">OFFSET(!A1,0,-1)</definedName>
    <definedName name="Less_Accum_Depr__Depl___Amort" localSheetId="17">#REF!</definedName>
    <definedName name="Less_Accum_Depr__Depl___Amort">#REF!</definedName>
    <definedName name="Less_Accum_Depreciation___Amortization">#REF!</definedName>
    <definedName name="Less_Tax_Credits_Generated">#REF!</definedName>
    <definedName name="Levelized..FM1.ROR..print">#REF!</definedName>
    <definedName name="LFTSR">'[41]A.2 PTP'!$P$230</definedName>
    <definedName name="Liab_from_Risk_Mgt___Trading" localSheetId="17">#REF!</definedName>
    <definedName name="Liab_from_Risk_Mgt___Trading">#REF!</definedName>
    <definedName name="Liab_from_Risk_Mgt___Trading___Current" localSheetId="17">#REF!</definedName>
    <definedName name="Liab_from_Risk_Mgt___Trading___Current">#REF!</definedName>
    <definedName name="Liabilities_from_Trans___Storage_Contracts">#REF!</definedName>
    <definedName name="Library" hidden="1">"a1"</definedName>
    <definedName name="LicenseCOS">0.01</definedName>
    <definedName name="LIFE">[30]DEPR96!#REF!</definedName>
    <definedName name="limcount" hidden="1">1</definedName>
    <definedName name="LIST">#REF!</definedName>
    <definedName name="LK" localSheetId="9">{"'Metretek HTML'!$A$7:$W$42"}</definedName>
    <definedName name="LK" localSheetId="15">{"'Metretek HTML'!$A$7:$W$42"}</definedName>
    <definedName name="LK" localSheetId="16">{"'Metretek HTML'!$A$7:$W$42"}</definedName>
    <definedName name="LK" localSheetId="17">{"'Metretek HTML'!$A$7:$W$42"}</definedName>
    <definedName name="LK">{"'Metretek HTML'!$A$7:$W$42"}</definedName>
    <definedName name="ll" localSheetId="9" hidden="1">{#N/A,#N/A,FALSE,"EMPPAY"}</definedName>
    <definedName name="ll" localSheetId="15" hidden="1">{#N/A,#N/A,FALSE,"EMPPAY"}</definedName>
    <definedName name="ll" localSheetId="16" hidden="1">{#N/A,#N/A,FALSE,"EMPPAY"}</definedName>
    <definedName name="ll" localSheetId="17" hidden="1">{#N/A,#N/A,FALSE,"EMPPAY"}</definedName>
    <definedName name="ll" hidden="1">{#N/A,#N/A,FALSE,"EMPPAY"}</definedName>
    <definedName name="LOAD" localSheetId="17">#REF!</definedName>
    <definedName name="LOAD">#REF!</definedName>
    <definedName name="LOAD_4" localSheetId="9">[118]total!#REF!</definedName>
    <definedName name="LOAD_4" localSheetId="17">[119]total!#REF!</definedName>
    <definedName name="LOAD_4">[119]total!#REF!</definedName>
    <definedName name="Loan_from_Affiliate" localSheetId="9">#REF!</definedName>
    <definedName name="Loan_from_Affiliate" localSheetId="17">#REF!</definedName>
    <definedName name="Loan_from_Affiliate">#REF!</definedName>
    <definedName name="lob" localSheetId="17">#REF!</definedName>
    <definedName name="lob">#REF!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9"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localSheetId="17"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 localSheetId="17">#REF!</definedName>
    <definedName name="Long_Term_Assets_from_Risk_Mgt_Activities">#REF!</definedName>
    <definedName name="Long_Term_Capital_Leases" localSheetId="17">#REF!</definedName>
    <definedName name="Long_Term_Capital_Leases">#REF!</definedName>
    <definedName name="Long_Term_Capitalization" localSheetId="17">#REF!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 localSheetId="9">'[104]Tony''s Categories'!$C$6:$C$25</definedName>
    <definedName name="Lower_Level">'[105]Tony''s Categories'!$C$6:$C$25</definedName>
    <definedName name="LRG_GE" localSheetId="9">#REF!</definedName>
    <definedName name="LRG_GE" localSheetId="17">#REF!</definedName>
    <definedName name="LRG_GE">#REF!</definedName>
    <definedName name="LRG_GJ" localSheetId="9">#REF!</definedName>
    <definedName name="LRG_GJ" localSheetId="17">#REF!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9"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localSheetId="17"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9"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localSheetId="17"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9"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localSheetId="17"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9"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localSheetId="17"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9"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localSheetId="17"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9"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localSheetId="17"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9"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localSheetId="17"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 localSheetId="17">#REF!</definedName>
    <definedName name="LTD_incl._Curr._Cap._Lease_CPM">#REF!</definedName>
    <definedName name="LTR_A" localSheetId="17">#REF!</definedName>
    <definedName name="LTR_A">#REF!</definedName>
    <definedName name="LTR_B" localSheetId="17">#REF!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[92]FERCFACT!#REF!</definedName>
    <definedName name="MACRO">#N/A</definedName>
    <definedName name="MACRO_1" localSheetId="17">#REF!</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'[55]Aday IS DECo &amp; Other'!#REF!</definedName>
    <definedName name="Management_Task_YR_2006">'[55]Aday IS DECo &amp; Other'!#REF!</definedName>
    <definedName name="Management_Task_YR_2007">'[55]Aday IS DECo &amp; Other'!#REF!</definedName>
    <definedName name="Management_Task_YR_2008">'[55]Aday IS DECo &amp; Other'!#REF!</definedName>
    <definedName name="map.v1" localSheetId="17">#REF!</definedName>
    <definedName name="map.v1">#REF!</definedName>
    <definedName name="MAR" localSheetId="17">#REF!</definedName>
    <definedName name="MAR">#REF!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7">#REF!</definedName>
    <definedName name="MAY" localSheetId="19" hidden="1">{#N/A,#N/A,FALSE,"EMPPAY"}</definedName>
    <definedName name="MAY" localSheetId="20" hidden="1">{#N/A,#N/A,FALSE,"EMPPAY"}</definedName>
    <definedName name="MAY">#REF!</definedName>
    <definedName name="MC">#REF!</definedName>
    <definedName name="MCDATA" localSheetId="9">'[120]MTHLY MEAS.'!#REF!</definedName>
    <definedName name="MCDATA" localSheetId="17">'[121]MTHLY MEAS.'!#REF!</definedName>
    <definedName name="MCDATA">'[122]MTHLY MEAS.'!#REF!</definedName>
    <definedName name="MCGC_Elims" localSheetId="9">#REF!</definedName>
    <definedName name="MCGC_Elims" localSheetId="17">#REF!</definedName>
    <definedName name="MCGC_Elims">#REF!</definedName>
    <definedName name="MCGC_Elims_YR_2005" localSheetId="9">'[55]Aday IS EG Subs'!#REF!</definedName>
    <definedName name="MCGC_Elims_YR_2005" localSheetId="17">'[55]Aday IS EG Subs'!#REF!</definedName>
    <definedName name="MCGC_Elims_YR_2005">'[55]Aday IS EG Subs'!#REF!</definedName>
    <definedName name="MCGC_Elims_YR_2006" localSheetId="17">'[55]Aday IS EG Subs'!#REF!</definedName>
    <definedName name="MCGC_Elims_YR_2006">'[55]Aday IS EG Subs'!#REF!</definedName>
    <definedName name="MCGC_Elims_YR_2007" localSheetId="17">'[55]Aday IS EG Subs'!#REF!</definedName>
    <definedName name="MCGC_Elims_YR_2007">'[55]Aday IS EG Subs'!#REF!</definedName>
    <definedName name="MCGC_Elims_YR_2008">'[55]Aday IS EG Subs'!#REF!</definedName>
    <definedName name="MCGC_Subsidiaries" localSheetId="17">#REF!</definedName>
    <definedName name="MCGC_Subsidiaries">#REF!</definedName>
    <definedName name="MCGC_Subsidiaries_YR_2005" localSheetId="17">'[55]Aday IS EG Subs'!#REF!</definedName>
    <definedName name="MCGC_Subsidiaries_YR_2005">'[55]Aday IS EG Subs'!#REF!</definedName>
    <definedName name="MCGC_Subsidiaries_YR_2006" localSheetId="17">'[55]Aday IS EG Subs'!#REF!</definedName>
    <definedName name="MCGC_Subsidiaries_YR_2006">'[55]Aday IS EG Subs'!#REF!</definedName>
    <definedName name="MCGC_Subsidiaries_YR_2007">'[55]Aday IS EG Subs'!#REF!</definedName>
    <definedName name="MCGC_Subsidiaries_YR_2008">'[55]Aday IS EG Subs'!#REF!</definedName>
    <definedName name="MCGC2003" localSheetId="17">#REF!</definedName>
    <definedName name="MCGC2003">#REF!</definedName>
    <definedName name="MCGC2004" localSheetId="17">#REF!</definedName>
    <definedName name="MCGC2004">#REF!</definedName>
    <definedName name="MCGC2005" localSheetId="17">#REF!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'[55]Aday IS EG Subs'!#REF!</definedName>
    <definedName name="MCH_Corp___Elims_YR_2006">'[55]Aday IS EG Subs'!#REF!</definedName>
    <definedName name="MCH_Corp___Elims_YR_2007">'[55]Aday IS EG Subs'!#REF!</definedName>
    <definedName name="MCH_Corp___Elims_YR_2008">'[55]Aday IS EG Subs'!#REF!</definedName>
    <definedName name="MENU" localSheetId="17">#REF!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 localSheetId="17">[30]DEPR96!#REF!</definedName>
    <definedName name="METH">[30]DEPR96!#REF!</definedName>
    <definedName name="MFTSR">'[41]A.2 PTP'!$P$276</definedName>
    <definedName name="MI" localSheetId="9">'[120]MTHLY MEAS.'!#REF!</definedName>
    <definedName name="MI" localSheetId="17">'[121]MTHLY MEAS.'!#REF!</definedName>
    <definedName name="MI">'[122]MTHLY MEAS.'!#REF!</definedName>
    <definedName name="MichCon_Cons___Purch_Acct_Total" localSheetId="9">#REF!</definedName>
    <definedName name="MichCon_Cons___Purch_Acct_Total" localSheetId="17">#REF!</definedName>
    <definedName name="MichCon_Cons___Purch_Acct_Total">#REF!</definedName>
    <definedName name="MichCon_Consol_Total" localSheetId="17">#REF!</definedName>
    <definedName name="MichCon_Consol_Total">#REF!</definedName>
    <definedName name="MichCon_Subs__Holdings___Elims" localSheetId="17">#REF!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'[55]Aday IS EG Subs'!#REF!</definedName>
    <definedName name="Midstream_Purch_Acct_YR_2006">'[55]Aday IS EG Subs'!#REF!</definedName>
    <definedName name="Midstream_Purch_Acct_YR_2007">'[55]Aday IS EG Subs'!#REF!</definedName>
    <definedName name="Midstream_Purch_Acct_YR_2008">'[55]Aday IS EG Subs'!#REF!</definedName>
    <definedName name="MILESTONES_1" localSheetId="17">#REF!</definedName>
    <definedName name="MILESTONES_1">#REF!</definedName>
    <definedName name="MILESTONES_2" localSheetId="17">#REF!</definedName>
    <definedName name="MILESTONES_2">#REF!</definedName>
    <definedName name="Millennium_Pipeline">#REF!</definedName>
    <definedName name="Millennium_Pipeline_YR_2005">'[55]Aday IS EG Subs'!#REF!</definedName>
    <definedName name="Millennium_Pipeline_YR_2006">'[55]Aday IS EG Subs'!#REF!</definedName>
    <definedName name="Millennium_Pipeline_YR_2007">'[55]Aday IS EG Subs'!#REF!</definedName>
    <definedName name="Millennium_Pipeline_YR_2008">'[55]Aday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 localSheetId="9">'[58]Input Page'!#REF!</definedName>
    <definedName name="mix_cap">'[59]Input Page'!#REF!</definedName>
    <definedName name="mix_total" localSheetId="9">'[58]Input Page'!#REF!</definedName>
    <definedName name="mix_total">'[59]Input Page'!#REF!</definedName>
    <definedName name="MO">[30]DEPR96!#REF!</definedName>
    <definedName name="Mo_roll" localSheetId="17">#REF!</definedName>
    <definedName name="Mo_roll">#REF!</definedName>
    <definedName name="mode" localSheetId="17">#REF!</definedName>
    <definedName name="mode">#REF!</definedName>
    <definedName name="modelgrheader" localSheetId="9">[17]Model!$A$3</definedName>
    <definedName name="modelgrheader">[18]Model!$A$3</definedName>
    <definedName name="modelqreheader" localSheetId="9">[17]Model!$A$78</definedName>
    <definedName name="modelqreheader">[18]Model!$A$78</definedName>
    <definedName name="month" localSheetId="9">[123]RPT80MAR!$A$1:$D$77</definedName>
    <definedName name="month">[124]RPT80MAR!$A$1:$D$77</definedName>
    <definedName name="MONTH_02" localSheetId="9">#REF!</definedName>
    <definedName name="MONTH_02" localSheetId="17">#REF!</definedName>
    <definedName name="MONTH_02">#REF!</definedName>
    <definedName name="MONTH_03" localSheetId="17">#REF!</definedName>
    <definedName name="MONTH_03">#REF!</definedName>
    <definedName name="MONTH_04" localSheetId="17">#REF!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 localSheetId="9">[125]Index!$A$4</definedName>
    <definedName name="MonthDate" localSheetId="17">[126]Index!$A$4</definedName>
    <definedName name="MonthDate">[127]Index!$A$4</definedName>
    <definedName name="MONTHLY" localSheetId="9">'[120]MTHLY MEAS.'!#REF!</definedName>
    <definedName name="MONTHLY" localSheetId="17">'[121]MTHLY MEAS.'!#REF!</definedName>
    <definedName name="MONTHLY">'[122]MTHLY MEAS.'!#REF!</definedName>
    <definedName name="MONTHS">#N/A</definedName>
    <definedName name="Mortgage_Bonds__Notes___Other" localSheetId="17">#REF!</definedName>
    <definedName name="Mortgage_Bonds__Notes___Other">#REF!</definedName>
    <definedName name="MOVE">#N/A</definedName>
    <definedName name="MREV">'[41]C. Input'!$F$295</definedName>
    <definedName name="MS">'[41]C. Input'!$F$242</definedName>
    <definedName name="MTC_Amortization" localSheetId="9">'[66]JFJ-3 MTC Rate'!$A$32:$F$82</definedName>
    <definedName name="MTC_Amortization">'[67]JFJ-3 MTC Rate'!$A$32:$F$82</definedName>
    <definedName name="MTC_Type" localSheetId="9">#REF!</definedName>
    <definedName name="MTC_Type" localSheetId="17">#REF!</definedName>
    <definedName name="MTC_Type">#REF!</definedName>
    <definedName name="MTH">#N/A</definedName>
    <definedName name="N_A" localSheetId="9">'[41]C. Input'!#REF!</definedName>
    <definedName name="N_A" localSheetId="17">'[41]C. Input'!#REF!</definedName>
    <definedName name="N_A">'[41]C. Input'!#REF!</definedName>
    <definedName name="NavPane" localSheetId="9">#REF!</definedName>
    <definedName name="NavPane" localSheetId="17">#REF!</definedName>
    <definedName name="NavPane">#REF!</definedName>
    <definedName name="NCP">#N/A</definedName>
    <definedName name="NCP_1">#N/A</definedName>
    <definedName name="NCPK1">#N/A</definedName>
    <definedName name="NCPK1X" localSheetId="17">#REF!</definedName>
    <definedName name="NCPK1X">#REF!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9"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localSheetId="17" hidden="1">{#N/A,#N/A,FALSE,"O&amp;M by processes";#N/A,#N/A,FALSE,"Elec Act vs Bud";#N/A,#N/A,FALSE,"G&amp;A";#N/A,#N/A,FALSE,"BGS";#N/A,#N/A,FALSE,"Res Cost"}</definedName>
    <definedName name="new" hidden="1">{#N/A,#N/A,FALSE,"O&amp;M by processes";#N/A,#N/A,FALSE,"Elec Act vs Bud";#N/A,#N/A,FALSE,"G&amp;A";#N/A,#N/A,FALSE,"BGS";#N/A,#N/A,FALSE,"Res Cost"}</definedName>
    <definedName name="New_99_IS">'[128]2nd qtr 2000'!$A$1:$I$58,'[128]2nd qtr 2000'!$K$1:$T$58,'[128]2nd qtr 2000'!$V$1:$AI$58</definedName>
    <definedName name="New_Investments___Plant_Retirements" localSheetId="9">#REF!</definedName>
    <definedName name="New_Investments___Plant_Retirements" localSheetId="17">#REF!</definedName>
    <definedName name="New_Investments___Plant_Retirements">#REF!</definedName>
    <definedName name="NEW_YEAR" localSheetId="17">#REF!</definedName>
    <definedName name="NEW_YEAR">#REF!</definedName>
    <definedName name="NewHire">8500</definedName>
    <definedName name="NEXT_STEP" localSheetId="9">[17]Comparison!$CK$14</definedName>
    <definedName name="NEXT_STEP">[18]Comparison!$CK$14</definedName>
    <definedName name="NINE">#N/A</definedName>
    <definedName name="Node" localSheetId="9">[129]Hierarchy!$B$2:$E$16455</definedName>
    <definedName name="Node">[130]Hierarchy!$B$2:$E$16455</definedName>
    <definedName name="NoErrMsg" localSheetId="9">#REF!</definedName>
    <definedName name="NoErrMsg" localSheetId="17">#REF!</definedName>
    <definedName name="NoErrMsg">#REF!</definedName>
    <definedName name="non_cap_int" localSheetId="9">'[58]Input Page'!$E$15</definedName>
    <definedName name="non_cap_int">'[59]Input Page'!$E$15</definedName>
    <definedName name="NON_PROCESS_DETAIL" localSheetId="17">#REF!</definedName>
    <definedName name="NON_PROCESS_DETAIL">#REF!</definedName>
    <definedName name="NON_PROCESS_PRESENTATION_PAGE" localSheetId="17">#REF!</definedName>
    <definedName name="NON_PROCESS_PRESENTATION_PAGE">#REF!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9"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localSheetId="17"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'3a - Shared Revenues'!$E$58</definedName>
    <definedName name="NPPBC" localSheetId="9">#REF!</definedName>
    <definedName name="NPPBC" localSheetId="17">#REF!</definedName>
    <definedName name="NPPBC">#REF!</definedName>
    <definedName name="NTDR">'[41]C. Input'!$F$234</definedName>
    <definedName name="NTPLT">'[41]C. Input'!$F$164</definedName>
    <definedName name="NTSRR">'[41]B.2 NITS '!$P$220</definedName>
    <definedName name="Nuclear_Decommissioning" localSheetId="9">#REF!</definedName>
    <definedName name="Nuclear_Decommissioning" localSheetId="17">#REF!</definedName>
    <definedName name="Nuclear_Decommissioning">#REF!</definedName>
    <definedName name="Nuclear_Decommissioning_Trust_Funds" localSheetId="17">#REF!</definedName>
    <definedName name="Nuclear_Decommissioning_Trust_Funds">#REF!</definedName>
    <definedName name="Nuclear_Secur_Date" localSheetId="9">[39]Assumptions!$E$21</definedName>
    <definedName name="Nuclear_Secur_Date">[40]Assumptions!$E$21</definedName>
    <definedName name="NUTIL" localSheetId="17">#REF!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 localSheetId="9">[131]Sheet1!$H$75</definedName>
    <definedName name="NvsParentRef">[132]Sheet1!$H$75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'[55]Aday IS EG Subs'!#REF!</definedName>
    <definedName name="Oil___Gas_E_P_YR_2006">'[55]Aday IS EG Subs'!#REF!</definedName>
    <definedName name="Oil___Gas_E_P_YR_2007">'[55]Aday IS EG Subs'!#REF!</definedName>
    <definedName name="Oil___Gas_E_P_YR_2008">'[55]Aday IS EG Subs'!#REF!</definedName>
    <definedName name="ok">"46A77S0J3A6DMSOD9MQSK0ZYO"</definedName>
    <definedName name="OLDTOT" localSheetId="17">#REF!</definedName>
    <definedName name="OLDTOT">#REF!</definedName>
    <definedName name="one">1</definedName>
    <definedName name="Operating_Expenses_CPM" localSheetId="17">#REF!</definedName>
    <definedName name="Operating_Expenses_CPM">#REF!</definedName>
    <definedName name="Operating_Labor_in_Cost_of_Sales__Non_Reg" localSheetId="17">#REF!</definedName>
    <definedName name="Operating_Labor_in_Cost_of_Sales__Non_Reg">#REF!</definedName>
    <definedName name="Operating_Revenue_CPM">#REF!</definedName>
    <definedName name="Operation___Maintenance_CPM">#REF!</definedName>
    <definedName name="OPERATOR_ID">#REF!</definedName>
    <definedName name="OPR" localSheetId="9">'[133]Income Statement'!#REF!</definedName>
    <definedName name="OPR" localSheetId="17">'[134]Income Statement'!#REF!</definedName>
    <definedName name="OPR">'[134]Income Statement'!#REF!</definedName>
    <definedName name="ORACLE_DEPRECIATION">'[135]Agriliance-allassets'!$A$1:$EG$15622</definedName>
    <definedName name="Other_Accounts_Receivable" localSheetId="9">#REF!</definedName>
    <definedName name="Other_Accounts_Receivable" localSheetId="17">#REF!</definedName>
    <definedName name="Other_Accounts_Receivable">#REF!</definedName>
    <definedName name="Other_Adjustment" localSheetId="17">#REF!</definedName>
    <definedName name="Other_Adjustment">#REF!</definedName>
    <definedName name="OTHER_ASSETS" localSheetId="17">#REF!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'[55]Aday IS DECo &amp; Other'!#REF!</definedName>
    <definedName name="Other_EG_Reg__excl_MichCon_Util__YR_2004">'[55]Aday IS DECo &amp; Other'!#REF!</definedName>
    <definedName name="Other_EG_Reg__excl_MichCon_Util__YR_2005">'[55]Aday IS DECo &amp; Other'!#REF!</definedName>
    <definedName name="Other_EG_Reg__excl_MichCon_Util__YR_2006">'[55]Aday IS DECo &amp; Other'!#REF!</definedName>
    <definedName name="Other_EG_Reg__excl_MichCon_Util__YR_2007">'[55]Aday IS DECo &amp; Other'!#REF!</definedName>
    <definedName name="Other_EG_Reg__excl_MichCon_Util__YR_2008">'[55]Aday IS DECo &amp; Other'!#REF!</definedName>
    <definedName name="Other_Growth_YR_2003" localSheetId="17">#REF!</definedName>
    <definedName name="Other_Growth_YR_2003">#REF!</definedName>
    <definedName name="Other_Growth_YR_2004" localSheetId="17">#REF!</definedName>
    <definedName name="Other_Growth_YR_2004">#REF!</definedName>
    <definedName name="Other_Growth_YR_2005" localSheetId="17">#REF!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 localSheetId="9">'[44]Input Page'!$G$10</definedName>
    <definedName name="other_mix_cap">'[45]Input Page'!$G$10</definedName>
    <definedName name="other_mix_total" localSheetId="9">'[44]Input Page'!$G$11</definedName>
    <definedName name="other_mix_total">'[45]Input Page'!$G$11</definedName>
    <definedName name="Other_OID_CPM" localSheetId="17">#REF!</definedName>
    <definedName name="Other_OID_CPM">#REF!</definedName>
    <definedName name="Other_Operating_Expenses" localSheetId="17">#REF!</definedName>
    <definedName name="Other_Operating_Expenses">#REF!</definedName>
    <definedName name="OTHER_PLANT_RELATED_ACTIVITY" localSheetId="17">#REF!</definedName>
    <definedName name="OTHER_PLANT_RELATED_ACTIVITY">#REF!</definedName>
    <definedName name="OTHER_REPORTED_ITEMS">#REF!</definedName>
    <definedName name="Other_Temporary_Differences_CPM">#REF!</definedName>
    <definedName name="OTR_TST">'[41]A.2 PTP'!$P$129</definedName>
    <definedName name="Out_of_Balance_Condition" localSheetId="17">#REF!</definedName>
    <definedName name="Out_of_Balance_Condition">#REF!</definedName>
    <definedName name="OUT_OF_BALANCE_CONDITION___Account_Detail" localSheetId="17">#REF!</definedName>
    <definedName name="OUT_OF_BALANCE_CONDITION___Account_Detail">#REF!</definedName>
    <definedName name="Over_Recovery_of_Supply_Costs">#REF!</definedName>
    <definedName name="p" localSheetId="9">'3a - Shared Revenues'!$E$51</definedName>
    <definedName name="p" localSheetId="17">#REF!</definedName>
    <definedName name="p">#REF!</definedName>
    <definedName name="P_MACRO" localSheetId="9">#REF!</definedName>
    <definedName name="P_MACRO" localSheetId="17">#REF!</definedName>
    <definedName name="P_MACRO">#REF!</definedName>
    <definedName name="P_TYPE">#N/A</definedName>
    <definedName name="P1_STR1_S" localSheetId="9">#REF!</definedName>
    <definedName name="P1_STR1_S" localSheetId="17">#REF!</definedName>
    <definedName name="P1_STR1_S">#REF!</definedName>
    <definedName name="P2_Records" localSheetId="17">#REF!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'[136]W&amp;S by group'!#REF!</definedName>
    <definedName name="page11">'[136]W&amp;S by group'!#REF!</definedName>
    <definedName name="page12">'[136]W&amp;S by group'!#REF!</definedName>
    <definedName name="page13">'[136]W&amp;S by group'!#REF!</definedName>
    <definedName name="page14">'[136]W&amp;S by group'!#REF!</definedName>
    <definedName name="page15">'[136]W&amp;S by group'!#REF!</definedName>
    <definedName name="page16">'[136]W&amp;S by group'!#REF!</definedName>
    <definedName name="PAGE1A" localSheetId="9">#REF!</definedName>
    <definedName name="PAGE1A" localSheetId="17">#REF!</definedName>
    <definedName name="PAGE1A">#REF!</definedName>
    <definedName name="PAGE2" localSheetId="9">#REF!</definedName>
    <definedName name="PAGE2" localSheetId="17">#REF!</definedName>
    <definedName name="PAGE2">#REF!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 localSheetId="9">[76]Input!$M$24</definedName>
    <definedName name="pctHW">[77]Input!$M$24</definedName>
    <definedName name="pctSWExp" localSheetId="9">[76]Input!$M$26</definedName>
    <definedName name="pctSWExp">[77]Input!$M$26</definedName>
    <definedName name="pctTraining" localSheetId="9">[76]Input!$M$25</definedName>
    <definedName name="pctTraining">[77]Input!$M$25</definedName>
    <definedName name="pe" localSheetId="9">[17]Print!$A$2</definedName>
    <definedName name="pe">[18]Print!$A$2</definedName>
    <definedName name="PEAK">#N/A</definedName>
    <definedName name="PED" localSheetId="17">#REF!</definedName>
    <definedName name="PED">#REF!</definedName>
    <definedName name="PEOPLE" localSheetId="17">#REF!</definedName>
    <definedName name="PEOPLE">#REF!</definedName>
    <definedName name="PER" localSheetId="17">#REF!</definedName>
    <definedName name="PER">#REF!</definedName>
    <definedName name="Permanent_Differences_CPM">#REF!</definedName>
    <definedName name="PF">'[41]C. Input'!$F$35</definedName>
    <definedName name="PF_EAI">'[41]C. Input'!$I$35</definedName>
    <definedName name="PF_EGSI">'[41]C. Input'!$L$35</definedName>
    <definedName name="PF_ELI">'[41]C. Input'!$O$35</definedName>
    <definedName name="PF_EMI">'[41]C. Input'!$R$35</definedName>
    <definedName name="PF_ENOI">'[41]C. Input'!$X$35</definedName>
    <definedName name="PG3A" localSheetId="17">#REF!</definedName>
    <definedName name="PG3A">#REF!</definedName>
    <definedName name="PGAUG" localSheetId="17">#REF!</definedName>
    <definedName name="PGAUG">#REF!</definedName>
    <definedName name="pgprct" localSheetId="17">'[46]Percent Read YTD '!#REF!</definedName>
    <definedName name="pgprct">'[46]Percent Read YTD '!#REF!</definedName>
    <definedName name="PGPSA" localSheetId="9">#REF!</definedName>
    <definedName name="PGPSA" localSheetId="17">#REF!</definedName>
    <definedName name="PGPSA">#REF!</definedName>
    <definedName name="Phase" localSheetId="9">'[17]Macro Tables'!$F$21</definedName>
    <definedName name="Phase">'[18]Macro Tables'!$F$21</definedName>
    <definedName name="PHASE_HELP" localSheetId="17">#REF!</definedName>
    <definedName name="PHASE_HELP">#REF!</definedName>
    <definedName name="Pipe___Proc_Growth_YR_2003" localSheetId="17">#REF!</definedName>
    <definedName name="Pipe___Proc_Growth_YR_2003">#REF!</definedName>
    <definedName name="Pipe___Proc_Growth_YR_2004" localSheetId="17">#REF!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'[55]Aday IS EG Subs'!#REF!</definedName>
    <definedName name="Pipeline_Eliminations_YR_2006">'[55]Aday IS EG Subs'!#REF!</definedName>
    <definedName name="Pipeline_Eliminations_YR_2007">'[55]Aday IS EG Subs'!#REF!</definedName>
    <definedName name="Pipeline_Eliminations_YR_2008">'[55]Aday IS EG Subs'!#REF!</definedName>
    <definedName name="Pipeline_Parent" localSheetId="17">#REF!</definedName>
    <definedName name="Pipeline_Parent">#REF!</definedName>
    <definedName name="Pipeline_Parent_YR_2005" localSheetId="17">'[55]Aday IS EG Subs'!#REF!</definedName>
    <definedName name="Pipeline_Parent_YR_2005">'[55]Aday IS EG Subs'!#REF!</definedName>
    <definedName name="Pipeline_Parent_YR_2006" localSheetId="17">'[55]Aday IS EG Subs'!#REF!</definedName>
    <definedName name="Pipeline_Parent_YR_2006">'[55]Aday IS EG Subs'!#REF!</definedName>
    <definedName name="Pipeline_Parent_YR_2007">'[55]Aday IS EG Subs'!#REF!</definedName>
    <definedName name="Pipeline_Parent_YR_2008">'[55]Aday IS EG Subs'!#REF!</definedName>
    <definedName name="PK_1">#N/A</definedName>
    <definedName name="pla" localSheetId="17">#REF!</definedName>
    <definedName name="pla">#REF!</definedName>
    <definedName name="PLACE_HOLD" localSheetId="17">#REF!</definedName>
    <definedName name="PLACE_HOLD">#REF!</definedName>
    <definedName name="Plant___Equipment_Expenditures" localSheetId="17">#REF!</definedName>
    <definedName name="Plant___Equipment_Expenditures">#REF!</definedName>
    <definedName name="PLTDEC00" localSheetId="9">[137]PLTSTM!#REF!</definedName>
    <definedName name="PLTDEC00" localSheetId="17">[138]PLTSTM!#REF!</definedName>
    <definedName name="PLTDEC00">[138]PLTSTM!#REF!</definedName>
    <definedName name="PLTDECTK" localSheetId="9">[139]PLTSTM!#REF!</definedName>
    <definedName name="PLTDECTK" localSheetId="17">[140]PLTSTM!#REF!</definedName>
    <definedName name="PLTDECTK">[140]PLTSTM!#REF!</definedName>
    <definedName name="Portland_Pipeline" localSheetId="9">#REF!</definedName>
    <definedName name="Portland_Pipeline" localSheetId="17">#REF!</definedName>
    <definedName name="Portland_Pipeline">#REF!</definedName>
    <definedName name="Portland_Pipeline_YR_2005" localSheetId="9">'[55]Aday IS EG Subs'!#REF!</definedName>
    <definedName name="Portland_Pipeline_YR_2005" localSheetId="17">'[55]Aday IS EG Subs'!#REF!</definedName>
    <definedName name="Portland_Pipeline_YR_2005">'[55]Aday IS EG Subs'!#REF!</definedName>
    <definedName name="Portland_Pipeline_YR_2006" localSheetId="17">'[55]Aday IS EG Subs'!#REF!</definedName>
    <definedName name="Portland_Pipeline_YR_2006">'[55]Aday IS EG Subs'!#REF!</definedName>
    <definedName name="Portland_Pipeline_YR_2007" localSheetId="17">'[55]Aday IS EG Subs'!#REF!</definedName>
    <definedName name="Portland_Pipeline_YR_2007">'[55]Aday IS EG Subs'!#REF!</definedName>
    <definedName name="Portland_Pipeline_YR_2008" localSheetId="17">'[55]Aday IS EG Subs'!#REF!</definedName>
    <definedName name="Portland_Pipeline_YR_2008">'[55]Aday IS EG Subs'!#REF!</definedName>
    <definedName name="post_fossil" localSheetId="9">[66]Assumptions!$E$59</definedName>
    <definedName name="post_fossil">[67]Assumptions!$E$59</definedName>
    <definedName name="PP_E_Book_Gain__Loss" localSheetId="17">#REF!</definedName>
    <definedName name="PP_E_Book_Gain__Loss">#REF!</definedName>
    <definedName name="PP_E_Sold_Book_Basis" localSheetId="17">#REF!</definedName>
    <definedName name="PP_E_Sold_Book_Basis">#REF!</definedName>
    <definedName name="PP_E_Sold_Gross_Proceeds" localSheetId="17">#REF!</definedName>
    <definedName name="PP_E_Sold_Gross_Proceeds">#REF!</definedName>
    <definedName name="PP_E_Sold_Tax_Basis">#REF!</definedName>
    <definedName name="PP_E_Tax_Gain__Loss">#REF!</definedName>
    <definedName name="PPA" localSheetId="9">[39]Assumptions!$E$38</definedName>
    <definedName name="PPA">[40]Assumptions!$E$38</definedName>
    <definedName name="PPLT">'[41]C. Input'!$F$152</definedName>
    <definedName name="PPT">'[41]C. Input'!$F$244</definedName>
    <definedName name="PR">'[41]C. Input'!$F$25</definedName>
    <definedName name="PRDSUM" localSheetId="17">#REF!</definedName>
    <definedName name="PRDSUM">#REF!</definedName>
    <definedName name="Preferred__QUIDS___Convertibles" localSheetId="17">#REF!</definedName>
    <definedName name="Preferred__QUIDS___Convertibles">#REF!</definedName>
    <definedName name="Preferred_Debt___Convertible_Equity" localSheetId="17">#REF!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 localSheetId="9">'[66]MTC Return'!$F$18</definedName>
    <definedName name="PreTaxDebt">'[67]MTC Return'!$F$18</definedName>
    <definedName name="PRINT" localSheetId="9">#REF!</definedName>
    <definedName name="PRINT" localSheetId="17">#REF!</definedName>
    <definedName name="PRINT">#REF!</definedName>
    <definedName name="Print.selection.print" localSheetId="17">#REF!</definedName>
    <definedName name="Print.selection.print">#REF!</definedName>
    <definedName name="PRINT_1">#REF!</definedName>
    <definedName name="PRINT_2">#REF!</definedName>
    <definedName name="PRINT_3">#REF!</definedName>
    <definedName name="Print_99_IS">'[128]2nd qtr 2000'!$D$1:$I$58,'[128]2nd qtr 2000'!$N$1:$T$58,'[128]2nd qtr 2000'!$AA$1:$AH$57</definedName>
    <definedName name="_xlnm.Print_Area" localSheetId="24">'12- Depreciation Rates'!$A$1:$D$93</definedName>
    <definedName name="_xlnm.Print_Area" localSheetId="1">'1A - ADIT Summary'!$A$1:$S$223</definedName>
    <definedName name="_xlnm.Print_Area" localSheetId="3">'1C - ADIT BOY'!$A:$L</definedName>
    <definedName name="_xlnm.Print_Area" localSheetId="4">'1D - ADIT Rate Base Adjustment'!$A:$S</definedName>
    <definedName name="_xlnm.Print_Area" localSheetId="5">'1E - EDIT Amortization'!$A$1:$S$278</definedName>
    <definedName name="_xlnm.Print_Area" localSheetId="6">'1F - ADIT Remeasurement'!$A:$AI</definedName>
    <definedName name="_xlnm.Print_Area" localSheetId="8">'3 - Revenue Credits'!$A$1:$N$40</definedName>
    <definedName name="_xlnm.Print_Area" localSheetId="12">'5a Affiliate Allocations'!$A$1:$P$149</definedName>
    <definedName name="_xlnm.Print_Area" localSheetId="14">'6-Project Rev Req'!$A$1:$Q$112</definedName>
    <definedName name="_xlnm.Print_Area" localSheetId="17">'7 - Cap Add WS '!$A$1:$BH$78</definedName>
    <definedName name="_xlnm.Print_Area" localSheetId="0">'ATT H-3D'!$A:$H</definedName>
    <definedName name="_xlnm.Print_Area">#REF!</definedName>
    <definedName name="Print_Area_1" localSheetId="15">#REF!</definedName>
    <definedName name="Print_Area_1" localSheetId="16">#REF!</definedName>
    <definedName name="Print_Area_1" localSheetId="17">#REF!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'[141]TFI use'!$A$1:$P$40,'[141]TFI use'!$A$42:$P$65,'[141]TFI use'!$A$67:$R$84</definedName>
    <definedName name="_xlnm.Print_Titles" localSheetId="1">'1A - ADIT Summary'!$1:$6</definedName>
    <definedName name="Print_Titles_MI">'[142]DACTIVE$'!$A$1:$IV$4,'[142]DACTIVE$'!$A$1:$A$65536</definedName>
    <definedName name="PRINT2" localSheetId="15">#REF!</definedName>
    <definedName name="PRINT2" localSheetId="16">#REF!</definedName>
    <definedName name="PRINT2" localSheetId="17">#REF!</definedName>
    <definedName name="PRINT2">#REF!</definedName>
    <definedName name="printarea" localSheetId="17">#REF!</definedName>
    <definedName name="printarea">#REF!</definedName>
    <definedName name="PrintareaDec">'[143]kWh-Mcf'!$E$97,'[143]kWh-Mcf'!$A$81:$E$118,'[143]kWh-Mcf'!$AM$86:$AO$118</definedName>
    <definedName name="PRINTFILE" localSheetId="9">#REF!</definedName>
    <definedName name="PRINTFILE" localSheetId="17">#REF!</definedName>
    <definedName name="PRINTFILE">#REF!</definedName>
    <definedName name="printyearfrom" localSheetId="15">#REF!</definedName>
    <definedName name="printyearfrom" localSheetId="16">#REF!</definedName>
    <definedName name="printyearfrom" localSheetId="17">#REF!</definedName>
    <definedName name="printyearfrom">#REF!</definedName>
    <definedName name="printyearto" localSheetId="15">#REF!</definedName>
    <definedName name="printyearto" localSheetId="16">#REF!</definedName>
    <definedName name="printyearto" localSheetId="17">#REF!</definedName>
    <definedName name="printyearto">#REF!</definedName>
    <definedName name="PRIOR" localSheetId="15">[30]DEPR96!#REF!</definedName>
    <definedName name="PRIOR" localSheetId="16">[30]DEPR96!#REF!</definedName>
    <definedName name="PRIOR" localSheetId="17">[30]DEPR96!#REF!</definedName>
    <definedName name="PRIOR">[30]DEPR96!#REF!</definedName>
    <definedName name="Prior_Plan_Results" localSheetId="17">#REF!</definedName>
    <definedName name="Prior_Plan_Results">#REF!</definedName>
    <definedName name="Prior_Plan_Results_Year_2" localSheetId="17">#REF!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 localSheetId="9">'[44]Input Page'!$G$30</definedName>
    <definedName name="prior_year_fuel_adj">'[45]Input Page'!$G$30</definedName>
    <definedName name="Prnt_Area" localSheetId="17">#REF!</definedName>
    <definedName name="Prnt_Area">#REF!</definedName>
    <definedName name="Proc2003" localSheetId="17">#REF!</definedName>
    <definedName name="Proc2003">#REF!</definedName>
    <definedName name="Proc2004" localSheetId="17">#REF!</definedName>
    <definedName name="Proc2004">#REF!</definedName>
    <definedName name="Proc2005" localSheetId="17">#REF!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'[55]Aday IS EG Subs'!#REF!</definedName>
    <definedName name="Processing_Plants_YR_2006">'[55]Aday IS EG Subs'!#REF!</definedName>
    <definedName name="Processing_Plants_YR_2007">'[55]Aday IS EG Subs'!#REF!</definedName>
    <definedName name="Processing_Plants_YR_2008">'[55]Aday IS EG Subs'!#REF!</definedName>
    <definedName name="PROD">[30]DEPR96!#REF!</definedName>
    <definedName name="prod_depr" localSheetId="9">'[58]Input Page'!$E$17</definedName>
    <definedName name="prod_depr">'[59]Input Page'!$E$17</definedName>
    <definedName name="Prod_Num" localSheetId="9">'[133]Income Statement'!#REF!</definedName>
    <definedName name="Prod_Num" localSheetId="17">'[134]Income Statement'!#REF!</definedName>
    <definedName name="Prod_Num">'[134]Income Statement'!#REF!</definedName>
    <definedName name="profitPerCust" localSheetId="9">[76]Input!#REF!</definedName>
    <definedName name="profitPerCust" localSheetId="17">[77]Input!#REF!</definedName>
    <definedName name="profitPerCust">[77]Input!#REF!</definedName>
    <definedName name="PROJ_WOTextLen" localSheetId="17">#REF!</definedName>
    <definedName name="PROJ_WOTextLen">#REF!</definedName>
    <definedName name="Projection">'[47]Appendix A'!$H$7</definedName>
    <definedName name="PROPERTY" localSheetId="17">#REF!</definedName>
    <definedName name="PROPERTY">#REF!</definedName>
    <definedName name="Property___Equipment" localSheetId="17">#REF!</definedName>
    <definedName name="Property___Equipment">#REF!</definedName>
    <definedName name="Property___Other_Tax_CPM" localSheetId="17">#REF!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[30]DEPR96!#REF!</definedName>
    <definedName name="PTXA">[30]DEPR96!#REF!</definedName>
    <definedName name="PTXC">[30]DEPR96!#REF!</definedName>
    <definedName name="PTXDATE" localSheetId="17">#REF!</definedName>
    <definedName name="PTXDATE">#REF!</definedName>
    <definedName name="PTXYRS" localSheetId="17">[30]DEPR96!#REF!</definedName>
    <definedName name="PTXYRS">[30]DEPR96!#REF!</definedName>
    <definedName name="Purchase_Accounting_Reclass" localSheetId="17">#REF!</definedName>
    <definedName name="Purchase_Accounting_Reclass">#REF!</definedName>
    <definedName name="Purchase_Accounting_YR_2005" localSheetId="17">'[55]Aday IS DECo &amp; Other'!#REF!</definedName>
    <definedName name="Purchase_Accounting_YR_2005">'[55]Aday IS DECo &amp; Other'!#REF!</definedName>
    <definedName name="Purchase_Accounting_YR_2006" localSheetId="17">'[55]Aday IS DECo &amp; Other'!#REF!</definedName>
    <definedName name="Purchase_Accounting_YR_2006">'[55]Aday IS DECo &amp; Other'!#REF!</definedName>
    <definedName name="Purchase_Accounting_YR_2007" localSheetId="17">'[55]Aday IS DECo &amp; Other'!#REF!</definedName>
    <definedName name="Purchase_Accounting_YR_2007">'[55]Aday IS DECo &amp; Other'!#REF!</definedName>
    <definedName name="Purchase_Accounting_YR_2008" localSheetId="17">'[55]Aday IS DECo &amp; Other'!#REF!</definedName>
    <definedName name="Purchase_Accounting_YR_2008">'[55]Aday IS DECo &amp; Other'!#REF!</definedName>
    <definedName name="PXAG">'[41]C. Input'!$F$185</definedName>
    <definedName name="PXAG_561">'[41]C. Input'!#REF!</definedName>
    <definedName name="PXAG_EAI">'[41]C. Input'!#REF!</definedName>
    <definedName name="PXAG_EGSI">'[41]C. Input'!#REF!</definedName>
    <definedName name="PXAG_ELI">'[41]C. Input'!#REF!</definedName>
    <definedName name="PXAG_EMI">'[41]C. Input'!#REF!</definedName>
    <definedName name="PXAG_ENOI">'[41]C. Input'!#REF!</definedName>
    <definedName name="PXAGBAD">'[41]C. Input'!#REF!</definedName>
    <definedName name="PYTX">'[41]C. Input'!$F$220</definedName>
    <definedName name="Q" localSheetId="17">#REF!</definedName>
    <definedName name="Q">#REF!</definedName>
    <definedName name="QCDATA" localSheetId="17">#REF!</definedName>
    <definedName name="QCDATA">#REF!</definedName>
    <definedName name="QCUTIN" localSheetId="17">#REF!</definedName>
    <definedName name="QCUTIN">#REF!</definedName>
    <definedName name="QES" localSheetId="9">'[17]Gross_Rec:QRE''s'!$B$53:$N$112</definedName>
    <definedName name="QES">'[18]Gross_Rec:QRE''s'!$B$53:$N$112</definedName>
    <definedName name="QRE_HELP" localSheetId="15">#REF!</definedName>
    <definedName name="QRE_HELP" localSheetId="16">#REF!</definedName>
    <definedName name="QRE_HELP" localSheetId="17">#REF!</definedName>
    <definedName name="QRE_HELP">#REF!</definedName>
    <definedName name="QRE_MARGINS" localSheetId="15">#REF!</definedName>
    <definedName name="QRE_MARGINS" localSheetId="16">#REF!</definedName>
    <definedName name="QRE_MARGINS" localSheetId="17">#REF!</definedName>
    <definedName name="QRE_MARGINS">#REF!</definedName>
    <definedName name="QRE_SUMMARY" localSheetId="9">'[17]QRE''s'!$A$7:$R$102</definedName>
    <definedName name="QRE_SUMMARY">'[18]QRE''s'!$A$7:$R$102</definedName>
    <definedName name="qryNVPWR2002" localSheetId="17">#REF!</definedName>
    <definedName name="qryNVPWR2002">#REF!</definedName>
    <definedName name="qrySPPCO2002" localSheetId="17">#REF!</definedName>
    <definedName name="qrySPPCO2002">#REF!</definedName>
    <definedName name="qryTab7_5" localSheetId="17">#REF!</definedName>
    <definedName name="qryTab7_5">#REF!</definedName>
    <definedName name="Quarterly_Interest_Bearing_Debt__QUIDS">#REF!</definedName>
    <definedName name="Quarterly_Interest_Bearing_Debt__QUIDS__CPM">#REF!</definedName>
    <definedName name="query" localSheetId="9">'[144]Boston Edison'!$A$1:$M$3434</definedName>
    <definedName name="query">'[145]Boston Edison'!$A$1:$M$3434</definedName>
    <definedName name="qw" localSheetId="9">{"'Metretek HTML'!$A$7:$W$42"}</definedName>
    <definedName name="qw" localSheetId="15">{"'Metretek HTML'!$A$7:$W$42"}</definedName>
    <definedName name="qw" localSheetId="16">{"'Metretek HTML'!$A$7:$W$42"}</definedName>
    <definedName name="qw" localSheetId="17">{"'Metretek HTML'!$A$7:$W$42"}</definedName>
    <definedName name="qw">{"'Metretek HTML'!$A$7:$W$42"}</definedName>
    <definedName name="RA">'[41]C. Input'!$F$343</definedName>
    <definedName name="RANGE" localSheetId="17">#REF!</definedName>
    <definedName name="RANGE">#REF!</definedName>
    <definedName name="Rate_Reduction_Factor" localSheetId="17">#REF!</definedName>
    <definedName name="Rate_Reduction_Factor">#REF!</definedName>
    <definedName name="Rate_Relief">#REF!</definedName>
    <definedName name="Rate_Relief_CPM">#REF!</definedName>
    <definedName name="rate100">#REF!</definedName>
    <definedName name="rate101">#REF!</definedName>
    <definedName name="rate102">#REF!</definedName>
    <definedName name="rate103">#REF!</definedName>
    <definedName name="rate90" localSheetId="9">[17]Model!$I$175</definedName>
    <definedName name="rate90">[18]Model!$I$175</definedName>
    <definedName name="rate91" localSheetId="9">[17]Model!$J$175</definedName>
    <definedName name="rate91">[18]Model!$J$175</definedName>
    <definedName name="rate92" localSheetId="9">[17]Model!$K$175</definedName>
    <definedName name="rate92">[18]Model!$K$175</definedName>
    <definedName name="rate93" localSheetId="9">[17]Model!$L$175</definedName>
    <definedName name="rate93">[18]Model!$L$175</definedName>
    <definedName name="rate94" localSheetId="9">[17]Model!$M$175</definedName>
    <definedName name="rate94">[18]Model!$M$175</definedName>
    <definedName name="rate95" localSheetId="9">[17]Model!$N$175</definedName>
    <definedName name="rate95">[18]Model!$N$175</definedName>
    <definedName name="rate96" localSheetId="9">[17]Model!$O$175</definedName>
    <definedName name="rate96">[18]Model!$O$175</definedName>
    <definedName name="rate97" localSheetId="9">[17]Model!$P$175</definedName>
    <definedName name="rate97">[18]Model!$P$175</definedName>
    <definedName name="rate98" localSheetId="9">[17]Model!$Q$175</definedName>
    <definedName name="rate98">[18]Model!$Q$175</definedName>
    <definedName name="rate99" localSheetId="17">#REF!</definedName>
    <definedName name="rate99">#REF!</definedName>
    <definedName name="RawData" localSheetId="17">#REF!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9"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localSheetId="17"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 localSheetId="17">#REF!</definedName>
    <definedName name="RECON">#REF!</definedName>
    <definedName name="RECONCILIATION">#REF!</definedName>
    <definedName name="_xlnm.Recorder">#REF!</definedName>
    <definedName name="reduced_credit" localSheetId="9">[17]Print!$I$22</definedName>
    <definedName name="reduced_credit">[18]Print!$I$22</definedName>
    <definedName name="reduced_credit_caption" localSheetId="9">[17]Print!$G$22</definedName>
    <definedName name="reduced_credit_caption">[18]Print!$G$22</definedName>
    <definedName name="Regulatory_Assets" localSheetId="17">#REF!</definedName>
    <definedName name="Regulatory_Assets">#REF!</definedName>
    <definedName name="Regulatory_Assets_CPM" localSheetId="17">#REF!</definedName>
    <definedName name="Regulatory_Assets_CPM">#REF!</definedName>
    <definedName name="Regulatory_Liabilities" localSheetId="17">#REF!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 localSheetId="9">'[146]Employee Headcount'!$N$6:$S$803</definedName>
    <definedName name="respc">'[147]Employee Headcount'!$N$6:$S$803</definedName>
    <definedName name="Restricted_Cash" localSheetId="15">#REF!</definedName>
    <definedName name="Restricted_Cash" localSheetId="16">#REF!</definedName>
    <definedName name="Restricted_Cash" localSheetId="17">#REF!</definedName>
    <definedName name="Restricted_Cash">#REF!</definedName>
    <definedName name="Restricted_Cash_Account" localSheetId="15">#REF!</definedName>
    <definedName name="Restricted_Cash_Account" localSheetId="16">#REF!</definedName>
    <definedName name="Restricted_Cash_Account" localSheetId="17">#REF!</definedName>
    <definedName name="Restricted_Cash_Account">#REF!</definedName>
    <definedName name="Results">#REF!</definedName>
    <definedName name="retail" localSheetId="9" hidden="1">{#N/A,#N/A,FALSE,"Loans";#N/A,#N/A,FALSE,"Program Costs";#N/A,#N/A,FALSE,"Measures";#N/A,#N/A,FALSE,"Net Lost Rev";#N/A,#N/A,FALSE,"Incentive"}</definedName>
    <definedName name="retail" localSheetId="17"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9"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9"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 localSheetId="17">#REF!</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17">[30]DEPR96!#REF!</definedName>
    <definedName name="RLST">[30]DEPR96!#REF!</definedName>
    <definedName name="RPT_B" localSheetId="17">#REF!</definedName>
    <definedName name="RPT_B">#REF!</definedName>
    <definedName name="RPT_G" localSheetId="17">#REF!</definedName>
    <definedName name="RPT_G">#REF!</definedName>
    <definedName name="RPTX" localSheetId="17">#REF!</definedName>
    <definedName name="RPTX">#REF!</definedName>
    <definedName name="RRE">'[41]C. Input'!$F$207</definedName>
    <definedName name="rrrr" localSheetId="21" hidden="1">{#N/A,#N/A,FALSE,"O&amp;M by processes";#N/A,#N/A,FALSE,"Elec Act vs Bud";#N/A,#N/A,FALSE,"G&amp;A";#N/A,#N/A,FALSE,"BGS";#N/A,#N/A,FALSE,"Res Cost"}</definedName>
    <definedName name="rrrr" localSheetId="9"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'[148]Chart6-8 data'!#REF!</definedName>
    <definedName name="RSUM" localSheetId="15">#REF!</definedName>
    <definedName name="RSUM" localSheetId="16">#REF!</definedName>
    <definedName name="RSUM" localSheetId="17">#REF!</definedName>
    <definedName name="RSUM">#REF!</definedName>
    <definedName name="RTT" localSheetId="15">#REF!</definedName>
    <definedName name="RTT" localSheetId="16">#REF!</definedName>
    <definedName name="RTT" localSheetId="17">#REF!</definedName>
    <definedName name="RTT">#REF!</definedName>
    <definedName name="RTX">'[41]C. Input'!$F$222</definedName>
    <definedName name="RunDateTime" localSheetId="15">#REF!</definedName>
    <definedName name="RunDateTime" localSheetId="16">#REF!</definedName>
    <definedName name="RunDateTime" localSheetId="17">#REF!</definedName>
    <definedName name="RunDateTime">#REF!</definedName>
    <definedName name="S">'[41]C. Input'!$F$76</definedName>
    <definedName name="sample1" localSheetId="17">#REF!</definedName>
    <definedName name="sample1">#REF!</definedName>
    <definedName name="Sample2" localSheetId="17">#REF!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9"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localSheetId="17"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 localSheetId="17">#REF!</definedName>
    <definedName name="SBU_SHEET_HELP">#REF!</definedName>
    <definedName name="SCD" localSheetId="17">#REF!</definedName>
    <definedName name="SCD">#REF!</definedName>
    <definedName name="Schedule_CC1" localSheetId="9">[17]Model!$A$1:$IV$75</definedName>
    <definedName name="Schedule_CC1">[18]Model!$A$1:$IV$75</definedName>
    <definedName name="Schedule_CC2" localSheetId="9">[17]Model!$A$76:$IV$151</definedName>
    <definedName name="Schedule_CC2">[18]Model!$A$76:$IV$151</definedName>
    <definedName name="Schedule_CC3" localSheetId="9">[17]Model!$A$152:$IV$207</definedName>
    <definedName name="Schedule_CC3">[18]Model!$A$152:$IV$207</definedName>
    <definedName name="SCN" localSheetId="17">#REF!</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9"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localSheetId="17"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9"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localSheetId="17"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9"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localSheetId="17"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9"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localSheetId="17"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9"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7"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9"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localSheetId="17"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 localSheetId="17">#REF!</definedName>
    <definedName name="Section_29_Tax_Credits">#REF!</definedName>
    <definedName name="sectionNames" localSheetId="17">#REF!</definedName>
    <definedName name="sectionNames">#REF!</definedName>
    <definedName name="SECUR_GI">'[41]C. Input'!$F$353</definedName>
    <definedName name="SECUR_IS">'[41]C. Input'!$F$357</definedName>
    <definedName name="SECUR_KR">'[41]C. Input'!$F$349</definedName>
    <definedName name="Securitization_Bonds" localSheetId="17">#REF!</definedName>
    <definedName name="Securitization_Bonds">#REF!</definedName>
    <definedName name="Securitized_Bonds" localSheetId="17">#REF!</definedName>
    <definedName name="Securitized_Bonds">#REF!</definedName>
    <definedName name="Securitized_Bonds_CPM">#REF!</definedName>
    <definedName name="Securitized_Regulatory_Assets">#REF!</definedName>
    <definedName name="SELECT">#N/A</definedName>
    <definedName name="SENS_DATA_RTN" localSheetId="17">#REF!</definedName>
    <definedName name="SENS_DATA_RTN">#REF!</definedName>
    <definedName name="SENS_MESSAGE">#REF!</definedName>
    <definedName name="SENS_NET_CREDIT" localSheetId="9">[17]Sens_Model!$E$193</definedName>
    <definedName name="SENS_NET_CREDIT">[18]Sens_Model!$E$193</definedName>
    <definedName name="SEP">#N/A</definedName>
    <definedName name="SEPT" localSheetId="15">#REF!</definedName>
    <definedName name="SEPT" localSheetId="16">#REF!</definedName>
    <definedName name="SEPT" localSheetId="17">#REF!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9"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localSheetId="17"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 localSheetId="17">#REF!</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9"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localSheetId="17"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9"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localSheetId="17"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 localSheetId="17">#REF!</definedName>
    <definedName name="SFV">#REF!</definedName>
    <definedName name="shedulecc1" localSheetId="9">[17]Model!$A$1:$IV$68</definedName>
    <definedName name="shedulecc1">[18]Model!$A$1:$IV$68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9"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localSheetId="17"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9">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 localSheetId="17">Collapse_Columns</definedName>
    <definedName name="Sheet1NvsInstanceHook">Collapse_Columns</definedName>
    <definedName name="shit" localSheetId="9" hidden="1">{"PRINT",#N/A,TRUE,"APPA";"PRINT",#N/A,TRUE,"APS";"PRINT",#N/A,TRUE,"BHPL";"PRINT",#N/A,TRUE,"BHPL2";"PRINT",#N/A,TRUE,"CDWR";"PRINT",#N/A,TRUE,"EWEB";"PRINT",#N/A,TRUE,"LADWP";"PRINT",#N/A,TRUE,"NEVBASE"}</definedName>
    <definedName name="shit" localSheetId="17"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9"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T">'3a - Shared Revenues'!$E$50</definedName>
    <definedName name="SIX">#N/A</definedName>
    <definedName name="sixthyear" localSheetId="9">#REF!</definedName>
    <definedName name="sixthyear" localSheetId="17">#REF!</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9"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localSheetId="17"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 localSheetId="17">#REF!</definedName>
    <definedName name="So._Missouri">#REF!</definedName>
    <definedName name="So._Missouri_YR_2005" localSheetId="17">'[55]Aday IS EG Subs'!#REF!</definedName>
    <definedName name="So._Missouri_YR_2005">'[55]Aday IS EG Subs'!#REF!</definedName>
    <definedName name="So._Missouri_YR_2006" localSheetId="17">'[55]Aday IS EG Subs'!#REF!</definedName>
    <definedName name="So._Missouri_YR_2006">'[55]Aday IS EG Subs'!#REF!</definedName>
    <definedName name="So._Missouri_YR_2007">'[55]Aday IS EG Subs'!#REF!</definedName>
    <definedName name="So._Missouri_YR_2008">'[55]Aday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 localSheetId="17">#REF!</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 localSheetId="17">#REF!</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9">{"'Metretek HTML'!$A$7:$W$42"}</definedName>
    <definedName name="ssssssssss" localSheetId="15">{"'Metretek HTML'!$A$7:$W$42"}</definedName>
    <definedName name="ssssssssss" localSheetId="16">{"'Metretek HTML'!$A$7:$W$42"}</definedName>
    <definedName name="ssssssssss" localSheetId="17">{"'Metretek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 localSheetId="9">'[17]QRE''s'!$D$8</definedName>
    <definedName name="start84">'[18]QRE''s'!$D$8</definedName>
    <definedName name="start85" localSheetId="9">'[17]QRE''s'!$E$8</definedName>
    <definedName name="start85">'[18]QRE''s'!$E$8</definedName>
    <definedName name="start86" localSheetId="9">'[17]QRE''s'!$F$8</definedName>
    <definedName name="start86">'[18]QRE''s'!$F$8</definedName>
    <definedName name="start87" localSheetId="9">'[17]QRE''s'!$G$8</definedName>
    <definedName name="start87">'[18]QRE''s'!$G$8</definedName>
    <definedName name="start88" localSheetId="9">'[17]QRE''s'!$H$8</definedName>
    <definedName name="start88">'[18]QRE''s'!$H$8</definedName>
    <definedName name="start89" localSheetId="9">'[17]QRE''s'!$I$8</definedName>
    <definedName name="start89">'[18]QRE''s'!$I$8</definedName>
    <definedName name="start90" localSheetId="9">'[17]QRE''s'!$J$8</definedName>
    <definedName name="start90">'[18]QRE''s'!$J$8</definedName>
    <definedName name="start91" localSheetId="9">'[17]QRE''s'!$K$8</definedName>
    <definedName name="start91">'[18]QRE''s'!$K$8</definedName>
    <definedName name="start92" localSheetId="9">'[17]QRE''s'!$L$8</definedName>
    <definedName name="start92">'[18]QRE''s'!$L$8</definedName>
    <definedName name="start93" localSheetId="9">'[17]QRE''s'!$M$8</definedName>
    <definedName name="start93">'[18]QRE''s'!$M$8</definedName>
    <definedName name="start94" localSheetId="9">'[17]QRE''s'!$N$8</definedName>
    <definedName name="start94">'[18]QRE''s'!$N$8</definedName>
    <definedName name="start95" localSheetId="9">'[17]QRE''s'!$O$8</definedName>
    <definedName name="start95">'[18]QRE''s'!$O$8</definedName>
    <definedName name="start96" localSheetId="9">'[17]QRE''s'!$P$8</definedName>
    <definedName name="start96">'[18]QRE''s'!$P$8</definedName>
    <definedName name="start97" localSheetId="9">'[17]QRE''s'!$Q$8</definedName>
    <definedName name="start97">'[18]QRE''s'!$Q$8</definedName>
    <definedName name="start98" localSheetId="9">'[17]QRE''s'!$R$8</definedName>
    <definedName name="start98">'[18]QRE''s'!$R$8</definedName>
    <definedName name="start99" localSheetId="17">#REF!</definedName>
    <definedName name="start99">#REF!</definedName>
    <definedName name="STARTCR" localSheetId="17">#REF!</definedName>
    <definedName name="STARTCR">#REF!</definedName>
    <definedName name="STARTDR">#REF!</definedName>
    <definedName name="State">[149]List!$A$2:$A$53</definedName>
    <definedName name="StateDef" localSheetId="15">#REF!</definedName>
    <definedName name="StateDef" localSheetId="16">#REF!</definedName>
    <definedName name="StateDef" localSheetId="17">#REF!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9"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 localSheetId="9">'[150]Addt''l 1040 Exclusions'!$A$5:$U$44</definedName>
    <definedName name="STILL1040">'[151]Addt''l 1040 Exclusions'!$A$5:$U$44</definedName>
    <definedName name="STnabri" localSheetId="15">#REF!</definedName>
    <definedName name="STnabri" localSheetId="16">#REF!</definedName>
    <definedName name="STnabri" localSheetId="17">#REF!</definedName>
    <definedName name="STnabri">#REF!</definedName>
    <definedName name="Stor2003" localSheetId="15">#REF!</definedName>
    <definedName name="Stor2003" localSheetId="16">#REF!</definedName>
    <definedName name="Stor2003" localSheetId="17">#REF!</definedName>
    <definedName name="Stor2003">#REF!</definedName>
    <definedName name="Stor2004" localSheetId="17">#REF!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 localSheetId="9">'[58]Input Page'!$E$9</definedName>
    <definedName name="store_cap">'[59]Input Page'!$E$9</definedName>
    <definedName name="store_total" localSheetId="9">'[58]Input Page'!$E$10</definedName>
    <definedName name="store_total">'[59]Input Page'!$E$10</definedName>
    <definedName name="strat1" localSheetId="17">#REF!</definedName>
    <definedName name="strat1">#REF!</definedName>
    <definedName name="STsai" localSheetId="17">#REF!</definedName>
    <definedName name="STsai">#REF!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 localSheetId="17">#REF!</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'[55]Aday IS DECo &amp; Other'!#REF!</definedName>
    <definedName name="Subtotal_Energy_Res_Consol_YR_2006">'[55]Aday IS DECo &amp; Other'!#REF!</definedName>
    <definedName name="Subtotal_Energy_Res_Consol_YR_2007">'[55]Aday IS DECo &amp; Other'!#REF!</definedName>
    <definedName name="Subtotal_Energy_Res_Consol_YR_2008">'[55]Aday IS DECo &amp; Other'!#REF!</definedName>
    <definedName name="Subtotal_Equity" localSheetId="17">#REF!</definedName>
    <definedName name="Subtotal_Equity">#REF!</definedName>
    <definedName name="Subtotal_Funds_from_Operations" localSheetId="17">#REF!</definedName>
    <definedName name="Subtotal_Funds_from_Operations">#REF!</definedName>
    <definedName name="Subtotal_Funds_from_Operations_CPM" localSheetId="17">#REF!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 localSheetId="9">[17]Model!$A$202:$IV$207</definedName>
    <definedName name="summary_caution">[18]Model!$A$202:$IV$207</definedName>
    <definedName name="SUMMARYC" localSheetId="17">#REF!</definedName>
    <definedName name="SUMMARYC">#REF!</definedName>
    <definedName name="SUMMARYOFBOOKINCOME" localSheetId="17">#REF!</definedName>
    <definedName name="SUMMARYOFBOOKINCOME">#REF!</definedName>
    <definedName name="support" localSheetId="21" hidden="1">{#N/A,#N/A,FALSE,"O&amp;M by processes";#N/A,#N/A,FALSE,"Elec Act vs Bud";#N/A,#N/A,FALSE,"G&amp;A";#N/A,#N/A,FALSE,"BGS";#N/A,#N/A,FALSE,"Res Cost"}</definedName>
    <definedName name="support" localSheetId="9"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 localSheetId="9">'[4]Curr adj - depn basis diff'!#REF!</definedName>
    <definedName name="SUPPORTACT">'[5]Curr adj - depn basis diff'!#REF!</definedName>
    <definedName name="supporti" localSheetId="21" hidden="1">{#N/A,#N/A,FALSE,"O&amp;M by processes";#N/A,#N/A,FALSE,"Elec Act vs Bud";#N/A,#N/A,FALSE,"G&amp;A";#N/A,#N/A,FALSE,"BGS";#N/A,#N/A,FALSE,"Res Cost"}</definedName>
    <definedName name="supporti" localSheetId="9"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 localSheetId="17">#REF!</definedName>
    <definedName name="SUT">#REF!</definedName>
    <definedName name="suz">'[25]BC 2 2005BC'!#REF!</definedName>
    <definedName name="Swap_Amort" localSheetId="9">'[66]Keystone Swap Amort Sched'!$A$1:$F$241</definedName>
    <definedName name="Swap_Amort">'[67]Keystone Swap Amort Sched'!$A$1:$F$241</definedName>
    <definedName name="SWITCH" localSheetId="9">[27]Assump!#REF!</definedName>
    <definedName name="SWITCH" localSheetId="17">[3]Assump!#REF!</definedName>
    <definedName name="SWITCH">[3]Assump!#REF!</definedName>
    <definedName name="Syndeco_Realty" localSheetId="17">#REF!</definedName>
    <definedName name="Syndeco_Realty">#REF!</definedName>
    <definedName name="Syndeco_Realty_YR_2005" localSheetId="17">'[55]Aday IS DECo &amp; Other'!#REF!</definedName>
    <definedName name="Syndeco_Realty_YR_2005">'[55]Aday IS DECo &amp; Other'!#REF!</definedName>
    <definedName name="Syndeco_Realty_YR_2006" localSheetId="17">'[55]Aday IS DECo &amp; Other'!#REF!</definedName>
    <definedName name="Syndeco_Realty_YR_2006">'[55]Aday IS DECo &amp; Other'!#REF!</definedName>
    <definedName name="Syndeco_Realty_YR_2007" localSheetId="17">'[55]Aday IS DECo &amp; Other'!#REF!</definedName>
    <definedName name="Syndeco_Realty_YR_2007">'[55]Aday IS DECo &amp; Other'!#REF!</definedName>
    <definedName name="Syndeco_Realty_YR_2008" localSheetId="17">'[55]Aday IS DECo &amp; Other'!#REF!</definedName>
    <definedName name="Syndeco_Realty_YR_2008">'[55]Aday IS DECo &amp; Other'!#REF!</definedName>
    <definedName name="Synfuel_Gain__Loss__CPM" localSheetId="17">#REF!</definedName>
    <definedName name="Synfuel_Gain__Loss__CPM">#REF!</definedName>
    <definedName name="sysOpImprov" localSheetId="9">[76]Input!#REF!</definedName>
    <definedName name="sysOpImprov" localSheetId="17">[77]Input!#REF!</definedName>
    <definedName name="sysOpImprov">[77]Input!#REF!</definedName>
    <definedName name="sysOpYears" localSheetId="9">[76]Input!#REF!</definedName>
    <definedName name="sysOpYears" localSheetId="17">[77]Input!#REF!</definedName>
    <definedName name="sysOpYears">[77]Input!#REF!</definedName>
    <definedName name="t_and_d_exp" localSheetId="9">'[58]Input Page'!#REF!</definedName>
    <definedName name="t_and_d_exp" localSheetId="17">'[59]Input Page'!#REF!</definedName>
    <definedName name="t_and_d_exp">'[59]Input Page'!#REF!</definedName>
    <definedName name="TABLE" localSheetId="17">#REF!</definedName>
    <definedName name="TABLE">#REF!</definedName>
    <definedName name="TABLE_A" localSheetId="17">#REF!</definedName>
    <definedName name="TABLE_A">#REF!</definedName>
    <definedName name="TABLE_A2">#REF!</definedName>
    <definedName name="TABLE_B">#REF!</definedName>
    <definedName name="TABLE4_1">#REF!</definedName>
    <definedName name="TABLE4_2">#REF!</definedName>
    <definedName name="Tacx_Factor" localSheetId="9">[66]Assumptions!$E$52</definedName>
    <definedName name="Tacx_Factor">[67]Assumptions!$E$52</definedName>
    <definedName name="tax_base_on_inc" localSheetId="9">'[58]Input Page'!$E$14</definedName>
    <definedName name="tax_base_on_inc">'[59]Input Page'!$E$14</definedName>
    <definedName name="tax_basis" localSheetId="9">'[58]Input Page'!$E$18</definedName>
    <definedName name="tax_basis">'[59]Input Page'!$E$18</definedName>
    <definedName name="Tax_Credits_CPM" localSheetId="17">#REF!</definedName>
    <definedName name="Tax_Credits_CPM">#REF!</definedName>
    <definedName name="Tax_Rate" localSheetId="17">#REF!</definedName>
    <definedName name="Tax_Rate">#REF!</definedName>
    <definedName name="Tax1997b">#REF!</definedName>
    <definedName name="TAXES" localSheetId="17">#REF!</definedName>
    <definedName name="TAXES">#REF!</definedName>
    <definedName name="Taxrate">'[152]Case study '!$C$28</definedName>
    <definedName name="TAXREMOV" localSheetId="15">#REF!</definedName>
    <definedName name="TAXREMOV" localSheetId="16">#REF!</definedName>
    <definedName name="TAXREMOV" localSheetId="17">#REF!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 localSheetId="9">'[17]Macro Tables'!$I$5:$I$16</definedName>
    <definedName name="tblCharts">'[18]Macro Tables'!$I$5:$I$16</definedName>
    <definedName name="tblHelp" localSheetId="9">'[17]Macro Tables'!$N$5:$N$16</definedName>
    <definedName name="tblHelp">'[18]Macro Tables'!$N$5:$N$16</definedName>
    <definedName name="tblReports" localSheetId="9">'[17]Macro Tables'!$B$5:$B$16</definedName>
    <definedName name="tblReports">'[18]Macro Tables'!$B$5:$B$16</definedName>
    <definedName name="tblWorksheets" localSheetId="9">'[17]Macro Tables'!$E$5:$E$16</definedName>
    <definedName name="tblWorksheets">'[18]Macro Tables'!$E$5:$E$16</definedName>
    <definedName name="TDR_ITC">'[41]C. Input'!#REF!</definedName>
    <definedName name="TDR_TD">'[41]C. Input'!#REF!</definedName>
    <definedName name="TDRXS">'[41]C. Input'!$F$234</definedName>
    <definedName name="TDX">'[41]C. Input'!$F$304</definedName>
    <definedName name="TDX_TD">'[41]C. Input'!#REF!</definedName>
    <definedName name="TEFA" localSheetId="17">#REF!</definedName>
    <definedName name="TEFA">#REF!</definedName>
    <definedName name="Temp_Investment___Affiliate" localSheetId="17">#REF!</definedName>
    <definedName name="Temp_Investment___Affiliate">#REF!</definedName>
    <definedName name="TEN">#N/A</definedName>
    <definedName name="TEQ">'[41]C. Input'!$F$277</definedName>
    <definedName name="TEST" localSheetId="21" hidden="1">{#N/A,#N/A,FALSE,"EMPPAY"}</definedName>
    <definedName name="test" localSheetId="9">{"'Metretek HTML'!$A$7:$W$42"}</definedName>
    <definedName name="TEST" localSheetId="15" hidden="1">{#N/A,#N/A,FALSE,"EMPPAY"}</definedName>
    <definedName name="test" localSheetId="16">{"'Metretek HTML'!$A$7:$W$42"}</definedName>
    <definedName name="TEST" localSheetId="14" hidden="1">{#N/A,#N/A,FALSE,"EMPPAY"}</definedName>
    <definedName name="test" localSheetId="17">{"'Metretek HTML'!$A$7:$W$42"}</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9" hidden="1">{"LBO Summary",#N/A,FALSE,"Summary";"Income Statement",#N/A,FALSE,"Model";"Cash Flow",#N/A,FALSE,"Model";"Balance Sheet",#N/A,FALSE,"Model";"Working Capital",#N/A,FALSE,"Model";"Pro Forma Balance Sheets",#N/A,FALSE,"PFBS";"Debt Balances",#N/A,FALSE,"Model";"Fee Schedules",#N/A,FALSE,"Model"}</definedName>
    <definedName name="test10" localSheetId="17"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9" hidden="1">{"LBO Summary",#N/A,FALSE,"Summary"}</definedName>
    <definedName name="test11" localSheetId="17" hidden="1">{"LBO Summary",#N/A,FALSE,"Summary"}</definedName>
    <definedName name="test11" hidden="1">{"LBO Summary",#N/A,FALSE,"Summary"}</definedName>
    <definedName name="test12" localSheetId="9" hidden="1">{"assumptions",#N/A,FALSE,"Scenario 1";"valuation",#N/A,FALSE,"Scenario 1"}</definedName>
    <definedName name="test12" localSheetId="17" hidden="1">{"assumptions",#N/A,FALSE,"Scenario 1";"valuation",#N/A,FALSE,"Scenario 1"}</definedName>
    <definedName name="test12" hidden="1">{"assumptions",#N/A,FALSE,"Scenario 1";"valuation",#N/A,FALSE,"Scenario 1"}</definedName>
    <definedName name="test13" localSheetId="9" hidden="1">{"LBO Summary",#N/A,FALSE,"Summary"}</definedName>
    <definedName name="test13" localSheetId="17" hidden="1">{"LBO Summary",#N/A,FALSE,"Summary"}</definedName>
    <definedName name="test13" hidden="1">{"LBO Summary",#N/A,FALSE,"Summary"}</definedName>
    <definedName name="test14" localSheetId="9" hidden="1">{"LBO Summary",#N/A,FALSE,"Summary";"Income Statement",#N/A,FALSE,"Model";"Cash Flow",#N/A,FALSE,"Model";"Balance Sheet",#N/A,FALSE,"Model";"Working Capital",#N/A,FALSE,"Model";"Pro Forma Balance Sheets",#N/A,FALSE,"PFBS";"Debt Balances",#N/A,FALSE,"Model";"Fee Schedules",#N/A,FALSE,"Model"}</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9" hidden="1">{"LBO Summary",#N/A,FALSE,"Summary";"Income Statement",#N/A,FALSE,"Model";"Cash Flow",#N/A,FALSE,"Model";"Balance Sheet",#N/A,FALSE,"Model";"Working Capital",#N/A,FALSE,"Model";"Pro Forma Balance Sheets",#N/A,FALSE,"PFBS";"Debt Balances",#N/A,FALSE,"Model";"Fee Schedules",#N/A,FALSE,"Model"}</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9" hidden="1">{"LBO Summary",#N/A,FALSE,"Summary";"Income Statement",#N/A,FALSE,"Model";"Cash Flow",#N/A,FALSE,"Model";"Balance Sheet",#N/A,FALSE,"Model";"Working Capital",#N/A,FALSE,"Model";"Pro Forma Balance Sheets",#N/A,FALSE,"PFBS";"Debt Balances",#N/A,FALSE,"Model";"Fee Schedules",#N/A,FALSE,"Model"}</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 localSheetId="17">#REF!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 localSheetId="9">'[84]190100'!#REF!</definedName>
    <definedName name="TESTHKEY">'[85]190100'!#REF!</definedName>
    <definedName name="TESTKEYS" localSheetId="9">#REF!</definedName>
    <definedName name="TESTKEYS" localSheetId="17">#REF!</definedName>
    <definedName name="TESTKEYS">#REF!</definedName>
    <definedName name="TESTVKEY" localSheetId="17">#REF!</definedName>
    <definedName name="TESTVKEY">#REF!</definedName>
    <definedName name="TEXT" localSheetId="9">{"'Metretek HTML'!$A$7:$W$42"}</definedName>
    <definedName name="TEXT" localSheetId="15">{"'Metretek HTML'!$A$7:$W$42"}</definedName>
    <definedName name="TEXT" localSheetId="16">{"'Metretek HTML'!$A$7:$W$42"}</definedName>
    <definedName name="TEXT" localSheetId="17">{"'Metretek HTML'!$A$7:$W$42"}</definedName>
    <definedName name="TEXT">{"'Metretek HTML'!$A$7:$W$42"}</definedName>
    <definedName name="TextRefCopyRangeCount" hidden="1">1</definedName>
    <definedName name="thousand">1000</definedName>
    <definedName name="THREE">#N/A</definedName>
    <definedName name="TIM" localSheetId="9">[153]Comp!#REF!</definedName>
    <definedName name="TIM">[154]Comp!#REF!</definedName>
    <definedName name="Time" hidden="1">"b1"</definedName>
    <definedName name="TITLE">#REF!</definedName>
    <definedName name="TITLES" localSheetId="17">#REF!</definedName>
    <definedName name="TITLES">#REF!</definedName>
    <definedName name="TKW">'[41]C. Input'!$F$330</definedName>
    <definedName name="TKWS">'[41]C. Input'!#REF!</definedName>
    <definedName name="TL">'[41]C. Input'!$F$178</definedName>
    <definedName name="TL_561">'[41]C. Input'!#REF!</definedName>
    <definedName name="TLR_TST">'[41]A.2 PTP'!$P$91</definedName>
    <definedName name="TMRI" localSheetId="17">#REF!</definedName>
    <definedName name="TMRI">#REF!</definedName>
    <definedName name="Toggle">'[47]Appendix A'!$H$7</definedName>
    <definedName name="TOM">'[41]C. Input'!$F$270</definedName>
    <definedName name="TOM_EAI">'[41]C. Input'!#REF!</definedName>
    <definedName name="TOM_EGSI">'[41]C. Input'!#REF!</definedName>
    <definedName name="TOM_ELI">'[41]C. Input'!#REF!</definedName>
    <definedName name="TOM_EMI">'[41]C. Input'!#REF!</definedName>
    <definedName name="TOM_ENOI">'[41]C. Input'!#REF!</definedName>
    <definedName name="TOM_ICTC">'[41]C. Input'!#REF!</definedName>
    <definedName name="toma" localSheetId="21" hidden="1">{#N/A,#N/A,FALSE,"O&amp;M by processes";#N/A,#N/A,FALSE,"Elec Act vs Bud";#N/A,#N/A,FALSE,"G&amp;A";#N/A,#N/A,FALSE,"BGS";#N/A,#N/A,FALSE,"Res Cost"}</definedName>
    <definedName name="toma" localSheetId="9"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9"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9"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9"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9"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9"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9"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 localSheetId="9">'[58]Input Page'!$E$12</definedName>
    <definedName name="tot_ded">'[59]Input Page'!$E$12</definedName>
    <definedName name="total" localSheetId="17">#REF!</definedName>
    <definedName name="total">#REF!</definedName>
    <definedName name="Total_Assets" localSheetId="17">#REF!</definedName>
    <definedName name="Total_Assets">#REF!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 localSheetId="9">'[58]Input Page'!#REF!</definedName>
    <definedName name="total_mixed">'[59]Input Page'!#REF!</definedName>
    <definedName name="Total_Non_Utility_Expenditures" localSheetId="17">#REF!</definedName>
    <definedName name="Total_Non_Utility_Expenditures">#REF!</definedName>
    <definedName name="Total_Operating_Revenues" localSheetId="17">#REF!</definedName>
    <definedName name="Total_Operating_Revenues">#REF!</definedName>
    <definedName name="Total_Other_Assets" localSheetId="17">#REF!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 localSheetId="9">'[17]QRE''s'!$D$96</definedName>
    <definedName name="total84">'[18]QRE''s'!$D$96</definedName>
    <definedName name="total85" localSheetId="9">'[17]QRE''s'!$E$96</definedName>
    <definedName name="total85">'[18]QRE''s'!$E$96</definedName>
    <definedName name="total86" localSheetId="9">'[17]QRE''s'!$F$96</definedName>
    <definedName name="total86">'[18]QRE''s'!$F$96</definedName>
    <definedName name="total87" localSheetId="9">'[17]QRE''s'!$G$96</definedName>
    <definedName name="total87">'[18]QRE''s'!$G$96</definedName>
    <definedName name="total88" localSheetId="9">'[17]QRE''s'!$H$96</definedName>
    <definedName name="total88">'[18]QRE''s'!$H$96</definedName>
    <definedName name="total89" localSheetId="9">'[17]QRE''s'!$I$96</definedName>
    <definedName name="total89">'[18]QRE''s'!$I$96</definedName>
    <definedName name="total90" localSheetId="9">'[17]QRE''s'!$J$96</definedName>
    <definedName name="total90">'[18]QRE''s'!$J$96</definedName>
    <definedName name="total91" localSheetId="9">'[17]QRE''s'!$K$96</definedName>
    <definedName name="total91">'[18]QRE''s'!$K$96</definedName>
    <definedName name="total92" localSheetId="9">'[17]QRE''s'!$L$96</definedName>
    <definedName name="total92">'[18]QRE''s'!$L$96</definedName>
    <definedName name="total93" localSheetId="9">'[17]QRE''s'!$M$96</definedName>
    <definedName name="total93">'[18]QRE''s'!$M$96</definedName>
    <definedName name="total94" localSheetId="9">'[17]QRE''s'!$N$96</definedName>
    <definedName name="total94">'[18]QRE''s'!$N$96</definedName>
    <definedName name="total95" localSheetId="9">'[17]QRE''s'!$O$96</definedName>
    <definedName name="total95">'[18]QRE''s'!$O$96</definedName>
    <definedName name="total96" localSheetId="9">'[17]QRE''s'!$P$96</definedName>
    <definedName name="total96">'[18]QRE''s'!$P$96</definedName>
    <definedName name="total97" localSheetId="9">'[17]QRE''s'!$Q$96</definedName>
    <definedName name="total97">'[18]QRE''s'!$Q$96</definedName>
    <definedName name="total98" localSheetId="9">'[17]QRE''s'!$R$96</definedName>
    <definedName name="total98">'[18]QRE''s'!$R$96</definedName>
    <definedName name="total99" localSheetId="17">#REF!</definedName>
    <definedName name="total99">#REF!</definedName>
    <definedName name="TOTALACT" localSheetId="9">'[4]Curr adj - depn basis diff'!#REF!</definedName>
    <definedName name="TOTALACT" localSheetId="17">'[5]Curr adj - depn basis diff'!#REF!</definedName>
    <definedName name="TOTALACT">'[5]Curr adj - depn basis diff'!#REF!</definedName>
    <definedName name="TotalAssets" localSheetId="17">#REF!</definedName>
    <definedName name="TotalAssets">#REF!</definedName>
    <definedName name="TotalCapitalization" localSheetId="17">#REF!</definedName>
    <definedName name="TotalCapitalization">#REF!</definedName>
    <definedName name="TotalCapLiab" localSheetId="17">#REF!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 localSheetId="9">'[155]MISO Cover'!$I$193</definedName>
    <definedName name="TP">'[156]MISO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'[41]C. Input'!$F$161</definedName>
    <definedName name="TPLT_ITC">'[41]C. Input'!#REF!</definedName>
    <definedName name="TPLTXS">'[41]C. Input'!$F$164</definedName>
    <definedName name="TPR_TST">'[41]A.2 PTP'!$P$75</definedName>
    <definedName name="Trading___Mkting_Growth_YR_2003" localSheetId="17">#REF!</definedName>
    <definedName name="Trading___Mkting_Growth_YR_2003">#REF!</definedName>
    <definedName name="Trading___Mkting_Growth_YR_2004" localSheetId="17">#REF!</definedName>
    <definedName name="Trading___Mkting_Growth_YR_2004">#REF!</definedName>
    <definedName name="Trading___Mkting_Growth_YR_2005" localSheetId="17">#REF!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'[41]A.2 PTP'!$P$165</definedName>
    <definedName name="TREV">'[41]C. Input'!$F$287</definedName>
    <definedName name="True_up">'[47]Appendix A'!$H$6</definedName>
    <definedName name="Trueup" localSheetId="9">[35]December!#REF!</definedName>
    <definedName name="Trueup" localSheetId="17">[36]December!#REF!</definedName>
    <definedName name="Trueup">[36]December!#REF!</definedName>
    <definedName name="TRWP_43" localSheetId="17">#REF!</definedName>
    <definedName name="TRWP_43">#REF!</definedName>
    <definedName name="TRWP16" localSheetId="17">#REF!</definedName>
    <definedName name="TRWP16">#REF!</definedName>
    <definedName name="tsgsf">"467GDHUY063FE1Q3S2Y9KSMQ8"</definedName>
    <definedName name="TWELVE">#N/A</definedName>
    <definedName name="TWO">#N/A</definedName>
    <definedName name="TX">'[41]A.2 PTP'!$P$31</definedName>
    <definedName name="TXO">'[41]C. Input'!$F$215</definedName>
    <definedName name="TXP_TST">'[41]A.2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9"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localSheetId="17"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 localSheetId="17">#REF!</definedName>
    <definedName name="UE_IL_EZ_parcels">#REF!</definedName>
    <definedName name="Unamortized_Investment_Tax_Credit" localSheetId="17">#REF!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'[41]C. Input'!$F$337</definedName>
    <definedName name="UTIL" localSheetId="17">#REF!</definedName>
    <definedName name="UTIL">#REF!</definedName>
    <definedName name="Utility_Plant_Expenditures" localSheetId="17">#REF!</definedName>
    <definedName name="Utility_Plant_Expenditures">#REF!</definedName>
    <definedName name="Utility_Plant_Retirements__input">#REF!</definedName>
    <definedName name="UTILRANGE">#REF!</definedName>
    <definedName name="v" localSheetId="9">[157]Cover!$A$9</definedName>
    <definedName name="v">[158]Cover!$A$9</definedName>
    <definedName name="valDate">[74]Inputs!$B$1</definedName>
    <definedName name="Value" localSheetId="9" hidden="1">{"assumptions",#N/A,FALSE,"Scenario 1";"valuation",#N/A,FALSE,"Scenario 1"}</definedName>
    <definedName name="Value" localSheetId="17"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9"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localSheetId="17"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 localSheetId="17">#REF!</definedName>
    <definedName name="Vector_Pipeline">#REF!</definedName>
    <definedName name="Vector_Pipeline_YR_2005" localSheetId="17">'[55]Aday IS EG Subs'!#REF!</definedName>
    <definedName name="Vector_Pipeline_YR_2005">'[55]Aday IS EG Subs'!#REF!</definedName>
    <definedName name="Vector_Pipeline_YR_2006" localSheetId="17">'[55]Aday IS EG Subs'!#REF!</definedName>
    <definedName name="Vector_Pipeline_YR_2006">'[55]Aday IS EG Subs'!#REF!</definedName>
    <definedName name="Vector_Pipeline_YR_2007">'[55]Aday IS EG Subs'!#REF!</definedName>
    <definedName name="Vector_Pipeline_YR_2008">'[55]Aday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[159]Cover!$A$9</definedName>
    <definedName name="VSPAE">'[41]C. Input'!#REF!</definedName>
    <definedName name="VSPRB">'[41]C. Input'!#REF!</definedName>
    <definedName name="WATERACT" localSheetId="9">'[4]Curr adj - depn basis diff'!#REF!</definedName>
    <definedName name="WATERACT">'[5]Curr adj - depn basis diff'!#REF!</definedName>
    <definedName name="WCCGCR2">[148]Rates!$B$96:$C$190</definedName>
    <definedName name="we" localSheetId="9">{"'Metretek HTML'!$A$7:$W$42"}</definedName>
    <definedName name="we" localSheetId="15">{"'Metretek HTML'!$A$7:$W$42"}</definedName>
    <definedName name="we" localSheetId="16">{"'Metretek HTML'!$A$7:$W$42"}</definedName>
    <definedName name="we" localSheetId="17">{"'Metretek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9"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localSheetId="17"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'[41]A.2 PTP'!$P$282</definedName>
    <definedName name="wh" localSheetId="21" hidden="1">{#N/A,#N/A,FALSE,"O&amp;M by processes";#N/A,#N/A,FALSE,"Elec Act vs Bud";#N/A,#N/A,FALSE,"G&amp;A";#N/A,#N/A,FALSE,"BGS";#N/A,#N/A,FALSE,"Res Cost"}</definedName>
    <definedName name="wh" localSheetId="9"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9"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9"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9"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9"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9"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9"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 localSheetId="9">'[160]WO Info'!$A$1:$F$17972</definedName>
    <definedName name="WO_Description">'[161]WO Info'!$A$1:$F$17972</definedName>
    <definedName name="Work_Performed_report" localSheetId="15">#REF!</definedName>
    <definedName name="Work_Performed_report" localSheetId="16">#REF!</definedName>
    <definedName name="Work_Performed_report" localSheetId="17">#REF!</definedName>
    <definedName name="Work_Performed_report">#REF!</definedName>
    <definedName name="Working_Capital_Changes" localSheetId="15">#REF!</definedName>
    <definedName name="Working_Capital_Changes" localSheetId="16">#REF!</definedName>
    <definedName name="Working_Capital_Changes" localSheetId="17">#REF!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9"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9"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7"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9"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9"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7"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9" hidden="1">{#N/A,#N/A,FALSE,"Cover";#N/A,#N/A,FALSE,"Lead Sheet";#N/A,#N/A,FALSE,"T-Accounts";#N/A,#N/A,FALSE,"Ins &amp; Prem ActualEstimates"}</definedName>
    <definedName name="wrn.All._.Pages." localSheetId="17"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9" hidden="1">{#N/A,#N/A,FALSE,"LOCAL.XLS"}</definedName>
    <definedName name="wrn.ARKANSAS." localSheetId="17" hidden="1">{#N/A,#N/A,FALSE,"LOCAL.XLS"}</definedName>
    <definedName name="wrn.ARKANSAS." hidden="1">{#N/A,#N/A,FALSE,"LOCAL.XLS"}</definedName>
    <definedName name="wrn.ARREC." localSheetId="21" hidden="1">{#N/A,#N/A,FALSE,"ARREC"}</definedName>
    <definedName name="wrn.ARREC." localSheetId="9" hidden="1">{#N/A,#N/A,FALSE,"ARREC"}</definedName>
    <definedName name="wrn.ARREC." localSheetId="15" hidden="1">{#N/A,#N/A,FALSE,"ARREC"}</definedName>
    <definedName name="wrn.ARREC." localSheetId="16" hidden="1">{#N/A,#N/A,FALSE,"ARREC"}</definedName>
    <definedName name="wrn.ARREC." localSheetId="14" hidden="1">{#N/A,#N/A,FALSE,"ARREC"}</definedName>
    <definedName name="wrn.ARREC." localSheetId="17"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9"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9"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9"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localSheetId="17"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9"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localSheetId="17"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9"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9"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9"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localSheetId="17" hidden="1">{#N/A,#N/A,FALSE,"EMPPAY"}</definedName>
    <definedName name="wrn.EMPPAY." hidden="1">{#N/A,#N/A,FALSE,"EMPPAY"}</definedName>
    <definedName name="wrn.Factors._.Tab._.10." localSheetId="9" hidden="1">{"Factors Pages 1-2",#N/A,FALSE,"Factors";"Factors Page 3",#N/A,FALSE,"Factors";"Factors Page 4",#N/A,FALSE,"Factors";"Factors Page 5",#N/A,FALSE,"Factors";"Factors Pages 8-27",#N/A,FALSE,"Factors"}</definedName>
    <definedName name="wrn.Factors._.Tab._.10." localSheetId="17"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9"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9"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9"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localSheetId="17"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9" hidden="1">{"assumptions",#N/A,FALSE,"Scenario 1";"valuation",#N/A,FALSE,"Scenario 1"}</definedName>
    <definedName name="wrn.IPO._.Valuation." localSheetId="17" hidden="1">{"assumptions",#N/A,FALSE,"Scenario 1";"valuation",#N/A,FALSE,"Scenario 1"}</definedName>
    <definedName name="wrn.IPO._.Valuation." hidden="1">{"assumptions",#N/A,FALSE,"Scenario 1";"valuation",#N/A,FALSE,"Scenario 1"}</definedName>
    <definedName name="wrn.LBO._.Summary." localSheetId="9" hidden="1">{"LBO Summary",#N/A,FALSE,"Summary"}</definedName>
    <definedName name="wrn.LBO._.Summary." localSheetId="17" hidden="1">{"LBO Summary",#N/A,FALSE,"Summary"}</definedName>
    <definedName name="wrn.LBO._.Summary." hidden="1">{"LBO Summary",#N/A,FALSE,"Summary"}</definedName>
    <definedName name="wrn.LOUISIANA." localSheetId="9" hidden="1">{#N/A,#N/A,FALSE,"LOCAL.XLS"}</definedName>
    <definedName name="wrn.LOUISIANA." localSheetId="17" hidden="1">{#N/A,#N/A,FALSE,"LOCAL.XLS"}</definedName>
    <definedName name="wrn.LOUISIANA." hidden="1">{#N/A,#N/A,FALSE,"LOCAL.XLS"}</definedName>
    <definedName name="wrn.OR._.Carrying._.Charge._.JV." localSheetId="9"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9"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9" hidden="1">{"LBO Summary",#N/A,FALSE,"Summary";"Income Statement",#N/A,FALSE,"Model";"Cash Flow",#N/A,FALSE,"Model";"Balance Sheet",#N/A,FALSE,"Model";"Working Capital",#N/A,FALSE,"Model";"Pro Forma Balance Sheets",#N/A,FALSE,"PFBS";"Debt Balances",#N/A,FALSE,"Model";"Fee Schedules",#N/A,FALSE,"Model"}</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9"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localSheetId="17"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9"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17"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9"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localSheetId="17"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9"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9" hidden="1">{"PRINT",#N/A,TRUE,"APPA";"PRINT",#N/A,TRUE,"APS";"PRINT",#N/A,TRUE,"BHPL";"PRINT",#N/A,TRUE,"BHPL2";"PRINT",#N/A,TRUE,"CDWR";"PRINT",#N/A,TRUE,"EWEB";"PRINT",#N/A,TRUE,"LADWP";"PRINT",#N/A,TRUE,"NEVBASE"}</definedName>
    <definedName name="wrn.SALES._.VAR._.95._.BUDGET." localSheetId="17"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9" hidden="1">{#N/A,#N/A,FALSE,"AP&amp;L"}</definedName>
    <definedName name="wrn.summary." localSheetId="17" hidden="1">{#N/A,#N/A,FALSE,"AP&amp;L"}</definedName>
    <definedName name="wrn.summary." hidden="1">{#N/A,#N/A,FALSE,"AP&amp;L"}</definedName>
    <definedName name="wrn.Supporting._.Calculations." localSheetId="21" hidden="1">{#N/A,#N/A,FALSE,"Work performed";#N/A,#N/A,FALSE,"Resources"}</definedName>
    <definedName name="wrn.Supporting._.Calculations." localSheetId="9"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9"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9" hidden="1">{"Factors Pages 1-2",#N/A,FALSE,"Variables";"Factors Page 3",#N/A,FALSE,"Variables";"Factors Page 4",#N/A,FALSE,"Variables";"Factors Page 5",#N/A,FALSE,"Variables";"YE Pages 7-26",#N/A,FALSE,"Variables"}</definedName>
    <definedName name="wrn.YearEnd." localSheetId="17"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 localSheetId="9">'3a - Shared Revenues'!$E$57</definedName>
    <definedName name="WS">'[156]MISO Cover'!$I$201</definedName>
    <definedName name="xa" localSheetId="9">{"'Metretek HTML'!$A$7:$W$42"}</definedName>
    <definedName name="xa" localSheetId="15">{"'Metretek HTML'!$A$7:$W$42"}</definedName>
    <definedName name="xa" localSheetId="16">{"'Metretek HTML'!$A$7:$W$42"}</definedName>
    <definedName name="xa" localSheetId="17">{"'Metretek HTML'!$A$7:$W$42"}</definedName>
    <definedName name="xa">{"'Metretek HTML'!$A$7:$W$42"}</definedName>
    <definedName name="XLRG_GE">#REF!</definedName>
    <definedName name="XLRG_GJ">#REF!</definedName>
    <definedName name="xls" localSheetId="9">{"'Metretek HTML'!$A$7:$W$42"}</definedName>
    <definedName name="xls" localSheetId="15">{"'Metretek HTML'!$A$7:$W$42"}</definedName>
    <definedName name="xls" localSheetId="16">{"'Metretek HTML'!$A$7:$W$42"}</definedName>
    <definedName name="xls" localSheetId="17">{"'Metretek HTML'!$A$7:$W$42"}</definedName>
    <definedName name="xls">{"'Metretek HTML'!$A$7:$W$42"}</definedName>
    <definedName name="XO" localSheetId="9">{"'Metretek HTML'!$A$7:$W$42"}</definedName>
    <definedName name="XO" localSheetId="15">{"'Metretek HTML'!$A$7:$W$42"}</definedName>
    <definedName name="XO" localSheetId="16">{"'Metretek HTML'!$A$7:$W$42"}</definedName>
    <definedName name="XO" localSheetId="17">{"'Metretek HTML'!$A$7:$W$42"}</definedName>
    <definedName name="XO">{"'Metretek HTML'!$A$7:$W$42"}</definedName>
    <definedName name="xs" localSheetId="9">{"'Metretek HTML'!$A$7:$W$42"}</definedName>
    <definedName name="xs" localSheetId="15">{"'Metretek HTML'!$A$7:$W$42"}</definedName>
    <definedName name="xs" localSheetId="16">{"'Metretek HTML'!$A$7:$W$42"}</definedName>
    <definedName name="xs" localSheetId="17">{"'Metretek HTML'!$A$7:$W$42"}</definedName>
    <definedName name="xs">{"'Metretek HTML'!$A$7:$W$42"}</definedName>
    <definedName name="xTc" localSheetId="9">'[162]PMG Annual'!#REF!</definedName>
    <definedName name="xTc">'[163]PMG Annual'!#REF!</definedName>
    <definedName name="xx" localSheetId="21" hidden="1">{#N/A,#N/A,FALSE,"EMPPAY"}</definedName>
    <definedName name="xx" localSheetId="9">{"'Metretek HTML'!$A$7:$W$42"}</definedName>
    <definedName name="xx" localSheetId="15" hidden="1">{#N/A,#N/A,FALSE,"EMPPAY"}</definedName>
    <definedName name="xx" localSheetId="16">{"'Metretek HTML'!$A$7:$W$42"}</definedName>
    <definedName name="xx" localSheetId="14" hidden="1">{#N/A,#N/A,FALSE,"EMPPAY"}</definedName>
    <definedName name="xx" localSheetId="17">{"'Metretek HTML'!$A$7:$W$42"}</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9"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9"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9">{"'Metretek HTML'!$A$7:$W$42"}</definedName>
    <definedName name="xxxxxxx" localSheetId="15">{"'Metretek HTML'!$A$7:$W$42"}</definedName>
    <definedName name="xxxxxxx" localSheetId="16">{"'Metretek HTML'!$A$7:$W$42"}</definedName>
    <definedName name="xxxxxxx" localSheetId="17">{"'Metretek HTML'!$A$7:$W$42"}</definedName>
    <definedName name="xxxxxxx">{"'Metretek HTML'!$A$7:$W$42"}</definedName>
    <definedName name="XXXXXXXXXXXXXX" localSheetId="9">{"'Metretek HTML'!$A$7:$W$42"}</definedName>
    <definedName name="XXXXXXXXXXXXXX" localSheetId="15">{"'Metretek HTML'!$A$7:$W$42"}</definedName>
    <definedName name="XXXXXXXXXXXXXX" localSheetId="16">{"'Metretek HTML'!$A$7:$W$42"}</definedName>
    <definedName name="XXXXXXXXXXXXXX" localSheetId="17">{"'Metretek HTML'!$A$7:$W$42"}</definedName>
    <definedName name="XXXXXXXXXXXXXX">{"'Metretek HTML'!$A$7:$W$42"}</definedName>
    <definedName name="xy" localSheetId="9">{"'Metretek HTML'!$A$7:$W$42"}</definedName>
    <definedName name="xy" localSheetId="15">{"'Metretek HTML'!$A$7:$W$42"}</definedName>
    <definedName name="xy" localSheetId="16">{"'Metretek HTML'!$A$7:$W$42"}</definedName>
    <definedName name="xy" localSheetId="17">{"'Metretek HTML'!$A$7:$W$42"}</definedName>
    <definedName name="xy">{"'Metretek HTML'!$A$7:$W$42"}</definedName>
    <definedName name="XZ" localSheetId="9">{"'Metretek HTML'!$A$7:$W$42"}</definedName>
    <definedName name="XZ" localSheetId="15">{"'Metretek HTML'!$A$7:$W$42"}</definedName>
    <definedName name="XZ" localSheetId="16">{"'Metretek HTML'!$A$7:$W$42"}</definedName>
    <definedName name="XZ" localSheetId="17">{"'Metretek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9"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localSheetId="17"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 localSheetId="17">#REF!</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 localSheetId="9">[164]INPUTS!$C$17</definedName>
    <definedName name="YEAR1">[165]INPUTS!$C$17</definedName>
    <definedName name="yeartodate" localSheetId="9">[123]RPT80MAR!$A$84:$D$158</definedName>
    <definedName name="yeartodate">[124]RPT80MAR!$A$84:$D$158</definedName>
    <definedName name="YEDATE" localSheetId="9">#REF!</definedName>
    <definedName name="YEDATE" localSheetId="17">#REF!</definedName>
    <definedName name="YEDATE">#REF!</definedName>
    <definedName name="YR_2005" localSheetId="9">'[55]Aday IS EG Subs'!#REF!</definedName>
    <definedName name="YR_2005" localSheetId="17">'[55]Aday IS EG Subs'!#REF!</definedName>
    <definedName name="YR_2005">'[55]Aday IS EG Subs'!#REF!</definedName>
    <definedName name="YR_2006" localSheetId="9">'[55]Aday IS EG Subs'!#REF!</definedName>
    <definedName name="YR_2006" localSheetId="17">'[55]Aday IS EG Subs'!#REF!</definedName>
    <definedName name="YR_2006">'[55]Aday IS EG Subs'!#REF!</definedName>
    <definedName name="YR_2007" localSheetId="17">'[55]Aday IS EG Subs'!#REF!</definedName>
    <definedName name="YR_2007">'[55]Aday IS EG Subs'!#REF!</definedName>
    <definedName name="YR_2008" localSheetId="17">'[55]Aday IS EG Subs'!#REF!</definedName>
    <definedName name="YR_2008">'[55]Aday IS EG Subs'!#REF!</definedName>
    <definedName name="yrtm1" localSheetId="9">[17]Print!$I$31</definedName>
    <definedName name="yrtm1">[18]Print!$I$31</definedName>
    <definedName name="yrtm2" localSheetId="9">[17]Print!$G$31</definedName>
    <definedName name="yrtm2">[18]Print!$G$31</definedName>
    <definedName name="yrtm3" localSheetId="9">[17]Print!$E$31</definedName>
    <definedName name="yrtm3">[18]Print!$E$31</definedName>
    <definedName name="yrtm4" localSheetId="9">[17]Print!$C$31</definedName>
    <definedName name="yrtm4">[18]Print!$C$31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9"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localSheetId="17"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 localSheetId="17">#REF!</definedName>
    <definedName name="ytd">#REF!</definedName>
    <definedName name="yy" localSheetId="9">{"'Metretek HTML'!$A$7:$W$42"}</definedName>
    <definedName name="yy" localSheetId="15">{"'Metretek HTML'!$A$7:$W$42"}</definedName>
    <definedName name="yy" localSheetId="16">{"'Metretek HTML'!$A$7:$W$42"}</definedName>
    <definedName name="yy" localSheetId="17">{"'Metretek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9"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localSheetId="17"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17" hidden="1">'7 - Cap Add WS '!$Q:$AB</definedName>
    <definedName name="Z_28948E05_8F34_4F1E_96FB_A80A6A844600_.wvu.PrintTitles" localSheetId="17" hidden="1">'7 - Cap Add WS '!$C:$D</definedName>
    <definedName name="Z_63011E91_4609_4523_98FE_FD252E915668_.wvu.Cols" localSheetId="17" hidden="1">'7 - Cap Add WS '!$Q:$AB</definedName>
    <definedName name="Z_63011E91_4609_4523_98FE_FD252E915668_.wvu.PrintArea" localSheetId="17" hidden="1">'7 - Cap Add WS '!$C$1:$BH$80</definedName>
    <definedName name="Z_63011E91_4609_4523_98FE_FD252E915668_.wvu.PrintTitles" localSheetId="17" hidden="1">'7 - Cap Add WS '!$C:$D</definedName>
    <definedName name="Z_71B42B22_A376_44B5_B0C1_23FC1AA3DBA2_.wvu.Cols" localSheetId="17" hidden="1">'7 - Cap Add WS '!$Q:$AB</definedName>
    <definedName name="Z_71B42B22_A376_44B5_B0C1_23FC1AA3DBA2_.wvu.PrintTitles" localSheetId="17" hidden="1">'7 - Cap Add WS '!$C:$D</definedName>
    <definedName name="Z_B647CB7F_C846_4278_B6B1_1EF7F3C004F5_.wvu.Cols" localSheetId="17" hidden="1">'7 - Cap Add WS '!$Q:$AB</definedName>
    <definedName name="Z_B647CB7F_C846_4278_B6B1_1EF7F3C004F5_.wvu.PrintTitles" localSheetId="17" hidden="1">'7 - Cap Add WS '!$C:$D</definedName>
    <definedName name="Z_DC91DEF3_837B_4BB9_A81E_3B78C5914E6C_.wvu.Cols" localSheetId="17" hidden="1">'7 - Cap Add WS '!$Q:$AB</definedName>
    <definedName name="Z_DC91DEF3_837B_4BB9_A81E_3B78C5914E6C_.wvu.PrintTitles" localSheetId="17" hidden="1">'7 - Cap Add WS '!$C:$D</definedName>
    <definedName name="Z_E6D9E970_926F_4F3B_8D36_41EB74ECFD6A_.wvu.PrintArea" localSheetId="14" hidden="1">'6-Project Rev Req'!$A$1:$Q$112</definedName>
    <definedName name="Z_E6D9E970_926F_4F3B_8D36_41EB74ECFD6A_.wvu.Rows" localSheetId="11" hidden="1">'5 - Cost Support 1'!$24:$24</definedName>
    <definedName name="Z_F04A2B9A_C6FE_4FEB_AD1E_2CF9AC309BE4_.wvu.PrintArea" localSheetId="15" hidden="1">'6A-Project True-up'!$A$1:$L$18</definedName>
    <definedName name="Z_F04A2B9A_C6FE_4FEB_AD1E_2CF9AC309BE4_.wvu.PrintArea" localSheetId="14" hidden="1">'6-Project Rev Req'!$A$1:$Q$108</definedName>
    <definedName name="Z_F04A2B9A_C6FE_4FEB_AD1E_2CF9AC309BE4_.wvu.PrintArea" localSheetId="19" hidden="1">'9 - Rate Base'!$A$1:$M$49</definedName>
    <definedName name="Z_F04A2B9A_C6FE_4FEB_AD1E_2CF9AC309BE4_.wvu.PrintArea" localSheetId="20" hidden="1">'9A - Gross Plant &amp; ARO'!$A$1:$O$25</definedName>
    <definedName name="Z_FAAD9AAC_1337_43AB_BF1F_CCF9DFCF5B78_.wvu.Cols" localSheetId="17" hidden="1">'7 - Cap Add WS '!$Q:$AB</definedName>
    <definedName name="Z_FAAD9AAC_1337_43AB_BF1F_CCF9DFCF5B78_.wvu.PrintTitles" localSheetId="17" hidden="1">'7 - Cap Add WS '!$C:$D</definedName>
    <definedName name="zaph" localSheetId="15">#REF!</definedName>
    <definedName name="zaph" localSheetId="16">#REF!</definedName>
    <definedName name="zaph" localSheetId="17">#REF!</definedName>
    <definedName name="zaph">#REF!</definedName>
    <definedName name="zero">0</definedName>
    <definedName name="Zone_Inputs">'[108]Attachment O'!$I$19,'[108]Attachment O'!$I$24,'[108]Attachment O'!$D$36:$D$37,'[108]Attachment O'!$D$82:$D$86,'[108]Attachment O'!$D$90:$D$94,'[108]Attachment O'!$D$106:$D$112,'[108]Attachment O'!$D$116,'[108]Attachment O'!$D$120:$D$121,'[108]Attachment O'!$D$139:$D$146,'[108]Attachment O'!$D$150:$D$154,'[108]Attachment O'!$D$159:$D$160,'[108]Attachment O'!$D$162:$D$165,'[108]Attachment O'!$D$174,'[108]Attachment O'!$D$174,'[108]Attachment O'!$D$178,'[108]Attachment O'!$I$188,'[108]Attachment O'!$D$188,'[108]Attachment O'!$D$192,'[108]Attachment O'!$I$192,'[108]Attachment O'!$I$207:$I$208,'[108]Attachment O'!$D$214:$D$217,'[108]Attachment O'!$D$221:$D$223,'[108]Attachment O'!$I$227,'[108]Attachment O'!$I$229,'[108]Attachment O'!$I$232,'[108]Attachment O'!$D$238:$D$239,'[108]Attachment O'!$I$243,'[108]Attachment O'!$I$246:$I$249,'[108]Attachment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243" i="9" l="1"/>
  <c r="R82" i="49" l="1"/>
  <c r="L82" i="49"/>
  <c r="E135" i="50"/>
  <c r="E136" i="50"/>
  <c r="E137" i="50"/>
  <c r="E138"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Q36" i="53"/>
  <c r="Q34" i="53"/>
  <c r="O30" i="53"/>
  <c r="M30" i="53"/>
  <c r="O27" i="53"/>
  <c r="G40" i="9"/>
  <c r="G38" i="9"/>
  <c r="G37" i="9"/>
  <c r="G35" i="9"/>
  <c r="G11" i="9"/>
  <c r="G9" i="9"/>
  <c r="G8" i="9"/>
  <c r="G7" i="9"/>
  <c r="I21" i="33"/>
  <c r="G21" i="33" l="1"/>
  <c r="G16" i="33"/>
  <c r="G15" i="33"/>
  <c r="J18" i="33"/>
  <c r="G33" i="32"/>
  <c r="A33" i="32"/>
  <c r="A34" i="32" s="1"/>
  <c r="G20" i="32"/>
  <c r="F24" i="32" l="1"/>
  <c r="C62" i="13" l="1"/>
  <c r="Q243" i="9" l="1"/>
  <c r="H215" i="1" l="1"/>
  <c r="G23" i="33" l="1"/>
  <c r="I20" i="33"/>
  <c r="I18" i="33"/>
  <c r="G17" i="33"/>
  <c r="H14" i="33"/>
  <c r="G12" i="33"/>
  <c r="G11" i="33"/>
  <c r="G10" i="33"/>
  <c r="R242" i="9" l="1"/>
  <c r="H54" i="9"/>
  <c r="H52" i="9"/>
  <c r="H141" i="50" l="1"/>
  <c r="H146" i="50"/>
  <c r="H139" i="50"/>
  <c r="G141" i="50"/>
  <c r="I141" i="50"/>
  <c r="G142" i="50"/>
  <c r="H142" i="50"/>
  <c r="I142" i="50"/>
  <c r="F142" i="50"/>
  <c r="F141" i="50"/>
  <c r="G73" i="50"/>
  <c r="H73" i="50"/>
  <c r="I73" i="50"/>
  <c r="F73" i="50"/>
  <c r="H140" i="51"/>
  <c r="G141" i="51"/>
  <c r="H141" i="51"/>
  <c r="I141" i="51"/>
  <c r="F141" i="51"/>
  <c r="G140" i="51"/>
  <c r="I140" i="51"/>
  <c r="F140" i="51"/>
  <c r="G72" i="51"/>
  <c r="H72" i="51"/>
  <c r="I72" i="51"/>
  <c r="F72" i="51"/>
  <c r="G71" i="51"/>
  <c r="H71" i="51"/>
  <c r="I71" i="51"/>
  <c r="G69" i="51"/>
  <c r="H69" i="51"/>
  <c r="I69" i="51"/>
  <c r="F71" i="51"/>
  <c r="F69" i="51"/>
  <c r="E40" i="51"/>
  <c r="E41" i="51"/>
  <c r="E42" i="51"/>
  <c r="E43" i="51"/>
  <c r="E44" i="51"/>
  <c r="E45" i="51"/>
  <c r="E46" i="51"/>
  <c r="E47" i="51"/>
  <c r="E48" i="51"/>
  <c r="E49" i="51"/>
  <c r="E50" i="51"/>
  <c r="E51" i="51"/>
  <c r="E52" i="51"/>
  <c r="E53" i="51"/>
  <c r="E54" i="51"/>
  <c r="E55" i="51"/>
  <c r="E56" i="51"/>
  <c r="E57" i="51"/>
  <c r="L89" i="54"/>
  <c r="L12" i="54"/>
  <c r="L169" i="54"/>
  <c r="E26" i="5" l="1"/>
  <c r="G235" i="9"/>
  <c r="H235" i="9"/>
  <c r="H233" i="9"/>
  <c r="H231" i="9"/>
  <c r="G107" i="9"/>
  <c r="H17" i="1" l="1"/>
  <c r="H22" i="1" s="1"/>
  <c r="H13" i="1"/>
  <c r="H24" i="1" l="1"/>
  <c r="E143" i="51" l="1"/>
  <c r="E142" i="51"/>
  <c r="E137" i="51"/>
  <c r="E136" i="51"/>
  <c r="E135" i="51"/>
  <c r="E134" i="51"/>
  <c r="E133" i="51"/>
  <c r="E141" i="50"/>
  <c r="E144" i="50"/>
  <c r="E143" i="50"/>
  <c r="E134" i="50"/>
  <c r="E140" i="51" l="1"/>
  <c r="E141" i="51"/>
  <c r="E142" i="50"/>
  <c r="H75" i="12" l="1"/>
  <c r="U100" i="9" l="1"/>
  <c r="U101" i="9" s="1"/>
  <c r="U102" i="9" s="1"/>
  <c r="U103" i="9" s="1"/>
  <c r="U104" i="9" s="1"/>
  <c r="U106" i="9" s="1"/>
  <c r="T118" i="9" l="1"/>
  <c r="T119" i="9"/>
  <c r="T120" i="9"/>
  <c r="T121" i="9"/>
  <c r="T122" i="9"/>
  <c r="T123" i="9"/>
  <c r="T124" i="9"/>
  <c r="T125" i="9"/>
  <c r="T126" i="9"/>
  <c r="T127" i="9"/>
  <c r="T128" i="9"/>
  <c r="T129" i="9"/>
  <c r="T130" i="9"/>
  <c r="T131" i="9"/>
  <c r="T132" i="9"/>
  <c r="T133" i="9"/>
  <c r="H158" i="1" l="1"/>
  <c r="E208" i="51" l="1"/>
  <c r="E207" i="51"/>
  <c r="E206" i="51"/>
  <c r="E205" i="51"/>
  <c r="E204" i="51"/>
  <c r="E203" i="51"/>
  <c r="E202" i="51"/>
  <c r="E201" i="51"/>
  <c r="E158" i="51"/>
  <c r="E71" i="51"/>
  <c r="E70" i="51"/>
  <c r="E66" i="51"/>
  <c r="E65" i="51"/>
  <c r="E64" i="51"/>
  <c r="E63" i="51"/>
  <c r="E62" i="51"/>
  <c r="E61" i="51"/>
  <c r="E60" i="51"/>
  <c r="E59" i="51"/>
  <c r="E58" i="51"/>
  <c r="E39" i="51"/>
  <c r="E38" i="51"/>
  <c r="E37" i="51"/>
  <c r="E36" i="51"/>
  <c r="E72" i="51" l="1"/>
  <c r="E69" i="51"/>
  <c r="K74" i="12"/>
  <c r="K75" i="12"/>
  <c r="K73" i="12"/>
  <c r="K72" i="12"/>
  <c r="K71" i="12"/>
  <c r="K70" i="12"/>
  <c r="K69" i="12"/>
  <c r="K68" i="12"/>
  <c r="K67" i="12"/>
  <c r="K66" i="12"/>
  <c r="K65" i="12"/>
  <c r="K64" i="12"/>
  <c r="K63" i="12"/>
  <c r="M75" i="12"/>
  <c r="M74" i="12"/>
  <c r="M73" i="12"/>
  <c r="M72" i="12"/>
  <c r="M71" i="12"/>
  <c r="M70" i="12"/>
  <c r="M69" i="12"/>
  <c r="M68" i="12"/>
  <c r="M67" i="12"/>
  <c r="M66" i="12"/>
  <c r="M65" i="12"/>
  <c r="M64" i="12"/>
  <c r="M63" i="12"/>
  <c r="H74" i="12"/>
  <c r="H73" i="12"/>
  <c r="H72" i="12"/>
  <c r="H71" i="12"/>
  <c r="H70" i="12"/>
  <c r="H69" i="12"/>
  <c r="H68" i="12"/>
  <c r="H67" i="12"/>
  <c r="H66" i="12"/>
  <c r="H65" i="12"/>
  <c r="H64" i="12"/>
  <c r="H63" i="12"/>
  <c r="E75" i="12"/>
  <c r="E74" i="12"/>
  <c r="E73" i="12"/>
  <c r="E72" i="12"/>
  <c r="E71" i="12"/>
  <c r="E70" i="12"/>
  <c r="E69" i="12"/>
  <c r="E68" i="12"/>
  <c r="E67" i="12"/>
  <c r="E66" i="12"/>
  <c r="E65" i="12"/>
  <c r="E64" i="12"/>
  <c r="E63" i="12"/>
  <c r="I72" i="50" l="1"/>
  <c r="H72" i="50"/>
  <c r="F72" i="50"/>
  <c r="H70" i="50"/>
  <c r="G70" i="50"/>
  <c r="F70" i="50"/>
  <c r="P23" i="31" l="1"/>
  <c r="P22" i="31"/>
  <c r="I54" i="9" l="1"/>
  <c r="I52" i="9"/>
  <c r="I23" i="9"/>
  <c r="E304" i="50" l="1"/>
  <c r="E277" i="50" l="1"/>
  <c r="I13" i="33"/>
  <c r="G13" i="33" s="1"/>
  <c r="I253" i="9" l="1"/>
  <c r="I252" i="9"/>
  <c r="I249" i="9"/>
  <c r="E18" i="57" l="1"/>
  <c r="D18" i="57"/>
  <c r="E13" i="57"/>
  <c r="D13" i="57"/>
  <c r="E12" i="57"/>
  <c r="D12" i="57"/>
  <c r="BF77" i="57"/>
  <c r="BG76" i="57"/>
  <c r="AL68" i="57"/>
  <c r="AL69" i="57" s="1"/>
  <c r="F68" i="57"/>
  <c r="F69" i="57" s="1"/>
  <c r="BB64" i="57"/>
  <c r="BB65" i="57" s="1"/>
  <c r="AH64" i="57"/>
  <c r="AH65" i="57" s="1"/>
  <c r="D61" i="57"/>
  <c r="D63" i="57" s="1"/>
  <c r="D65" i="57" s="1"/>
  <c r="D67" i="57" s="1"/>
  <c r="D69" i="57" s="1"/>
  <c r="D71" i="57" s="1"/>
  <c r="D73" i="57" s="1"/>
  <c r="D75" i="57" s="1"/>
  <c r="C61" i="57"/>
  <c r="C63" i="57" s="1"/>
  <c r="C65" i="57" s="1"/>
  <c r="C67" i="57" s="1"/>
  <c r="C69" i="57" s="1"/>
  <c r="C71" i="57" s="1"/>
  <c r="C73" i="57" s="1"/>
  <c r="C75" i="57" s="1"/>
  <c r="A61" i="57"/>
  <c r="A62" i="57" s="1"/>
  <c r="A63" i="57" s="1"/>
  <c r="A64" i="57" s="1"/>
  <c r="A65" i="57" s="1"/>
  <c r="A66" i="57" s="1"/>
  <c r="A67" i="57" s="1"/>
  <c r="A68" i="57" s="1"/>
  <c r="A69" i="57" s="1"/>
  <c r="A70" i="57" s="1"/>
  <c r="A71" i="57" s="1"/>
  <c r="A72" i="57" s="1"/>
  <c r="A73" i="57" s="1"/>
  <c r="A74" i="57" s="1"/>
  <c r="A75" i="57" s="1"/>
  <c r="A76" i="57" s="1"/>
  <c r="A77" i="57" s="1"/>
  <c r="A78" i="57" s="1"/>
  <c r="BA60" i="57"/>
  <c r="AW60" i="57"/>
  <c r="AW61" i="57" s="1"/>
  <c r="AS60" i="57"/>
  <c r="AO60" i="57"/>
  <c r="AO61" i="57" s="1"/>
  <c r="AK60" i="57"/>
  <c r="AG60" i="57"/>
  <c r="AG61" i="57" s="1"/>
  <c r="AC60" i="57"/>
  <c r="Y60" i="57"/>
  <c r="Y61" i="57" s="1"/>
  <c r="U60" i="57"/>
  <c r="Q60" i="57"/>
  <c r="Q61" i="57" s="1"/>
  <c r="M60" i="57"/>
  <c r="I60" i="57"/>
  <c r="I61" i="57" s="1"/>
  <c r="E60" i="57"/>
  <c r="G60" i="57" s="1"/>
  <c r="D60" i="57"/>
  <c r="D62" i="57" s="1"/>
  <c r="D64" i="57" s="1"/>
  <c r="D66" i="57" s="1"/>
  <c r="D68" i="57" s="1"/>
  <c r="D70" i="57" s="1"/>
  <c r="D72" i="57" s="1"/>
  <c r="D74" i="57" s="1"/>
  <c r="C60" i="57"/>
  <c r="C62" i="57" s="1"/>
  <c r="C64" i="57" s="1"/>
  <c r="C66" i="57" s="1"/>
  <c r="C68" i="57" s="1"/>
  <c r="C70" i="57" s="1"/>
  <c r="C72" i="57" s="1"/>
  <c r="C74" i="57" s="1"/>
  <c r="A60" i="57"/>
  <c r="BE53" i="57"/>
  <c r="BF53" i="57" s="1"/>
  <c r="BE52" i="57"/>
  <c r="BG52" i="57" s="1"/>
  <c r="BF47" i="57"/>
  <c r="BG46" i="57"/>
  <c r="BF41" i="57"/>
  <c r="BG40" i="57"/>
  <c r="BF39" i="57"/>
  <c r="D39" i="57"/>
  <c r="D41" i="57" s="1"/>
  <c r="D43" i="57" s="1"/>
  <c r="D45" i="57" s="1"/>
  <c r="D47" i="57" s="1"/>
  <c r="D49" i="57" s="1"/>
  <c r="D51" i="57" s="1"/>
  <c r="D53" i="57" s="1"/>
  <c r="C39" i="57"/>
  <c r="C41" i="57" s="1"/>
  <c r="C43" i="57" s="1"/>
  <c r="C45" i="57" s="1"/>
  <c r="C47" i="57" s="1"/>
  <c r="C49" i="57" s="1"/>
  <c r="C51" i="57" s="1"/>
  <c r="C53" i="57" s="1"/>
  <c r="BG38" i="57"/>
  <c r="D38" i="57"/>
  <c r="D40" i="57" s="1"/>
  <c r="D42" i="57" s="1"/>
  <c r="D44" i="57" s="1"/>
  <c r="D46" i="57" s="1"/>
  <c r="D48" i="57" s="1"/>
  <c r="D50" i="57" s="1"/>
  <c r="D52" i="57" s="1"/>
  <c r="BF37" i="57"/>
  <c r="BG36" i="57"/>
  <c r="C36" i="57"/>
  <c r="C38" i="57" s="1"/>
  <c r="C40" i="57" s="1"/>
  <c r="C42" i="57" s="1"/>
  <c r="C44" i="57" s="1"/>
  <c r="C46" i="57" s="1"/>
  <c r="C48" i="57" s="1"/>
  <c r="C50" i="57" s="1"/>
  <c r="C52" i="57" s="1"/>
  <c r="A36" i="57"/>
  <c r="A37" i="57" s="1"/>
  <c r="A38" i="57" s="1"/>
  <c r="A39" i="57" s="1"/>
  <c r="A40" i="57" s="1"/>
  <c r="A41" i="57" s="1"/>
  <c r="A42" i="57" s="1"/>
  <c r="A43" i="57" s="1"/>
  <c r="A44" i="57" s="1"/>
  <c r="A45" i="57" s="1"/>
  <c r="A46" i="57" s="1"/>
  <c r="A47" i="57" s="1"/>
  <c r="A48" i="57" s="1"/>
  <c r="A49" i="57" s="1"/>
  <c r="A50" i="57" s="1"/>
  <c r="A51" i="57" s="1"/>
  <c r="A52" i="57" s="1"/>
  <c r="A53" i="57" s="1"/>
  <c r="A33" i="57"/>
  <c r="BA32" i="57"/>
  <c r="BB62" i="57" s="1"/>
  <c r="BB63" i="57" s="1"/>
  <c r="AW32" i="57"/>
  <c r="AX62" i="57" s="1"/>
  <c r="AX63" i="57" s="1"/>
  <c r="AS32" i="57"/>
  <c r="AT62" i="57" s="1"/>
  <c r="AT63" i="57" s="1"/>
  <c r="AO32" i="57"/>
  <c r="AP66" i="57" s="1"/>
  <c r="AP67" i="57" s="1"/>
  <c r="AK32" i="57"/>
  <c r="AL70" i="57" s="1"/>
  <c r="AL71" i="57" s="1"/>
  <c r="AG32" i="57"/>
  <c r="AC32" i="57"/>
  <c r="AD62" i="57" s="1"/>
  <c r="AD63" i="57" s="1"/>
  <c r="Y32" i="57"/>
  <c r="Z72" i="57" s="1"/>
  <c r="Z73" i="57" s="1"/>
  <c r="Q32" i="57"/>
  <c r="R72" i="57" s="1"/>
  <c r="R73" i="57" s="1"/>
  <c r="M32" i="57"/>
  <c r="N68" i="57" s="1"/>
  <c r="N69" i="57" s="1"/>
  <c r="I32" i="57"/>
  <c r="J72" i="57" s="1"/>
  <c r="J73" i="57" s="1"/>
  <c r="E32" i="57"/>
  <c r="F60" i="57" s="1"/>
  <c r="F61" i="57" s="1"/>
  <c r="U31" i="57"/>
  <c r="U32" i="57" s="1"/>
  <c r="C103" i="19"/>
  <c r="V74" i="57" l="1"/>
  <c r="V75" i="57" s="1"/>
  <c r="V66" i="57"/>
  <c r="V67" i="57" s="1"/>
  <c r="V72" i="57"/>
  <c r="V73" i="57" s="1"/>
  <c r="V68" i="57"/>
  <c r="V69" i="57" s="1"/>
  <c r="V70" i="57"/>
  <c r="V71" i="57" s="1"/>
  <c r="V64" i="57"/>
  <c r="V65" i="57" s="1"/>
  <c r="V62" i="57"/>
  <c r="V63" i="57" s="1"/>
  <c r="V60" i="57"/>
  <c r="V61" i="57" s="1"/>
  <c r="W60" i="57"/>
  <c r="AH74" i="57"/>
  <c r="AH75" i="57" s="1"/>
  <c r="AH70" i="57"/>
  <c r="AH71" i="57" s="1"/>
  <c r="AH68" i="57"/>
  <c r="AH69" i="57" s="1"/>
  <c r="J62" i="57"/>
  <c r="J63" i="57" s="1"/>
  <c r="R62" i="57"/>
  <c r="R63" i="57" s="1"/>
  <c r="Z62" i="57"/>
  <c r="Z63" i="57" s="1"/>
  <c r="AH62" i="57"/>
  <c r="AH63" i="57" s="1"/>
  <c r="AP62" i="57"/>
  <c r="AP63" i="57" s="1"/>
  <c r="Z64" i="57"/>
  <c r="Z65" i="57" s="1"/>
  <c r="J66" i="57"/>
  <c r="J67" i="57" s="1"/>
  <c r="R64" i="57"/>
  <c r="R65" i="57" s="1"/>
  <c r="AT64" i="57"/>
  <c r="AT65" i="57" s="1"/>
  <c r="Z66" i="57"/>
  <c r="Z67" i="57" s="1"/>
  <c r="N70" i="57"/>
  <c r="N71" i="57" s="1"/>
  <c r="J74" i="57"/>
  <c r="J75" i="57" s="1"/>
  <c r="J70" i="57"/>
  <c r="J71" i="57" s="1"/>
  <c r="J68" i="57"/>
  <c r="J69" i="57" s="1"/>
  <c r="AP74" i="57"/>
  <c r="AP75" i="57" s="1"/>
  <c r="AP70" i="57"/>
  <c r="AP71" i="57" s="1"/>
  <c r="AP68" i="57"/>
  <c r="AP69" i="57" s="1"/>
  <c r="N60" i="57"/>
  <c r="N61" i="57" s="1"/>
  <c r="AD60" i="57"/>
  <c r="AD61" i="57" s="1"/>
  <c r="AL60" i="57"/>
  <c r="AL61" i="57" s="1"/>
  <c r="AT60" i="57"/>
  <c r="AT61" i="57" s="1"/>
  <c r="BB60" i="57"/>
  <c r="BB61" i="57" s="1"/>
  <c r="E61" i="57"/>
  <c r="G61" i="57" s="1"/>
  <c r="E62" i="57" s="1"/>
  <c r="M61" i="57"/>
  <c r="U61" i="57"/>
  <c r="W61" i="57" s="1"/>
  <c r="U62" i="57" s="1"/>
  <c r="AC61" i="57"/>
  <c r="AE61" i="57" s="1"/>
  <c r="AC62" i="57" s="1"/>
  <c r="AK61" i="57"/>
  <c r="AS61" i="57"/>
  <c r="BA61" i="57"/>
  <c r="BC61" i="57" s="1"/>
  <c r="BA62" i="57" s="1"/>
  <c r="J64" i="57"/>
  <c r="J65" i="57" s="1"/>
  <c r="AL64" i="57"/>
  <c r="AL65" i="57" s="1"/>
  <c r="AT68" i="57"/>
  <c r="AT69" i="57" s="1"/>
  <c r="AD64" i="57"/>
  <c r="AD65" i="57" s="1"/>
  <c r="AD68" i="57"/>
  <c r="AD69" i="57" s="1"/>
  <c r="AH72" i="57"/>
  <c r="AH73" i="57" s="1"/>
  <c r="F74" i="57"/>
  <c r="F75" i="57" s="1"/>
  <c r="F66" i="57"/>
  <c r="F67" i="57" s="1"/>
  <c r="F72" i="57"/>
  <c r="F73" i="57" s="1"/>
  <c r="AL74" i="57"/>
  <c r="AL75" i="57" s="1"/>
  <c r="AL66" i="57"/>
  <c r="AL67" i="57" s="1"/>
  <c r="AL72" i="57"/>
  <c r="AL73" i="57" s="1"/>
  <c r="N74" i="57"/>
  <c r="N75" i="57" s="1"/>
  <c r="N66" i="57"/>
  <c r="N67" i="57" s="1"/>
  <c r="N72" i="57"/>
  <c r="N73" i="57" s="1"/>
  <c r="R74" i="57"/>
  <c r="R75" i="57" s="1"/>
  <c r="R70" i="57"/>
  <c r="R71" i="57" s="1"/>
  <c r="R68" i="57"/>
  <c r="R69" i="57" s="1"/>
  <c r="AX74" i="57"/>
  <c r="AX75" i="57" s="1"/>
  <c r="AX70" i="57"/>
  <c r="AX71" i="57" s="1"/>
  <c r="AX68" i="57"/>
  <c r="AX69" i="57" s="1"/>
  <c r="F62" i="57"/>
  <c r="F63" i="57" s="1"/>
  <c r="N62" i="57"/>
  <c r="N63" i="57" s="1"/>
  <c r="AL62" i="57"/>
  <c r="AL63" i="57" s="1"/>
  <c r="AX64" i="57"/>
  <c r="AX65" i="57" s="1"/>
  <c r="AP72" i="57"/>
  <c r="AP73" i="57" s="1"/>
  <c r="AD74" i="57"/>
  <c r="AD75" i="57" s="1"/>
  <c r="AD66" i="57"/>
  <c r="AD67" i="57" s="1"/>
  <c r="AD72" i="57"/>
  <c r="AD73" i="57" s="1"/>
  <c r="AD70" i="57"/>
  <c r="AD71" i="57" s="1"/>
  <c r="AT70" i="57"/>
  <c r="AT71" i="57" s="1"/>
  <c r="AT74" i="57"/>
  <c r="AT75" i="57" s="1"/>
  <c r="AT66" i="57"/>
  <c r="AT67" i="57" s="1"/>
  <c r="AT72" i="57"/>
  <c r="AT73" i="57" s="1"/>
  <c r="BB70" i="57"/>
  <c r="BB71" i="57" s="1"/>
  <c r="BB74" i="57"/>
  <c r="BB75" i="57" s="1"/>
  <c r="BB66" i="57"/>
  <c r="BB67" i="57" s="1"/>
  <c r="BB72" i="57"/>
  <c r="BB73" i="57" s="1"/>
  <c r="N64" i="57"/>
  <c r="N65" i="57" s="1"/>
  <c r="R66" i="57"/>
  <c r="R67" i="57" s="1"/>
  <c r="AH66" i="57"/>
  <c r="AH67" i="57" s="1"/>
  <c r="AX66" i="57"/>
  <c r="AX67" i="57" s="1"/>
  <c r="BB68" i="57"/>
  <c r="BB69" i="57" s="1"/>
  <c r="AX72" i="57"/>
  <c r="AX73" i="57" s="1"/>
  <c r="Z74" i="57"/>
  <c r="Z75" i="57" s="1"/>
  <c r="Z70" i="57"/>
  <c r="Z71" i="57" s="1"/>
  <c r="Z68" i="57"/>
  <c r="Z69" i="57" s="1"/>
  <c r="J60" i="57"/>
  <c r="R60" i="57"/>
  <c r="Z60" i="57"/>
  <c r="AH60" i="57"/>
  <c r="AP60" i="57"/>
  <c r="AX60" i="57"/>
  <c r="F64" i="57"/>
  <c r="F65" i="57" s="1"/>
  <c r="AP64" i="57"/>
  <c r="AP65" i="57" s="1"/>
  <c r="F70" i="57"/>
  <c r="F71" i="57" s="1"/>
  <c r="AU61" i="57" l="1"/>
  <c r="AS62" i="57" s="1"/>
  <c r="AI60" i="57"/>
  <c r="AH61" i="57"/>
  <c r="AI61" i="57" s="1"/>
  <c r="AG62" i="57" s="1"/>
  <c r="AM61" i="57"/>
  <c r="AK62" i="57" s="1"/>
  <c r="AU60" i="57"/>
  <c r="AE62" i="57"/>
  <c r="AC63" i="57"/>
  <c r="AE63" i="57" s="1"/>
  <c r="AC64" i="57" s="1"/>
  <c r="O60" i="57"/>
  <c r="AX61" i="57"/>
  <c r="AY61" i="57" s="1"/>
  <c r="AW62" i="57" s="1"/>
  <c r="AY60" i="57"/>
  <c r="BC62" i="57"/>
  <c r="BA63" i="57"/>
  <c r="BC63" i="57" s="1"/>
  <c r="BA64" i="57" s="1"/>
  <c r="W62" i="57"/>
  <c r="U63" i="57"/>
  <c r="W63" i="57" s="1"/>
  <c r="U64" i="57" s="1"/>
  <c r="Z61" i="57"/>
  <c r="AA61" i="57" s="1"/>
  <c r="Y62" i="57" s="1"/>
  <c r="AA60" i="57"/>
  <c r="S60" i="57"/>
  <c r="R61" i="57"/>
  <c r="S61" i="57" s="1"/>
  <c r="Q62" i="57" s="1"/>
  <c r="K60" i="57"/>
  <c r="J61" i="57"/>
  <c r="K61" i="57" s="1"/>
  <c r="I62" i="57" s="1"/>
  <c r="O61" i="57"/>
  <c r="M62" i="57" s="1"/>
  <c r="AM60" i="57"/>
  <c r="G62" i="57"/>
  <c r="E63" i="57"/>
  <c r="G63" i="57" s="1"/>
  <c r="E64" i="57" s="1"/>
  <c r="AE60" i="57"/>
  <c r="AQ60" i="57"/>
  <c r="AP61" i="57"/>
  <c r="AQ61" i="57" s="1"/>
  <c r="AO62" i="57" s="1"/>
  <c r="BC60" i="57"/>
  <c r="W64" i="57" l="1"/>
  <c r="U65" i="57"/>
  <c r="W65" i="57" s="1"/>
  <c r="U66" i="57" s="1"/>
  <c r="AE64" i="57"/>
  <c r="AC65" i="57"/>
  <c r="AE65" i="57" s="1"/>
  <c r="AC66" i="57" s="1"/>
  <c r="AQ62" i="57"/>
  <c r="AO63" i="57"/>
  <c r="AQ63" i="57" s="1"/>
  <c r="K62" i="57"/>
  <c r="I63" i="57"/>
  <c r="K63" i="57" s="1"/>
  <c r="BA65" i="57"/>
  <c r="BC65" i="57" s="1"/>
  <c r="BA66" i="57" s="1"/>
  <c r="BC64" i="57"/>
  <c r="AM62" i="57"/>
  <c r="AK63" i="57"/>
  <c r="AM63" i="57" s="1"/>
  <c r="S62" i="57"/>
  <c r="Q63" i="57"/>
  <c r="S63" i="57" s="1"/>
  <c r="AI62" i="57"/>
  <c r="AG63" i="57"/>
  <c r="AI63" i="57" s="1"/>
  <c r="AA62" i="57"/>
  <c r="Y63" i="57"/>
  <c r="AA63" i="57" s="1"/>
  <c r="Y64" i="57" s="1"/>
  <c r="O62" i="57"/>
  <c r="M63" i="57"/>
  <c r="O63" i="57" s="1"/>
  <c r="E65" i="57"/>
  <c r="G65" i="57" s="1"/>
  <c r="G64" i="57"/>
  <c r="AY62" i="57"/>
  <c r="AW63" i="57"/>
  <c r="AY63" i="57" s="1"/>
  <c r="AU62" i="57"/>
  <c r="AS63" i="57"/>
  <c r="AU63" i="57" s="1"/>
  <c r="I233" i="9"/>
  <c r="F43" i="18" s="1"/>
  <c r="I236" i="9"/>
  <c r="E43" i="18" s="1"/>
  <c r="I235" i="9"/>
  <c r="E23" i="18" s="1"/>
  <c r="I234" i="9"/>
  <c r="D23" i="18" s="1"/>
  <c r="I232" i="9"/>
  <c r="C43" i="18" s="1"/>
  <c r="I231" i="9"/>
  <c r="C23" i="18" s="1"/>
  <c r="H51" i="18"/>
  <c r="G51" i="18"/>
  <c r="Y65" i="57" l="1"/>
  <c r="AA65" i="57" s="1"/>
  <c r="AA64" i="57"/>
  <c r="BA67" i="57"/>
  <c r="BC67" i="57" s="1"/>
  <c r="BC66" i="57"/>
  <c r="AC67" i="57"/>
  <c r="AE67" i="57" s="1"/>
  <c r="AE66" i="57"/>
  <c r="AW64" i="57"/>
  <c r="Q64" i="57"/>
  <c r="I64" i="57"/>
  <c r="AG64" i="57"/>
  <c r="E66" i="57"/>
  <c r="U67" i="57"/>
  <c r="W67" i="57" s="1"/>
  <c r="W66" i="57"/>
  <c r="AS64" i="57"/>
  <c r="M64" i="57"/>
  <c r="AK64" i="57"/>
  <c r="AO64" i="57"/>
  <c r="F166" i="49"/>
  <c r="F165" i="49"/>
  <c r="F164" i="49" s="1"/>
  <c r="F163" i="49" s="1"/>
  <c r="F162" i="49" s="1"/>
  <c r="F161" i="49" s="1"/>
  <c r="F131" i="49"/>
  <c r="F130" i="49"/>
  <c r="F129" i="49" s="1"/>
  <c r="F128" i="49" s="1"/>
  <c r="F127" i="49" s="1"/>
  <c r="F126" i="49" s="1"/>
  <c r="F96" i="49"/>
  <c r="F95" i="49" s="1"/>
  <c r="F94" i="49" s="1"/>
  <c r="F93" i="49" s="1"/>
  <c r="F92" i="49" s="1"/>
  <c r="F91" i="49" s="1"/>
  <c r="F61" i="49"/>
  <c r="F60" i="49"/>
  <c r="F59" i="49" s="1"/>
  <c r="F58" i="49" s="1"/>
  <c r="F57" i="49" s="1"/>
  <c r="F56" i="49" s="1"/>
  <c r="F26" i="49"/>
  <c r="F25" i="49" s="1"/>
  <c r="F24" i="49" s="1"/>
  <c r="F23" i="49" s="1"/>
  <c r="F22" i="49" s="1"/>
  <c r="F21" i="49" s="1"/>
  <c r="N174" i="49"/>
  <c r="J174" i="49"/>
  <c r="N170" i="49"/>
  <c r="J170" i="49"/>
  <c r="N154" i="49"/>
  <c r="J154" i="49"/>
  <c r="N152" i="49"/>
  <c r="J152" i="49"/>
  <c r="N139" i="49"/>
  <c r="N135" i="49"/>
  <c r="J139" i="49"/>
  <c r="J135" i="49"/>
  <c r="N119" i="49"/>
  <c r="N117" i="49"/>
  <c r="J119" i="49"/>
  <c r="J117" i="49"/>
  <c r="N104" i="49"/>
  <c r="J104" i="49"/>
  <c r="N100" i="49"/>
  <c r="J100" i="49"/>
  <c r="N84" i="49"/>
  <c r="N82" i="49"/>
  <c r="J84" i="49"/>
  <c r="J82" i="49"/>
  <c r="N69" i="49"/>
  <c r="J69" i="49"/>
  <c r="N65" i="49"/>
  <c r="J65" i="49"/>
  <c r="N49" i="49"/>
  <c r="N47" i="49"/>
  <c r="J49" i="49"/>
  <c r="J47" i="49"/>
  <c r="N34" i="49"/>
  <c r="J34" i="49"/>
  <c r="N30" i="49"/>
  <c r="J30" i="49"/>
  <c r="E73" i="50"/>
  <c r="E72" i="50"/>
  <c r="E71" i="50"/>
  <c r="E70" i="50"/>
  <c r="E302" i="51"/>
  <c r="E275" i="51"/>
  <c r="E138" i="51"/>
  <c r="F138" i="51"/>
  <c r="F145" i="51" s="1"/>
  <c r="G138" i="51"/>
  <c r="H138" i="51"/>
  <c r="I138" i="51"/>
  <c r="E94" i="51"/>
  <c r="F94" i="51"/>
  <c r="G94" i="51"/>
  <c r="H94" i="51"/>
  <c r="I94" i="51"/>
  <c r="F321" i="51"/>
  <c r="G320" i="51"/>
  <c r="H319" i="51"/>
  <c r="I318" i="51"/>
  <c r="F294" i="51"/>
  <c r="G293" i="51"/>
  <c r="H292" i="51"/>
  <c r="I291" i="51"/>
  <c r="F247" i="51"/>
  <c r="G246" i="51"/>
  <c r="H245" i="51"/>
  <c r="I244" i="51"/>
  <c r="F221" i="51"/>
  <c r="G220" i="51"/>
  <c r="H219" i="51"/>
  <c r="I218" i="51"/>
  <c r="F174" i="51"/>
  <c r="G173" i="51"/>
  <c r="H172" i="51"/>
  <c r="I171" i="51"/>
  <c r="F150" i="51"/>
  <c r="G149" i="51"/>
  <c r="H148" i="51"/>
  <c r="I147" i="51"/>
  <c r="I103" i="51"/>
  <c r="H104" i="51"/>
  <c r="G105" i="51"/>
  <c r="F106" i="51"/>
  <c r="I67" i="51"/>
  <c r="H67" i="51"/>
  <c r="G67" i="51"/>
  <c r="F67" i="51"/>
  <c r="R67" i="52"/>
  <c r="F217" i="52"/>
  <c r="F216" i="52"/>
  <c r="F215" i="52"/>
  <c r="F214" i="52" s="1"/>
  <c r="F213" i="52" s="1"/>
  <c r="F212" i="52" s="1"/>
  <c r="F182" i="52"/>
  <c r="F181" i="52" s="1"/>
  <c r="F180" i="52" s="1"/>
  <c r="F179" i="52" s="1"/>
  <c r="F178" i="52" s="1"/>
  <c r="F177" i="52" s="1"/>
  <c r="F147" i="52"/>
  <c r="F146" i="52" s="1"/>
  <c r="F145" i="52" s="1"/>
  <c r="F144" i="52" s="1"/>
  <c r="F143" i="52" s="1"/>
  <c r="F142" i="52" s="1"/>
  <c r="F98" i="52"/>
  <c r="F97" i="52"/>
  <c r="F96" i="52" s="1"/>
  <c r="F95" i="52" s="1"/>
  <c r="F94" i="52" s="1"/>
  <c r="F93" i="52" s="1"/>
  <c r="F63" i="52"/>
  <c r="F62" i="52" s="1"/>
  <c r="F61" i="52" s="1"/>
  <c r="F60" i="52" s="1"/>
  <c r="F59" i="52" s="1"/>
  <c r="F58" i="52" s="1"/>
  <c r="F28" i="52"/>
  <c r="F27" i="52" s="1"/>
  <c r="F26" i="52" s="1"/>
  <c r="F25" i="52" s="1"/>
  <c r="F24" i="52" s="1"/>
  <c r="F23" i="52" s="1"/>
  <c r="R14" i="52"/>
  <c r="N225" i="52"/>
  <c r="J225" i="52"/>
  <c r="N221" i="52"/>
  <c r="J221" i="52"/>
  <c r="N205" i="52"/>
  <c r="J205" i="52"/>
  <c r="N203" i="52"/>
  <c r="J203" i="52"/>
  <c r="N190" i="52"/>
  <c r="J190" i="52"/>
  <c r="N186" i="52"/>
  <c r="J186" i="52"/>
  <c r="N170" i="52"/>
  <c r="J170" i="52"/>
  <c r="N168" i="52"/>
  <c r="J168" i="52"/>
  <c r="N155" i="52"/>
  <c r="J155" i="52"/>
  <c r="N151" i="52"/>
  <c r="J151" i="52"/>
  <c r="N135" i="52"/>
  <c r="N133" i="52"/>
  <c r="J135" i="52"/>
  <c r="J133" i="52"/>
  <c r="J106" i="52"/>
  <c r="J102" i="52"/>
  <c r="N106" i="52"/>
  <c r="N102" i="52"/>
  <c r="N86" i="52"/>
  <c r="N84" i="52"/>
  <c r="J86" i="52"/>
  <c r="J84" i="52"/>
  <c r="N71" i="52"/>
  <c r="N67" i="52"/>
  <c r="J71" i="52"/>
  <c r="J67" i="52"/>
  <c r="J49" i="52"/>
  <c r="J51" i="52"/>
  <c r="N51" i="52"/>
  <c r="N49" i="52"/>
  <c r="N36" i="52"/>
  <c r="N32" i="52"/>
  <c r="J36" i="52"/>
  <c r="J32" i="52"/>
  <c r="E203" i="50" l="1"/>
  <c r="E159" i="50"/>
  <c r="E207" i="50"/>
  <c r="E209" i="50"/>
  <c r="AQ64" i="57"/>
  <c r="AO65" i="57"/>
  <c r="AQ65" i="57" s="1"/>
  <c r="BA68" i="57"/>
  <c r="K64" i="57"/>
  <c r="I65" i="57"/>
  <c r="K65" i="57" s="1"/>
  <c r="U68" i="57"/>
  <c r="Q65" i="57"/>
  <c r="S65" i="57" s="1"/>
  <c r="S64" i="57"/>
  <c r="AS65" i="57"/>
  <c r="AU65" i="57" s="1"/>
  <c r="AU64" i="57"/>
  <c r="AK65" i="57"/>
  <c r="AM65" i="57" s="1"/>
  <c r="AM64" i="57"/>
  <c r="E67" i="57"/>
  <c r="G67" i="57" s="1"/>
  <c r="G66" i="57"/>
  <c r="O64" i="57"/>
  <c r="M65" i="57"/>
  <c r="O65" i="57" s="1"/>
  <c r="AY64" i="57"/>
  <c r="AW65" i="57"/>
  <c r="AY65" i="57" s="1"/>
  <c r="AG65" i="57"/>
  <c r="AI65" i="57" s="1"/>
  <c r="AI64" i="57"/>
  <c r="Y66" i="57"/>
  <c r="AC68" i="57"/>
  <c r="E205" i="50"/>
  <c r="E202" i="50"/>
  <c r="E206" i="50"/>
  <c r="E208" i="50"/>
  <c r="E210" i="50"/>
  <c r="E204" i="50"/>
  <c r="E36" i="50"/>
  <c r="H145" i="51"/>
  <c r="H151" i="51" s="1"/>
  <c r="I145" i="51"/>
  <c r="I151" i="51" s="1"/>
  <c r="G145" i="51"/>
  <c r="G151" i="51" s="1"/>
  <c r="E145" i="51"/>
  <c r="F151" i="51"/>
  <c r="E67" i="51"/>
  <c r="Q55" i="53"/>
  <c r="Q54" i="53"/>
  <c r="Q53" i="53"/>
  <c r="Q52" i="53"/>
  <c r="Q238" i="53"/>
  <c r="M238" i="53"/>
  <c r="Q224" i="53"/>
  <c r="M224" i="53"/>
  <c r="Q206" i="53"/>
  <c r="M206" i="53"/>
  <c r="Q170" i="53"/>
  <c r="M170" i="53"/>
  <c r="Q134" i="53"/>
  <c r="M134" i="53"/>
  <c r="Q119" i="53"/>
  <c r="M119" i="53"/>
  <c r="Q101" i="53"/>
  <c r="M101" i="53"/>
  <c r="Q65" i="53"/>
  <c r="M65" i="53"/>
  <c r="Q47" i="53"/>
  <c r="M47" i="53"/>
  <c r="Q37" i="53"/>
  <c r="Q35" i="53"/>
  <c r="I66" i="57" l="1"/>
  <c r="AK66" i="57"/>
  <c r="U69" i="57"/>
  <c r="W69" i="57" s="1"/>
  <c r="W68" i="57"/>
  <c r="AW66" i="57"/>
  <c r="M66" i="57"/>
  <c r="AS66" i="57"/>
  <c r="BC68" i="57"/>
  <c r="BA69" i="57"/>
  <c r="BC69" i="57" s="1"/>
  <c r="AE68" i="57"/>
  <c r="AC69" i="57"/>
  <c r="AE69" i="57" s="1"/>
  <c r="AO66" i="57"/>
  <c r="Q66" i="57"/>
  <c r="AG66" i="57"/>
  <c r="AA66" i="57"/>
  <c r="Y67" i="57"/>
  <c r="AA67" i="57" s="1"/>
  <c r="E68" i="57"/>
  <c r="BA70" i="57" l="1"/>
  <c r="AS67" i="57"/>
  <c r="AU67" i="57" s="1"/>
  <c r="AU66" i="57"/>
  <c r="U70" i="57"/>
  <c r="AK67" i="57"/>
  <c r="AM67" i="57" s="1"/>
  <c r="AM66" i="57"/>
  <c r="E69" i="57"/>
  <c r="G69" i="57" s="1"/>
  <c r="G68" i="57"/>
  <c r="AQ66" i="57"/>
  <c r="AO67" i="57"/>
  <c r="AQ67" i="57" s="1"/>
  <c r="M67" i="57"/>
  <c r="O67" i="57" s="1"/>
  <c r="O66" i="57"/>
  <c r="AY66" i="57"/>
  <c r="AW67" i="57"/>
  <c r="AY67" i="57" s="1"/>
  <c r="AI66" i="57"/>
  <c r="AG67" i="57"/>
  <c r="AI67" i="57" s="1"/>
  <c r="S66" i="57"/>
  <c r="Q67" i="57"/>
  <c r="S67" i="57" s="1"/>
  <c r="Y68" i="57"/>
  <c r="AC70" i="57"/>
  <c r="K66" i="57"/>
  <c r="I67" i="57"/>
  <c r="K67" i="57" s="1"/>
  <c r="Y119" i="9"/>
  <c r="Y120" i="9"/>
  <c r="Y121" i="9"/>
  <c r="Y122" i="9"/>
  <c r="Y123" i="9"/>
  <c r="Y124" i="9"/>
  <c r="Y125" i="9"/>
  <c r="Y126" i="9"/>
  <c r="Y127" i="9"/>
  <c r="Y128" i="9"/>
  <c r="Y129" i="9"/>
  <c r="Y130" i="9"/>
  <c r="Y131" i="9"/>
  <c r="Y132" i="9"/>
  <c r="Y133" i="9"/>
  <c r="Y134" i="9"/>
  <c r="M68" i="57" l="1"/>
  <c r="U71" i="57"/>
  <c r="W71" i="57" s="1"/>
  <c r="W70" i="57"/>
  <c r="AO68" i="57"/>
  <c r="Q68" i="57"/>
  <c r="AG68" i="57"/>
  <c r="AS68" i="57"/>
  <c r="AW68" i="57"/>
  <c r="E70" i="57"/>
  <c r="I68" i="57"/>
  <c r="AC71" i="57"/>
  <c r="AE71" i="57" s="1"/>
  <c r="AE70" i="57"/>
  <c r="BA71" i="57"/>
  <c r="BC71" i="57" s="1"/>
  <c r="BC70" i="57"/>
  <c r="AA68" i="57"/>
  <c r="Y69" i="57"/>
  <c r="AA69" i="57" s="1"/>
  <c r="AK68" i="57"/>
  <c r="Y70" i="57" l="1"/>
  <c r="AI68" i="57"/>
  <c r="AG69" i="57"/>
  <c r="AI69" i="57" s="1"/>
  <c r="S68" i="57"/>
  <c r="Q69" i="57"/>
  <c r="S69" i="57" s="1"/>
  <c r="E71" i="57"/>
  <c r="G71" i="57" s="1"/>
  <c r="G70" i="57"/>
  <c r="AY68" i="57"/>
  <c r="AW69" i="57"/>
  <c r="AY69" i="57" s="1"/>
  <c r="BA72" i="57"/>
  <c r="AC72" i="57"/>
  <c r="AQ68" i="57"/>
  <c r="AO69" i="57"/>
  <c r="AQ69" i="57" s="1"/>
  <c r="AM68" i="57"/>
  <c r="AK69" i="57"/>
  <c r="AM69" i="57" s="1"/>
  <c r="K68" i="57"/>
  <c r="I69" i="57"/>
  <c r="K69" i="57" s="1"/>
  <c r="AU68" i="57"/>
  <c r="AS69" i="57"/>
  <c r="AU69" i="57" s="1"/>
  <c r="U72" i="57"/>
  <c r="O68" i="57"/>
  <c r="M69" i="57"/>
  <c r="O69" i="57" s="1"/>
  <c r="U108" i="9"/>
  <c r="AS70" i="57" l="1"/>
  <c r="Q70" i="57"/>
  <c r="AE72" i="57"/>
  <c r="AC73" i="57"/>
  <c r="AE73" i="57" s="1"/>
  <c r="AG70" i="57"/>
  <c r="AK70" i="57"/>
  <c r="I70" i="57"/>
  <c r="M70" i="57"/>
  <c r="BC72" i="57"/>
  <c r="BA73" i="57"/>
  <c r="BC73" i="57" s="1"/>
  <c r="AW70" i="57"/>
  <c r="E72" i="57"/>
  <c r="W72" i="57"/>
  <c r="U73" i="57"/>
  <c r="W73" i="57" s="1"/>
  <c r="AO70" i="57"/>
  <c r="Y71" i="57"/>
  <c r="AA71" i="57" s="1"/>
  <c r="AA70" i="57"/>
  <c r="S107" i="9"/>
  <c r="R107" i="9"/>
  <c r="Q107" i="9"/>
  <c r="P107" i="9"/>
  <c r="O107" i="9"/>
  <c r="N107" i="9"/>
  <c r="M107" i="9"/>
  <c r="L107" i="9"/>
  <c r="K107" i="9"/>
  <c r="J107" i="9"/>
  <c r="I107" i="9"/>
  <c r="H107" i="9"/>
  <c r="AG71" i="57" l="1"/>
  <c r="AI71" i="57" s="1"/>
  <c r="AI70" i="57"/>
  <c r="G72" i="57"/>
  <c r="E73" i="57"/>
  <c r="G73" i="57" s="1"/>
  <c r="I71" i="57"/>
  <c r="K71" i="57" s="1"/>
  <c r="K70" i="57"/>
  <c r="U74" i="57"/>
  <c r="Y72" i="57"/>
  <c r="AW71" i="57"/>
  <c r="AY71" i="57" s="1"/>
  <c r="AY70" i="57"/>
  <c r="AK71" i="57"/>
  <c r="AM71" i="57" s="1"/>
  <c r="AM70" i="57"/>
  <c r="Q71" i="57"/>
  <c r="S71" i="57" s="1"/>
  <c r="S70" i="57"/>
  <c r="M71" i="57"/>
  <c r="O71" i="57" s="1"/>
  <c r="O70" i="57"/>
  <c r="AC74" i="57"/>
  <c r="BA74" i="57"/>
  <c r="AO71" i="57"/>
  <c r="AQ71" i="57" s="1"/>
  <c r="AQ70" i="57"/>
  <c r="AS71" i="57"/>
  <c r="AU71" i="57" s="1"/>
  <c r="AU70" i="57"/>
  <c r="I72" i="57" l="1"/>
  <c r="BC74" i="57"/>
  <c r="BA75" i="57"/>
  <c r="BC75" i="57" s="1"/>
  <c r="AE74" i="57"/>
  <c r="AC75" i="57"/>
  <c r="AE75" i="57" s="1"/>
  <c r="AW72" i="57"/>
  <c r="E74" i="57"/>
  <c r="AK72" i="57"/>
  <c r="AS72" i="57"/>
  <c r="M72" i="57"/>
  <c r="AA72" i="57"/>
  <c r="Y73" i="57"/>
  <c r="AA73" i="57" s="1"/>
  <c r="W74" i="57"/>
  <c r="U75" i="57"/>
  <c r="W75" i="57" s="1"/>
  <c r="AO72" i="57"/>
  <c r="Q72" i="57"/>
  <c r="AG72" i="57"/>
  <c r="P31" i="10"/>
  <c r="P30" i="10"/>
  <c r="P29" i="10"/>
  <c r="P28" i="10"/>
  <c r="P27" i="10"/>
  <c r="P26" i="10"/>
  <c r="P25" i="10"/>
  <c r="P24" i="10"/>
  <c r="P23" i="10"/>
  <c r="P22" i="10"/>
  <c r="P21" i="10"/>
  <c r="P20" i="10"/>
  <c r="P19" i="10"/>
  <c r="P18" i="10"/>
  <c r="P17" i="10"/>
  <c r="P16" i="10"/>
  <c r="P15" i="10"/>
  <c r="P14" i="10"/>
  <c r="P13" i="10"/>
  <c r="P12" i="10"/>
  <c r="P11" i="10"/>
  <c r="P10" i="10"/>
  <c r="P9" i="10"/>
  <c r="S72" i="57" l="1"/>
  <c r="Q73" i="57"/>
  <c r="S73" i="57" s="1"/>
  <c r="AU72" i="57"/>
  <c r="AS73" i="57"/>
  <c r="AU73" i="57" s="1"/>
  <c r="AM72" i="57"/>
  <c r="AK73" i="57"/>
  <c r="AM73" i="57" s="1"/>
  <c r="AY72" i="57"/>
  <c r="AW73" i="57"/>
  <c r="AY73" i="57" s="1"/>
  <c r="O72" i="57"/>
  <c r="M73" i="57"/>
  <c r="O73" i="57" s="1"/>
  <c r="AQ72" i="57"/>
  <c r="AO73" i="57"/>
  <c r="AQ73" i="57" s="1"/>
  <c r="Y74" i="57"/>
  <c r="AI72" i="57"/>
  <c r="AG73" i="57"/>
  <c r="AI73" i="57" s="1"/>
  <c r="G74" i="57"/>
  <c r="E75" i="57"/>
  <c r="G75" i="57" s="1"/>
  <c r="K72" i="57"/>
  <c r="I73" i="57"/>
  <c r="K73" i="57" s="1"/>
  <c r="E51" i="56"/>
  <c r="M74" i="57" l="1"/>
  <c r="AW74" i="57"/>
  <c r="AK74" i="57"/>
  <c r="Q74" i="57"/>
  <c r="Y75" i="57"/>
  <c r="AA75" i="57" s="1"/>
  <c r="AA74" i="57"/>
  <c r="AO74" i="57"/>
  <c r="AG74" i="57"/>
  <c r="AS74" i="57"/>
  <c r="I74" i="57"/>
  <c r="J218" i="52"/>
  <c r="J217" i="52"/>
  <c r="J216" i="52"/>
  <c r="J215" i="52"/>
  <c r="J214" i="52"/>
  <c r="J213" i="52"/>
  <c r="J212" i="52"/>
  <c r="J211" i="52"/>
  <c r="J210" i="52"/>
  <c r="J209" i="52"/>
  <c r="J208" i="52"/>
  <c r="J207" i="52"/>
  <c r="J183" i="52"/>
  <c r="J182" i="52"/>
  <c r="J181" i="52"/>
  <c r="J180" i="52"/>
  <c r="J179" i="52"/>
  <c r="J178" i="52"/>
  <c r="J177" i="52"/>
  <c r="J176" i="52"/>
  <c r="J175" i="52"/>
  <c r="J174" i="52"/>
  <c r="J173" i="52"/>
  <c r="J172" i="52"/>
  <c r="J148" i="52"/>
  <c r="J147" i="52"/>
  <c r="J146" i="52"/>
  <c r="J145" i="52"/>
  <c r="J144" i="52"/>
  <c r="J143" i="52"/>
  <c r="J142" i="52"/>
  <c r="J141" i="52"/>
  <c r="J140" i="52"/>
  <c r="J139" i="52"/>
  <c r="J138" i="52"/>
  <c r="J137" i="52"/>
  <c r="AG75" i="57" l="1"/>
  <c r="AI75" i="57" s="1"/>
  <c r="AI74" i="57"/>
  <c r="AM74" i="57"/>
  <c r="AK75" i="57"/>
  <c r="AM75" i="57" s="1"/>
  <c r="Q75" i="57"/>
  <c r="S75" i="57" s="1"/>
  <c r="S74" i="57"/>
  <c r="AU74" i="57"/>
  <c r="AS75" i="57"/>
  <c r="AU75" i="57" s="1"/>
  <c r="AO75" i="57"/>
  <c r="AQ75" i="57" s="1"/>
  <c r="AQ74" i="57"/>
  <c r="AW75" i="57"/>
  <c r="AY75" i="57" s="1"/>
  <c r="AY74" i="57"/>
  <c r="I75" i="57"/>
  <c r="K75" i="57" s="1"/>
  <c r="K74" i="57"/>
  <c r="O74" i="57"/>
  <c r="M75" i="57"/>
  <c r="O75" i="57" s="1"/>
  <c r="C80" i="34" l="1"/>
  <c r="B207" i="52" l="1"/>
  <c r="B205" i="52"/>
  <c r="B172" i="52"/>
  <c r="B170" i="52"/>
  <c r="B137" i="52"/>
  <c r="B135" i="52"/>
  <c r="B88" i="52"/>
  <c r="B86" i="52"/>
  <c r="B53" i="52"/>
  <c r="B51" i="52"/>
  <c r="B18" i="52"/>
  <c r="B16" i="52"/>
  <c r="B156" i="49"/>
  <c r="B154" i="49"/>
  <c r="B119" i="49"/>
  <c r="B121" i="49" s="1"/>
  <c r="B84" i="49"/>
  <c r="B86" i="49" s="1"/>
  <c r="B49" i="49"/>
  <c r="B51" i="49" s="1"/>
  <c r="B16" i="49"/>
  <c r="B14" i="49"/>
  <c r="I1" i="18"/>
  <c r="G1" i="17"/>
  <c r="E1" i="14"/>
  <c r="G51" i="12"/>
  <c r="E1" i="13"/>
  <c r="G1" i="12"/>
  <c r="I311" i="50"/>
  <c r="I318" i="50" s="1"/>
  <c r="E49" i="56"/>
  <c r="G91" i="9" l="1"/>
  <c r="H299" i="1" s="1"/>
  <c r="A1" i="55" l="1"/>
  <c r="C55" i="56" l="1"/>
  <c r="E54" i="56"/>
  <c r="A48" i="56"/>
  <c r="A46" i="56"/>
  <c r="A44" i="56"/>
  <c r="A42" i="56"/>
  <c r="C36" i="56"/>
  <c r="A29" i="56"/>
  <c r="L28" i="56"/>
  <c r="J28" i="56"/>
  <c r="H28" i="56"/>
  <c r="A27" i="56"/>
  <c r="M24" i="56"/>
  <c r="K24" i="56"/>
  <c r="I24" i="56"/>
  <c r="G24" i="56"/>
  <c r="E24" i="56"/>
  <c r="A21" i="56"/>
  <c r="M18" i="56"/>
  <c r="L18" i="56"/>
  <c r="K18" i="56"/>
  <c r="J18" i="56"/>
  <c r="I18" i="56"/>
  <c r="H18" i="56"/>
  <c r="G18" i="56"/>
  <c r="E18" i="56"/>
  <c r="A15" i="56"/>
  <c r="M13" i="56"/>
  <c r="K13" i="56"/>
  <c r="I13" i="56"/>
  <c r="G13" i="56"/>
  <c r="E13" i="56"/>
  <c r="M12" i="56"/>
  <c r="M32" i="56" s="1"/>
  <c r="M33" i="56" s="1"/>
  <c r="L12" i="56"/>
  <c r="K12" i="56"/>
  <c r="K32" i="56" s="1"/>
  <c r="K33" i="56" s="1"/>
  <c r="J12" i="56"/>
  <c r="I12" i="56"/>
  <c r="I32" i="56" s="1"/>
  <c r="I33" i="56" s="1"/>
  <c r="H12" i="56"/>
  <c r="G12" i="56"/>
  <c r="G32" i="56" s="1"/>
  <c r="G33" i="56" s="1"/>
  <c r="E12" i="56"/>
  <c r="E14" i="56" s="1"/>
  <c r="A9" i="56"/>
  <c r="A20" i="55"/>
  <c r="G19" i="55"/>
  <c r="G18" i="55"/>
  <c r="G17" i="55"/>
  <c r="G16" i="55"/>
  <c r="G15" i="55"/>
  <c r="G14" i="55"/>
  <c r="G13" i="55"/>
  <c r="G12" i="55"/>
  <c r="D8" i="55"/>
  <c r="G7" i="55"/>
  <c r="G8" i="55" s="1"/>
  <c r="F325" i="1"/>
  <c r="F241" i="1"/>
  <c r="F240" i="1"/>
  <c r="F239" i="1"/>
  <c r="G14" i="56" l="1"/>
  <c r="I14" i="56"/>
  <c r="E32" i="56"/>
  <c r="E33" i="56" s="1"/>
  <c r="K14" i="56"/>
  <c r="M14" i="56"/>
  <c r="A10" i="56"/>
  <c r="A11" i="56"/>
  <c r="F280" i="1"/>
  <c r="F278" i="1"/>
  <c r="F276" i="1"/>
  <c r="F275" i="1"/>
  <c r="F274" i="1"/>
  <c r="F267" i="1"/>
  <c r="F266" i="1"/>
  <c r="A84" i="8"/>
  <c r="A82" i="8"/>
  <c r="A80" i="8"/>
  <c r="A79" i="8"/>
  <c r="A78" i="8"/>
  <c r="A77" i="8"/>
  <c r="A76" i="8"/>
  <c r="A75" i="8"/>
  <c r="A74" i="8"/>
  <c r="A71" i="8"/>
  <c r="A70" i="8"/>
  <c r="A69" i="8"/>
  <c r="A66" i="8"/>
  <c r="G70" i="8" s="1"/>
  <c r="A65" i="8"/>
  <c r="G82" i="8" s="1"/>
  <c r="A64" i="8"/>
  <c r="A63" i="8"/>
  <c r="A62" i="8"/>
  <c r="A61" i="8"/>
  <c r="G80" i="8" l="1"/>
  <c r="G71" i="8"/>
  <c r="G78" i="8"/>
  <c r="G84" i="8"/>
  <c r="A12" i="56"/>
  <c r="A13" i="56"/>
  <c r="G79" i="8"/>
  <c r="E103" i="1"/>
  <c r="E102" i="1"/>
  <c r="E98" i="1"/>
  <c r="E97" i="1"/>
  <c r="E96" i="1"/>
  <c r="E95" i="1"/>
  <c r="E94" i="1"/>
  <c r="F106" i="1"/>
  <c r="F104" i="1"/>
  <c r="F99" i="1"/>
  <c r="A14" i="56" l="1"/>
  <c r="H232" i="1"/>
  <c r="E232" i="1" l="1"/>
  <c r="A16" i="56"/>
  <c r="A17" i="56"/>
  <c r="A273" i="9"/>
  <c r="A272" i="9"/>
  <c r="F273" i="1" s="1"/>
  <c r="G77" i="8" s="1"/>
  <c r="A271" i="9"/>
  <c r="F272" i="1" s="1"/>
  <c r="G76" i="8" s="1"/>
  <c r="A270" i="9"/>
  <c r="F271" i="1" s="1"/>
  <c r="G75" i="8" s="1"/>
  <c r="A268" i="9"/>
  <c r="F270" i="1" s="1"/>
  <c r="G74" i="8" s="1"/>
  <c r="A19" i="56" l="1"/>
  <c r="A18" i="56"/>
  <c r="D94" i="1"/>
  <c r="D102" i="1" s="1"/>
  <c r="A20" i="56" l="1"/>
  <c r="G12" i="54"/>
  <c r="I12" i="54"/>
  <c r="O12" i="54"/>
  <c r="G13" i="54"/>
  <c r="I13" i="54"/>
  <c r="L13" i="54"/>
  <c r="O13" i="54"/>
  <c r="G14" i="54"/>
  <c r="I14" i="54"/>
  <c r="L14" i="54"/>
  <c r="M14" i="54" s="1"/>
  <c r="O14" i="54"/>
  <c r="G15" i="54"/>
  <c r="I15" i="54"/>
  <c r="L15" i="54"/>
  <c r="M15" i="54" s="1"/>
  <c r="O15" i="54"/>
  <c r="G16" i="54"/>
  <c r="I16" i="54"/>
  <c r="L16" i="54"/>
  <c r="M16" i="54" s="1"/>
  <c r="O16" i="54"/>
  <c r="G17" i="54"/>
  <c r="I17" i="54"/>
  <c r="L17" i="54"/>
  <c r="M17" i="54" s="1"/>
  <c r="O17" i="54"/>
  <c r="G18" i="54"/>
  <c r="I18" i="54"/>
  <c r="L18" i="54"/>
  <c r="M18" i="54" s="1"/>
  <c r="O18" i="54"/>
  <c r="G19" i="54"/>
  <c r="I19" i="54"/>
  <c r="L19" i="54"/>
  <c r="M19" i="54" s="1"/>
  <c r="O19" i="54"/>
  <c r="G20" i="54"/>
  <c r="I20" i="54"/>
  <c r="L20" i="54"/>
  <c r="M20" i="54" s="1"/>
  <c r="O20" i="54"/>
  <c r="G21" i="54"/>
  <c r="I21" i="54"/>
  <c r="J21" i="54" s="1"/>
  <c r="L21" i="54"/>
  <c r="M21" i="54" s="1"/>
  <c r="O21" i="54"/>
  <c r="G22" i="54"/>
  <c r="I22" i="54"/>
  <c r="L22" i="54"/>
  <c r="M22" i="54" s="1"/>
  <c r="O22" i="54"/>
  <c r="G23" i="54"/>
  <c r="I23" i="54"/>
  <c r="L23" i="54"/>
  <c r="M23" i="54" s="1"/>
  <c r="O23" i="54"/>
  <c r="G24" i="54"/>
  <c r="I24" i="54"/>
  <c r="L24" i="54"/>
  <c r="M24" i="54" s="1"/>
  <c r="O24" i="54"/>
  <c r="G25" i="54"/>
  <c r="I25" i="54"/>
  <c r="L25" i="54"/>
  <c r="M25" i="54" s="1"/>
  <c r="O25" i="54"/>
  <c r="G26" i="54"/>
  <c r="I26" i="54"/>
  <c r="L26" i="54"/>
  <c r="M26" i="54" s="1"/>
  <c r="O26" i="54"/>
  <c r="G27" i="54"/>
  <c r="I27" i="54"/>
  <c r="L27" i="54"/>
  <c r="M27" i="54" s="1"/>
  <c r="O27" i="54"/>
  <c r="G28" i="54"/>
  <c r="I28" i="54"/>
  <c r="L28" i="54"/>
  <c r="M28" i="54" s="1"/>
  <c r="O28" i="54"/>
  <c r="G29" i="54"/>
  <c r="I29" i="54"/>
  <c r="L29" i="54"/>
  <c r="M29" i="54" s="1"/>
  <c r="O29" i="54"/>
  <c r="G30" i="54"/>
  <c r="I30" i="54"/>
  <c r="L30" i="54"/>
  <c r="M30" i="54" s="1"/>
  <c r="O30" i="54"/>
  <c r="G31" i="54"/>
  <c r="I31" i="54"/>
  <c r="L31" i="54"/>
  <c r="M31" i="54" s="1"/>
  <c r="O31" i="54"/>
  <c r="G32" i="54"/>
  <c r="I32" i="54"/>
  <c r="L32" i="54"/>
  <c r="M32" i="54" s="1"/>
  <c r="O32" i="54"/>
  <c r="G33" i="54"/>
  <c r="I33" i="54"/>
  <c r="L33" i="54"/>
  <c r="M33" i="54" s="1"/>
  <c r="O33" i="54"/>
  <c r="G34" i="54"/>
  <c r="I34" i="54"/>
  <c r="L34" i="54"/>
  <c r="M34" i="54" s="1"/>
  <c r="O34" i="54"/>
  <c r="G35" i="54"/>
  <c r="I35" i="54"/>
  <c r="L35" i="54"/>
  <c r="M35" i="54" s="1"/>
  <c r="O35" i="54"/>
  <c r="G36" i="54"/>
  <c r="I36" i="54"/>
  <c r="L36" i="54"/>
  <c r="M36" i="54" s="1"/>
  <c r="O36" i="54"/>
  <c r="G37" i="54"/>
  <c r="I37" i="54"/>
  <c r="L37" i="54"/>
  <c r="M37" i="54" s="1"/>
  <c r="O37" i="54"/>
  <c r="G38" i="54"/>
  <c r="I38" i="54"/>
  <c r="L38" i="54"/>
  <c r="M38" i="54" s="1"/>
  <c r="O38" i="54"/>
  <c r="G39" i="54"/>
  <c r="I39" i="54"/>
  <c r="L39" i="54"/>
  <c r="M39" i="54" s="1"/>
  <c r="O39" i="54"/>
  <c r="G40" i="54"/>
  <c r="I40" i="54"/>
  <c r="L40" i="54"/>
  <c r="M40" i="54" s="1"/>
  <c r="O40" i="54"/>
  <c r="G41" i="54"/>
  <c r="I41" i="54"/>
  <c r="L41" i="54"/>
  <c r="M41" i="54" s="1"/>
  <c r="O41" i="54"/>
  <c r="G42" i="54"/>
  <c r="I42" i="54"/>
  <c r="L42" i="54"/>
  <c r="M42" i="54" s="1"/>
  <c r="O42" i="54"/>
  <c r="G43" i="54"/>
  <c r="I43" i="54"/>
  <c r="L43" i="54"/>
  <c r="M43" i="54" s="1"/>
  <c r="O43" i="54"/>
  <c r="G44" i="54"/>
  <c r="I44" i="54"/>
  <c r="L44" i="54"/>
  <c r="M44" i="54" s="1"/>
  <c r="O44" i="54"/>
  <c r="G45" i="54"/>
  <c r="I45" i="54"/>
  <c r="L45" i="54"/>
  <c r="M45" i="54" s="1"/>
  <c r="O45" i="54"/>
  <c r="G46" i="54"/>
  <c r="I46" i="54"/>
  <c r="L46" i="54"/>
  <c r="M46" i="54" s="1"/>
  <c r="O46" i="54"/>
  <c r="G47" i="54"/>
  <c r="I47" i="54"/>
  <c r="L47" i="54"/>
  <c r="M47" i="54" s="1"/>
  <c r="O47" i="54"/>
  <c r="G48" i="54"/>
  <c r="I48" i="54"/>
  <c r="L48" i="54"/>
  <c r="M48" i="54" s="1"/>
  <c r="O48" i="54"/>
  <c r="G49" i="54"/>
  <c r="I49" i="54"/>
  <c r="L49" i="54"/>
  <c r="M49" i="54" s="1"/>
  <c r="O49" i="54"/>
  <c r="G50" i="54"/>
  <c r="I50" i="54"/>
  <c r="L50" i="54"/>
  <c r="M50" i="54" s="1"/>
  <c r="O50" i="54"/>
  <c r="G51" i="54"/>
  <c r="I51" i="54"/>
  <c r="L51" i="54"/>
  <c r="M51" i="54" s="1"/>
  <c r="O51" i="54"/>
  <c r="G52" i="54"/>
  <c r="I52" i="54"/>
  <c r="L52" i="54"/>
  <c r="M52" i="54" s="1"/>
  <c r="O52" i="54"/>
  <c r="G53" i="54"/>
  <c r="I53" i="54"/>
  <c r="L53" i="54"/>
  <c r="M53" i="54" s="1"/>
  <c r="O53" i="54"/>
  <c r="G54" i="54"/>
  <c r="I54" i="54"/>
  <c r="L54" i="54"/>
  <c r="M54" i="54" s="1"/>
  <c r="O54" i="54"/>
  <c r="G55" i="54"/>
  <c r="I55" i="54"/>
  <c r="L55" i="54"/>
  <c r="M55" i="54" s="1"/>
  <c r="O55" i="54"/>
  <c r="G56" i="54"/>
  <c r="I56" i="54"/>
  <c r="L56" i="54"/>
  <c r="M56" i="54" s="1"/>
  <c r="O56" i="54"/>
  <c r="G57" i="54"/>
  <c r="I57" i="54"/>
  <c r="L57" i="54"/>
  <c r="M57" i="54" s="1"/>
  <c r="O57" i="54"/>
  <c r="G58" i="54"/>
  <c r="I58" i="54"/>
  <c r="L58" i="54"/>
  <c r="M58" i="54" s="1"/>
  <c r="O58" i="54"/>
  <c r="G59" i="54"/>
  <c r="I59" i="54"/>
  <c r="L59" i="54"/>
  <c r="M59" i="54" s="1"/>
  <c r="O59" i="54"/>
  <c r="G60" i="54"/>
  <c r="I60" i="54"/>
  <c r="L60" i="54"/>
  <c r="M60" i="54" s="1"/>
  <c r="O60" i="54"/>
  <c r="G61" i="54"/>
  <c r="I61" i="54"/>
  <c r="L61" i="54"/>
  <c r="M61" i="54" s="1"/>
  <c r="O61" i="54"/>
  <c r="G62" i="54"/>
  <c r="I62" i="54"/>
  <c r="L62" i="54"/>
  <c r="M62" i="54" s="1"/>
  <c r="O62" i="54"/>
  <c r="G63" i="54"/>
  <c r="I63" i="54"/>
  <c r="L63" i="54"/>
  <c r="M63" i="54" s="1"/>
  <c r="O63" i="54"/>
  <c r="G64" i="54"/>
  <c r="I64" i="54"/>
  <c r="L64" i="54"/>
  <c r="M64" i="54" s="1"/>
  <c r="O64" i="54"/>
  <c r="G65" i="54"/>
  <c r="I65" i="54"/>
  <c r="L65" i="54"/>
  <c r="M65" i="54" s="1"/>
  <c r="O65" i="54"/>
  <c r="G66" i="54"/>
  <c r="I66" i="54"/>
  <c r="L66" i="54"/>
  <c r="M66" i="54" s="1"/>
  <c r="O66" i="54"/>
  <c r="G67" i="54"/>
  <c r="I67" i="54"/>
  <c r="L67" i="54"/>
  <c r="M67" i="54" s="1"/>
  <c r="O67" i="54"/>
  <c r="G68" i="54"/>
  <c r="I68" i="54"/>
  <c r="L68" i="54"/>
  <c r="M68" i="54" s="1"/>
  <c r="O68" i="54"/>
  <c r="G69" i="54"/>
  <c r="I69" i="54"/>
  <c r="L69" i="54"/>
  <c r="M69" i="54" s="1"/>
  <c r="O69" i="54"/>
  <c r="G70" i="54"/>
  <c r="I70" i="54"/>
  <c r="L70" i="54"/>
  <c r="M70" i="54" s="1"/>
  <c r="O70" i="54"/>
  <c r="G71" i="54"/>
  <c r="I71" i="54"/>
  <c r="L71" i="54"/>
  <c r="M71" i="54" s="1"/>
  <c r="O71" i="54"/>
  <c r="G72" i="54"/>
  <c r="I72" i="54"/>
  <c r="L72" i="54"/>
  <c r="M72" i="54" s="1"/>
  <c r="O72" i="54"/>
  <c r="G73" i="54"/>
  <c r="I73" i="54"/>
  <c r="L73" i="54"/>
  <c r="M73" i="54" s="1"/>
  <c r="O73" i="54"/>
  <c r="G74" i="54"/>
  <c r="I74" i="54"/>
  <c r="L74" i="54"/>
  <c r="M74" i="54" s="1"/>
  <c r="O74" i="54"/>
  <c r="G75" i="54"/>
  <c r="I75" i="54"/>
  <c r="L75" i="54"/>
  <c r="M75" i="54" s="1"/>
  <c r="O75" i="54"/>
  <c r="G76" i="54"/>
  <c r="I76" i="54"/>
  <c r="L76" i="54"/>
  <c r="M76" i="54" s="1"/>
  <c r="O76" i="54"/>
  <c r="G77" i="54"/>
  <c r="I77" i="54"/>
  <c r="L77" i="54"/>
  <c r="M77" i="54" s="1"/>
  <c r="O77" i="54"/>
  <c r="G78" i="54"/>
  <c r="I78" i="54"/>
  <c r="L78" i="54"/>
  <c r="M78" i="54" s="1"/>
  <c r="O78" i="54"/>
  <c r="G79" i="54"/>
  <c r="I79" i="54"/>
  <c r="L79" i="54"/>
  <c r="M79" i="54" s="1"/>
  <c r="O79" i="54"/>
  <c r="G80" i="54"/>
  <c r="I80" i="54"/>
  <c r="L80" i="54"/>
  <c r="M80" i="54" s="1"/>
  <c r="O80" i="54"/>
  <c r="G81" i="54"/>
  <c r="I81" i="54"/>
  <c r="L81" i="54"/>
  <c r="M81" i="54" s="1"/>
  <c r="O81" i="54"/>
  <c r="G82" i="54"/>
  <c r="I82" i="54"/>
  <c r="L82" i="54"/>
  <c r="M82" i="54" s="1"/>
  <c r="O82" i="54"/>
  <c r="G83" i="54"/>
  <c r="I83" i="54"/>
  <c r="L83" i="54"/>
  <c r="M83" i="54" s="1"/>
  <c r="O83" i="54"/>
  <c r="G84" i="54"/>
  <c r="I84" i="54"/>
  <c r="L84" i="54"/>
  <c r="M84" i="54" s="1"/>
  <c r="O84" i="54"/>
  <c r="G85" i="54"/>
  <c r="I85" i="54"/>
  <c r="L85" i="54"/>
  <c r="M85" i="54" s="1"/>
  <c r="O85" i="54"/>
  <c r="G86" i="54"/>
  <c r="I86" i="54"/>
  <c r="L86" i="54"/>
  <c r="M86" i="54" s="1"/>
  <c r="O86" i="54"/>
  <c r="G87" i="54"/>
  <c r="I87" i="54"/>
  <c r="L87" i="54"/>
  <c r="M87" i="54" s="1"/>
  <c r="O87" i="54"/>
  <c r="G88" i="54"/>
  <c r="I88" i="54"/>
  <c r="L88" i="54"/>
  <c r="M88" i="54" s="1"/>
  <c r="O88" i="54"/>
  <c r="G89" i="54"/>
  <c r="I89" i="54"/>
  <c r="M89" i="54"/>
  <c r="O89" i="54"/>
  <c r="M90" i="54"/>
  <c r="O90" i="54"/>
  <c r="F91" i="54"/>
  <c r="H91" i="54"/>
  <c r="N91" i="54"/>
  <c r="T91" i="54"/>
  <c r="G95" i="54"/>
  <c r="I95" i="54"/>
  <c r="L95" i="54"/>
  <c r="M95" i="54" s="1"/>
  <c r="O95" i="54"/>
  <c r="G96" i="54"/>
  <c r="I96" i="54"/>
  <c r="L96" i="54"/>
  <c r="M96" i="54" s="1"/>
  <c r="O96" i="54"/>
  <c r="G97" i="54"/>
  <c r="I97" i="54"/>
  <c r="L97" i="54"/>
  <c r="M97" i="54" s="1"/>
  <c r="O97" i="54"/>
  <c r="G98" i="54"/>
  <c r="I98" i="54"/>
  <c r="L98" i="54"/>
  <c r="M98" i="54" s="1"/>
  <c r="O98" i="54"/>
  <c r="G99" i="54"/>
  <c r="I99" i="54"/>
  <c r="L99" i="54"/>
  <c r="M99" i="54" s="1"/>
  <c r="O99" i="54"/>
  <c r="G100" i="54"/>
  <c r="I100" i="54"/>
  <c r="L100" i="54"/>
  <c r="M100" i="54" s="1"/>
  <c r="O100" i="54"/>
  <c r="G101" i="54"/>
  <c r="I101" i="54"/>
  <c r="L101" i="54"/>
  <c r="M101" i="54" s="1"/>
  <c r="O101" i="54"/>
  <c r="G102" i="54"/>
  <c r="I102" i="54"/>
  <c r="L102" i="54"/>
  <c r="M102" i="54" s="1"/>
  <c r="O102" i="54"/>
  <c r="G103" i="54"/>
  <c r="I103" i="54"/>
  <c r="L103" i="54"/>
  <c r="M103" i="54" s="1"/>
  <c r="O103" i="54"/>
  <c r="G104" i="54"/>
  <c r="I104" i="54"/>
  <c r="L104" i="54"/>
  <c r="M104" i="54" s="1"/>
  <c r="O104" i="54"/>
  <c r="G105" i="54"/>
  <c r="I105" i="54"/>
  <c r="L105" i="54"/>
  <c r="M105" i="54" s="1"/>
  <c r="O105" i="54"/>
  <c r="G106" i="54"/>
  <c r="I106" i="54"/>
  <c r="L106" i="54"/>
  <c r="M106" i="54" s="1"/>
  <c r="O106" i="54"/>
  <c r="G107" i="54"/>
  <c r="I107" i="54"/>
  <c r="L107" i="54"/>
  <c r="M107" i="54" s="1"/>
  <c r="O107" i="54"/>
  <c r="G108" i="54"/>
  <c r="I108" i="54"/>
  <c r="L108" i="54"/>
  <c r="M108" i="54" s="1"/>
  <c r="O108" i="54"/>
  <c r="G109" i="54"/>
  <c r="I109" i="54"/>
  <c r="L109" i="54"/>
  <c r="M109" i="54" s="1"/>
  <c r="O109" i="54"/>
  <c r="G110" i="54"/>
  <c r="I110" i="54"/>
  <c r="L110" i="54"/>
  <c r="M110" i="54" s="1"/>
  <c r="O110" i="54"/>
  <c r="F111" i="54"/>
  <c r="H111" i="54"/>
  <c r="N111" i="54"/>
  <c r="T111" i="54"/>
  <c r="V111" i="54"/>
  <c r="G114" i="54"/>
  <c r="I114" i="54"/>
  <c r="L114" i="54"/>
  <c r="M114" i="54" s="1"/>
  <c r="O114" i="54"/>
  <c r="G115" i="54"/>
  <c r="I115" i="54"/>
  <c r="L115" i="54"/>
  <c r="M115" i="54" s="1"/>
  <c r="O115" i="54"/>
  <c r="G116" i="54"/>
  <c r="I116" i="54"/>
  <c r="L116" i="54"/>
  <c r="M116" i="54" s="1"/>
  <c r="O116" i="54"/>
  <c r="G117" i="54"/>
  <c r="I117" i="54"/>
  <c r="L117" i="54"/>
  <c r="M117" i="54" s="1"/>
  <c r="O117" i="54"/>
  <c r="G118" i="54"/>
  <c r="I118" i="54"/>
  <c r="L118" i="54"/>
  <c r="M118" i="54" s="1"/>
  <c r="O118" i="54"/>
  <c r="G119" i="54"/>
  <c r="I119" i="54"/>
  <c r="L119" i="54"/>
  <c r="M119" i="54" s="1"/>
  <c r="O119" i="54"/>
  <c r="G120" i="54"/>
  <c r="I120" i="54"/>
  <c r="L120" i="54"/>
  <c r="M120" i="54" s="1"/>
  <c r="O120" i="54"/>
  <c r="G121" i="54"/>
  <c r="I121" i="54"/>
  <c r="L121" i="54"/>
  <c r="M121" i="54" s="1"/>
  <c r="O121" i="54"/>
  <c r="G122" i="54"/>
  <c r="I122" i="54"/>
  <c r="L122" i="54"/>
  <c r="M122" i="54" s="1"/>
  <c r="O122" i="54"/>
  <c r="G123" i="54"/>
  <c r="I123" i="54"/>
  <c r="L123" i="54"/>
  <c r="M123" i="54" s="1"/>
  <c r="O123" i="54"/>
  <c r="G124" i="54"/>
  <c r="I124" i="54"/>
  <c r="L124" i="54"/>
  <c r="M124" i="54" s="1"/>
  <c r="O124" i="54"/>
  <c r="G125" i="54"/>
  <c r="I125" i="54"/>
  <c r="L125" i="54"/>
  <c r="M125" i="54" s="1"/>
  <c r="O125" i="54"/>
  <c r="G126" i="54"/>
  <c r="I126" i="54"/>
  <c r="L126" i="54"/>
  <c r="M126" i="54" s="1"/>
  <c r="O126" i="54"/>
  <c r="G127" i="54"/>
  <c r="I127" i="54"/>
  <c r="L127" i="54"/>
  <c r="M127" i="54" s="1"/>
  <c r="O127" i="54"/>
  <c r="G128" i="54"/>
  <c r="I128" i="54"/>
  <c r="L128" i="54"/>
  <c r="M128" i="54" s="1"/>
  <c r="O128" i="54"/>
  <c r="G129" i="54"/>
  <c r="I129" i="54"/>
  <c r="L129" i="54"/>
  <c r="M129" i="54" s="1"/>
  <c r="O129" i="54"/>
  <c r="G130" i="54"/>
  <c r="I130" i="54"/>
  <c r="L130" i="54"/>
  <c r="M130" i="54" s="1"/>
  <c r="O130" i="54"/>
  <c r="G131" i="54"/>
  <c r="I131" i="54"/>
  <c r="L131" i="54"/>
  <c r="M131" i="54" s="1"/>
  <c r="O131" i="54"/>
  <c r="G132" i="54"/>
  <c r="I132" i="54"/>
  <c r="L132" i="54"/>
  <c r="M132" i="54" s="1"/>
  <c r="O132" i="54"/>
  <c r="G133" i="54"/>
  <c r="I133" i="54"/>
  <c r="L133" i="54"/>
  <c r="M133" i="54" s="1"/>
  <c r="O133" i="54"/>
  <c r="G134" i="54"/>
  <c r="I134" i="54"/>
  <c r="L134" i="54"/>
  <c r="M134" i="54" s="1"/>
  <c r="O134" i="54"/>
  <c r="G135" i="54"/>
  <c r="I135" i="54"/>
  <c r="L135" i="54"/>
  <c r="M135" i="54" s="1"/>
  <c r="O135" i="54"/>
  <c r="G136" i="54"/>
  <c r="I136" i="54"/>
  <c r="L136" i="54"/>
  <c r="M136" i="54" s="1"/>
  <c r="O136" i="54"/>
  <c r="G137" i="54"/>
  <c r="I137" i="54"/>
  <c r="L137" i="54"/>
  <c r="M137" i="54" s="1"/>
  <c r="O137" i="54"/>
  <c r="G138" i="54"/>
  <c r="I138" i="54"/>
  <c r="L138" i="54"/>
  <c r="M138" i="54" s="1"/>
  <c r="O138" i="54"/>
  <c r="G139" i="54"/>
  <c r="I139" i="54"/>
  <c r="L139" i="54"/>
  <c r="M139" i="54" s="1"/>
  <c r="O139" i="54"/>
  <c r="G140" i="54"/>
  <c r="I140" i="54"/>
  <c r="L140" i="54"/>
  <c r="M140" i="54" s="1"/>
  <c r="O140" i="54"/>
  <c r="G141" i="54"/>
  <c r="I141" i="54"/>
  <c r="L141" i="54"/>
  <c r="M141" i="54" s="1"/>
  <c r="O141" i="54"/>
  <c r="G142" i="54"/>
  <c r="I142" i="54"/>
  <c r="L142" i="54"/>
  <c r="M142" i="54" s="1"/>
  <c r="O142" i="54"/>
  <c r="G143" i="54"/>
  <c r="I143" i="54"/>
  <c r="L143" i="54"/>
  <c r="M143" i="54" s="1"/>
  <c r="O143" i="54"/>
  <c r="G144" i="54"/>
  <c r="I144" i="54"/>
  <c r="L144" i="54"/>
  <c r="M144" i="54" s="1"/>
  <c r="O144" i="54"/>
  <c r="G145" i="54"/>
  <c r="I145" i="54"/>
  <c r="L145" i="54"/>
  <c r="M145" i="54" s="1"/>
  <c r="O145" i="54"/>
  <c r="G146" i="54"/>
  <c r="I146" i="54"/>
  <c r="L146" i="54"/>
  <c r="M146" i="54" s="1"/>
  <c r="O146" i="54"/>
  <c r="G147" i="54"/>
  <c r="I147" i="54"/>
  <c r="L147" i="54"/>
  <c r="M147" i="54" s="1"/>
  <c r="O147" i="54"/>
  <c r="G148" i="54"/>
  <c r="I148" i="54"/>
  <c r="L148" i="54"/>
  <c r="M148" i="54" s="1"/>
  <c r="O148" i="54"/>
  <c r="G149" i="54"/>
  <c r="I149" i="54"/>
  <c r="L149" i="54"/>
  <c r="M149" i="54" s="1"/>
  <c r="O149" i="54"/>
  <c r="G150" i="54"/>
  <c r="I150" i="54"/>
  <c r="L150" i="54"/>
  <c r="M150" i="54" s="1"/>
  <c r="O150" i="54"/>
  <c r="G151" i="54"/>
  <c r="I151" i="54"/>
  <c r="L151" i="54"/>
  <c r="M151" i="54" s="1"/>
  <c r="O151" i="54"/>
  <c r="G152" i="54"/>
  <c r="I152" i="54"/>
  <c r="L152" i="54"/>
  <c r="M152" i="54" s="1"/>
  <c r="O152" i="54"/>
  <c r="G153" i="54"/>
  <c r="I153" i="54"/>
  <c r="L153" i="54"/>
  <c r="M153" i="54" s="1"/>
  <c r="O153" i="54"/>
  <c r="G154" i="54"/>
  <c r="I154" i="54"/>
  <c r="L154" i="54"/>
  <c r="M154" i="54" s="1"/>
  <c r="O154" i="54"/>
  <c r="G155" i="54"/>
  <c r="I155" i="54"/>
  <c r="L155" i="54"/>
  <c r="M155" i="54" s="1"/>
  <c r="O155" i="54"/>
  <c r="G156" i="54"/>
  <c r="I156" i="54"/>
  <c r="L156" i="54"/>
  <c r="M156" i="54" s="1"/>
  <c r="O156" i="54"/>
  <c r="G157" i="54"/>
  <c r="I157" i="54"/>
  <c r="L157" i="54"/>
  <c r="M157" i="54" s="1"/>
  <c r="O157" i="54"/>
  <c r="G158" i="54"/>
  <c r="I158" i="54"/>
  <c r="L158" i="54"/>
  <c r="M158" i="54" s="1"/>
  <c r="O158" i="54"/>
  <c r="G159" i="54"/>
  <c r="I159" i="54"/>
  <c r="L159" i="54"/>
  <c r="M159" i="54" s="1"/>
  <c r="O159" i="54"/>
  <c r="G160" i="54"/>
  <c r="I160" i="54"/>
  <c r="L160" i="54"/>
  <c r="M160" i="54" s="1"/>
  <c r="O160" i="54"/>
  <c r="G161" i="54"/>
  <c r="I161" i="54"/>
  <c r="L161" i="54"/>
  <c r="M161" i="54" s="1"/>
  <c r="O161" i="54"/>
  <c r="G162" i="54"/>
  <c r="I162" i="54"/>
  <c r="L162" i="54"/>
  <c r="M162" i="54" s="1"/>
  <c r="O162" i="54"/>
  <c r="G163" i="54"/>
  <c r="I163" i="54"/>
  <c r="L163" i="54"/>
  <c r="M163" i="54" s="1"/>
  <c r="O163" i="54"/>
  <c r="G164" i="54"/>
  <c r="I164" i="54"/>
  <c r="L164" i="54"/>
  <c r="M164" i="54" s="1"/>
  <c r="O164" i="54"/>
  <c r="G165" i="54"/>
  <c r="I165" i="54"/>
  <c r="L165" i="54"/>
  <c r="M165" i="54" s="1"/>
  <c r="O165" i="54"/>
  <c r="G166" i="54"/>
  <c r="I166" i="54"/>
  <c r="L166" i="54"/>
  <c r="M166" i="54" s="1"/>
  <c r="O166" i="54"/>
  <c r="G167" i="54"/>
  <c r="I167" i="54"/>
  <c r="L167" i="54"/>
  <c r="M167" i="54" s="1"/>
  <c r="O167" i="54"/>
  <c r="G168" i="54"/>
  <c r="I168" i="54"/>
  <c r="L168" i="54"/>
  <c r="M168" i="54" s="1"/>
  <c r="O168" i="54"/>
  <c r="G169" i="54"/>
  <c r="I169" i="54"/>
  <c r="M169" i="54"/>
  <c r="O169" i="54"/>
  <c r="F170" i="54"/>
  <c r="H170" i="54"/>
  <c r="N170" i="54"/>
  <c r="T170" i="54"/>
  <c r="V170" i="54"/>
  <c r="C16" i="53"/>
  <c r="C17" i="53" s="1"/>
  <c r="C18" i="53" s="1"/>
  <c r="C19" i="53" s="1"/>
  <c r="C21" i="53" s="1"/>
  <c r="C23" i="53" s="1"/>
  <c r="C25" i="53" s="1"/>
  <c r="C26" i="53" s="1"/>
  <c r="C27" i="53" s="1"/>
  <c r="C28" i="53" s="1"/>
  <c r="C30" i="53" s="1"/>
  <c r="C32" i="53" s="1"/>
  <c r="C34" i="53" s="1"/>
  <c r="C35" i="53" s="1"/>
  <c r="C36" i="53" s="1"/>
  <c r="C37" i="53" s="1"/>
  <c r="C39" i="53" s="1"/>
  <c r="C41" i="53" s="1"/>
  <c r="C50" i="53" s="1"/>
  <c r="C52" i="53" s="1"/>
  <c r="C53" i="53" s="1"/>
  <c r="C54" i="53" s="1"/>
  <c r="C55" i="53" s="1"/>
  <c r="C57" i="53" s="1"/>
  <c r="C59" i="53" s="1"/>
  <c r="C68" i="53" s="1"/>
  <c r="C70" i="53" s="1"/>
  <c r="C71" i="53" s="1"/>
  <c r="C72" i="53" s="1"/>
  <c r="C73" i="53" s="1"/>
  <c r="C75" i="53" s="1"/>
  <c r="C77" i="53" s="1"/>
  <c r="C79" i="53" s="1"/>
  <c r="C80" i="53" s="1"/>
  <c r="C81" i="53" s="1"/>
  <c r="C82" i="53" s="1"/>
  <c r="C84" i="53" s="1"/>
  <c r="C86" i="53" s="1"/>
  <c r="C88" i="53" s="1"/>
  <c r="C89" i="53" s="1"/>
  <c r="C90" i="53" s="1"/>
  <c r="C91" i="53" s="1"/>
  <c r="C93" i="53" s="1"/>
  <c r="C95" i="53" s="1"/>
  <c r="C104" i="53" s="1"/>
  <c r="C105" i="53" s="1"/>
  <c r="C106" i="53" s="1"/>
  <c r="C107" i="53" s="1"/>
  <c r="C109" i="53" s="1"/>
  <c r="C111" i="53" s="1"/>
  <c r="C113" i="53" s="1"/>
  <c r="C122" i="53" s="1"/>
  <c r="C123" i="53" s="1"/>
  <c r="C125" i="53" s="1"/>
  <c r="C137" i="53" s="1"/>
  <c r="C139" i="53" s="1"/>
  <c r="C140" i="53" s="1"/>
  <c r="C141" i="53" s="1"/>
  <c r="C142" i="53" s="1"/>
  <c r="C144" i="53" s="1"/>
  <c r="C146" i="53" s="1"/>
  <c r="C148" i="53" s="1"/>
  <c r="C149" i="53" s="1"/>
  <c r="C150" i="53" s="1"/>
  <c r="C151" i="53" s="1"/>
  <c r="C153" i="53" s="1"/>
  <c r="C155" i="53" s="1"/>
  <c r="C157" i="53" s="1"/>
  <c r="C158" i="53" s="1"/>
  <c r="C159" i="53" s="1"/>
  <c r="C160" i="53" s="1"/>
  <c r="C162" i="53" s="1"/>
  <c r="C164" i="53" s="1"/>
  <c r="C173" i="53" s="1"/>
  <c r="C175" i="53" s="1"/>
  <c r="C176" i="53" s="1"/>
  <c r="C177" i="53" s="1"/>
  <c r="C178" i="53" s="1"/>
  <c r="C180" i="53" s="1"/>
  <c r="C182" i="53" s="1"/>
  <c r="C184" i="53" s="1"/>
  <c r="C185" i="53" s="1"/>
  <c r="C186" i="53" s="1"/>
  <c r="C187" i="53" s="1"/>
  <c r="C189" i="53" s="1"/>
  <c r="C191" i="53" s="1"/>
  <c r="C193" i="53" s="1"/>
  <c r="C194" i="53" s="1"/>
  <c r="C195" i="53" s="1"/>
  <c r="C196" i="53" s="1"/>
  <c r="C198" i="53" s="1"/>
  <c r="C200" i="53" s="1"/>
  <c r="C209" i="53" s="1"/>
  <c r="C210" i="53" s="1"/>
  <c r="C211" i="53" s="1"/>
  <c r="C212" i="53" s="1"/>
  <c r="C214" i="53" s="1"/>
  <c r="C216" i="53" s="1"/>
  <c r="C218" i="53" s="1"/>
  <c r="C227" i="53" s="1"/>
  <c r="C228" i="53" s="1"/>
  <c r="C230" i="53" s="1"/>
  <c r="C241" i="53" s="1"/>
  <c r="C242" i="53" s="1"/>
  <c r="C244" i="53" s="1"/>
  <c r="K17" i="53"/>
  <c r="O17" i="53" s="1"/>
  <c r="K18" i="53"/>
  <c r="M21" i="53"/>
  <c r="K25" i="53"/>
  <c r="O25" i="53" s="1"/>
  <c r="Q25" i="53" s="1"/>
  <c r="K26" i="53"/>
  <c r="O26" i="53" s="1"/>
  <c r="Q26" i="53" s="1"/>
  <c r="K28" i="53"/>
  <c r="K35" i="53"/>
  <c r="K89" i="53" s="1"/>
  <c r="K37" i="53"/>
  <c r="K91" i="53" s="1"/>
  <c r="M39" i="53"/>
  <c r="O39" i="53"/>
  <c r="K57" i="53"/>
  <c r="K59" i="53" s="1"/>
  <c r="M57" i="53"/>
  <c r="M59" i="53" s="1"/>
  <c r="O57" i="53"/>
  <c r="O59" i="53" s="1"/>
  <c r="M70" i="53"/>
  <c r="R32" i="52" s="1"/>
  <c r="M71" i="53"/>
  <c r="M72" i="53"/>
  <c r="M73" i="53"/>
  <c r="R102" i="52" s="1"/>
  <c r="R104" i="52" s="1"/>
  <c r="M79" i="53"/>
  <c r="M80" i="53"/>
  <c r="M81" i="53"/>
  <c r="M82" i="53"/>
  <c r="M88" i="53"/>
  <c r="Q88" i="53" s="1"/>
  <c r="O88" i="53"/>
  <c r="M89" i="53"/>
  <c r="O89" i="53"/>
  <c r="M90" i="53"/>
  <c r="R49" i="52" s="1"/>
  <c r="O90" i="53"/>
  <c r="M91" i="53"/>
  <c r="O91" i="53"/>
  <c r="M104" i="53"/>
  <c r="M105" i="53"/>
  <c r="M106" i="53"/>
  <c r="M107" i="53"/>
  <c r="Q122" i="53"/>
  <c r="O139" i="53"/>
  <c r="O175" i="53" s="1"/>
  <c r="Q139" i="53"/>
  <c r="O140" i="53"/>
  <c r="O141" i="53"/>
  <c r="O142" i="53"/>
  <c r="O178" i="53" s="1"/>
  <c r="Q142" i="53"/>
  <c r="K144" i="53"/>
  <c r="M144" i="53"/>
  <c r="O148" i="53"/>
  <c r="O149" i="53"/>
  <c r="O150" i="53"/>
  <c r="Q150" i="53" s="1"/>
  <c r="O151" i="53"/>
  <c r="Q151" i="53" s="1"/>
  <c r="K153" i="53"/>
  <c r="M153" i="53"/>
  <c r="O157" i="53"/>
  <c r="Q157" i="53" s="1"/>
  <c r="O158" i="53"/>
  <c r="Q158" i="53" s="1"/>
  <c r="O159" i="53"/>
  <c r="O160" i="53"/>
  <c r="O162" i="53" s="1"/>
  <c r="K162" i="53"/>
  <c r="M162" i="53"/>
  <c r="K175" i="53"/>
  <c r="K209" i="53" s="1"/>
  <c r="M175" i="53"/>
  <c r="K176" i="53"/>
  <c r="K210" i="53" s="1"/>
  <c r="M176" i="53"/>
  <c r="K177" i="53"/>
  <c r="M177" i="53"/>
  <c r="K178" i="53"/>
  <c r="M178" i="53"/>
  <c r="K184" i="53"/>
  <c r="M184" i="53"/>
  <c r="K185" i="53"/>
  <c r="M185" i="53"/>
  <c r="K186" i="53"/>
  <c r="M186" i="53"/>
  <c r="O186" i="53"/>
  <c r="K187" i="53"/>
  <c r="M187" i="53"/>
  <c r="K193" i="53"/>
  <c r="M193" i="53"/>
  <c r="O193" i="53"/>
  <c r="K194" i="53"/>
  <c r="M194" i="53"/>
  <c r="O194" i="53"/>
  <c r="K195" i="53"/>
  <c r="M195" i="53"/>
  <c r="K196" i="53"/>
  <c r="M196" i="53"/>
  <c r="L203" i="52" s="1"/>
  <c r="K241" i="53"/>
  <c r="M241" i="53"/>
  <c r="O241" i="53"/>
  <c r="Q241" i="53"/>
  <c r="L14" i="52"/>
  <c r="H18" i="52"/>
  <c r="H29" i="52"/>
  <c r="H19" i="52"/>
  <c r="H20" i="52"/>
  <c r="H21" i="52"/>
  <c r="H22" i="52"/>
  <c r="E30" i="52"/>
  <c r="N30" i="52"/>
  <c r="L32" i="52"/>
  <c r="L34" i="52" s="1"/>
  <c r="R34" i="52"/>
  <c r="H53" i="52"/>
  <c r="H64" i="52"/>
  <c r="H54" i="52"/>
  <c r="H55" i="52"/>
  <c r="H56" i="52"/>
  <c r="H57" i="52"/>
  <c r="E65" i="52"/>
  <c r="L67" i="52"/>
  <c r="L69" i="52" s="1"/>
  <c r="R69" i="52"/>
  <c r="H88" i="52"/>
  <c r="H99" i="52"/>
  <c r="H89" i="52"/>
  <c r="H90" i="52"/>
  <c r="H91" i="52"/>
  <c r="H92" i="52"/>
  <c r="E100" i="52"/>
  <c r="N100" i="52"/>
  <c r="R108" i="52"/>
  <c r="H137" i="52"/>
  <c r="K137" i="52" s="1"/>
  <c r="Q137" i="52"/>
  <c r="H138" i="52"/>
  <c r="K138" i="52" s="1"/>
  <c r="Q138" i="52"/>
  <c r="H139" i="52"/>
  <c r="K139" i="52" s="1"/>
  <c r="Q139" i="52"/>
  <c r="H148" i="52"/>
  <c r="K148" i="52" s="1"/>
  <c r="H140" i="52"/>
  <c r="K140" i="52" s="1"/>
  <c r="Q140" i="52"/>
  <c r="H141" i="52"/>
  <c r="K141" i="52" s="1"/>
  <c r="Q141" i="52"/>
  <c r="Q142" i="52"/>
  <c r="Q143" i="52"/>
  <c r="Q144" i="52"/>
  <c r="Q145" i="52"/>
  <c r="Q146" i="52"/>
  <c r="Q147" i="52"/>
  <c r="Q148" i="52"/>
  <c r="E149" i="52"/>
  <c r="J149" i="52"/>
  <c r="N149" i="52"/>
  <c r="R153" i="52"/>
  <c r="R157" i="52"/>
  <c r="L168" i="52"/>
  <c r="H172" i="52"/>
  <c r="K172" i="52" s="1"/>
  <c r="Q172" i="52"/>
  <c r="H183" i="52"/>
  <c r="K183" i="52" s="1"/>
  <c r="H173" i="52"/>
  <c r="K173" i="52" s="1"/>
  <c r="Q173" i="52"/>
  <c r="H174" i="52"/>
  <c r="K174" i="52" s="1"/>
  <c r="Q174" i="52"/>
  <c r="H175" i="52"/>
  <c r="K175" i="52" s="1"/>
  <c r="Q175" i="52"/>
  <c r="H176" i="52"/>
  <c r="K176" i="52" s="1"/>
  <c r="Q176" i="52"/>
  <c r="Q177" i="52"/>
  <c r="Q178" i="52"/>
  <c r="Q179" i="52"/>
  <c r="Q180" i="52"/>
  <c r="Q181" i="52"/>
  <c r="Q182" i="52"/>
  <c r="Q183" i="52"/>
  <c r="E184" i="52"/>
  <c r="J184" i="52"/>
  <c r="N184" i="52"/>
  <c r="R188" i="52"/>
  <c r="R192" i="52"/>
  <c r="H207" i="52"/>
  <c r="K207" i="52" s="1"/>
  <c r="L207" i="52" s="1"/>
  <c r="Q207" i="52"/>
  <c r="H218" i="52"/>
  <c r="K218" i="52" s="1"/>
  <c r="H208" i="52"/>
  <c r="K208" i="52" s="1"/>
  <c r="Q208" i="52"/>
  <c r="H209" i="52"/>
  <c r="K209" i="52" s="1"/>
  <c r="Q209" i="52"/>
  <c r="H210" i="52"/>
  <c r="K210" i="52" s="1"/>
  <c r="Q210" i="52"/>
  <c r="H211" i="52"/>
  <c r="K211" i="52" s="1"/>
  <c r="Q211" i="52"/>
  <c r="Q212" i="52"/>
  <c r="Q213" i="52"/>
  <c r="Q214" i="52"/>
  <c r="Q215" i="52"/>
  <c r="Q216" i="52"/>
  <c r="Q217" i="52"/>
  <c r="Q218" i="52"/>
  <c r="E219" i="52"/>
  <c r="J219" i="52"/>
  <c r="N219" i="52"/>
  <c r="R223" i="52"/>
  <c r="R227" i="52"/>
  <c r="B12" i="51"/>
  <c r="B13" i="51" s="1"/>
  <c r="B14" i="51" s="1"/>
  <c r="B15" i="51" s="1"/>
  <c r="E12" i="51"/>
  <c r="B17" i="51"/>
  <c r="B22" i="51" s="1"/>
  <c r="G114" i="51"/>
  <c r="H114" i="51"/>
  <c r="E101" i="51"/>
  <c r="F101" i="51"/>
  <c r="F107" i="51" s="1"/>
  <c r="G115" i="51"/>
  <c r="H115" i="51"/>
  <c r="I115" i="51"/>
  <c r="E162" i="51"/>
  <c r="E169" i="51" s="1"/>
  <c r="F162" i="51"/>
  <c r="F169" i="51" s="1"/>
  <c r="F175" i="51" s="1"/>
  <c r="G162" i="51"/>
  <c r="H162" i="51"/>
  <c r="H169" i="51" s="1"/>
  <c r="H175" i="51" s="1"/>
  <c r="I162" i="51"/>
  <c r="F209" i="51"/>
  <c r="G209" i="51"/>
  <c r="G216" i="51" s="1"/>
  <c r="H209" i="51"/>
  <c r="I209" i="51"/>
  <c r="E211" i="51"/>
  <c r="E212" i="51"/>
  <c r="E213" i="51"/>
  <c r="E214" i="51"/>
  <c r="E235" i="51"/>
  <c r="E242" i="51" s="1"/>
  <c r="F235" i="51"/>
  <c r="F242" i="51" s="1"/>
  <c r="G235" i="51"/>
  <c r="H235" i="51"/>
  <c r="I235" i="51"/>
  <c r="E282" i="51"/>
  <c r="E289" i="51" s="1"/>
  <c r="F282" i="51"/>
  <c r="G282" i="51"/>
  <c r="H282" i="51"/>
  <c r="I282" i="51"/>
  <c r="E309" i="51"/>
  <c r="E316" i="51" s="1"/>
  <c r="F309" i="51"/>
  <c r="G309" i="51"/>
  <c r="H309" i="51"/>
  <c r="I309" i="51"/>
  <c r="B12" i="50"/>
  <c r="B13" i="50" s="1"/>
  <c r="B14" i="50" s="1"/>
  <c r="B15" i="50" s="1"/>
  <c r="E12" i="50"/>
  <c r="B17" i="50"/>
  <c r="B22" i="50" s="1"/>
  <c r="F232" i="1" s="1"/>
  <c r="F68" i="50"/>
  <c r="G68" i="50"/>
  <c r="G115" i="50" s="1"/>
  <c r="H68" i="50"/>
  <c r="I68" i="50"/>
  <c r="I115" i="50" s="1"/>
  <c r="E95" i="50"/>
  <c r="E102" i="50" s="1"/>
  <c r="F95" i="50"/>
  <c r="F116" i="50" s="1"/>
  <c r="G95" i="50"/>
  <c r="H95" i="50"/>
  <c r="H102" i="50" s="1"/>
  <c r="I95" i="50"/>
  <c r="I102" i="50" s="1"/>
  <c r="F139" i="50"/>
  <c r="F183" i="50" s="1"/>
  <c r="I139" i="50"/>
  <c r="I183" i="50" s="1"/>
  <c r="E163" i="50"/>
  <c r="E170" i="50" s="1"/>
  <c r="F163" i="50"/>
  <c r="F170" i="50" s="1"/>
  <c r="F176" i="50" s="1"/>
  <c r="G163" i="50"/>
  <c r="G184" i="50" s="1"/>
  <c r="H163" i="50"/>
  <c r="H184" i="50" s="1"/>
  <c r="I163" i="50"/>
  <c r="I170" i="50" s="1"/>
  <c r="F211" i="50"/>
  <c r="F258" i="50" s="1"/>
  <c r="G211" i="50"/>
  <c r="H211" i="50"/>
  <c r="H218" i="50" s="1"/>
  <c r="I211" i="50"/>
  <c r="E237" i="50"/>
  <c r="E244" i="50" s="1"/>
  <c r="F237" i="50"/>
  <c r="F244" i="50" s="1"/>
  <c r="G237" i="50"/>
  <c r="H237" i="50"/>
  <c r="I237" i="50"/>
  <c r="E284" i="50"/>
  <c r="G13" i="9" s="1"/>
  <c r="F284" i="50"/>
  <c r="F291" i="50" s="1"/>
  <c r="F297" i="50" s="1"/>
  <c r="G284" i="50"/>
  <c r="G291" i="50" s="1"/>
  <c r="G297" i="50" s="1"/>
  <c r="G15" i="50" s="1"/>
  <c r="H284" i="50"/>
  <c r="H291" i="50" s="1"/>
  <c r="I284" i="50"/>
  <c r="I291" i="50" s="1"/>
  <c r="E311" i="50"/>
  <c r="E318" i="50" s="1"/>
  <c r="F311" i="50"/>
  <c r="G311" i="50"/>
  <c r="H311" i="50"/>
  <c r="H318" i="50" s="1"/>
  <c r="B17" i="49"/>
  <c r="B18" i="49" s="1"/>
  <c r="B19" i="49" s="1"/>
  <c r="B20" i="49" s="1"/>
  <c r="B21" i="49" s="1"/>
  <c r="B22" i="49" s="1"/>
  <c r="B23" i="49" s="1"/>
  <c r="B24" i="49" s="1"/>
  <c r="B25" i="49" s="1"/>
  <c r="B26" i="49" s="1"/>
  <c r="B27" i="49" s="1"/>
  <c r="H16" i="49"/>
  <c r="K16" i="49" s="1"/>
  <c r="O16" i="49"/>
  <c r="P16" i="49"/>
  <c r="Q16" i="49"/>
  <c r="H17" i="49"/>
  <c r="K17" i="49" s="1"/>
  <c r="O17" i="49"/>
  <c r="P17" i="49"/>
  <c r="Q17" i="49"/>
  <c r="H18" i="49"/>
  <c r="K18" i="49" s="1"/>
  <c r="O18" i="49"/>
  <c r="P18" i="49"/>
  <c r="Q18" i="49"/>
  <c r="H19" i="49"/>
  <c r="K19" i="49" s="1"/>
  <c r="O19" i="49"/>
  <c r="P19" i="49"/>
  <c r="Q19" i="49"/>
  <c r="H20" i="49"/>
  <c r="K20" i="49" s="1"/>
  <c r="O20" i="49"/>
  <c r="P20" i="49"/>
  <c r="Q20" i="49"/>
  <c r="H21" i="49"/>
  <c r="K21" i="49" s="1"/>
  <c r="O21" i="49"/>
  <c r="P21" i="49"/>
  <c r="Q21" i="49"/>
  <c r="H22" i="49"/>
  <c r="K22" i="49" s="1"/>
  <c r="O22" i="49"/>
  <c r="P22" i="49"/>
  <c r="Q22" i="49"/>
  <c r="H23" i="49"/>
  <c r="K23" i="49" s="1"/>
  <c r="O23" i="49"/>
  <c r="P23" i="49"/>
  <c r="Q23" i="49"/>
  <c r="H24" i="49"/>
  <c r="K24" i="49" s="1"/>
  <c r="O24" i="49"/>
  <c r="P24" i="49"/>
  <c r="Q24" i="49"/>
  <c r="H25" i="49"/>
  <c r="K25" i="49" s="1"/>
  <c r="O25" i="49"/>
  <c r="P25" i="49"/>
  <c r="Q25" i="49"/>
  <c r="H26" i="49"/>
  <c r="K26" i="49" s="1"/>
  <c r="O26" i="49"/>
  <c r="P26" i="49"/>
  <c r="Q26" i="49"/>
  <c r="H27" i="49"/>
  <c r="K27" i="49" s="1"/>
  <c r="O27" i="49"/>
  <c r="P27" i="49"/>
  <c r="Q27" i="49"/>
  <c r="E28" i="49"/>
  <c r="J28" i="49"/>
  <c r="N28" i="49"/>
  <c r="H51" i="49"/>
  <c r="K51" i="49" s="1"/>
  <c r="L51" i="49" s="1"/>
  <c r="O51" i="49"/>
  <c r="P51" i="49" s="1"/>
  <c r="Q51" i="49"/>
  <c r="H52" i="49"/>
  <c r="K52" i="49" s="1"/>
  <c r="O52" i="49"/>
  <c r="P52" i="49" s="1"/>
  <c r="Q52" i="49"/>
  <c r="H53" i="49"/>
  <c r="K53" i="49" s="1"/>
  <c r="O53" i="49"/>
  <c r="P53" i="49" s="1"/>
  <c r="Q53" i="49"/>
  <c r="H54" i="49"/>
  <c r="K54" i="49" s="1"/>
  <c r="O54" i="49"/>
  <c r="Q54" i="49"/>
  <c r="H55" i="49"/>
  <c r="K55" i="49" s="1"/>
  <c r="O55" i="49"/>
  <c r="Q55" i="49"/>
  <c r="H56" i="49"/>
  <c r="K56" i="49" s="1"/>
  <c r="O56" i="49"/>
  <c r="Q56" i="49"/>
  <c r="H57" i="49"/>
  <c r="K57" i="49" s="1"/>
  <c r="O57" i="49"/>
  <c r="Q57" i="49"/>
  <c r="H58" i="49"/>
  <c r="K58" i="49" s="1"/>
  <c r="O58" i="49"/>
  <c r="Q58" i="49"/>
  <c r="H59" i="49"/>
  <c r="K59" i="49" s="1"/>
  <c r="O59" i="49"/>
  <c r="Q59" i="49"/>
  <c r="H60" i="49"/>
  <c r="K60" i="49" s="1"/>
  <c r="O60" i="49"/>
  <c r="P60" i="49" s="1"/>
  <c r="Q60" i="49"/>
  <c r="H61" i="49"/>
  <c r="K61" i="49" s="1"/>
  <c r="O61" i="49"/>
  <c r="P61" i="49" s="1"/>
  <c r="Q61" i="49"/>
  <c r="H62" i="49"/>
  <c r="K62" i="49" s="1"/>
  <c r="O62" i="49"/>
  <c r="Q62" i="49"/>
  <c r="E63" i="49"/>
  <c r="J63" i="49"/>
  <c r="N63" i="49"/>
  <c r="L67" i="49"/>
  <c r="R67" i="49"/>
  <c r="L71" i="49"/>
  <c r="R71" i="49"/>
  <c r="H86" i="49"/>
  <c r="H87" i="49"/>
  <c r="H88" i="49"/>
  <c r="H89" i="49"/>
  <c r="H90" i="49"/>
  <c r="H91" i="49"/>
  <c r="H92" i="49"/>
  <c r="H93" i="49"/>
  <c r="H94" i="49"/>
  <c r="H95" i="49"/>
  <c r="H96" i="49"/>
  <c r="H97" i="49"/>
  <c r="E98" i="49"/>
  <c r="N98" i="49"/>
  <c r="H121" i="49"/>
  <c r="K121" i="49" s="1"/>
  <c r="O121" i="49"/>
  <c r="P121" i="49" s="1"/>
  <c r="Q121" i="49"/>
  <c r="H122" i="49"/>
  <c r="K122" i="49" s="1"/>
  <c r="O122" i="49"/>
  <c r="P122" i="49" s="1"/>
  <c r="Q122" i="49"/>
  <c r="H123" i="49"/>
  <c r="K123" i="49" s="1"/>
  <c r="O123" i="49"/>
  <c r="P123" i="49" s="1"/>
  <c r="Q123" i="49"/>
  <c r="H124" i="49"/>
  <c r="K124" i="49" s="1"/>
  <c r="O124" i="49"/>
  <c r="Q124" i="49"/>
  <c r="H125" i="49"/>
  <c r="K125" i="49" s="1"/>
  <c r="O125" i="49"/>
  <c r="Q125" i="49"/>
  <c r="H126" i="49"/>
  <c r="K126" i="49" s="1"/>
  <c r="O126" i="49"/>
  <c r="Q126" i="49"/>
  <c r="H127" i="49"/>
  <c r="K127" i="49" s="1"/>
  <c r="O127" i="49"/>
  <c r="Q127" i="49"/>
  <c r="H128" i="49"/>
  <c r="K128" i="49" s="1"/>
  <c r="O128" i="49"/>
  <c r="Q128" i="49"/>
  <c r="H129" i="49"/>
  <c r="K129" i="49" s="1"/>
  <c r="O129" i="49"/>
  <c r="P129" i="49" s="1"/>
  <c r="Q129" i="49"/>
  <c r="H130" i="49"/>
  <c r="K130" i="49" s="1"/>
  <c r="O130" i="49"/>
  <c r="P130" i="49" s="1"/>
  <c r="Q130" i="49"/>
  <c r="H131" i="49"/>
  <c r="K131" i="49" s="1"/>
  <c r="O131" i="49"/>
  <c r="P131" i="49" s="1"/>
  <c r="Q131" i="49"/>
  <c r="H132" i="49"/>
  <c r="K132" i="49" s="1"/>
  <c r="O132" i="49"/>
  <c r="Q132" i="49"/>
  <c r="E133" i="49"/>
  <c r="J133" i="49"/>
  <c r="N133" i="49"/>
  <c r="H156" i="49"/>
  <c r="K156" i="49" s="1"/>
  <c r="L156" i="49" s="1"/>
  <c r="O156" i="49"/>
  <c r="P156" i="49" s="1"/>
  <c r="R156" i="49" s="1"/>
  <c r="Q156" i="49"/>
  <c r="H157" i="49"/>
  <c r="K157" i="49" s="1"/>
  <c r="O157" i="49"/>
  <c r="P157" i="49" s="1"/>
  <c r="Q157" i="49"/>
  <c r="H158" i="49"/>
  <c r="K158" i="49" s="1"/>
  <c r="O158" i="49"/>
  <c r="P158" i="49" s="1"/>
  <c r="Q158" i="49"/>
  <c r="H159" i="49"/>
  <c r="K159" i="49" s="1"/>
  <c r="O159" i="49"/>
  <c r="Q159" i="49"/>
  <c r="H160" i="49"/>
  <c r="K160" i="49" s="1"/>
  <c r="O160" i="49"/>
  <c r="Q160" i="49"/>
  <c r="H161" i="49"/>
  <c r="K161" i="49" s="1"/>
  <c r="O161" i="49"/>
  <c r="Q161" i="49"/>
  <c r="H162" i="49"/>
  <c r="K162" i="49" s="1"/>
  <c r="O162" i="49"/>
  <c r="Q162" i="49"/>
  <c r="H163" i="49"/>
  <c r="K163" i="49" s="1"/>
  <c r="O163" i="49"/>
  <c r="Q163" i="49"/>
  <c r="H164" i="49"/>
  <c r="K164" i="49" s="1"/>
  <c r="O164" i="49"/>
  <c r="P164" i="49" s="1"/>
  <c r="Q164" i="49"/>
  <c r="H165" i="49"/>
  <c r="K165" i="49" s="1"/>
  <c r="O165" i="49"/>
  <c r="P165" i="49" s="1"/>
  <c r="Q165" i="49"/>
  <c r="H166" i="49"/>
  <c r="K166" i="49" s="1"/>
  <c r="O166" i="49"/>
  <c r="P166" i="49" s="1"/>
  <c r="Q166" i="49"/>
  <c r="H167" i="49"/>
  <c r="K167" i="49" s="1"/>
  <c r="O167" i="49"/>
  <c r="P167" i="49" s="1"/>
  <c r="Q167" i="49"/>
  <c r="E168" i="49"/>
  <c r="J168" i="49"/>
  <c r="N168" i="49"/>
  <c r="E187" i="49"/>
  <c r="P85" i="54" l="1"/>
  <c r="P49" i="54"/>
  <c r="P47" i="54"/>
  <c r="P31" i="54"/>
  <c r="P27" i="54"/>
  <c r="P25" i="54"/>
  <c r="P23" i="54"/>
  <c r="P21" i="54"/>
  <c r="R21" i="54" s="1"/>
  <c r="X21" i="54" s="1"/>
  <c r="AF21" i="54" s="1"/>
  <c r="M13" i="54"/>
  <c r="L91" i="54"/>
  <c r="O28" i="53"/>
  <c r="Q28" i="53" s="1"/>
  <c r="O18" i="53"/>
  <c r="Q18" i="53" s="1"/>
  <c r="N63" i="52"/>
  <c r="N55" i="52"/>
  <c r="N62" i="52"/>
  <c r="N54" i="52"/>
  <c r="N61" i="52"/>
  <c r="N53" i="52"/>
  <c r="N60" i="52"/>
  <c r="O60" i="52" s="1"/>
  <c r="N59" i="52"/>
  <c r="O59" i="52" s="1"/>
  <c r="N58" i="52"/>
  <c r="N57" i="52"/>
  <c r="N64" i="52"/>
  <c r="N56" i="52"/>
  <c r="E291" i="50"/>
  <c r="H258" i="50"/>
  <c r="H260" i="50" s="1"/>
  <c r="P162" i="49"/>
  <c r="P159" i="49"/>
  <c r="P161" i="49"/>
  <c r="P163" i="49"/>
  <c r="P160" i="49"/>
  <c r="P125" i="49"/>
  <c r="P127" i="49"/>
  <c r="P132" i="49"/>
  <c r="P124" i="49"/>
  <c r="P126" i="49"/>
  <c r="P128" i="49"/>
  <c r="P55" i="49"/>
  <c r="P57" i="49"/>
  <c r="P62" i="49"/>
  <c r="P54" i="49"/>
  <c r="P59" i="49"/>
  <c r="P56" i="49"/>
  <c r="P58" i="49"/>
  <c r="F184" i="50"/>
  <c r="G318" i="50"/>
  <c r="G324" i="50" s="1"/>
  <c r="F318" i="50"/>
  <c r="F324" i="50" s="1"/>
  <c r="I259" i="50"/>
  <c r="I244" i="50"/>
  <c r="H259" i="50"/>
  <c r="H244" i="50"/>
  <c r="G259" i="50"/>
  <c r="G244" i="50"/>
  <c r="G250" i="50" s="1"/>
  <c r="F316" i="51"/>
  <c r="F322" i="51" s="1"/>
  <c r="H242" i="51"/>
  <c r="H248" i="51" s="1"/>
  <c r="G257" i="51"/>
  <c r="G242" i="51"/>
  <c r="I289" i="51"/>
  <c r="I295" i="51" s="1"/>
  <c r="I15" i="51" s="1"/>
  <c r="H289" i="51"/>
  <c r="H295" i="51" s="1"/>
  <c r="H15" i="51" s="1"/>
  <c r="G289" i="51"/>
  <c r="G295" i="51" s="1"/>
  <c r="G15" i="51" s="1"/>
  <c r="I316" i="51"/>
  <c r="I322" i="51" s="1"/>
  <c r="F289" i="51"/>
  <c r="F295" i="51" s="1"/>
  <c r="H316" i="51"/>
  <c r="H322" i="51" s="1"/>
  <c r="G316" i="51"/>
  <c r="G322" i="51" s="1"/>
  <c r="I242" i="51"/>
  <c r="I248" i="51" s="1"/>
  <c r="J19" i="52"/>
  <c r="Q19" i="52" s="1"/>
  <c r="J22" i="52"/>
  <c r="Q22" i="52" s="1"/>
  <c r="J29" i="52"/>
  <c r="Q29" i="52" s="1"/>
  <c r="J21" i="52"/>
  <c r="Q21" i="52" s="1"/>
  <c r="J28" i="52"/>
  <c r="Q28" i="52" s="1"/>
  <c r="J20" i="52"/>
  <c r="Q20" i="52" s="1"/>
  <c r="J27" i="52"/>
  <c r="Q27" i="52" s="1"/>
  <c r="J18" i="52"/>
  <c r="J26" i="52"/>
  <c r="Q26" i="52" s="1"/>
  <c r="J25" i="52"/>
  <c r="Q25" i="52" s="1"/>
  <c r="J24" i="52"/>
  <c r="Q24" i="52" s="1"/>
  <c r="J23" i="52"/>
  <c r="Q23" i="52" s="1"/>
  <c r="J95" i="52"/>
  <c r="Q95" i="52" s="1"/>
  <c r="J94" i="52"/>
  <c r="Q94" i="52" s="1"/>
  <c r="J93" i="52"/>
  <c r="Q93" i="52" s="1"/>
  <c r="J92" i="52"/>
  <c r="J88" i="52"/>
  <c r="J99" i="52"/>
  <c r="Q99" i="52" s="1"/>
  <c r="J91" i="52"/>
  <c r="Q91" i="52" s="1"/>
  <c r="J98" i="52"/>
  <c r="Q98" i="52" s="1"/>
  <c r="J90" i="52"/>
  <c r="Q90" i="52" s="1"/>
  <c r="J96" i="52"/>
  <c r="Q96" i="52" s="1"/>
  <c r="J97" i="52"/>
  <c r="Q97" i="52" s="1"/>
  <c r="J89" i="52"/>
  <c r="Q89" i="52" s="1"/>
  <c r="K99" i="52"/>
  <c r="K22" i="52"/>
  <c r="K88" i="52"/>
  <c r="L88" i="52" s="1"/>
  <c r="K19" i="52"/>
  <c r="K29" i="52"/>
  <c r="P166" i="54"/>
  <c r="P130" i="54"/>
  <c r="P126" i="54"/>
  <c r="P122" i="54"/>
  <c r="P129" i="54"/>
  <c r="P127" i="54"/>
  <c r="P78" i="54"/>
  <c r="P30" i="54"/>
  <c r="P28" i="54"/>
  <c r="P26" i="54"/>
  <c r="P24" i="54"/>
  <c r="P22" i="54"/>
  <c r="J51" i="54"/>
  <c r="J84" i="54"/>
  <c r="J169" i="54"/>
  <c r="J167" i="54"/>
  <c r="J133" i="54"/>
  <c r="J97" i="54"/>
  <c r="J104" i="54"/>
  <c r="J102" i="54"/>
  <c r="J98" i="54"/>
  <c r="J108" i="54"/>
  <c r="P77" i="54"/>
  <c r="P48" i="54"/>
  <c r="J33" i="54"/>
  <c r="J153" i="54"/>
  <c r="J151" i="54"/>
  <c r="J149" i="54"/>
  <c r="P150" i="54"/>
  <c r="M84" i="53"/>
  <c r="F256" i="51"/>
  <c r="F216" i="51"/>
  <c r="F222" i="51" s="1"/>
  <c r="I169" i="51"/>
  <c r="I175" i="51" s="1"/>
  <c r="G183" i="51"/>
  <c r="G169" i="51"/>
  <c r="G175" i="51" s="1"/>
  <c r="H216" i="51"/>
  <c r="H222" i="51" s="1"/>
  <c r="H14" i="51" s="1"/>
  <c r="I216" i="51"/>
  <c r="I222" i="51" s="1"/>
  <c r="I14" i="51" s="1"/>
  <c r="I182" i="51"/>
  <c r="G182" i="51"/>
  <c r="I146" i="50"/>
  <c r="R121" i="49"/>
  <c r="R122" i="49" s="1"/>
  <c r="R123" i="49" s="1"/>
  <c r="R16" i="49"/>
  <c r="L172" i="52"/>
  <c r="L173" i="52" s="1"/>
  <c r="L174" i="52" s="1"/>
  <c r="L175" i="52" s="1"/>
  <c r="L176" i="52" s="1"/>
  <c r="H170" i="50"/>
  <c r="G170" i="50"/>
  <c r="G176" i="50" s="1"/>
  <c r="F218" i="50"/>
  <c r="F224" i="50" s="1"/>
  <c r="F14" i="50" s="1"/>
  <c r="I116" i="50"/>
  <c r="H101" i="51"/>
  <c r="H107" i="51" s="1"/>
  <c r="G248" i="51"/>
  <c r="A22" i="56"/>
  <c r="A23" i="56" s="1"/>
  <c r="A24" i="56" s="1"/>
  <c r="O168" i="49"/>
  <c r="R51" i="49"/>
  <c r="R52" i="49" s="1"/>
  <c r="R53" i="49" s="1"/>
  <c r="G101" i="51"/>
  <c r="G107" i="51" s="1"/>
  <c r="T172" i="54"/>
  <c r="P158" i="54"/>
  <c r="P155" i="54"/>
  <c r="P69" i="54"/>
  <c r="P52" i="54"/>
  <c r="H257" i="51"/>
  <c r="I101" i="51"/>
  <c r="I107" i="51" s="1"/>
  <c r="K164" i="53"/>
  <c r="O144" i="53"/>
  <c r="H172" i="54"/>
  <c r="P163" i="54"/>
  <c r="P145" i="54"/>
  <c r="J141" i="54"/>
  <c r="J137" i="54"/>
  <c r="L102" i="52"/>
  <c r="L104" i="52" s="1"/>
  <c r="G74" i="51"/>
  <c r="G80" i="51" s="1"/>
  <c r="G11" i="51" s="1"/>
  <c r="R159" i="52"/>
  <c r="R110" i="52"/>
  <c r="K189" i="53"/>
  <c r="P142" i="54"/>
  <c r="P83" i="54"/>
  <c r="P51" i="54"/>
  <c r="J49" i="54"/>
  <c r="R49" i="54" s="1"/>
  <c r="X49" i="54" s="1"/>
  <c r="AF49" i="54" s="1"/>
  <c r="P35" i="54"/>
  <c r="J25" i="54"/>
  <c r="R25" i="54" s="1"/>
  <c r="X25" i="54" s="1"/>
  <c r="AF25" i="54" s="1"/>
  <c r="J23" i="54"/>
  <c r="R23" i="54" s="1"/>
  <c r="X23" i="54" s="1"/>
  <c r="AF23" i="54" s="1"/>
  <c r="J22" i="54"/>
  <c r="R22" i="54" s="1"/>
  <c r="X22" i="54" s="1"/>
  <c r="AF22" i="54" s="1"/>
  <c r="I257" i="51"/>
  <c r="M109" i="53"/>
  <c r="J161" i="54"/>
  <c r="J159" i="54"/>
  <c r="P138" i="54"/>
  <c r="P134" i="54"/>
  <c r="J110" i="54"/>
  <c r="P63" i="54"/>
  <c r="P62" i="54"/>
  <c r="P50" i="54"/>
  <c r="J47" i="54"/>
  <c r="J45" i="54"/>
  <c r="J43" i="54"/>
  <c r="P33" i="54"/>
  <c r="R33" i="54" s="1"/>
  <c r="X33" i="54" s="1"/>
  <c r="AF33" i="54" s="1"/>
  <c r="P101" i="54"/>
  <c r="P100" i="54"/>
  <c r="N172" i="54"/>
  <c r="J130" i="54"/>
  <c r="R130" i="54" s="1"/>
  <c r="X130" i="54" s="1"/>
  <c r="AF130" i="54" s="1"/>
  <c r="J128" i="54"/>
  <c r="J126" i="54"/>
  <c r="J121" i="54"/>
  <c r="J129" i="54"/>
  <c r="R129" i="54" s="1"/>
  <c r="X129" i="54" s="1"/>
  <c r="AF129" i="54" s="1"/>
  <c r="J127" i="54"/>
  <c r="R127" i="54" s="1"/>
  <c r="X127" i="54" s="1"/>
  <c r="AF127" i="54" s="1"/>
  <c r="J122" i="54"/>
  <c r="R122" i="54" s="1"/>
  <c r="X122" i="54" s="1"/>
  <c r="AF122" i="54" s="1"/>
  <c r="P161" i="54"/>
  <c r="J157" i="54"/>
  <c r="J116" i="54"/>
  <c r="P169" i="54"/>
  <c r="R169" i="54" s="1"/>
  <c r="X169" i="54" s="1"/>
  <c r="AF169" i="54" s="1"/>
  <c r="J165" i="54"/>
  <c r="P147" i="54"/>
  <c r="J145" i="54"/>
  <c r="R145" i="54" s="1"/>
  <c r="X145" i="54" s="1"/>
  <c r="AF145" i="54" s="1"/>
  <c r="J143" i="54"/>
  <c r="P153" i="54"/>
  <c r="J100" i="54"/>
  <c r="R100" i="54" s="1"/>
  <c r="X100" i="54" s="1"/>
  <c r="AF100" i="54" s="1"/>
  <c r="K80" i="53"/>
  <c r="K72" i="53"/>
  <c r="P84" i="54"/>
  <c r="R84" i="54" s="1"/>
  <c r="X84" i="54" s="1"/>
  <c r="AF84" i="54" s="1"/>
  <c r="P74" i="54"/>
  <c r="P72" i="54"/>
  <c r="P71" i="54"/>
  <c r="P56" i="54"/>
  <c r="P55" i="54"/>
  <c r="P54" i="54"/>
  <c r="P53" i="54"/>
  <c r="P45" i="54"/>
  <c r="R45" i="54" s="1"/>
  <c r="X45" i="54" s="1"/>
  <c r="AF45" i="54" s="1"/>
  <c r="P44" i="54"/>
  <c r="P43" i="54"/>
  <c r="P19" i="54"/>
  <c r="P16" i="54"/>
  <c r="K82" i="53"/>
  <c r="J31" i="54"/>
  <c r="J27" i="54"/>
  <c r="J76" i="54"/>
  <c r="J71" i="54"/>
  <c r="J53" i="54"/>
  <c r="J41" i="54"/>
  <c r="J39" i="54"/>
  <c r="J19" i="54"/>
  <c r="J18" i="54"/>
  <c r="J12" i="54"/>
  <c r="K79" i="53"/>
  <c r="J16" i="54"/>
  <c r="J87" i="54"/>
  <c r="Q39" i="53"/>
  <c r="M41" i="53"/>
  <c r="L208" i="52"/>
  <c r="L209" i="52" s="1"/>
  <c r="L210" i="52" s="1"/>
  <c r="L211" i="52" s="1"/>
  <c r="H116" i="51"/>
  <c r="F75" i="50"/>
  <c r="F81" i="50" s="1"/>
  <c r="F11" i="50" s="1"/>
  <c r="I183" i="51"/>
  <c r="H256" i="51"/>
  <c r="H74" i="51"/>
  <c r="H80" i="51" s="1"/>
  <c r="H11" i="51" s="1"/>
  <c r="Q133" i="49"/>
  <c r="R73" i="49"/>
  <c r="H116" i="50"/>
  <c r="M164" i="53"/>
  <c r="O79" i="53"/>
  <c r="Q79" i="53" s="1"/>
  <c r="Q57" i="53"/>
  <c r="Q59" i="53" s="1"/>
  <c r="P164" i="54"/>
  <c r="P156" i="54"/>
  <c r="P148" i="54"/>
  <c r="P140" i="54"/>
  <c r="P137" i="54"/>
  <c r="R137" i="54" s="1"/>
  <c r="X137" i="54" s="1"/>
  <c r="AF137" i="54" s="1"/>
  <c r="J135" i="54"/>
  <c r="P132" i="54"/>
  <c r="J88" i="54"/>
  <c r="P82" i="54"/>
  <c r="P81" i="54"/>
  <c r="J80" i="54"/>
  <c r="P67" i="54"/>
  <c r="J65" i="54"/>
  <c r="P60" i="54"/>
  <c r="J42" i="54"/>
  <c r="P39" i="54"/>
  <c r="J37" i="54"/>
  <c r="I91" i="54"/>
  <c r="P139" i="54"/>
  <c r="P131" i="54"/>
  <c r="L73" i="49"/>
  <c r="I256" i="51"/>
  <c r="R194" i="52"/>
  <c r="Q89" i="53"/>
  <c r="P167" i="54"/>
  <c r="R167" i="54" s="1"/>
  <c r="X167" i="54" s="1"/>
  <c r="AF167" i="54" s="1"/>
  <c r="P162" i="54"/>
  <c r="P159" i="54"/>
  <c r="R159" i="54" s="1"/>
  <c r="X159" i="54" s="1"/>
  <c r="AF159" i="54" s="1"/>
  <c r="P154" i="54"/>
  <c r="P151" i="54"/>
  <c r="R151" i="54" s="1"/>
  <c r="X151" i="54" s="1"/>
  <c r="AF151" i="54" s="1"/>
  <c r="P146" i="54"/>
  <c r="P143" i="54"/>
  <c r="R143" i="54" s="1"/>
  <c r="X143" i="54" s="1"/>
  <c r="AF143" i="54" s="1"/>
  <c r="P135" i="54"/>
  <c r="J118" i="54"/>
  <c r="J72" i="54"/>
  <c r="J69" i="54"/>
  <c r="P65" i="54"/>
  <c r="J63" i="54"/>
  <c r="R63" i="54" s="1"/>
  <c r="X63" i="54" s="1"/>
  <c r="AF63" i="54" s="1"/>
  <c r="P58" i="54"/>
  <c r="J44" i="54"/>
  <c r="P28" i="49"/>
  <c r="O63" i="49"/>
  <c r="F115" i="50"/>
  <c r="F117" i="50" s="1"/>
  <c r="G116" i="51"/>
  <c r="Q219" i="52"/>
  <c r="M212" i="53"/>
  <c r="P168" i="54"/>
  <c r="P165" i="54"/>
  <c r="J163" i="54"/>
  <c r="P160" i="54"/>
  <c r="P157" i="54"/>
  <c r="J155" i="54"/>
  <c r="R155" i="54" s="1"/>
  <c r="X155" i="54" s="1"/>
  <c r="AF155" i="54" s="1"/>
  <c r="P152" i="54"/>
  <c r="P149" i="54"/>
  <c r="R149" i="54" s="1"/>
  <c r="X149" i="54" s="1"/>
  <c r="AF149" i="54" s="1"/>
  <c r="J147" i="54"/>
  <c r="P144" i="54"/>
  <c r="P141" i="54"/>
  <c r="J139" i="54"/>
  <c r="P136" i="54"/>
  <c r="P133" i="54"/>
  <c r="R133" i="54" s="1"/>
  <c r="X133" i="54" s="1"/>
  <c r="AF133" i="54" s="1"/>
  <c r="J131" i="54"/>
  <c r="J124" i="54"/>
  <c r="I170" i="54"/>
  <c r="J117" i="54"/>
  <c r="J106" i="54"/>
  <c r="P90" i="54"/>
  <c r="R90" i="54" s="1"/>
  <c r="V90" i="54" s="1"/>
  <c r="X90" i="54" s="1"/>
  <c r="AF90" i="54" s="1"/>
  <c r="P73" i="54"/>
  <c r="J67" i="54"/>
  <c r="J61" i="54"/>
  <c r="J46" i="54"/>
  <c r="P41" i="54"/>
  <c r="J40" i="54"/>
  <c r="P37" i="54"/>
  <c r="J35" i="54"/>
  <c r="N39" i="49"/>
  <c r="B28" i="49"/>
  <c r="B30" i="49" s="1"/>
  <c r="J39" i="49"/>
  <c r="R157" i="49"/>
  <c r="R158" i="49" s="1"/>
  <c r="F182" i="51"/>
  <c r="F13" i="51"/>
  <c r="F74" i="51"/>
  <c r="F80" i="51" s="1"/>
  <c r="F11" i="51" s="1"/>
  <c r="F114" i="51"/>
  <c r="O139" i="52"/>
  <c r="O207" i="52"/>
  <c r="P207" i="52" s="1"/>
  <c r="R207" i="52" s="1"/>
  <c r="O57" i="52"/>
  <c r="O140" i="52"/>
  <c r="O175" i="52"/>
  <c r="P175" i="52" s="1"/>
  <c r="O215" i="52"/>
  <c r="O182" i="52"/>
  <c r="O176" i="53"/>
  <c r="Q175" i="53"/>
  <c r="M209" i="53"/>
  <c r="L151" i="52"/>
  <c r="L153" i="52" s="1"/>
  <c r="I218" i="50"/>
  <c r="I258" i="50"/>
  <c r="I260" i="50" s="1"/>
  <c r="O217" i="52"/>
  <c r="O176" i="52"/>
  <c r="P176" i="52" s="1"/>
  <c r="O142" i="52"/>
  <c r="K212" i="53"/>
  <c r="R17" i="49"/>
  <c r="R18" i="49" s="1"/>
  <c r="R19" i="49" s="1"/>
  <c r="R20" i="49" s="1"/>
  <c r="R21" i="49" s="1"/>
  <c r="R22" i="49" s="1"/>
  <c r="R23" i="49" s="1"/>
  <c r="R24" i="49" s="1"/>
  <c r="R25" i="49" s="1"/>
  <c r="R26" i="49" s="1"/>
  <c r="R27" i="49" s="1"/>
  <c r="R39" i="49" s="1"/>
  <c r="Q28" i="49"/>
  <c r="F248" i="51"/>
  <c r="F257" i="51"/>
  <c r="F258" i="51" s="1"/>
  <c r="O208" i="52"/>
  <c r="P208" i="52" s="1"/>
  <c r="O185" i="53"/>
  <c r="Q185" i="53" s="1"/>
  <c r="Q149" i="53"/>
  <c r="Q193" i="53"/>
  <c r="L133" i="52"/>
  <c r="L137" i="52" s="1"/>
  <c r="L138" i="52" s="1"/>
  <c r="L139" i="52" s="1"/>
  <c r="L140" i="52" s="1"/>
  <c r="L141" i="52" s="1"/>
  <c r="O170" i="54"/>
  <c r="P114" i="54"/>
  <c r="F102" i="50"/>
  <c r="F108" i="50" s="1"/>
  <c r="E249" i="52"/>
  <c r="O218" i="52"/>
  <c r="P218" i="52" s="1"/>
  <c r="O96" i="52"/>
  <c r="O58" i="52"/>
  <c r="O24" i="52"/>
  <c r="O18" i="52"/>
  <c r="O187" i="53"/>
  <c r="Q186" i="53"/>
  <c r="L186" i="52"/>
  <c r="L188" i="52" s="1"/>
  <c r="M189" i="53"/>
  <c r="Q140" i="53"/>
  <c r="Q17" i="53"/>
  <c r="K71" i="53"/>
  <c r="K105" i="53" s="1"/>
  <c r="P118" i="54"/>
  <c r="O111" i="54"/>
  <c r="P102" i="54"/>
  <c r="R102" i="54" s="1"/>
  <c r="X102" i="54" s="1"/>
  <c r="AF102" i="54" s="1"/>
  <c r="J96" i="54"/>
  <c r="P76" i="54"/>
  <c r="J75" i="54"/>
  <c r="J68" i="54"/>
  <c r="J64" i="54"/>
  <c r="P61" i="54"/>
  <c r="J59" i="54"/>
  <c r="P46" i="54"/>
  <c r="J38" i="54"/>
  <c r="J34" i="54"/>
  <c r="L157" i="49"/>
  <c r="L158" i="49" s="1"/>
  <c r="L159" i="49" s="1"/>
  <c r="L160" i="49" s="1"/>
  <c r="L161" i="49" s="1"/>
  <c r="L162" i="49" s="1"/>
  <c r="L163" i="49" s="1"/>
  <c r="L164" i="49" s="1"/>
  <c r="L165" i="49" s="1"/>
  <c r="L166" i="49" s="1"/>
  <c r="L167" i="49" s="1"/>
  <c r="L179" i="49" s="1"/>
  <c r="G139" i="50"/>
  <c r="G183" i="50" s="1"/>
  <c r="G185" i="50" s="1"/>
  <c r="I13" i="51"/>
  <c r="Q178" i="53"/>
  <c r="M93" i="53"/>
  <c r="R126" i="54"/>
  <c r="X126" i="54" s="1"/>
  <c r="AF126" i="54" s="1"/>
  <c r="P124" i="54"/>
  <c r="P106" i="54"/>
  <c r="P97" i="54"/>
  <c r="J86" i="54"/>
  <c r="P80" i="54"/>
  <c r="J79" i="54"/>
  <c r="P59" i="54"/>
  <c r="J57" i="54"/>
  <c r="P40" i="54"/>
  <c r="J29" i="54"/>
  <c r="J14" i="54"/>
  <c r="R229" i="52"/>
  <c r="K198" i="53"/>
  <c r="J120" i="54"/>
  <c r="J114" i="54"/>
  <c r="L111" i="54"/>
  <c r="P110" i="54"/>
  <c r="J99" i="54"/>
  <c r="P86" i="54"/>
  <c r="J83" i="54"/>
  <c r="J70" i="54"/>
  <c r="J66" i="54"/>
  <c r="P57" i="54"/>
  <c r="J55" i="54"/>
  <c r="P42" i="54"/>
  <c r="J36" i="54"/>
  <c r="J32" i="54"/>
  <c r="P29" i="54"/>
  <c r="J20" i="54"/>
  <c r="P128" i="54"/>
  <c r="P120" i="54"/>
  <c r="J101" i="54"/>
  <c r="P99" i="54"/>
  <c r="P96" i="54"/>
  <c r="J95" i="54"/>
  <c r="P88" i="54"/>
  <c r="J82" i="54"/>
  <c r="P79" i="54"/>
  <c r="J78" i="54"/>
  <c r="R78" i="54" s="1"/>
  <c r="X78" i="54" s="1"/>
  <c r="AF78" i="54" s="1"/>
  <c r="P75" i="54"/>
  <c r="J74" i="54"/>
  <c r="P70" i="54"/>
  <c r="P68" i="54"/>
  <c r="P66" i="54"/>
  <c r="P64" i="54"/>
  <c r="J62" i="54"/>
  <c r="J60" i="54"/>
  <c r="J58" i="54"/>
  <c r="J56" i="54"/>
  <c r="P38" i="54"/>
  <c r="P36" i="54"/>
  <c r="P34" i="54"/>
  <c r="P32" i="54"/>
  <c r="J30" i="54"/>
  <c r="R30" i="54" s="1"/>
  <c r="X30" i="54" s="1"/>
  <c r="AF30" i="54" s="1"/>
  <c r="P20" i="54"/>
  <c r="P18" i="54"/>
  <c r="R18" i="54" s="1"/>
  <c r="X18" i="54" s="1"/>
  <c r="P14" i="54"/>
  <c r="J168" i="54"/>
  <c r="J166" i="54"/>
  <c r="R166" i="54" s="1"/>
  <c r="X166" i="54" s="1"/>
  <c r="AF166" i="54" s="1"/>
  <c r="J164" i="54"/>
  <c r="J162" i="54"/>
  <c r="R162" i="54" s="1"/>
  <c r="X162" i="54" s="1"/>
  <c r="AF162" i="54" s="1"/>
  <c r="J160" i="54"/>
  <c r="R160" i="54" s="1"/>
  <c r="X160" i="54" s="1"/>
  <c r="AF160" i="54" s="1"/>
  <c r="J158" i="54"/>
  <c r="J156" i="54"/>
  <c r="J154" i="54"/>
  <c r="J152" i="54"/>
  <c r="J150" i="54"/>
  <c r="J148" i="54"/>
  <c r="R148" i="54" s="1"/>
  <c r="X148" i="54" s="1"/>
  <c r="AF148" i="54" s="1"/>
  <c r="J146" i="54"/>
  <c r="R146" i="54" s="1"/>
  <c r="X146" i="54" s="1"/>
  <c r="AF146" i="54" s="1"/>
  <c r="J144" i="54"/>
  <c r="J142" i="54"/>
  <c r="R142" i="54" s="1"/>
  <c r="X142" i="54" s="1"/>
  <c r="AF142" i="54" s="1"/>
  <c r="J140" i="54"/>
  <c r="J138" i="54"/>
  <c r="R138" i="54" s="1"/>
  <c r="X138" i="54" s="1"/>
  <c r="AF138" i="54" s="1"/>
  <c r="J136" i="54"/>
  <c r="J134" i="54"/>
  <c r="J132" i="54"/>
  <c r="J125" i="54"/>
  <c r="P116" i="54"/>
  <c r="F172" i="54"/>
  <c r="P108" i="54"/>
  <c r="R108" i="54" s="1"/>
  <c r="X108" i="54" s="1"/>
  <c r="AF108" i="54" s="1"/>
  <c r="P104" i="54"/>
  <c r="R104" i="54" s="1"/>
  <c r="X104" i="54" s="1"/>
  <c r="AF104" i="54" s="1"/>
  <c r="P98" i="54"/>
  <c r="R98" i="54" s="1"/>
  <c r="X98" i="54" s="1"/>
  <c r="AF98" i="54" s="1"/>
  <c r="J89" i="54"/>
  <c r="P87" i="54"/>
  <c r="J85" i="54"/>
  <c r="R85" i="54" s="1"/>
  <c r="X85" i="54" s="1"/>
  <c r="AF85" i="54" s="1"/>
  <c r="K34" i="53" s="1"/>
  <c r="K88" i="53" s="1"/>
  <c r="J81" i="54"/>
  <c r="J77" i="54"/>
  <c r="R77" i="54" s="1"/>
  <c r="X77" i="54" s="1"/>
  <c r="AF77" i="54" s="1"/>
  <c r="J73" i="54"/>
  <c r="J54" i="54"/>
  <c r="R54" i="54" s="1"/>
  <c r="X54" i="54" s="1"/>
  <c r="AF54" i="54" s="1"/>
  <c r="J52" i="54"/>
  <c r="J50" i="54"/>
  <c r="J48" i="54"/>
  <c r="J28" i="54"/>
  <c r="R28" i="54" s="1"/>
  <c r="X28" i="54" s="1"/>
  <c r="AF28" i="54" s="1"/>
  <c r="J26" i="54"/>
  <c r="L16" i="49"/>
  <c r="L17" i="49" s="1"/>
  <c r="L18" i="49" s="1"/>
  <c r="L19" i="49" s="1"/>
  <c r="L20" i="49" s="1"/>
  <c r="L21" i="49" s="1"/>
  <c r="L22" i="49" s="1"/>
  <c r="L23" i="49" s="1"/>
  <c r="L24" i="49" s="1"/>
  <c r="L25" i="49" s="1"/>
  <c r="L26" i="49" s="1"/>
  <c r="L27" i="49" s="1"/>
  <c r="L39" i="49" s="1"/>
  <c r="K28" i="49"/>
  <c r="L121" i="49"/>
  <c r="L122" i="49" s="1"/>
  <c r="L123" i="49" s="1"/>
  <c r="L124" i="49" s="1"/>
  <c r="L125" i="49" s="1"/>
  <c r="L126" i="49" s="1"/>
  <c r="L127" i="49" s="1"/>
  <c r="L128" i="49" s="1"/>
  <c r="L129" i="49" s="1"/>
  <c r="L130" i="49" s="1"/>
  <c r="L131" i="49" s="1"/>
  <c r="L132" i="49" s="1"/>
  <c r="L144" i="49" s="1"/>
  <c r="K133" i="49"/>
  <c r="F15" i="50"/>
  <c r="F185" i="50"/>
  <c r="G102" i="50"/>
  <c r="G108" i="50" s="1"/>
  <c r="G116" i="50"/>
  <c r="Q63" i="49"/>
  <c r="Q168" i="49"/>
  <c r="B31" i="49"/>
  <c r="J32" i="49" s="1"/>
  <c r="I75" i="50"/>
  <c r="E68" i="50"/>
  <c r="E209" i="51"/>
  <c r="E216" i="51" s="1"/>
  <c r="H217" i="52"/>
  <c r="K217" i="52" s="1"/>
  <c r="L52" i="49"/>
  <c r="L53" i="49" s="1"/>
  <c r="L54" i="49" s="1"/>
  <c r="L55" i="49" s="1"/>
  <c r="L56" i="49" s="1"/>
  <c r="L57" i="49" s="1"/>
  <c r="L58" i="49" s="1"/>
  <c r="L59" i="49" s="1"/>
  <c r="L60" i="49" s="1"/>
  <c r="L61" i="49" s="1"/>
  <c r="L62" i="49" s="1"/>
  <c r="L74" i="49" s="1"/>
  <c r="K63" i="49"/>
  <c r="O28" i="49"/>
  <c r="D28" i="49"/>
  <c r="F250" i="50"/>
  <c r="F259" i="50"/>
  <c r="G218" i="50"/>
  <c r="G224" i="50" s="1"/>
  <c r="G14" i="50" s="1"/>
  <c r="G258" i="50"/>
  <c r="E211" i="50"/>
  <c r="E218" i="50" s="1"/>
  <c r="E139" i="50"/>
  <c r="H75" i="50"/>
  <c r="H115" i="50"/>
  <c r="E74" i="51"/>
  <c r="K56" i="52"/>
  <c r="Q56" i="52"/>
  <c r="Q159" i="53"/>
  <c r="O195" i="53"/>
  <c r="Q195" i="53" s="1"/>
  <c r="K168" i="49"/>
  <c r="O133" i="49"/>
  <c r="I184" i="50"/>
  <c r="I185" i="50" s="1"/>
  <c r="F146" i="50"/>
  <c r="F152" i="50" s="1"/>
  <c r="I117" i="50"/>
  <c r="G75" i="50"/>
  <c r="G81" i="50" s="1"/>
  <c r="G11" i="50" s="1"/>
  <c r="G222" i="51"/>
  <c r="G14" i="51" s="1"/>
  <c r="G256" i="51"/>
  <c r="G258" i="51" s="1"/>
  <c r="F183" i="51"/>
  <c r="F115" i="51"/>
  <c r="E115" i="51" s="1"/>
  <c r="Q184" i="52"/>
  <c r="H183" i="51"/>
  <c r="I74" i="51"/>
  <c r="I80" i="51" s="1"/>
  <c r="I11" i="51" s="1"/>
  <c r="O19" i="52"/>
  <c r="P19" i="52" s="1"/>
  <c r="O29" i="52"/>
  <c r="P29" i="52" s="1"/>
  <c r="O91" i="52"/>
  <c r="O20" i="52"/>
  <c r="O23" i="52"/>
  <c r="O25" i="52"/>
  <c r="O27" i="52"/>
  <c r="O54" i="52"/>
  <c r="O56" i="52"/>
  <c r="P56" i="52" s="1"/>
  <c r="O63" i="52"/>
  <c r="O88" i="52"/>
  <c r="P88" i="52" s="1"/>
  <c r="O92" i="52"/>
  <c r="O94" i="52"/>
  <c r="O28" i="52"/>
  <c r="P28" i="52" s="1"/>
  <c r="O61" i="52"/>
  <c r="O64" i="52"/>
  <c r="O90" i="52"/>
  <c r="O93" i="52"/>
  <c r="O99" i="52"/>
  <c r="P99" i="52" s="1"/>
  <c r="O137" i="52"/>
  <c r="P137" i="52" s="1"/>
  <c r="R137" i="52" s="1"/>
  <c r="P140" i="52"/>
  <c r="O141" i="52"/>
  <c r="P141" i="52" s="1"/>
  <c r="O143" i="52"/>
  <c r="O145" i="52"/>
  <c r="O147" i="52"/>
  <c r="P147" i="52" s="1"/>
  <c r="O173" i="52"/>
  <c r="P173" i="52" s="1"/>
  <c r="O183" i="52"/>
  <c r="P183" i="52" s="1"/>
  <c r="O209" i="52"/>
  <c r="P209" i="52" s="1"/>
  <c r="O212" i="52"/>
  <c r="O214" i="52"/>
  <c r="O216" i="52"/>
  <c r="O26" i="52"/>
  <c r="O62" i="52"/>
  <c r="O89" i="52"/>
  <c r="O97" i="52"/>
  <c r="O138" i="52"/>
  <c r="P138" i="52" s="1"/>
  <c r="O148" i="52"/>
  <c r="P148" i="52" s="1"/>
  <c r="O174" i="52"/>
  <c r="P174" i="52" s="1"/>
  <c r="O177" i="52"/>
  <c r="O179" i="52"/>
  <c r="O181" i="52"/>
  <c r="O210" i="52"/>
  <c r="P210" i="52" s="1"/>
  <c r="O211" i="52"/>
  <c r="P211" i="52" s="1"/>
  <c r="O178" i="52"/>
  <c r="O172" i="52"/>
  <c r="P172" i="52" s="1"/>
  <c r="O144" i="52"/>
  <c r="O98" i="52"/>
  <c r="O55" i="52"/>
  <c r="O53" i="52"/>
  <c r="O21" i="52"/>
  <c r="Q194" i="53"/>
  <c r="M198" i="53"/>
  <c r="Q149" i="52"/>
  <c r="H98" i="52"/>
  <c r="K98" i="52" s="1"/>
  <c r="K180" i="53"/>
  <c r="K200" i="53" s="1"/>
  <c r="K211" i="53"/>
  <c r="Q148" i="53"/>
  <c r="Q153" i="53" s="1"/>
  <c r="O184" i="53"/>
  <c r="O153" i="53"/>
  <c r="O164" i="53" s="1"/>
  <c r="Q90" i="53"/>
  <c r="L49" i="52"/>
  <c r="I114" i="51"/>
  <c r="I116" i="51" s="1"/>
  <c r="O213" i="52"/>
  <c r="H182" i="52"/>
  <c r="K182" i="52" s="1"/>
  <c r="O180" i="52"/>
  <c r="H147" i="52"/>
  <c r="K147" i="52" s="1"/>
  <c r="O146" i="52"/>
  <c r="P139" i="52"/>
  <c r="O95" i="52"/>
  <c r="O22" i="52"/>
  <c r="P22" i="52" s="1"/>
  <c r="B19" i="52"/>
  <c r="B20" i="52" s="1"/>
  <c r="B21" i="52" s="1"/>
  <c r="B22" i="52" s="1"/>
  <c r="B23" i="52" s="1"/>
  <c r="B24" i="52" s="1"/>
  <c r="B25" i="52" s="1"/>
  <c r="B26" i="52" s="1"/>
  <c r="B27" i="52" s="1"/>
  <c r="B28" i="52" s="1"/>
  <c r="B29" i="52" s="1"/>
  <c r="O196" i="53"/>
  <c r="Q160" i="53"/>
  <c r="H28" i="52"/>
  <c r="K28" i="52" s="1"/>
  <c r="Q184" i="53"/>
  <c r="Q176" i="53"/>
  <c r="M210" i="53"/>
  <c r="M180" i="53"/>
  <c r="L84" i="52"/>
  <c r="Q91" i="53"/>
  <c r="H63" i="52"/>
  <c r="Q187" i="53"/>
  <c r="M211" i="53"/>
  <c r="Q141" i="53"/>
  <c r="Q144" i="53" s="1"/>
  <c r="O177" i="53"/>
  <c r="Q177" i="53" s="1"/>
  <c r="L190" i="52" s="1"/>
  <c r="L192" i="52" s="1"/>
  <c r="O93" i="53"/>
  <c r="M75" i="53"/>
  <c r="O80" i="53"/>
  <c r="Q80" i="53" s="1"/>
  <c r="O91" i="54"/>
  <c r="R57" i="54"/>
  <c r="X57" i="54" s="1"/>
  <c r="AF57" i="54" s="1"/>
  <c r="J24" i="54"/>
  <c r="R24" i="54" s="1"/>
  <c r="X24" i="54" s="1"/>
  <c r="AF24" i="54" s="1"/>
  <c r="G91" i="54"/>
  <c r="M12" i="54"/>
  <c r="P125" i="54"/>
  <c r="P121" i="54"/>
  <c r="P117" i="54"/>
  <c r="J109" i="54"/>
  <c r="J107" i="54"/>
  <c r="J105" i="54"/>
  <c r="J103" i="54"/>
  <c r="P89" i="54"/>
  <c r="M170" i="54"/>
  <c r="J123" i="54"/>
  <c r="J119" i="54"/>
  <c r="J115" i="54"/>
  <c r="P109" i="54"/>
  <c r="P107" i="54"/>
  <c r="P105" i="54"/>
  <c r="P103" i="54"/>
  <c r="I111" i="54"/>
  <c r="M111" i="54"/>
  <c r="P95" i="54"/>
  <c r="L170" i="54"/>
  <c r="G170" i="54"/>
  <c r="P123" i="54"/>
  <c r="P119" i="54"/>
  <c r="P115" i="54"/>
  <c r="G111" i="54"/>
  <c r="R47" i="54"/>
  <c r="X47" i="54" s="1"/>
  <c r="AF47" i="54" s="1"/>
  <c r="R31" i="54"/>
  <c r="X31" i="54" s="1"/>
  <c r="AF31" i="54" s="1"/>
  <c r="J17" i="54"/>
  <c r="J15" i="54"/>
  <c r="J13" i="54"/>
  <c r="R53" i="54"/>
  <c r="X53" i="54" s="1"/>
  <c r="AF53" i="54" s="1"/>
  <c r="P17" i="54"/>
  <c r="P15" i="54"/>
  <c r="P13" i="54"/>
  <c r="R51" i="54"/>
  <c r="X51" i="54" s="1"/>
  <c r="AF51" i="54" s="1"/>
  <c r="R35" i="54"/>
  <c r="X35" i="54" s="1"/>
  <c r="AF35" i="54" s="1"/>
  <c r="R27" i="54"/>
  <c r="X27" i="54" s="1"/>
  <c r="AF27" i="54" s="1"/>
  <c r="R54" i="49" l="1"/>
  <c r="R55" i="49" s="1"/>
  <c r="R56" i="49" s="1"/>
  <c r="R57" i="49" s="1"/>
  <c r="R58" i="49" s="1"/>
  <c r="R59" i="49" s="1"/>
  <c r="R60" i="49" s="1"/>
  <c r="R61" i="49" s="1"/>
  <c r="R62" i="49" s="1"/>
  <c r="R74" i="49" s="1"/>
  <c r="R75" i="49" s="1"/>
  <c r="I258" i="51"/>
  <c r="R26" i="54"/>
  <c r="X26" i="54" s="1"/>
  <c r="AF26" i="54" s="1"/>
  <c r="R96" i="54"/>
  <c r="X96" i="54" s="1"/>
  <c r="R61" i="54"/>
  <c r="X61" i="54" s="1"/>
  <c r="AF61" i="54" s="1"/>
  <c r="R153" i="54"/>
  <c r="X153" i="54" s="1"/>
  <c r="AF153" i="54" s="1"/>
  <c r="R97" i="54"/>
  <c r="X97" i="54" s="1"/>
  <c r="AF97" i="54" s="1"/>
  <c r="R52" i="54"/>
  <c r="X52" i="54" s="1"/>
  <c r="AF52" i="54" s="1"/>
  <c r="P168" i="49"/>
  <c r="P63" i="49"/>
  <c r="P217" i="52"/>
  <c r="R159" i="49"/>
  <c r="R160" i="49" s="1"/>
  <c r="R161" i="49" s="1"/>
  <c r="R162" i="49" s="1"/>
  <c r="R163" i="49" s="1"/>
  <c r="R164" i="49" s="1"/>
  <c r="R165" i="49" s="1"/>
  <c r="R166" i="49" s="1"/>
  <c r="R167" i="49" s="1"/>
  <c r="R179" i="49" s="1"/>
  <c r="P182" i="52"/>
  <c r="P133" i="49"/>
  <c r="E259" i="50"/>
  <c r="G184" i="51"/>
  <c r="O72" i="53"/>
  <c r="Q72" i="53" s="1"/>
  <c r="O82" i="53"/>
  <c r="Q82" i="53" s="1"/>
  <c r="N65" i="52"/>
  <c r="R124" i="49"/>
  <c r="R125" i="49" s="1"/>
  <c r="R126" i="49" s="1"/>
  <c r="R127" i="49" s="1"/>
  <c r="R128" i="49" s="1"/>
  <c r="R129" i="49" s="1"/>
  <c r="R130" i="49" s="1"/>
  <c r="R131" i="49" s="1"/>
  <c r="R132" i="49" s="1"/>
  <c r="R144" i="49" s="1"/>
  <c r="I184" i="51"/>
  <c r="F15" i="51"/>
  <c r="E15" i="51" s="1"/>
  <c r="E295" i="51"/>
  <c r="E322" i="51"/>
  <c r="P98" i="52"/>
  <c r="K89" i="52"/>
  <c r="L89" i="52" s="1"/>
  <c r="K90" i="52"/>
  <c r="P90" i="52" s="1"/>
  <c r="Q88" i="52"/>
  <c r="J100" i="52"/>
  <c r="K92" i="52"/>
  <c r="P92" i="52" s="1"/>
  <c r="Q92" i="52"/>
  <c r="K91" i="52"/>
  <c r="P91" i="52" s="1"/>
  <c r="J30" i="52"/>
  <c r="Q18" i="52"/>
  <c r="Q30" i="52" s="1"/>
  <c r="K21" i="52"/>
  <c r="P21" i="52" s="1"/>
  <c r="R88" i="52"/>
  <c r="K20" i="52"/>
  <c r="P20" i="52" s="1"/>
  <c r="K18" i="52"/>
  <c r="R139" i="54"/>
  <c r="X139" i="54" s="1"/>
  <c r="AF139" i="54" s="1"/>
  <c r="R163" i="54"/>
  <c r="X163" i="54" s="1"/>
  <c r="AF163" i="54" s="1"/>
  <c r="R80" i="54"/>
  <c r="X80" i="54" s="1"/>
  <c r="AF80" i="54" s="1"/>
  <c r="R43" i="54"/>
  <c r="X43" i="54" s="1"/>
  <c r="AF43" i="54" s="1"/>
  <c r="R124" i="54"/>
  <c r="X124" i="54" s="1"/>
  <c r="AF124" i="54" s="1"/>
  <c r="R134" i="54"/>
  <c r="X134" i="54" s="1"/>
  <c r="AF134" i="54" s="1"/>
  <c r="R158" i="54"/>
  <c r="X158" i="54" s="1"/>
  <c r="AF158" i="54" s="1"/>
  <c r="R150" i="54"/>
  <c r="X150" i="54" s="1"/>
  <c r="AF150" i="54" s="1"/>
  <c r="R72" i="54"/>
  <c r="X72" i="54" s="1"/>
  <c r="AF72" i="54" s="1"/>
  <c r="R46" i="54"/>
  <c r="X46" i="54" s="1"/>
  <c r="AF46" i="54" s="1"/>
  <c r="R132" i="54"/>
  <c r="X132" i="54" s="1"/>
  <c r="AF132" i="54" s="1"/>
  <c r="R16" i="54"/>
  <c r="X16" i="54" s="1"/>
  <c r="AF16" i="54" s="1"/>
  <c r="R86" i="54"/>
  <c r="V86" i="54" s="1"/>
  <c r="X86" i="54" s="1"/>
  <c r="AF86" i="54" s="1"/>
  <c r="R44" i="54"/>
  <c r="X44" i="54" s="1"/>
  <c r="AF44" i="54" s="1"/>
  <c r="R154" i="54"/>
  <c r="X154" i="54" s="1"/>
  <c r="AF154" i="54" s="1"/>
  <c r="R56" i="54"/>
  <c r="X56" i="54" s="1"/>
  <c r="AF56" i="54" s="1"/>
  <c r="R74" i="54"/>
  <c r="X74" i="54" s="1"/>
  <c r="AF74" i="54" s="1"/>
  <c r="R42" i="54"/>
  <c r="X42" i="54" s="1"/>
  <c r="AF42" i="54" s="1"/>
  <c r="R140" i="54"/>
  <c r="X140" i="54" s="1"/>
  <c r="AF140" i="54" s="1"/>
  <c r="R156" i="54"/>
  <c r="X156" i="54" s="1"/>
  <c r="AF156" i="54" s="1"/>
  <c r="R161" i="54"/>
  <c r="X161" i="54" s="1"/>
  <c r="AF161" i="54" s="1"/>
  <c r="R62" i="54"/>
  <c r="X62" i="54" s="1"/>
  <c r="AF62" i="54" s="1"/>
  <c r="R141" i="54"/>
  <c r="X141" i="54" s="1"/>
  <c r="AF141" i="54" s="1"/>
  <c r="R48" i="54"/>
  <c r="X48" i="54" s="1"/>
  <c r="AF48" i="54" s="1"/>
  <c r="R83" i="54"/>
  <c r="X83" i="54" s="1"/>
  <c r="AF83" i="54" s="1"/>
  <c r="R58" i="54"/>
  <c r="X58" i="54" s="1"/>
  <c r="AF58" i="54" s="1"/>
  <c r="R69" i="54"/>
  <c r="X69" i="54" s="1"/>
  <c r="AF69" i="54" s="1"/>
  <c r="R138" i="52"/>
  <c r="R139" i="52" s="1"/>
  <c r="R140" i="52" s="1"/>
  <c r="R141" i="52" s="1"/>
  <c r="E248" i="51"/>
  <c r="E107" i="51"/>
  <c r="A25" i="56"/>
  <c r="A26" i="56" s="1"/>
  <c r="C28" i="56" s="1"/>
  <c r="A28" i="56" s="1"/>
  <c r="C32" i="56"/>
  <c r="O189" i="53"/>
  <c r="E116" i="50"/>
  <c r="R66" i="54"/>
  <c r="X66" i="54" s="1"/>
  <c r="AF66" i="54" s="1"/>
  <c r="R106" i="54"/>
  <c r="X106" i="54" s="1"/>
  <c r="AF106" i="54" s="1"/>
  <c r="M200" i="53"/>
  <c r="H117" i="50"/>
  <c r="L75" i="49"/>
  <c r="R50" i="54"/>
  <c r="X50" i="54" s="1"/>
  <c r="AF50" i="54" s="1"/>
  <c r="R60" i="54"/>
  <c r="X60" i="54" s="1"/>
  <c r="AF60" i="54" s="1"/>
  <c r="R55" i="54"/>
  <c r="X55" i="54" s="1"/>
  <c r="AF55" i="54" s="1"/>
  <c r="R110" i="54"/>
  <c r="X110" i="54" s="1"/>
  <c r="AF110" i="54" s="1"/>
  <c r="R76" i="54"/>
  <c r="X76" i="54" s="1"/>
  <c r="AF76" i="54" s="1"/>
  <c r="R41" i="54"/>
  <c r="X41" i="54" s="1"/>
  <c r="AF41" i="54" s="1"/>
  <c r="R157" i="54"/>
  <c r="X157" i="54" s="1"/>
  <c r="AF157" i="54" s="1"/>
  <c r="R39" i="54"/>
  <c r="X39" i="54" s="1"/>
  <c r="AF39" i="54" s="1"/>
  <c r="H258" i="51"/>
  <c r="R19" i="54"/>
  <c r="X19" i="54" s="1"/>
  <c r="AF19" i="54" s="1"/>
  <c r="R71" i="54"/>
  <c r="X71" i="54" s="1"/>
  <c r="AF71" i="54" s="1"/>
  <c r="R101" i="54"/>
  <c r="X101" i="54" s="1"/>
  <c r="R164" i="54"/>
  <c r="X164" i="54" s="1"/>
  <c r="AF164" i="54" s="1"/>
  <c r="L194" i="52"/>
  <c r="R81" i="54"/>
  <c r="X81" i="54" s="1"/>
  <c r="AF81" i="54" s="1"/>
  <c r="R152" i="54"/>
  <c r="X152" i="54" s="1"/>
  <c r="AF152" i="54" s="1"/>
  <c r="R128" i="54"/>
  <c r="X128" i="54" s="1"/>
  <c r="AF128" i="54" s="1"/>
  <c r="R147" i="54"/>
  <c r="X147" i="54" s="1"/>
  <c r="AF147" i="54" s="1"/>
  <c r="I172" i="54"/>
  <c r="R125" i="54"/>
  <c r="X125" i="54" s="1"/>
  <c r="AF125" i="54" s="1"/>
  <c r="R121" i="54"/>
  <c r="X121" i="54" s="1"/>
  <c r="AF121" i="54" s="1"/>
  <c r="R165" i="54"/>
  <c r="X165" i="54" s="1"/>
  <c r="AF165" i="54" s="1"/>
  <c r="R117" i="54"/>
  <c r="X117" i="54" s="1"/>
  <c r="AF117" i="54" s="1"/>
  <c r="R120" i="54"/>
  <c r="X120" i="54" s="1"/>
  <c r="AF120" i="54" s="1"/>
  <c r="R116" i="54"/>
  <c r="X116" i="54" s="1"/>
  <c r="AF116" i="54" s="1"/>
  <c r="R136" i="54"/>
  <c r="X136" i="54" s="1"/>
  <c r="AF136" i="54" s="1"/>
  <c r="R144" i="54"/>
  <c r="X144" i="54" s="1"/>
  <c r="AF144" i="54" s="1"/>
  <c r="R168" i="54"/>
  <c r="X168" i="54" s="1"/>
  <c r="AF168" i="54" s="1"/>
  <c r="R118" i="54"/>
  <c r="X118" i="54" s="1"/>
  <c r="AF118" i="54" s="1"/>
  <c r="R109" i="54"/>
  <c r="X109" i="54" s="1"/>
  <c r="AF109" i="54" s="1"/>
  <c r="R29" i="54"/>
  <c r="X29" i="54" s="1"/>
  <c r="AF29" i="54" s="1"/>
  <c r="O71" i="53"/>
  <c r="Q71" i="53" s="1"/>
  <c r="R34" i="54"/>
  <c r="X34" i="54" s="1"/>
  <c r="AF34" i="54" s="1"/>
  <c r="O105" i="53"/>
  <c r="Q105" i="53" s="1"/>
  <c r="R40" i="54"/>
  <c r="X40" i="54" s="1"/>
  <c r="AF40" i="54" s="1"/>
  <c r="R67" i="54"/>
  <c r="X67" i="54" s="1"/>
  <c r="AF67" i="54" s="1"/>
  <c r="R37" i="54"/>
  <c r="X37" i="54" s="1"/>
  <c r="AF37" i="54" s="1"/>
  <c r="R65" i="54"/>
  <c r="X65" i="54" s="1"/>
  <c r="AF65" i="54" s="1"/>
  <c r="R82" i="54"/>
  <c r="X82" i="54" s="1"/>
  <c r="AF82" i="54" s="1"/>
  <c r="R36" i="54"/>
  <c r="X36" i="54" s="1"/>
  <c r="AF36" i="54" s="1"/>
  <c r="R87" i="54"/>
  <c r="V87" i="54" s="1"/>
  <c r="X87" i="54" s="1"/>
  <c r="AF87" i="54" s="1"/>
  <c r="R59" i="54"/>
  <c r="X59" i="54" s="1"/>
  <c r="AF59" i="54" s="1"/>
  <c r="R64" i="54"/>
  <c r="X64" i="54" s="1"/>
  <c r="AF64" i="54" s="1"/>
  <c r="I17" i="51"/>
  <c r="E257" i="51"/>
  <c r="R73" i="54"/>
  <c r="X73" i="54" s="1"/>
  <c r="AF73" i="54" s="1"/>
  <c r="R88" i="54"/>
  <c r="V88" i="54" s="1"/>
  <c r="X88" i="54" s="1"/>
  <c r="AF88" i="54" s="1"/>
  <c r="F184" i="51"/>
  <c r="R131" i="54"/>
  <c r="X131" i="54" s="1"/>
  <c r="AF131" i="54" s="1"/>
  <c r="R135" i="54"/>
  <c r="X135" i="54" s="1"/>
  <c r="AF135" i="54" s="1"/>
  <c r="R107" i="54"/>
  <c r="X107" i="54" s="1"/>
  <c r="AF107" i="54" s="1"/>
  <c r="Q162" i="53"/>
  <c r="R68" i="54"/>
  <c r="X68" i="54" s="1"/>
  <c r="AF68" i="54" s="1"/>
  <c r="P111" i="54"/>
  <c r="L172" i="54"/>
  <c r="Q189" i="53"/>
  <c r="K214" i="53"/>
  <c r="G146" i="50"/>
  <c r="G152" i="50" s="1"/>
  <c r="G13" i="50" s="1"/>
  <c r="G17" i="50" s="1"/>
  <c r="R32" i="54"/>
  <c r="X32" i="54" s="1"/>
  <c r="AF32" i="54" s="1"/>
  <c r="R79" i="54"/>
  <c r="X79" i="54" s="1"/>
  <c r="AF79" i="54" s="1"/>
  <c r="R114" i="54"/>
  <c r="X114" i="54" s="1"/>
  <c r="AF114" i="54" s="1"/>
  <c r="P170" i="54"/>
  <c r="R89" i="54"/>
  <c r="V89" i="54" s="1"/>
  <c r="O172" i="54"/>
  <c r="O30" i="52"/>
  <c r="R14" i="54"/>
  <c r="X14" i="54" s="1"/>
  <c r="AF14" i="54" s="1"/>
  <c r="R20" i="54"/>
  <c r="X20" i="54" s="1"/>
  <c r="AF20" i="54" s="1"/>
  <c r="R75" i="54"/>
  <c r="X75" i="54" s="1"/>
  <c r="AF75" i="54" s="1"/>
  <c r="M95" i="53"/>
  <c r="Q164" i="53"/>
  <c r="E75" i="50"/>
  <c r="R70" i="54"/>
  <c r="X70" i="54" s="1"/>
  <c r="AF70" i="54" s="1"/>
  <c r="R99" i="54"/>
  <c r="X99" i="54" s="1"/>
  <c r="AF99" i="54" s="1"/>
  <c r="R38" i="54"/>
  <c r="X38" i="54" s="1"/>
  <c r="AF38" i="54" s="1"/>
  <c r="O210" i="53"/>
  <c r="R119" i="54"/>
  <c r="X119" i="54" s="1"/>
  <c r="AF119" i="54" s="1"/>
  <c r="H27" i="52"/>
  <c r="K27" i="52" s="1"/>
  <c r="P27" i="52" s="1"/>
  <c r="H181" i="52"/>
  <c r="K181" i="52" s="1"/>
  <c r="P181" i="52" s="1"/>
  <c r="O100" i="52"/>
  <c r="Q60" i="52"/>
  <c r="E80" i="51"/>
  <c r="R123" i="54"/>
  <c r="X123" i="54" s="1"/>
  <c r="AF123" i="54" s="1"/>
  <c r="B30" i="52"/>
  <c r="B32" i="52" s="1"/>
  <c r="N41" i="52"/>
  <c r="J41" i="52"/>
  <c r="O209" i="53"/>
  <c r="O149" i="52"/>
  <c r="Q63" i="52"/>
  <c r="K63" i="52"/>
  <c r="P63" i="52" s="1"/>
  <c r="K64" i="52"/>
  <c r="P64" i="52" s="1"/>
  <c r="Q64" i="52"/>
  <c r="K53" i="52"/>
  <c r="P53" i="52" s="1"/>
  <c r="Q53" i="52"/>
  <c r="J65" i="52"/>
  <c r="E114" i="51"/>
  <c r="E116" i="51" s="1"/>
  <c r="E115" i="50"/>
  <c r="G260" i="50"/>
  <c r="E258" i="50"/>
  <c r="E260" i="50" s="1"/>
  <c r="R208" i="52"/>
  <c r="R209" i="52" s="1"/>
  <c r="R210" i="52" s="1"/>
  <c r="R211" i="52" s="1"/>
  <c r="L63" i="49"/>
  <c r="E11" i="51"/>
  <c r="R30" i="49" s="1"/>
  <c r="R32" i="49" s="1"/>
  <c r="G117" i="50"/>
  <c r="E184" i="50"/>
  <c r="R13" i="54"/>
  <c r="X13" i="54" s="1"/>
  <c r="AF13" i="54" s="1"/>
  <c r="J91" i="54"/>
  <c r="R15" i="54"/>
  <c r="X15" i="54" s="1"/>
  <c r="AF15" i="54" s="1"/>
  <c r="R95" i="54"/>
  <c r="R103" i="54"/>
  <c r="X103" i="54" s="1"/>
  <c r="AF103" i="54" s="1"/>
  <c r="J111" i="54"/>
  <c r="P12" i="54"/>
  <c r="M91" i="54"/>
  <c r="M172" i="54" s="1"/>
  <c r="O211" i="53"/>
  <c r="Q211" i="53" s="1"/>
  <c r="O180" i="53"/>
  <c r="L221" i="52"/>
  <c r="L223" i="52" s="1"/>
  <c r="L225" i="52"/>
  <c r="L227" i="52" s="1"/>
  <c r="Q210" i="53"/>
  <c r="M214" i="53"/>
  <c r="D30" i="52"/>
  <c r="G13" i="51"/>
  <c r="H97" i="52"/>
  <c r="K97" i="52" s="1"/>
  <c r="P97" i="52" s="1"/>
  <c r="O65" i="52"/>
  <c r="O184" i="52"/>
  <c r="Q62" i="52"/>
  <c r="Q61" i="52"/>
  <c r="E183" i="51"/>
  <c r="F14" i="51"/>
  <c r="E14" i="51" s="1"/>
  <c r="E222" i="51"/>
  <c r="F116" i="51"/>
  <c r="E146" i="50"/>
  <c r="H216" i="52"/>
  <c r="K216" i="52" s="1"/>
  <c r="P216" i="52" s="1"/>
  <c r="B32" i="49"/>
  <c r="N32" i="49"/>
  <c r="H13" i="51"/>
  <c r="H17" i="51" s="1"/>
  <c r="H182" i="51"/>
  <c r="F260" i="50"/>
  <c r="H146" i="52"/>
  <c r="K146" i="52" s="1"/>
  <c r="P146" i="52" s="1"/>
  <c r="Q59" i="52"/>
  <c r="K55" i="52"/>
  <c r="P55" i="52" s="1"/>
  <c r="Q55" i="52"/>
  <c r="L155" i="52"/>
  <c r="L157" i="52" s="1"/>
  <c r="L159" i="52" s="1"/>
  <c r="E256" i="51"/>
  <c r="R17" i="54"/>
  <c r="X17" i="54" s="1"/>
  <c r="AF17" i="54" s="1"/>
  <c r="R115" i="54"/>
  <c r="J170" i="54"/>
  <c r="AF96" i="54"/>
  <c r="R105" i="54"/>
  <c r="X105" i="54" s="1"/>
  <c r="AF105" i="54" s="1"/>
  <c r="G172" i="54"/>
  <c r="H62" i="52"/>
  <c r="K62" i="52" s="1"/>
  <c r="P62" i="52" s="1"/>
  <c r="Q180" i="53"/>
  <c r="O212" i="53"/>
  <c r="Q212" i="53" s="1"/>
  <c r="Q196" i="53"/>
  <c r="Q198" i="53" s="1"/>
  <c r="Q93" i="53"/>
  <c r="O219" i="52"/>
  <c r="R172" i="52"/>
  <c r="R173" i="52" s="1"/>
  <c r="R174" i="52" s="1"/>
  <c r="R175" i="52" s="1"/>
  <c r="R176" i="52" s="1"/>
  <c r="Q58" i="52"/>
  <c r="K54" i="52"/>
  <c r="P54" i="52" s="1"/>
  <c r="Q54" i="52"/>
  <c r="K57" i="52"/>
  <c r="P57" i="52" s="1"/>
  <c r="Q57" i="52"/>
  <c r="E175" i="51"/>
  <c r="F13" i="50"/>
  <c r="O198" i="53"/>
  <c r="H183" i="50"/>
  <c r="H185" i="50" s="1"/>
  <c r="H95" i="1" l="1"/>
  <c r="L170" i="49"/>
  <c r="L172" i="49" s="1"/>
  <c r="R170" i="49"/>
  <c r="R172" i="49" s="1"/>
  <c r="L135" i="49"/>
  <c r="L137" i="49" s="1"/>
  <c r="R135" i="49"/>
  <c r="R137" i="49" s="1"/>
  <c r="E258" i="51"/>
  <c r="P89" i="52"/>
  <c r="R53" i="52"/>
  <c r="R54" i="52" s="1"/>
  <c r="R55" i="52" s="1"/>
  <c r="R56" i="52" s="1"/>
  <c r="R57" i="52" s="1"/>
  <c r="L18" i="52"/>
  <c r="L19" i="52" s="1"/>
  <c r="L20" i="52" s="1"/>
  <c r="L21" i="52" s="1"/>
  <c r="L22" i="52" s="1"/>
  <c r="P18" i="52"/>
  <c r="R18" i="52" s="1"/>
  <c r="R19" i="52" s="1"/>
  <c r="R20" i="52" s="1"/>
  <c r="R21" i="52" s="1"/>
  <c r="R22" i="52" s="1"/>
  <c r="L90" i="52"/>
  <c r="L91" i="52" s="1"/>
  <c r="L92" i="52" s="1"/>
  <c r="Q100" i="52"/>
  <c r="E117" i="50"/>
  <c r="C40" i="56"/>
  <c r="A30" i="56"/>
  <c r="L229" i="52"/>
  <c r="F17" i="51"/>
  <c r="E183" i="50"/>
  <c r="E185" i="50" s="1"/>
  <c r="X177" i="54"/>
  <c r="V91" i="54"/>
  <c r="V172" i="54" s="1"/>
  <c r="X89" i="54"/>
  <c r="AF89" i="54" s="1"/>
  <c r="E151" i="51"/>
  <c r="J172" i="54"/>
  <c r="AF177" i="54"/>
  <c r="K27" i="53"/>
  <c r="Q27" i="53" s="1"/>
  <c r="R71" i="52" s="1"/>
  <c r="R73" i="52" s="1"/>
  <c r="R75" i="52" s="1"/>
  <c r="B34" i="49"/>
  <c r="R12" i="54"/>
  <c r="P91" i="54"/>
  <c r="P172" i="54" s="1"/>
  <c r="H61" i="52"/>
  <c r="K61" i="52" s="1"/>
  <c r="P61" i="52" s="1"/>
  <c r="H96" i="52"/>
  <c r="K96" i="52" s="1"/>
  <c r="P96" i="52" s="1"/>
  <c r="O214" i="53"/>
  <c r="L271" i="9" s="1"/>
  <c r="Q209" i="53"/>
  <c r="Q214" i="53" s="1"/>
  <c r="B33" i="52"/>
  <c r="B34" i="52" s="1"/>
  <c r="H145" i="52"/>
  <c r="K145" i="52" s="1"/>
  <c r="P145" i="52" s="1"/>
  <c r="H184" i="51"/>
  <c r="E182" i="51"/>
  <c r="E184" i="51" s="1"/>
  <c r="O200" i="53"/>
  <c r="H26" i="52"/>
  <c r="K26" i="52" s="1"/>
  <c r="P26" i="52" s="1"/>
  <c r="Q200" i="53"/>
  <c r="X115" i="54"/>
  <c r="R170" i="54"/>
  <c r="H215" i="52"/>
  <c r="K215" i="52" s="1"/>
  <c r="P215" i="52" s="1"/>
  <c r="E13" i="51"/>
  <c r="G17" i="51"/>
  <c r="F17" i="50"/>
  <c r="Q65" i="52"/>
  <c r="R111" i="54"/>
  <c r="X95" i="54"/>
  <c r="L30" i="49"/>
  <c r="L32" i="49" s="1"/>
  <c r="L53" i="52"/>
  <c r="L54" i="52" s="1"/>
  <c r="L55" i="52" s="1"/>
  <c r="L56" i="52" s="1"/>
  <c r="L57" i="52" s="1"/>
  <c r="H180" i="52"/>
  <c r="K180" i="52" s="1"/>
  <c r="P180" i="52" s="1"/>
  <c r="L100" i="49" l="1"/>
  <c r="L102" i="49" s="1"/>
  <c r="R100" i="49"/>
  <c r="R102" i="49" s="1"/>
  <c r="R89" i="52"/>
  <c r="R90" i="52" s="1"/>
  <c r="R91" i="52" s="1"/>
  <c r="R92" i="52" s="1"/>
  <c r="A31" i="56"/>
  <c r="A32" i="56" s="1"/>
  <c r="A33" i="56" s="1"/>
  <c r="J34" i="52"/>
  <c r="E17" i="51"/>
  <c r="H179" i="52"/>
  <c r="K179" i="52" s="1"/>
  <c r="P179" i="52" s="1"/>
  <c r="H214" i="52"/>
  <c r="K214" i="52" s="1"/>
  <c r="P214" i="52" s="1"/>
  <c r="H95" i="52"/>
  <c r="K95" i="52" s="1"/>
  <c r="P95" i="52" s="1"/>
  <c r="X12" i="54"/>
  <c r="R91" i="54"/>
  <c r="R172" i="54" s="1"/>
  <c r="H25" i="52"/>
  <c r="K25" i="52" s="1"/>
  <c r="P25" i="52" s="1"/>
  <c r="AF115" i="54"/>
  <c r="AF170" i="54" s="1"/>
  <c r="X170" i="54"/>
  <c r="H144" i="52"/>
  <c r="K144" i="52" s="1"/>
  <c r="P144" i="52" s="1"/>
  <c r="B36" i="52"/>
  <c r="K30" i="53"/>
  <c r="K81" i="53"/>
  <c r="AF95" i="54"/>
  <c r="AF111" i="54" s="1"/>
  <c r="X111" i="54"/>
  <c r="X175" i="54"/>
  <c r="N34" i="52"/>
  <c r="H60" i="52"/>
  <c r="K60" i="52" s="1"/>
  <c r="P60" i="52" s="1"/>
  <c r="B35" i="49"/>
  <c r="B36" i="49" s="1"/>
  <c r="N36" i="49" l="1"/>
  <c r="A34" i="56"/>
  <c r="C35" i="56" s="1"/>
  <c r="A35" i="56" s="1"/>
  <c r="H142" i="52"/>
  <c r="K142" i="52" s="1"/>
  <c r="P142" i="52" s="1"/>
  <c r="H143" i="52"/>
  <c r="K143" i="52" s="1"/>
  <c r="P143" i="52" s="1"/>
  <c r="H212" i="52"/>
  <c r="K212" i="52" s="1"/>
  <c r="P212" i="52" s="1"/>
  <c r="H213" i="52"/>
  <c r="K213" i="52" s="1"/>
  <c r="P213" i="52" s="1"/>
  <c r="K19" i="53"/>
  <c r="AF175" i="54"/>
  <c r="K36" i="53"/>
  <c r="K90" i="53" s="1"/>
  <c r="H94" i="52"/>
  <c r="K94" i="52" s="1"/>
  <c r="P94" i="52" s="1"/>
  <c r="H93" i="52"/>
  <c r="K93" i="52" s="1"/>
  <c r="P93" i="52" s="1"/>
  <c r="P100" i="52" s="1"/>
  <c r="H58" i="52"/>
  <c r="K58" i="52" s="1"/>
  <c r="P58" i="52" s="1"/>
  <c r="H59" i="52"/>
  <c r="K59" i="52" s="1"/>
  <c r="P59" i="52" s="1"/>
  <c r="O81" i="53"/>
  <c r="O106" i="53"/>
  <c r="Q106" i="53" s="1"/>
  <c r="B38" i="49"/>
  <c r="J38" i="49"/>
  <c r="N38" i="49"/>
  <c r="J36" i="49"/>
  <c r="K84" i="53"/>
  <c r="B37" i="52"/>
  <c r="B38" i="52" s="1"/>
  <c r="H23" i="52"/>
  <c r="K23" i="52" s="1"/>
  <c r="P23" i="52" s="1"/>
  <c r="H24" i="52"/>
  <c r="K24" i="52" s="1"/>
  <c r="P24" i="52" s="1"/>
  <c r="AF12" i="54"/>
  <c r="K16" i="53" s="1"/>
  <c r="X91" i="54"/>
  <c r="X172" i="54" s="1"/>
  <c r="X178" i="54"/>
  <c r="X180" i="54" s="1"/>
  <c r="X182" i="54" s="1"/>
  <c r="H177" i="52"/>
  <c r="K177" i="52" s="1"/>
  <c r="P177" i="52" s="1"/>
  <c r="H178" i="52"/>
  <c r="K178" i="52" s="1"/>
  <c r="P178" i="52" s="1"/>
  <c r="P219" i="52" l="1"/>
  <c r="R212" i="52"/>
  <c r="R213" i="52" s="1"/>
  <c r="R214" i="52" s="1"/>
  <c r="R215" i="52" s="1"/>
  <c r="R216" i="52" s="1"/>
  <c r="R217" i="52" s="1"/>
  <c r="R218" i="52" s="1"/>
  <c r="R230" i="52" s="1"/>
  <c r="R231" i="52" s="1"/>
  <c r="N240" i="52" s="1"/>
  <c r="P184" i="52"/>
  <c r="R177" i="52"/>
  <c r="R178" i="52" s="1"/>
  <c r="R179" i="52" s="1"/>
  <c r="R180" i="52" s="1"/>
  <c r="R181" i="52" s="1"/>
  <c r="R182" i="52" s="1"/>
  <c r="R183" i="52" s="1"/>
  <c r="R195" i="52" s="1"/>
  <c r="R196" i="52" s="1"/>
  <c r="N239" i="52" s="1"/>
  <c r="P149" i="52"/>
  <c r="R142" i="52"/>
  <c r="R143" i="52" s="1"/>
  <c r="R144" i="52" s="1"/>
  <c r="R145" i="52" s="1"/>
  <c r="R146" i="52" s="1"/>
  <c r="R147" i="52" s="1"/>
  <c r="R148" i="52" s="1"/>
  <c r="R160" i="52" s="1"/>
  <c r="R161" i="52" s="1"/>
  <c r="N238" i="52" s="1"/>
  <c r="R93" i="52"/>
  <c r="R94" i="52" s="1"/>
  <c r="R95" i="52" s="1"/>
  <c r="R96" i="52" s="1"/>
  <c r="R97" i="52" s="1"/>
  <c r="R98" i="52" s="1"/>
  <c r="R99" i="52" s="1"/>
  <c r="R111" i="52" s="1"/>
  <c r="R112" i="52" s="1"/>
  <c r="N121" i="52" s="1"/>
  <c r="P65" i="52"/>
  <c r="R58" i="52"/>
  <c r="R59" i="52" s="1"/>
  <c r="R60" i="52" s="1"/>
  <c r="R61" i="52" s="1"/>
  <c r="R62" i="52" s="1"/>
  <c r="R63" i="52" s="1"/>
  <c r="R64" i="52" s="1"/>
  <c r="R76" i="52" s="1"/>
  <c r="R77" i="52" s="1"/>
  <c r="N120" i="52" s="1"/>
  <c r="R23" i="52"/>
  <c r="R24" i="52" s="1"/>
  <c r="R25" i="52" s="1"/>
  <c r="R26" i="52" s="1"/>
  <c r="R27" i="52" s="1"/>
  <c r="R28" i="52" s="1"/>
  <c r="R29" i="52" s="1"/>
  <c r="R41" i="52" s="1"/>
  <c r="P30" i="52"/>
  <c r="A36" i="56"/>
  <c r="C39" i="56"/>
  <c r="J38" i="52"/>
  <c r="L177" i="52"/>
  <c r="L178" i="52" s="1"/>
  <c r="L179" i="52" s="1"/>
  <c r="L180" i="52" s="1"/>
  <c r="L181" i="52" s="1"/>
  <c r="L182" i="52" s="1"/>
  <c r="L183" i="52" s="1"/>
  <c r="L195" i="52" s="1"/>
  <c r="L196" i="52" s="1"/>
  <c r="H239" i="52" s="1"/>
  <c r="K184" i="52"/>
  <c r="L58" i="52"/>
  <c r="L59" i="52" s="1"/>
  <c r="L60" i="52" s="1"/>
  <c r="L61" i="52" s="1"/>
  <c r="L62" i="52" s="1"/>
  <c r="L63" i="52" s="1"/>
  <c r="L64" i="52" s="1"/>
  <c r="L76" i="52" s="1"/>
  <c r="K65" i="52"/>
  <c r="B40" i="52"/>
  <c r="J40" i="52"/>
  <c r="N40" i="52"/>
  <c r="B39" i="49"/>
  <c r="B40" i="49" s="1"/>
  <c r="L71" i="52"/>
  <c r="L73" i="52" s="1"/>
  <c r="L75" i="52" s="1"/>
  <c r="Q30" i="53"/>
  <c r="L93" i="52"/>
  <c r="L94" i="52" s="1"/>
  <c r="L95" i="52" s="1"/>
  <c r="L96" i="52" s="1"/>
  <c r="L97" i="52" s="1"/>
  <c r="L98" i="52" s="1"/>
  <c r="L99" i="52" s="1"/>
  <c r="L111" i="52" s="1"/>
  <c r="K100" i="52"/>
  <c r="AF91" i="54"/>
  <c r="AF172" i="54" s="1"/>
  <c r="AF178" i="54"/>
  <c r="AF180" i="54" s="1"/>
  <c r="AF182" i="54" s="1"/>
  <c r="N38" i="52"/>
  <c r="L142" i="52"/>
  <c r="L143" i="52" s="1"/>
  <c r="L144" i="52" s="1"/>
  <c r="L145" i="52" s="1"/>
  <c r="L146" i="52" s="1"/>
  <c r="L147" i="52" s="1"/>
  <c r="L148" i="52" s="1"/>
  <c r="L160" i="52" s="1"/>
  <c r="L161" i="52" s="1"/>
  <c r="H238" i="52" s="1"/>
  <c r="K149" i="52"/>
  <c r="K73" i="53"/>
  <c r="K107" i="53" s="1"/>
  <c r="L212" i="52"/>
  <c r="L213" i="52" s="1"/>
  <c r="L214" i="52" s="1"/>
  <c r="L215" i="52" s="1"/>
  <c r="L216" i="52" s="1"/>
  <c r="L217" i="52" s="1"/>
  <c r="L218" i="52" s="1"/>
  <c r="L230" i="52" s="1"/>
  <c r="L231" i="52" s="1"/>
  <c r="H240" i="52" s="1"/>
  <c r="K219" i="52"/>
  <c r="L23" i="52"/>
  <c r="L24" i="52" s="1"/>
  <c r="L25" i="52" s="1"/>
  <c r="L26" i="52" s="1"/>
  <c r="L27" i="52" s="1"/>
  <c r="L28" i="52" s="1"/>
  <c r="L29" i="52" s="1"/>
  <c r="L41" i="52" s="1"/>
  <c r="K30" i="52"/>
  <c r="Q81" i="53"/>
  <c r="Q84" i="53" s="1"/>
  <c r="O84" i="53"/>
  <c r="K39" i="53"/>
  <c r="N242" i="52" l="1"/>
  <c r="C37" i="56"/>
  <c r="A37" i="56" s="1"/>
  <c r="B47" i="49"/>
  <c r="B52" i="49" s="1"/>
  <c r="B53" i="49" s="1"/>
  <c r="B54" i="49" s="1"/>
  <c r="B55" i="49" s="1"/>
  <c r="B56" i="49" s="1"/>
  <c r="B57" i="49" s="1"/>
  <c r="B58" i="49" s="1"/>
  <c r="B59" i="49" s="1"/>
  <c r="B60" i="49" s="1"/>
  <c r="B61" i="49" s="1"/>
  <c r="B62" i="49" s="1"/>
  <c r="D63" i="49" s="1"/>
  <c r="F94" i="1"/>
  <c r="J40" i="49"/>
  <c r="N40" i="49"/>
  <c r="H242" i="52"/>
  <c r="H103" i="1" s="1"/>
  <c r="K21" i="53"/>
  <c r="K41" i="53" s="1"/>
  <c r="K70" i="53"/>
  <c r="L77" i="52"/>
  <c r="H120" i="52" s="1"/>
  <c r="B41" i="52"/>
  <c r="B42" i="52" s="1"/>
  <c r="K93" i="53"/>
  <c r="K106" i="53"/>
  <c r="Q19" i="53"/>
  <c r="O73" i="53"/>
  <c r="Q73" i="53" s="1"/>
  <c r="L106" i="52" s="1"/>
  <c r="L108" i="52" s="1"/>
  <c r="L110" i="52" s="1"/>
  <c r="L112" i="52" s="1"/>
  <c r="H121" i="52" s="1"/>
  <c r="O107" i="53"/>
  <c r="Q107" i="53" s="1"/>
  <c r="A39" i="56" l="1"/>
  <c r="N42" i="52"/>
  <c r="B49" i="52"/>
  <c r="F119" i="52"/>
  <c r="L119" i="52"/>
  <c r="K104" i="53"/>
  <c r="K109" i="53" s="1"/>
  <c r="K75" i="53"/>
  <c r="K95" i="53" s="1"/>
  <c r="B63" i="49"/>
  <c r="B65" i="49" s="1"/>
  <c r="N74" i="49"/>
  <c r="J74" i="49"/>
  <c r="J42" i="52"/>
  <c r="Q16" i="53"/>
  <c r="Q21" i="53" s="1"/>
  <c r="Q41" i="53" s="1"/>
  <c r="O21" i="53"/>
  <c r="O41" i="53" s="1"/>
  <c r="O70" i="53"/>
  <c r="O104" i="53"/>
  <c r="A40" i="56" l="1"/>
  <c r="C41" i="56" s="1"/>
  <c r="A41" i="56" s="1"/>
  <c r="C43" i="56" s="1"/>
  <c r="A43" i="56" s="1"/>
  <c r="C45" i="56"/>
  <c r="O75" i="53"/>
  <c r="O95" i="53" s="1"/>
  <c r="Q70" i="53"/>
  <c r="R36" i="52" s="1"/>
  <c r="R38" i="52" s="1"/>
  <c r="R40" i="52" s="1"/>
  <c r="R42" i="52" s="1"/>
  <c r="N119" i="52" s="1"/>
  <c r="N123" i="52" s="1"/>
  <c r="B66" i="49"/>
  <c r="B67" i="49" s="1"/>
  <c r="O109" i="53"/>
  <c r="L270" i="9" s="1"/>
  <c r="Q104" i="53"/>
  <c r="Q109" i="53" s="1"/>
  <c r="B54" i="52"/>
  <c r="B55" i="52" s="1"/>
  <c r="B56" i="52" s="1"/>
  <c r="B57" i="52" s="1"/>
  <c r="B58" i="52" s="1"/>
  <c r="B59" i="52" s="1"/>
  <c r="B60" i="52" s="1"/>
  <c r="B61" i="52" s="1"/>
  <c r="B62" i="52" s="1"/>
  <c r="B63" i="52" s="1"/>
  <c r="B64" i="52" s="1"/>
  <c r="D65" i="52" s="1"/>
  <c r="A45" i="56" l="1"/>
  <c r="C47" i="56" s="1"/>
  <c r="A47" i="56" s="1"/>
  <c r="A49" i="56" s="1"/>
  <c r="A50" i="56" s="1"/>
  <c r="A51" i="56" s="1"/>
  <c r="A52" i="56" s="1"/>
  <c r="A53" i="56" s="1"/>
  <c r="A54" i="56" s="1"/>
  <c r="A55" i="56" s="1"/>
  <c r="A56" i="56" s="1"/>
  <c r="A57" i="56" s="1"/>
  <c r="A58" i="56" s="1"/>
  <c r="B69" i="49"/>
  <c r="N67" i="49"/>
  <c r="L36" i="52"/>
  <c r="L38" i="52" s="1"/>
  <c r="L40" i="52" s="1"/>
  <c r="L42" i="52" s="1"/>
  <c r="H119" i="52" s="1"/>
  <c r="H123" i="52" s="1"/>
  <c r="H102" i="1" s="1"/>
  <c r="Q75" i="53"/>
  <c r="Q95" i="53" s="1"/>
  <c r="N76" i="52"/>
  <c r="J76" i="52"/>
  <c r="B65" i="52"/>
  <c r="B67" i="52" s="1"/>
  <c r="J67" i="49"/>
  <c r="B68" i="52" l="1"/>
  <c r="B69" i="52" s="1"/>
  <c r="B70" i="49"/>
  <c r="B71" i="49" s="1"/>
  <c r="N71" i="49" l="1"/>
  <c r="J71" i="49"/>
  <c r="B71" i="52"/>
  <c r="N69" i="52"/>
  <c r="B73" i="49"/>
  <c r="J73" i="49"/>
  <c r="N73" i="49"/>
  <c r="J69" i="52"/>
  <c r="B74" i="49" l="1"/>
  <c r="B75" i="49" s="1"/>
  <c r="J75" i="49"/>
  <c r="B72" i="52"/>
  <c r="B73" i="52" s="1"/>
  <c r="N75" i="49" l="1"/>
  <c r="J73" i="52"/>
  <c r="B82" i="49"/>
  <c r="F95" i="1"/>
  <c r="B75" i="52"/>
  <c r="J75" i="52"/>
  <c r="N75" i="52"/>
  <c r="N73" i="52"/>
  <c r="B87" i="49"/>
  <c r="B88" i="49" s="1"/>
  <c r="B89" i="49" s="1"/>
  <c r="B90" i="49" s="1"/>
  <c r="B91" i="49" s="1"/>
  <c r="B92" i="49" s="1"/>
  <c r="B93" i="49" s="1"/>
  <c r="B94" i="49" s="1"/>
  <c r="B95" i="49" s="1"/>
  <c r="B96" i="49" s="1"/>
  <c r="B97" i="49" s="1"/>
  <c r="D98" i="49" s="1"/>
  <c r="J109" i="49" l="1"/>
  <c r="B98" i="49"/>
  <c r="B100" i="49" s="1"/>
  <c r="N109" i="49"/>
  <c r="B76" i="52"/>
  <c r="B77" i="52" s="1"/>
  <c r="L120" i="52" l="1"/>
  <c r="B84" i="52"/>
  <c r="F120" i="52"/>
  <c r="J77" i="52"/>
  <c r="B101" i="49"/>
  <c r="B102" i="49" s="1"/>
  <c r="N77" i="52"/>
  <c r="J102" i="49" l="1"/>
  <c r="N102" i="49"/>
  <c r="B89" i="52"/>
  <c r="B90" i="52" s="1"/>
  <c r="B91" i="52" s="1"/>
  <c r="B92" i="52" s="1"/>
  <c r="B93" i="52" s="1"/>
  <c r="B94" i="52" s="1"/>
  <c r="B95" i="52" s="1"/>
  <c r="B96" i="52" s="1"/>
  <c r="B97" i="52" s="1"/>
  <c r="B98" i="52" s="1"/>
  <c r="B99" i="52" s="1"/>
  <c r="D100" i="52" s="1"/>
  <c r="B104" i="49"/>
  <c r="B105" i="49" l="1"/>
  <c r="B106" i="49" s="1"/>
  <c r="B100" i="52"/>
  <c r="B102" i="52" s="1"/>
  <c r="N111" i="52"/>
  <c r="J111" i="52"/>
  <c r="J106" i="49" l="1"/>
  <c r="N106" i="49"/>
  <c r="B103" i="52"/>
  <c r="B104" i="52" s="1"/>
  <c r="B108" i="49"/>
  <c r="N108" i="49"/>
  <c r="J108" i="49"/>
  <c r="B109" i="49" l="1"/>
  <c r="B110" i="49" s="1"/>
  <c r="B106" i="52"/>
  <c r="N104" i="52"/>
  <c r="J104" i="52"/>
  <c r="B117" i="49" l="1"/>
  <c r="B122" i="49" s="1"/>
  <c r="B123" i="49" s="1"/>
  <c r="B124" i="49" s="1"/>
  <c r="B125" i="49" s="1"/>
  <c r="B126" i="49" s="1"/>
  <c r="B127" i="49" s="1"/>
  <c r="B128" i="49" s="1"/>
  <c r="B129" i="49" s="1"/>
  <c r="B130" i="49" s="1"/>
  <c r="B131" i="49" s="1"/>
  <c r="B132" i="49" s="1"/>
  <c r="D133" i="49" s="1"/>
  <c r="F96" i="1"/>
  <c r="J110" i="49"/>
  <c r="N110" i="49"/>
  <c r="B107" i="52"/>
  <c r="B108" i="52" s="1"/>
  <c r="N108" i="52" l="1"/>
  <c r="B110" i="52"/>
  <c r="J110" i="52"/>
  <c r="N110" i="52"/>
  <c r="N144" i="49"/>
  <c r="B133" i="49"/>
  <c r="B135" i="49" s="1"/>
  <c r="J144" i="49"/>
  <c r="J108" i="52"/>
  <c r="B136" i="49" l="1"/>
  <c r="B137" i="49" s="1"/>
  <c r="B111" i="52"/>
  <c r="B112" i="52" s="1"/>
  <c r="N137" i="49" l="1"/>
  <c r="J112" i="52"/>
  <c r="B119" i="52"/>
  <c r="B120" i="52" s="1"/>
  <c r="B121" i="52" s="1"/>
  <c r="B123" i="52" s="1"/>
  <c r="L121" i="52"/>
  <c r="F121" i="52"/>
  <c r="B139" i="49"/>
  <c r="N112" i="52"/>
  <c r="J137" i="49"/>
  <c r="B133" i="52" l="1"/>
  <c r="B138" i="52" s="1"/>
  <c r="B139" i="52" s="1"/>
  <c r="B140" i="52" s="1"/>
  <c r="B141" i="52" s="1"/>
  <c r="B142" i="52" s="1"/>
  <c r="B143" i="52" s="1"/>
  <c r="B144" i="52" s="1"/>
  <c r="B145" i="52" s="1"/>
  <c r="B146" i="52" s="1"/>
  <c r="B147" i="52" s="1"/>
  <c r="B148" i="52" s="1"/>
  <c r="F102" i="1"/>
  <c r="B140" i="49"/>
  <c r="B141" i="49" s="1"/>
  <c r="N141" i="49" l="1"/>
  <c r="J160" i="52"/>
  <c r="B149" i="52"/>
  <c r="B151" i="52" s="1"/>
  <c r="N160" i="52"/>
  <c r="B143" i="49"/>
  <c r="J143" i="49"/>
  <c r="N143" i="49"/>
  <c r="D149" i="52"/>
  <c r="J141" i="49"/>
  <c r="B152" i="52" l="1"/>
  <c r="B153" i="52" s="1"/>
  <c r="B144" i="49"/>
  <c r="B145" i="49" s="1"/>
  <c r="B152" i="49" l="1"/>
  <c r="B157" i="49" s="1"/>
  <c r="B158" i="49" s="1"/>
  <c r="B159" i="49" s="1"/>
  <c r="B160" i="49" s="1"/>
  <c r="B161" i="49" s="1"/>
  <c r="B162" i="49" s="1"/>
  <c r="B163" i="49" s="1"/>
  <c r="B164" i="49" s="1"/>
  <c r="B165" i="49" s="1"/>
  <c r="B166" i="49" s="1"/>
  <c r="B167" i="49" s="1"/>
  <c r="D168" i="49" s="1"/>
  <c r="F97" i="1"/>
  <c r="J153" i="52"/>
  <c r="N153" i="52"/>
  <c r="J145" i="49"/>
  <c r="N145" i="49"/>
  <c r="B155" i="52"/>
  <c r="B156" i="52" l="1"/>
  <c r="B157" i="52" s="1"/>
  <c r="B168" i="49"/>
  <c r="B170" i="49" s="1"/>
  <c r="N179" i="49"/>
  <c r="J179" i="49"/>
  <c r="J157" i="52" l="1"/>
  <c r="N157" i="52"/>
  <c r="B171" i="49"/>
  <c r="B172" i="49" s="1"/>
  <c r="B159" i="52"/>
  <c r="N159" i="52"/>
  <c r="J159" i="52"/>
  <c r="B174" i="49" l="1"/>
  <c r="B160" i="52"/>
  <c r="B161" i="52" s="1"/>
  <c r="N172" i="49"/>
  <c r="J172" i="49"/>
  <c r="J161" i="52" l="1"/>
  <c r="F238" i="52"/>
  <c r="B168" i="52"/>
  <c r="L238" i="52"/>
  <c r="B175" i="49"/>
  <c r="B176" i="49" s="1"/>
  <c r="N161" i="52"/>
  <c r="J176" i="49" l="1"/>
  <c r="B178" i="49"/>
  <c r="N178" i="49"/>
  <c r="J178" i="49"/>
  <c r="B173" i="52"/>
  <c r="B174" i="52" s="1"/>
  <c r="B175" i="52" s="1"/>
  <c r="B176" i="52" s="1"/>
  <c r="B177" i="52" s="1"/>
  <c r="B178" i="52" s="1"/>
  <c r="B179" i="52" s="1"/>
  <c r="B180" i="52" s="1"/>
  <c r="B181" i="52" s="1"/>
  <c r="B182" i="52" s="1"/>
  <c r="B183" i="52" s="1"/>
  <c r="D184" i="52" s="1"/>
  <c r="N176" i="49"/>
  <c r="B184" i="52" l="1"/>
  <c r="B186" i="52" s="1"/>
  <c r="N195" i="52"/>
  <c r="J195" i="52"/>
  <c r="B179" i="49"/>
  <c r="B180" i="49" s="1"/>
  <c r="F98" i="1" s="1"/>
  <c r="N180" i="49"/>
  <c r="J180" i="49" l="1"/>
  <c r="B187" i="52"/>
  <c r="B188" i="52" s="1"/>
  <c r="N188" i="52" l="1"/>
  <c r="B190" i="52"/>
  <c r="J188" i="52"/>
  <c r="B191" i="52" l="1"/>
  <c r="B192" i="52" s="1"/>
  <c r="B194" i="52" l="1"/>
  <c r="N194" i="52"/>
  <c r="J194" i="52"/>
  <c r="N192" i="52"/>
  <c r="J192" i="52"/>
  <c r="B195" i="52" l="1"/>
  <c r="B196" i="52" s="1"/>
  <c r="N196" i="52" l="1"/>
  <c r="B203" i="52"/>
  <c r="F239" i="52"/>
  <c r="L239" i="52"/>
  <c r="J196" i="52"/>
  <c r="B208" i="52" l="1"/>
  <c r="B209" i="52" s="1"/>
  <c r="B210" i="52" s="1"/>
  <c r="B211" i="52" s="1"/>
  <c r="B212" i="52" s="1"/>
  <c r="B213" i="52" s="1"/>
  <c r="B214" i="52" s="1"/>
  <c r="B215" i="52" s="1"/>
  <c r="B216" i="52" s="1"/>
  <c r="B217" i="52" s="1"/>
  <c r="B218" i="52" s="1"/>
  <c r="N230" i="52" l="1"/>
  <c r="B219" i="52"/>
  <c r="B221" i="52" s="1"/>
  <c r="J230" i="52"/>
  <c r="D219" i="52"/>
  <c r="B222" i="52" l="1"/>
  <c r="B223" i="52" s="1"/>
  <c r="B225" i="52" l="1"/>
  <c r="N223" i="52"/>
  <c r="J223" i="52"/>
  <c r="B226" i="52" l="1"/>
  <c r="B227" i="52" s="1"/>
  <c r="N227" i="52" l="1"/>
  <c r="B229" i="52"/>
  <c r="J229" i="52"/>
  <c r="N229" i="52"/>
  <c r="J227" i="52"/>
  <c r="B230" i="52" l="1"/>
  <c r="B231" i="52" s="1"/>
  <c r="N231" i="52" l="1"/>
  <c r="J231" i="52"/>
  <c r="L240" i="52"/>
  <c r="B238" i="52"/>
  <c r="B239" i="52" s="1"/>
  <c r="B240" i="52" s="1"/>
  <c r="B242" i="52" s="1"/>
  <c r="F103" i="1" s="1"/>
  <c r="F240" i="52"/>
  <c r="N29" i="31" l="1"/>
  <c r="L29" i="31"/>
  <c r="J29" i="31"/>
  <c r="H29" i="31"/>
  <c r="F29" i="31"/>
  <c r="D29" i="31"/>
  <c r="B29" i="31"/>
  <c r="P28" i="31"/>
  <c r="P27" i="31"/>
  <c r="P26" i="31"/>
  <c r="P25" i="31"/>
  <c r="P24" i="31"/>
  <c r="P21" i="31"/>
  <c r="P20" i="31"/>
  <c r="P19" i="31"/>
  <c r="P18" i="31"/>
  <c r="P17" i="31"/>
  <c r="P16" i="31"/>
  <c r="P15" i="31"/>
  <c r="P14" i="31"/>
  <c r="P13" i="31"/>
  <c r="P12" i="31"/>
  <c r="P11" i="31"/>
  <c r="P10" i="31"/>
  <c r="P9" i="31"/>
  <c r="P8" i="31"/>
  <c r="P29" i="31" l="1"/>
  <c r="I49" i="8"/>
  <c r="N23" i="18" l="1"/>
  <c r="N11" i="18"/>
  <c r="H63" i="18" l="1"/>
  <c r="G63" i="18"/>
  <c r="N13" i="18" l="1"/>
  <c r="N12" i="18"/>
  <c r="N14" i="18"/>
  <c r="N15" i="18" l="1"/>
  <c r="N16" i="18" l="1"/>
  <c r="N17" i="18" l="1"/>
  <c r="N18" i="18" l="1"/>
  <c r="N19" i="18" l="1"/>
  <c r="N20" i="18" l="1"/>
  <c r="N21" i="18" l="1"/>
  <c r="N22" i="18"/>
  <c r="H187" i="1" l="1"/>
  <c r="E225" i="9"/>
  <c r="D225" i="9"/>
  <c r="F224" i="9"/>
  <c r="F223" i="9"/>
  <c r="F222" i="9"/>
  <c r="F225" i="9" l="1"/>
  <c r="H259" i="9" l="1"/>
  <c r="C362" i="1" l="1"/>
  <c r="C361" i="1"/>
  <c r="C360" i="1"/>
  <c r="A1" i="19" l="1"/>
  <c r="B1" i="32"/>
  <c r="B1" i="33"/>
  <c r="A1" i="34"/>
  <c r="A1" i="16"/>
  <c r="H335" i="1"/>
  <c r="G73" i="9"/>
  <c r="I73" i="9" s="1"/>
  <c r="G1" i="9" l="1"/>
  <c r="A1" i="5" l="1"/>
  <c r="H233" i="1" l="1"/>
  <c r="F204" i="1"/>
  <c r="E335" i="1" l="1"/>
  <c r="E307" i="1"/>
  <c r="E299" i="1"/>
  <c r="E264" i="1"/>
  <c r="E258" i="1"/>
  <c r="E257" i="1"/>
  <c r="E245" i="1"/>
  <c r="E230" i="1"/>
  <c r="E198" i="1"/>
  <c r="E197" i="1"/>
  <c r="E191" i="1"/>
  <c r="E174" i="1"/>
  <c r="E170" i="1"/>
  <c r="E169" i="1"/>
  <c r="E163" i="1"/>
  <c r="E160" i="1"/>
  <c r="E154" i="1"/>
  <c r="E150" i="1"/>
  <c r="E149" i="1"/>
  <c r="E133" i="1"/>
  <c r="E134" i="1" s="1"/>
  <c r="E121" i="1"/>
  <c r="E116" i="1"/>
  <c r="E74" i="1"/>
  <c r="E68" i="1"/>
  <c r="E62" i="1"/>
  <c r="E54" i="1"/>
  <c r="E38" i="1"/>
  <c r="E36" i="1"/>
  <c r="E34" i="1"/>
  <c r="E27" i="1"/>
  <c r="D95" i="1" l="1"/>
  <c r="D96" i="1" l="1"/>
  <c r="D97" i="1" s="1"/>
  <c r="D98" i="1" s="1"/>
  <c r="D103" i="1"/>
  <c r="E72" i="13"/>
  <c r="H273" i="1" l="1"/>
  <c r="H272" i="1"/>
  <c r="H271" i="1"/>
  <c r="F137" i="1"/>
  <c r="I76" i="8" l="1"/>
  <c r="I75" i="8"/>
  <c r="I77" i="8"/>
  <c r="H104" i="1"/>
  <c r="E47" i="17" l="1"/>
  <c r="F47" i="17"/>
  <c r="I47" i="17"/>
  <c r="D44" i="18"/>
  <c r="G44" i="18"/>
  <c r="H44" i="18"/>
  <c r="I44" i="18"/>
  <c r="J44" i="18"/>
  <c r="K44" i="18"/>
  <c r="L44" i="18"/>
  <c r="N44" i="18"/>
  <c r="M44" i="18"/>
  <c r="F24" i="18"/>
  <c r="G24" i="18"/>
  <c r="H24" i="18"/>
  <c r="I24" i="18"/>
  <c r="J24" i="18"/>
  <c r="H156" i="1"/>
  <c r="D33" i="10" l="1"/>
  <c r="F33" i="10"/>
  <c r="H33" i="10"/>
  <c r="J33" i="10"/>
  <c r="L33" i="10"/>
  <c r="N33" i="10"/>
  <c r="B33" i="10"/>
  <c r="P33" i="10" l="1"/>
  <c r="H157" i="1" l="1"/>
  <c r="G150" i="9"/>
  <c r="G24" i="32" l="1"/>
  <c r="H169" i="1" l="1"/>
  <c r="J24" i="33" l="1"/>
  <c r="J27" i="33" s="1"/>
  <c r="A11" i="33"/>
  <c r="A12" i="33" s="1"/>
  <c r="A13" i="33" s="1"/>
  <c r="A14" i="33" s="1"/>
  <c r="A15" i="33" s="1"/>
  <c r="A16" i="33" s="1"/>
  <c r="A17" i="33" s="1"/>
  <c r="A18" i="33" s="1"/>
  <c r="A19" i="33" s="1"/>
  <c r="A20" i="33" s="1"/>
  <c r="A21" i="33" s="1"/>
  <c r="A22" i="33" s="1"/>
  <c r="A23" i="33" s="1"/>
  <c r="A24" i="33" s="1"/>
  <c r="A26" i="33" s="1"/>
  <c r="A27" i="33" s="1"/>
  <c r="A28" i="33" s="1"/>
  <c r="F37" i="32"/>
  <c r="E37" i="32"/>
  <c r="G36" i="32"/>
  <c r="G35" i="32"/>
  <c r="G34" i="32"/>
  <c r="G32" i="32"/>
  <c r="G31" i="32"/>
  <c r="G30" i="32"/>
  <c r="G29" i="32"/>
  <c r="G28" i="32"/>
  <c r="G27" i="32"/>
  <c r="G26" i="32"/>
  <c r="G25" i="32"/>
  <c r="G23" i="32"/>
  <c r="G22" i="32"/>
  <c r="G21" i="32"/>
  <c r="G19" i="32"/>
  <c r="G18" i="32"/>
  <c r="G17" i="32"/>
  <c r="G16" i="32"/>
  <c r="G15" i="32"/>
  <c r="G14" i="32"/>
  <c r="G13" i="32"/>
  <c r="G12" i="32"/>
  <c r="G11" i="32"/>
  <c r="A11" i="32"/>
  <c r="A12" i="32" s="1"/>
  <c r="A13" i="32" s="1"/>
  <c r="A14" i="32" s="1"/>
  <c r="A15" i="32" s="1"/>
  <c r="A16" i="32" s="1"/>
  <c r="A17" i="32" s="1"/>
  <c r="A18" i="32" s="1"/>
  <c r="A19" i="32" s="1"/>
  <c r="G10" i="32"/>
  <c r="A20" i="32" l="1"/>
  <c r="A21" i="32" s="1"/>
  <c r="A22" i="32" s="1"/>
  <c r="A23" i="32" s="1"/>
  <c r="A24" i="32" s="1"/>
  <c r="A25" i="32" s="1"/>
  <c r="A26" i="32" s="1"/>
  <c r="A27" i="32" s="1"/>
  <c r="A28" i="32" s="1"/>
  <c r="A29" i="32" s="1"/>
  <c r="A30" i="32" s="1"/>
  <c r="A31" i="32" s="1"/>
  <c r="A32" i="32" s="1"/>
  <c r="A35" i="32" s="1"/>
  <c r="A36" i="32" s="1"/>
  <c r="A37" i="32" s="1"/>
  <c r="A40" i="32" s="1"/>
  <c r="G37" i="32"/>
  <c r="S137" i="9"/>
  <c r="R137" i="9"/>
  <c r="Q137" i="9"/>
  <c r="P137" i="9"/>
  <c r="O137" i="9"/>
  <c r="N137" i="9"/>
  <c r="M137" i="9"/>
  <c r="L137" i="9"/>
  <c r="K137" i="9"/>
  <c r="J137" i="9"/>
  <c r="I137" i="9"/>
  <c r="H137" i="9"/>
  <c r="G137" i="9"/>
  <c r="T135" i="9"/>
  <c r="T134" i="9"/>
  <c r="Y135" i="9" s="1"/>
  <c r="T117" i="9"/>
  <c r="Y118" i="9" s="1"/>
  <c r="T116" i="9"/>
  <c r="V116" i="9" s="1"/>
  <c r="G40" i="32" l="1"/>
  <c r="H144" i="1" s="1"/>
  <c r="AB137" i="9"/>
  <c r="T137" i="9"/>
  <c r="Y137" i="9"/>
  <c r="V137" i="9"/>
  <c r="Z127" i="9" l="1"/>
  <c r="AA127" i="9" s="1"/>
  <c r="Z131" i="9"/>
  <c r="AA131" i="9" s="1"/>
  <c r="Z128" i="9"/>
  <c r="AA128" i="9" s="1"/>
  <c r="Z132" i="9"/>
  <c r="AA132" i="9" s="1"/>
  <c r="Z129" i="9"/>
  <c r="AA129" i="9" s="1"/>
  <c r="Z126" i="9"/>
  <c r="AA126" i="9" s="1"/>
  <c r="Z130" i="9"/>
  <c r="AA130" i="9" s="1"/>
  <c r="Z125" i="9"/>
  <c r="AA125" i="9" s="1"/>
  <c r="F20" i="55"/>
  <c r="G20" i="55" s="1"/>
  <c r="E57" i="56"/>
  <c r="E19" i="56" l="1"/>
  <c r="E20" i="56" s="1"/>
  <c r="M19" i="56"/>
  <c r="M20" i="56" s="1"/>
  <c r="K19" i="56"/>
  <c r="K20" i="56" s="1"/>
  <c r="I19" i="56"/>
  <c r="I20" i="56" s="1"/>
  <c r="G19" i="56"/>
  <c r="G20" i="56" s="1"/>
  <c r="T99" i="9"/>
  <c r="I148" i="50"/>
  <c r="I152" i="50" s="1"/>
  <c r="I13" i="50" s="1"/>
  <c r="I246" i="50"/>
  <c r="I250" i="50" s="1"/>
  <c r="I293" i="50"/>
  <c r="I297" i="50" s="1"/>
  <c r="I15" i="50" s="1"/>
  <c r="I77" i="50"/>
  <c r="I81" i="50" s="1"/>
  <c r="I11" i="50" s="1"/>
  <c r="I172" i="50"/>
  <c r="I176" i="50" s="1"/>
  <c r="I220" i="50"/>
  <c r="I224" i="50" s="1"/>
  <c r="I14" i="50" s="1"/>
  <c r="I320" i="50"/>
  <c r="I324" i="50" s="1"/>
  <c r="I104" i="50"/>
  <c r="I108" i="50" s="1"/>
  <c r="H146" i="9"/>
  <c r="G26" i="33"/>
  <c r="Z120" i="9"/>
  <c r="AA120" i="9" s="1"/>
  <c r="Z133" i="9"/>
  <c r="AA133" i="9" s="1"/>
  <c r="Z116" i="9"/>
  <c r="AA116" i="9" s="1"/>
  <c r="Z117" i="9"/>
  <c r="AA117" i="9" s="1"/>
  <c r="Z121" i="9"/>
  <c r="AA121" i="9" s="1"/>
  <c r="Z124" i="9"/>
  <c r="AA124" i="9" s="1"/>
  <c r="Z134" i="9"/>
  <c r="AA134" i="9" s="1"/>
  <c r="Z118" i="9"/>
  <c r="AA118" i="9" s="1"/>
  <c r="Z122" i="9"/>
  <c r="AA122" i="9" s="1"/>
  <c r="Z135" i="9"/>
  <c r="AA135" i="9" s="1"/>
  <c r="Z119" i="9"/>
  <c r="AA119" i="9" s="1"/>
  <c r="Z123" i="9"/>
  <c r="AA123" i="9" s="1"/>
  <c r="T108" i="9" l="1"/>
  <c r="V108" i="9" s="1"/>
  <c r="T100" i="9"/>
  <c r="V99" i="9"/>
  <c r="I17" i="50"/>
  <c r="AA137" i="9"/>
  <c r="T101" i="9" l="1"/>
  <c r="V100" i="9"/>
  <c r="E26" i="14"/>
  <c r="J44" i="13" s="1"/>
  <c r="T102" i="9" l="1"/>
  <c r="V101" i="9"/>
  <c r="G24" i="33"/>
  <c r="G27" i="33" l="1"/>
  <c r="T103" i="9"/>
  <c r="V102" i="9"/>
  <c r="L12" i="18"/>
  <c r="K11" i="18"/>
  <c r="T104" i="9" l="1"/>
  <c r="V103" i="9"/>
  <c r="M12" i="18"/>
  <c r="L13" i="18"/>
  <c r="E58" i="18"/>
  <c r="K12" i="18"/>
  <c r="C44" i="18"/>
  <c r="M13" i="18"/>
  <c r="L23" i="18"/>
  <c r="M23" i="18"/>
  <c r="V104" i="9" l="1"/>
  <c r="K109" i="9" s="1"/>
  <c r="T106" i="9"/>
  <c r="V106" i="9" s="1"/>
  <c r="P109" i="9"/>
  <c r="O109" i="9"/>
  <c r="J109" i="9"/>
  <c r="R109" i="9"/>
  <c r="M109" i="9"/>
  <c r="N109" i="9"/>
  <c r="L109" i="9"/>
  <c r="Q109" i="9"/>
  <c r="H109" i="9"/>
  <c r="I109" i="9"/>
  <c r="L14" i="18"/>
  <c r="F44" i="18"/>
  <c r="K13" i="18"/>
  <c r="M14" i="18"/>
  <c r="E59" i="18"/>
  <c r="F332" i="1"/>
  <c r="S109" i="9" l="1"/>
  <c r="G109" i="9"/>
  <c r="L15" i="18"/>
  <c r="E60" i="18"/>
  <c r="K14" i="18"/>
  <c r="M15" i="18"/>
  <c r="F193" i="1"/>
  <c r="L16" i="18" l="1"/>
  <c r="E44" i="18"/>
  <c r="K15" i="18"/>
  <c r="M16" i="18"/>
  <c r="F64" i="1"/>
  <c r="F58" i="1"/>
  <c r="L17" i="18" l="1"/>
  <c r="M17" i="18"/>
  <c r="K16" i="18"/>
  <c r="L18" i="18" l="1"/>
  <c r="K17" i="18"/>
  <c r="M18" i="18"/>
  <c r="H191" i="1"/>
  <c r="H189" i="1"/>
  <c r="L19" i="18" l="1"/>
  <c r="M19" i="18"/>
  <c r="K18" i="18"/>
  <c r="H198" i="1"/>
  <c r="H197" i="1"/>
  <c r="H185" i="1"/>
  <c r="K62" i="12" l="1"/>
  <c r="L20" i="18"/>
  <c r="K19" i="18"/>
  <c r="M20" i="18"/>
  <c r="F87" i="1"/>
  <c r="F85" i="1"/>
  <c r="F83" i="1"/>
  <c r="L21" i="18" l="1"/>
  <c r="M22" i="18"/>
  <c r="M21" i="18"/>
  <c r="K20" i="18"/>
  <c r="F336" i="1"/>
  <c r="F327" i="1"/>
  <c r="F324" i="1"/>
  <c r="F323" i="1"/>
  <c r="F322" i="1"/>
  <c r="F320" i="1"/>
  <c r="F316" i="1"/>
  <c r="F315" i="1"/>
  <c r="F314" i="1"/>
  <c r="F313" i="1"/>
  <c r="F312" i="1"/>
  <c r="F309" i="1"/>
  <c r="F303" i="1"/>
  <c r="F302" i="1"/>
  <c r="F301" i="1"/>
  <c r="F300" i="1"/>
  <c r="F298" i="1"/>
  <c r="F295" i="1"/>
  <c r="F293" i="1"/>
  <c r="F292" i="1"/>
  <c r="F291" i="1"/>
  <c r="F290" i="1"/>
  <c r="F289" i="1"/>
  <c r="F287" i="1"/>
  <c r="F286" i="1"/>
  <c r="F285" i="1"/>
  <c r="F252" i="1"/>
  <c r="F250" i="1"/>
  <c r="F249" i="1"/>
  <c r="F248" i="1"/>
  <c r="F247" i="1"/>
  <c r="F244" i="1"/>
  <c r="F243" i="1"/>
  <c r="F237" i="1"/>
  <c r="F236" i="1"/>
  <c r="F234" i="1"/>
  <c r="F233" i="1"/>
  <c r="F223" i="1"/>
  <c r="F210" i="1"/>
  <c r="F201" i="1"/>
  <c r="F200" i="1"/>
  <c r="F199" i="1"/>
  <c r="F195" i="1"/>
  <c r="F194" i="1"/>
  <c r="F139" i="1"/>
  <c r="F135" i="1"/>
  <c r="F134" i="1"/>
  <c r="F130" i="1"/>
  <c r="F128" i="1"/>
  <c r="F125" i="1"/>
  <c r="F123" i="1"/>
  <c r="F122" i="1"/>
  <c r="F89" i="1"/>
  <c r="F84" i="1"/>
  <c r="F70" i="1"/>
  <c r="F66" i="1"/>
  <c r="F65" i="1"/>
  <c r="L22" i="18" l="1"/>
  <c r="D24" i="18"/>
  <c r="E24" i="18"/>
  <c r="K22" i="18"/>
  <c r="K21" i="18"/>
  <c r="H75" i="1"/>
  <c r="H63" i="1"/>
  <c r="F76" i="1"/>
  <c r="F29" i="1"/>
  <c r="H55" i="1"/>
  <c r="C24" i="18" l="1"/>
  <c r="H47" i="17"/>
  <c r="F164" i="1" l="1"/>
  <c r="F151" i="1"/>
  <c r="A32" i="1"/>
  <c r="H39" i="1"/>
  <c r="H37" i="1"/>
  <c r="F30" i="1"/>
  <c r="A34" i="1" l="1"/>
  <c r="F80" i="1" s="1"/>
  <c r="A36" i="1" l="1"/>
  <c r="F81" i="1" s="1"/>
  <c r="D51" i="18"/>
  <c r="E51" i="18"/>
  <c r="F51" i="18"/>
  <c r="D63" i="18"/>
  <c r="E63" i="18"/>
  <c r="F63" i="18"/>
  <c r="C63" i="18"/>
  <c r="C51" i="18"/>
  <c r="L11" i="18"/>
  <c r="K23" i="18"/>
  <c r="M11" i="18"/>
  <c r="A38" i="1" l="1"/>
  <c r="E52" i="18"/>
  <c r="F82" i="1" l="1"/>
  <c r="F40" i="1"/>
  <c r="F52" i="18"/>
  <c r="E53" i="18"/>
  <c r="F53" i="18" l="1"/>
  <c r="E54" i="18"/>
  <c r="E55" i="18" l="1"/>
  <c r="F54" i="18"/>
  <c r="F55" i="18" l="1"/>
  <c r="E56" i="18"/>
  <c r="F56" i="18" l="1"/>
  <c r="E57" i="18"/>
  <c r="F57" i="18" l="1"/>
  <c r="F58" i="18" l="1"/>
  <c r="F59" i="18" l="1"/>
  <c r="E62" i="18" l="1"/>
  <c r="E61" i="18"/>
  <c r="F60" i="18"/>
  <c r="E64" i="18" l="1"/>
  <c r="F62" i="18"/>
  <c r="F61" i="18"/>
  <c r="F64" i="18" l="1"/>
  <c r="H330" i="1"/>
  <c r="E37" i="5" l="1"/>
  <c r="I63" i="8"/>
  <c r="I61" i="8"/>
  <c r="I39" i="8"/>
  <c r="I35" i="8"/>
  <c r="I34" i="8"/>
  <c r="I29" i="8"/>
  <c r="I27" i="8"/>
  <c r="I24" i="8"/>
  <c r="H307" i="1"/>
  <c r="H258" i="1"/>
  <c r="I36" i="8"/>
  <c r="H174" i="1"/>
  <c r="H170" i="1"/>
  <c r="H146" i="1"/>
  <c r="H145" i="1"/>
  <c r="H134" i="1"/>
  <c r="H133" i="1"/>
  <c r="H244" i="1"/>
  <c r="I33" i="8"/>
  <c r="H223" i="1"/>
  <c r="J23" i="17"/>
  <c r="I23" i="17"/>
  <c r="H23" i="17"/>
  <c r="G23" i="17"/>
  <c r="F23" i="17"/>
  <c r="C23" i="17"/>
  <c r="I22" i="17"/>
  <c r="C22" i="17"/>
  <c r="C21" i="17"/>
  <c r="C20" i="17"/>
  <c r="G19" i="17"/>
  <c r="C19" i="17"/>
  <c r="C18" i="17"/>
  <c r="C17" i="17"/>
  <c r="C16" i="17"/>
  <c r="G15" i="17"/>
  <c r="C15" i="17"/>
  <c r="C14" i="17"/>
  <c r="I13" i="17"/>
  <c r="C13" i="17"/>
  <c r="C12" i="17"/>
  <c r="J11" i="17"/>
  <c r="I11" i="17"/>
  <c r="H11" i="17"/>
  <c r="G11" i="17"/>
  <c r="F11" i="17"/>
  <c r="E11" i="17"/>
  <c r="D11" i="17"/>
  <c r="C11" i="17"/>
  <c r="H110"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E23" i="17"/>
  <c r="E22" i="17"/>
  <c r="E21" i="17"/>
  <c r="E20" i="17"/>
  <c r="E19" i="17"/>
  <c r="E18" i="17"/>
  <c r="E17" i="17"/>
  <c r="E16" i="17"/>
  <c r="E15" i="17"/>
  <c r="E14" i="17"/>
  <c r="E13" i="17"/>
  <c r="E12" i="17"/>
  <c r="H28" i="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E57" i="19"/>
  <c r="G16" i="19"/>
  <c r="C10" i="19"/>
  <c r="G9" i="19"/>
  <c r="G7" i="19"/>
  <c r="H148" i="1" s="1"/>
  <c r="K89" i="12" l="1"/>
  <c r="H226" i="1"/>
  <c r="E50" i="56"/>
  <c r="E52" i="56" s="1"/>
  <c r="K36" i="56" s="1"/>
  <c r="M23" i="17"/>
  <c r="F70" i="19"/>
  <c r="I28" i="8"/>
  <c r="I30" i="8" s="1"/>
  <c r="I40" i="8" s="1"/>
  <c r="I48" i="8"/>
  <c r="H24" i="17"/>
  <c r="H26" i="17" s="1"/>
  <c r="D47" i="17"/>
  <c r="H68" i="1" s="1"/>
  <c r="E24" i="17"/>
  <c r="I24" i="17"/>
  <c r="H34" i="1" s="1"/>
  <c r="J24" i="17"/>
  <c r="J26" i="17" s="1"/>
  <c r="G24" i="17"/>
  <c r="H135" i="1"/>
  <c r="H236" i="1"/>
  <c r="I21" i="8"/>
  <c r="I62" i="8"/>
  <c r="E70" i="19"/>
  <c r="M14" i="17"/>
  <c r="M18" i="17"/>
  <c r="M22" i="17"/>
  <c r="H84" i="1"/>
  <c r="H121" i="1"/>
  <c r="C24" i="17"/>
  <c r="H54" i="1" s="1"/>
  <c r="M17" i="17"/>
  <c r="M19" i="17"/>
  <c r="D74" i="19"/>
  <c r="M15" i="17"/>
  <c r="M20" i="17"/>
  <c r="M12" i="17"/>
  <c r="N24" i="18"/>
  <c r="G64" i="18"/>
  <c r="H124" i="1"/>
  <c r="H64" i="18"/>
  <c r="D52" i="18"/>
  <c r="K23" i="17"/>
  <c r="M13" i="17"/>
  <c r="M16" i="17"/>
  <c r="M11" i="17"/>
  <c r="M21" i="17"/>
  <c r="H260" i="1"/>
  <c r="H262" i="1" s="1"/>
  <c r="C52" i="18"/>
  <c r="D53" i="18"/>
  <c r="H171" i="1"/>
  <c r="H217" i="1"/>
  <c r="I20" i="8"/>
  <c r="F31" i="5"/>
  <c r="H151" i="1"/>
  <c r="H199" i="1"/>
  <c r="H234" i="1"/>
  <c r="I37" i="8"/>
  <c r="I38" i="8" s="1"/>
  <c r="K11" i="17"/>
  <c r="L11" i="17"/>
  <c r="D12" i="17"/>
  <c r="L12" i="17" s="1"/>
  <c r="H194" i="1"/>
  <c r="D8" i="19"/>
  <c r="G8" i="19" s="1"/>
  <c r="H165" i="1"/>
  <c r="H122" i="1"/>
  <c r="H65" i="1"/>
  <c r="D14" i="19"/>
  <c r="D15" i="19"/>
  <c r="H200" i="1"/>
  <c r="G38" i="19"/>
  <c r="M36" i="56" l="1"/>
  <c r="E55" i="56"/>
  <c r="K35" i="56" s="1"/>
  <c r="G36" i="56"/>
  <c r="E36" i="56"/>
  <c r="I36" i="56"/>
  <c r="G35" i="56"/>
  <c r="M35" i="56"/>
  <c r="K34" i="56"/>
  <c r="J268" i="9"/>
  <c r="L268" i="9" s="1"/>
  <c r="L273" i="9" s="1"/>
  <c r="F12" i="17"/>
  <c r="M24" i="17"/>
  <c r="M26" i="17" s="1"/>
  <c r="I22" i="8"/>
  <c r="I47" i="8" s="1"/>
  <c r="H261" i="1"/>
  <c r="H36" i="1"/>
  <c r="H38" i="1"/>
  <c r="C26" i="17"/>
  <c r="E62" i="12" s="1"/>
  <c r="E89" i="12" s="1"/>
  <c r="H123" i="1"/>
  <c r="D75" i="19"/>
  <c r="I64" i="8"/>
  <c r="I66" i="8" s="1"/>
  <c r="E26" i="17"/>
  <c r="H62" i="1"/>
  <c r="H78" i="1"/>
  <c r="H201" i="1"/>
  <c r="H243" i="1"/>
  <c r="C53" i="18"/>
  <c r="F13" i="17"/>
  <c r="D54" i="18"/>
  <c r="F14" i="17" s="1"/>
  <c r="K14" i="17" s="1"/>
  <c r="H237" i="1"/>
  <c r="I41" i="8"/>
  <c r="G10" i="19"/>
  <c r="H58" i="1"/>
  <c r="D13" i="17"/>
  <c r="L13" i="17" s="1"/>
  <c r="I34" i="56" l="1"/>
  <c r="G34" i="56"/>
  <c r="E34" i="56"/>
  <c r="E35" i="56" s="1"/>
  <c r="E39" i="56" s="1"/>
  <c r="M34" i="56"/>
  <c r="I35" i="56"/>
  <c r="I37" i="56" s="1"/>
  <c r="H29" i="1"/>
  <c r="H239" i="1"/>
  <c r="E37" i="56"/>
  <c r="K37" i="56"/>
  <c r="K39" i="56"/>
  <c r="M37" i="56"/>
  <c r="M39" i="56"/>
  <c r="G39" i="56"/>
  <c r="G37" i="56"/>
  <c r="I45" i="8"/>
  <c r="I53" i="8" s="1"/>
  <c r="I44" i="8"/>
  <c r="I52" i="8" s="1"/>
  <c r="I43" i="8"/>
  <c r="I51" i="8" s="1"/>
  <c r="H241" i="1"/>
  <c r="H240" i="1"/>
  <c r="H266" i="1"/>
  <c r="Q216" i="53"/>
  <c r="Q218" i="53" s="1"/>
  <c r="Q228" i="53" s="1"/>
  <c r="Q230" i="53" s="1"/>
  <c r="K111" i="53"/>
  <c r="K113" i="53" s="1"/>
  <c r="K123" i="53" s="1"/>
  <c r="K216" i="53"/>
  <c r="K218" i="53" s="1"/>
  <c r="K228" i="53" s="1"/>
  <c r="K230" i="53" s="1"/>
  <c r="Q111" i="53"/>
  <c r="Q113" i="53" s="1"/>
  <c r="M216" i="53"/>
  <c r="M218" i="53" s="1"/>
  <c r="M228" i="53" s="1"/>
  <c r="M230" i="53" s="1"/>
  <c r="O111" i="53"/>
  <c r="O216" i="53"/>
  <c r="O218" i="53" s="1"/>
  <c r="O228" i="53" s="1"/>
  <c r="O230" i="53" s="1"/>
  <c r="M111" i="53"/>
  <c r="M113" i="53" s="1"/>
  <c r="M123" i="53" s="1"/>
  <c r="H275" i="1"/>
  <c r="H270" i="1"/>
  <c r="I65" i="8"/>
  <c r="K12" i="17"/>
  <c r="I14" i="12"/>
  <c r="I79" i="8"/>
  <c r="I70" i="8"/>
  <c r="H125" i="1"/>
  <c r="H81" i="1"/>
  <c r="H82" i="1"/>
  <c r="D76" i="19"/>
  <c r="K13" i="17"/>
  <c r="D55" i="18"/>
  <c r="C54" i="18"/>
  <c r="H298" i="1"/>
  <c r="D14" i="17"/>
  <c r="L14" i="17" s="1"/>
  <c r="O113" i="53" l="1"/>
  <c r="O123" i="53" s="1"/>
  <c r="I39" i="56"/>
  <c r="G45" i="56"/>
  <c r="K45" i="56"/>
  <c r="I45" i="56"/>
  <c r="M45" i="56"/>
  <c r="E45" i="56"/>
  <c r="K242" i="53"/>
  <c r="K244" i="53" s="1"/>
  <c r="K125" i="53"/>
  <c r="M125" i="53"/>
  <c r="M242" i="53"/>
  <c r="M244" i="53" s="1"/>
  <c r="I54" i="8"/>
  <c r="I74" i="8"/>
  <c r="I78" i="8" s="1"/>
  <c r="I80" i="8" s="1"/>
  <c r="H274" i="1"/>
  <c r="H248" i="1"/>
  <c r="H300" i="1"/>
  <c r="H247" i="1"/>
  <c r="H249" i="1"/>
  <c r="F15" i="17"/>
  <c r="D56" i="18"/>
  <c r="F16" i="17" s="1"/>
  <c r="K16" i="17" s="1"/>
  <c r="C55" i="18"/>
  <c r="D15" i="17"/>
  <c r="L15" i="17" s="1"/>
  <c r="O242" i="53" l="1"/>
  <c r="O244" i="53" s="1"/>
  <c r="O125" i="53"/>
  <c r="Q123" i="53"/>
  <c r="H276" i="1"/>
  <c r="E47" i="56"/>
  <c r="Q242" i="53"/>
  <c r="Q244" i="53" s="1"/>
  <c r="Q125" i="53"/>
  <c r="H250" i="1"/>
  <c r="H301" i="1"/>
  <c r="D78" i="19"/>
  <c r="C56" i="18"/>
  <c r="D57" i="18"/>
  <c r="F17" i="17" s="1"/>
  <c r="K17" i="17" s="1"/>
  <c r="K15" i="17"/>
  <c r="D16" i="17"/>
  <c r="L16" i="17" s="1"/>
  <c r="D79" i="19" l="1"/>
  <c r="D58" i="18"/>
  <c r="C57" i="18"/>
  <c r="D17" i="17"/>
  <c r="L17" i="17" s="1"/>
  <c r="D80" i="19" l="1"/>
  <c r="F18" i="17"/>
  <c r="C58" i="18"/>
  <c r="D59" i="18"/>
  <c r="F19" i="17" s="1"/>
  <c r="K19" i="17" s="1"/>
  <c r="D18" i="17"/>
  <c r="L18" i="17" s="1"/>
  <c r="D81" i="19" l="1"/>
  <c r="C59" i="18"/>
  <c r="D60" i="18"/>
  <c r="F20" i="17" s="1"/>
  <c r="K20" i="17" s="1"/>
  <c r="K18" i="17"/>
  <c r="D19" i="17"/>
  <c r="L19" i="17" s="1"/>
  <c r="D82" i="19" l="1"/>
  <c r="D61" i="18"/>
  <c r="F21" i="17" s="1"/>
  <c r="K21" i="17" s="1"/>
  <c r="C60" i="18"/>
  <c r="D20" i="17"/>
  <c r="L20" i="17" s="1"/>
  <c r="D83" i="19" l="1"/>
  <c r="C62" i="18"/>
  <c r="C61" i="18"/>
  <c r="D62" i="18"/>
  <c r="D64" i="18" s="1"/>
  <c r="K24" i="18"/>
  <c r="H27" i="1" s="1"/>
  <c r="D21" i="17"/>
  <c r="L21" i="17" s="1"/>
  <c r="C64" i="18" l="1"/>
  <c r="H30" i="1"/>
  <c r="D84" i="19"/>
  <c r="F22" i="17"/>
  <c r="F24" i="17" s="1"/>
  <c r="D22" i="17"/>
  <c r="L22" i="17" s="1"/>
  <c r="D85" i="19" l="1"/>
  <c r="D86" i="19" s="1"/>
  <c r="C15" i="19" s="1"/>
  <c r="H251" i="9" s="1"/>
  <c r="I251" i="9" s="1"/>
  <c r="D51" i="19"/>
  <c r="I25" i="17" s="1"/>
  <c r="H32" i="1"/>
  <c r="K22" i="17"/>
  <c r="K24" i="17" s="1"/>
  <c r="M24" i="18"/>
  <c r="D23" i="17"/>
  <c r="D24" i="17" s="1"/>
  <c r="H35" i="1" l="1"/>
  <c r="I26" i="17"/>
  <c r="F26" i="17"/>
  <c r="H74" i="1"/>
  <c r="K26" i="17"/>
  <c r="H62" i="12" s="1"/>
  <c r="L23" i="17"/>
  <c r="L24" i="17" s="1"/>
  <c r="H192" i="1" l="1"/>
  <c r="G15" i="19"/>
  <c r="H89" i="12"/>
  <c r="I15" i="12"/>
  <c r="H76" i="1"/>
  <c r="H80" i="1"/>
  <c r="H313" i="1"/>
  <c r="H60" i="1"/>
  <c r="H323" i="1" l="1"/>
  <c r="D65" i="19" l="1"/>
  <c r="D63" i="19"/>
  <c r="D64" i="19"/>
  <c r="D62" i="19"/>
  <c r="D69" i="19"/>
  <c r="D68" i="19"/>
  <c r="D61" i="19"/>
  <c r="D66" i="19"/>
  <c r="D67" i="19"/>
  <c r="G28" i="19" l="1"/>
  <c r="G30" i="19"/>
  <c r="G32" i="19"/>
  <c r="G27" i="19"/>
  <c r="G29" i="19"/>
  <c r="G25" i="19"/>
  <c r="G31" i="19"/>
  <c r="G26" i="19"/>
  <c r="G33" i="19"/>
  <c r="E73" i="13" l="1"/>
  <c r="F8" i="13" s="1"/>
  <c r="B60" i="13"/>
  <c r="F41" i="14" l="1"/>
  <c r="F42" i="14" s="1"/>
  <c r="F43" i="14" s="1"/>
  <c r="F44" i="14" s="1"/>
  <c r="F45" i="14" s="1"/>
  <c r="F46" i="14" s="1"/>
  <c r="F47" i="14" s="1"/>
  <c r="F48" i="14" s="1"/>
  <c r="F49" i="14" s="1"/>
  <c r="F50" i="14" s="1"/>
  <c r="F51" i="14" s="1"/>
  <c r="F52" i="14" s="1"/>
  <c r="F53" i="14" s="1"/>
  <c r="E62" i="13" l="1"/>
  <c r="C47" i="17" l="1"/>
  <c r="H108" i="1" s="1"/>
  <c r="H161" i="1" l="1"/>
  <c r="H160" i="1"/>
  <c r="I24" i="33"/>
  <c r="I27" i="33" s="1"/>
  <c r="E20" i="5" l="1"/>
  <c r="G34" i="17"/>
  <c r="G42" i="17"/>
  <c r="G40" i="17"/>
  <c r="G43" i="17"/>
  <c r="G38" i="17"/>
  <c r="G46" i="17"/>
  <c r="G36" i="17"/>
  <c r="G35" i="17"/>
  <c r="G44" i="17"/>
  <c r="G41" i="17"/>
  <c r="G37" i="17"/>
  <c r="G45" i="17"/>
  <c r="G39" i="17"/>
  <c r="G47" i="17" l="1"/>
  <c r="H116" i="1" s="1"/>
  <c r="H117" i="1" l="1"/>
  <c r="D42" i="13" l="1"/>
  <c r="E24" i="13" l="1"/>
  <c r="E25" i="13"/>
  <c r="E26" i="13"/>
  <c r="E21" i="13"/>
  <c r="E23" i="13"/>
  <c r="E16" i="13"/>
  <c r="E22" i="13"/>
  <c r="E20" i="13"/>
  <c r="E15" i="13"/>
  <c r="E17" i="13"/>
  <c r="E14" i="13"/>
  <c r="E19" i="13"/>
  <c r="E18" i="13"/>
  <c r="F26" i="13" l="1"/>
  <c r="F25" i="13"/>
  <c r="F24" i="13"/>
  <c r="F18" i="13"/>
  <c r="F17" i="13"/>
  <c r="F22" i="13"/>
  <c r="F23" i="13"/>
  <c r="F15" i="13"/>
  <c r="F19" i="13"/>
  <c r="F16" i="13"/>
  <c r="F14" i="13"/>
  <c r="E42" i="13"/>
  <c r="F20" i="13"/>
  <c r="F21" i="13"/>
  <c r="F42" i="13" l="1"/>
  <c r="H24" i="33" l="1"/>
  <c r="H159" i="1"/>
  <c r="E24" i="33"/>
  <c r="H173" i="1" l="1"/>
  <c r="G259" i="9"/>
  <c r="H155" i="1"/>
  <c r="H175" i="1" l="1"/>
  <c r="H164" i="1"/>
  <c r="N71" i="12"/>
  <c r="N70" i="12"/>
  <c r="G39" i="19"/>
  <c r="C75" i="19"/>
  <c r="G75" i="19" s="1"/>
  <c r="H166" i="1" l="1"/>
  <c r="G40" i="19"/>
  <c r="C74" i="19"/>
  <c r="G74" i="19" l="1"/>
  <c r="G41" i="19"/>
  <c r="C76" i="19"/>
  <c r="G76" i="19" s="1"/>
  <c r="C61" i="19" l="1"/>
  <c r="G61" i="19" s="1"/>
  <c r="G42" i="19"/>
  <c r="C62" i="19" l="1"/>
  <c r="G43" i="19"/>
  <c r="C78" i="19"/>
  <c r="G78" i="19" s="1"/>
  <c r="G77" i="19"/>
  <c r="G62" i="19" l="1"/>
  <c r="G44" i="19"/>
  <c r="C63" i="19"/>
  <c r="G63" i="19" s="1"/>
  <c r="C79" i="19"/>
  <c r="G45" i="19" l="1"/>
  <c r="C64" i="19"/>
  <c r="G64" i="19" s="1"/>
  <c r="C80" i="19"/>
  <c r="G80" i="19" s="1"/>
  <c r="G79" i="19"/>
  <c r="G46" i="19" l="1"/>
  <c r="C65" i="19"/>
  <c r="C81" i="19"/>
  <c r="G81" i="19" s="1"/>
  <c r="G47" i="19" l="1"/>
  <c r="C66" i="19"/>
  <c r="G66" i="19" s="1"/>
  <c r="C82" i="19"/>
  <c r="G65" i="19"/>
  <c r="G82" i="19" l="1"/>
  <c r="C67" i="19"/>
  <c r="G67" i="19" s="1"/>
  <c r="C83" i="19"/>
  <c r="G83" i="19" s="1"/>
  <c r="G48" i="19"/>
  <c r="G49" i="19" l="1"/>
  <c r="C68" i="19"/>
  <c r="G68" i="19" s="1"/>
  <c r="C84" i="19"/>
  <c r="G84" i="19" s="1"/>
  <c r="C51" i="19"/>
  <c r="G25" i="17" l="1"/>
  <c r="H33" i="1"/>
  <c r="C69" i="19"/>
  <c r="G50" i="19"/>
  <c r="G51" i="19" s="1"/>
  <c r="C85" i="19"/>
  <c r="H40" i="1" l="1"/>
  <c r="C86" i="19"/>
  <c r="C14" i="19" s="1"/>
  <c r="G85" i="19"/>
  <c r="G69" i="19"/>
  <c r="H79" i="1"/>
  <c r="G26" i="17"/>
  <c r="H250" i="9" l="1"/>
  <c r="I250" i="9" s="1"/>
  <c r="H83" i="1"/>
  <c r="H42" i="1"/>
  <c r="G86" i="19"/>
  <c r="H85" i="1" l="1"/>
  <c r="C17" i="19"/>
  <c r="G14" i="19"/>
  <c r="G17" i="19" s="1"/>
  <c r="H190" i="1"/>
  <c r="D58" i="19" l="1"/>
  <c r="D60" i="19"/>
  <c r="D59" i="19"/>
  <c r="C57" i="19"/>
  <c r="H193" i="1"/>
  <c r="H87" i="1"/>
  <c r="H195" i="1" l="1"/>
  <c r="G23" i="19"/>
  <c r="C59" i="19"/>
  <c r="G59" i="19" s="1"/>
  <c r="G24" i="19"/>
  <c r="C60" i="19"/>
  <c r="G60" i="19" s="1"/>
  <c r="G22" i="19"/>
  <c r="C58" i="19"/>
  <c r="G58" i="19" s="1"/>
  <c r="D57" i="19"/>
  <c r="D70" i="19" s="1"/>
  <c r="D34" i="19"/>
  <c r="G21" i="19"/>
  <c r="C34" i="19"/>
  <c r="I22" i="12" l="1"/>
  <c r="I23" i="12" s="1"/>
  <c r="L23" i="12" s="1"/>
  <c r="H204" i="1"/>
  <c r="G34" i="19"/>
  <c r="D25" i="17" s="1"/>
  <c r="G57" i="19"/>
  <c r="G70" i="19" s="1"/>
  <c r="C70" i="19"/>
  <c r="H290" i="1" l="1"/>
  <c r="H61" i="1"/>
  <c r="D26" i="17"/>
  <c r="L25" i="17"/>
  <c r="L26" i="17" s="1"/>
  <c r="H64" i="1" l="1"/>
  <c r="H66" i="1" l="1"/>
  <c r="H70" i="1" l="1"/>
  <c r="E31" i="5"/>
  <c r="E55" i="5" s="1"/>
  <c r="H89" i="1" l="1"/>
  <c r="H44" i="1"/>
  <c r="G31" i="5"/>
  <c r="E59" i="5"/>
  <c r="H45" i="1" l="1"/>
  <c r="H285" i="1"/>
  <c r="H47" i="1"/>
  <c r="H48" i="1" l="1"/>
  <c r="H176" i="1"/>
  <c r="W134" i="9"/>
  <c r="X134" i="9" s="1"/>
  <c r="AC134" i="9" s="1"/>
  <c r="H148" i="9"/>
  <c r="G154" i="9" s="1"/>
  <c r="W133" i="9"/>
  <c r="X133" i="9" s="1"/>
  <c r="AC133" i="9" s="1"/>
  <c r="H247" i="50"/>
  <c r="H250" i="50" s="1"/>
  <c r="E250" i="50" s="1"/>
  <c r="W123" i="9"/>
  <c r="X123" i="9" s="1"/>
  <c r="AC123" i="9" s="1"/>
  <c r="W132" i="9"/>
  <c r="X132" i="9" s="1"/>
  <c r="AC132" i="9" s="1"/>
  <c r="E58" i="56"/>
  <c r="F20" i="5"/>
  <c r="G20" i="5" s="1"/>
  <c r="F37" i="5"/>
  <c r="G37" i="5" s="1"/>
  <c r="W127" i="9"/>
  <c r="X127" i="9" s="1"/>
  <c r="AC127" i="9" s="1"/>
  <c r="W125" i="9"/>
  <c r="X125" i="9" s="1"/>
  <c r="AC125" i="9" s="1"/>
  <c r="W126" i="9"/>
  <c r="X126" i="9" s="1"/>
  <c r="AC126" i="9" s="1"/>
  <c r="H294" i="50"/>
  <c r="H297" i="50" s="1"/>
  <c r="H105" i="50"/>
  <c r="H108" i="50" s="1"/>
  <c r="E108" i="50" s="1"/>
  <c r="W120" i="9"/>
  <c r="X120" i="9" s="1"/>
  <c r="AC120" i="9" s="1"/>
  <c r="W122" i="9"/>
  <c r="X122" i="9" s="1"/>
  <c r="AC122" i="9" s="1"/>
  <c r="W116" i="9"/>
  <c r="X116" i="9" s="1"/>
  <c r="H321" i="50"/>
  <c r="H324" i="50" s="1"/>
  <c r="E324" i="50" s="1"/>
  <c r="H265" i="1" s="1"/>
  <c r="W135" i="9"/>
  <c r="X135" i="9" s="1"/>
  <c r="AC135" i="9" s="1"/>
  <c r="W118" i="9"/>
  <c r="X118" i="9" s="1"/>
  <c r="AC118" i="9" s="1"/>
  <c r="H173" i="50"/>
  <c r="H176" i="50" s="1"/>
  <c r="H221" i="50"/>
  <c r="H224" i="50" s="1"/>
  <c r="W131" i="9"/>
  <c r="X131" i="9" s="1"/>
  <c r="AC131" i="9" s="1"/>
  <c r="H78" i="50"/>
  <c r="H81" i="50" s="1"/>
  <c r="W129" i="9"/>
  <c r="X129" i="9" s="1"/>
  <c r="AC129" i="9" s="1"/>
  <c r="W124" i="9"/>
  <c r="X124" i="9" s="1"/>
  <c r="AC124" i="9" s="1"/>
  <c r="W121" i="9"/>
  <c r="X121" i="9" s="1"/>
  <c r="AC121" i="9" s="1"/>
  <c r="H26" i="33"/>
  <c r="W128" i="9"/>
  <c r="X128" i="9" s="1"/>
  <c r="AC128" i="9" s="1"/>
  <c r="W119" i="9"/>
  <c r="X119" i="9" s="1"/>
  <c r="AC119" i="9" s="1"/>
  <c r="W117" i="9"/>
  <c r="X117" i="9" s="1"/>
  <c r="AC117" i="9" s="1"/>
  <c r="W130" i="9"/>
  <c r="X130" i="9" s="1"/>
  <c r="AC130" i="9" s="1"/>
  <c r="H149" i="50"/>
  <c r="H152" i="50" s="1"/>
  <c r="E176" i="50" l="1"/>
  <c r="G21" i="55"/>
  <c r="H13" i="50"/>
  <c r="E13" i="50" s="1"/>
  <c r="E152" i="50"/>
  <c r="AC116" i="9"/>
  <c r="AC137" i="9" s="1"/>
  <c r="H113" i="1" s="1"/>
  <c r="X137" i="9"/>
  <c r="G39" i="5"/>
  <c r="H208" i="1" s="1"/>
  <c r="I69" i="8"/>
  <c r="I71" i="8" s="1"/>
  <c r="H267" i="1"/>
  <c r="K25" i="56"/>
  <c r="K26" i="56" s="1"/>
  <c r="K28" i="56" s="1"/>
  <c r="K40" i="56" s="1"/>
  <c r="K41" i="56" s="1"/>
  <c r="G25" i="56"/>
  <c r="G26" i="56" s="1"/>
  <c r="G28" i="56" s="1"/>
  <c r="G40" i="56" s="1"/>
  <c r="G41" i="56" s="1"/>
  <c r="I25" i="56"/>
  <c r="I26" i="56" s="1"/>
  <c r="I28" i="56" s="1"/>
  <c r="I40" i="56" s="1"/>
  <c r="I41" i="56" s="1"/>
  <c r="E25" i="56" a="1"/>
  <c r="E25" i="56" s="1"/>
  <c r="E26" i="56" s="1"/>
  <c r="E28" i="56" s="1"/>
  <c r="E40" i="56" s="1"/>
  <c r="E41" i="56" s="1"/>
  <c r="M25" i="56"/>
  <c r="M26" i="56" s="1"/>
  <c r="M28" i="56" s="1"/>
  <c r="M40" i="56" s="1"/>
  <c r="M41" i="56" s="1"/>
  <c r="H177" i="1"/>
  <c r="J30" i="33" s="1"/>
  <c r="H11" i="50"/>
  <c r="E81" i="50"/>
  <c r="H14" i="50"/>
  <c r="E14" i="50" s="1"/>
  <c r="E224" i="50"/>
  <c r="H27" i="33"/>
  <c r="J28" i="33" s="1"/>
  <c r="H15" i="50"/>
  <c r="E15" i="50" s="1"/>
  <c r="E297" i="50"/>
  <c r="J31" i="33" l="1"/>
  <c r="R104" i="49"/>
  <c r="R106" i="49" s="1"/>
  <c r="R108" i="49" s="1"/>
  <c r="L106" i="49"/>
  <c r="L108" i="49" s="1"/>
  <c r="O90" i="49"/>
  <c r="Q90" i="49"/>
  <c r="K90" i="49"/>
  <c r="R139" i="49"/>
  <c r="R141" i="49" s="1"/>
  <c r="R143" i="49" s="1"/>
  <c r="R145" i="49" s="1"/>
  <c r="H97" i="1" s="1"/>
  <c r="L141" i="49"/>
  <c r="L143" i="49" s="1"/>
  <c r="L145" i="49" s="1"/>
  <c r="Q86" i="49"/>
  <c r="J98" i="49"/>
  <c r="O86" i="49"/>
  <c r="K86" i="49"/>
  <c r="O91" i="49"/>
  <c r="Q91" i="49"/>
  <c r="K91" i="49"/>
  <c r="O87" i="49"/>
  <c r="Q87" i="49"/>
  <c r="K87" i="49"/>
  <c r="O94" i="49"/>
  <c r="Q94" i="49"/>
  <c r="K94" i="49"/>
  <c r="P94" i="49" s="1"/>
  <c r="O89" i="49"/>
  <c r="Q89" i="49"/>
  <c r="K89" i="49"/>
  <c r="Q95" i="49"/>
  <c r="O95" i="49"/>
  <c r="P95" i="49" s="1"/>
  <c r="K95" i="49"/>
  <c r="Q92" i="49"/>
  <c r="O92" i="49"/>
  <c r="K92" i="49"/>
  <c r="O96" i="49"/>
  <c r="Q96" i="49"/>
  <c r="K96" i="49"/>
  <c r="R174" i="49"/>
  <c r="R176" i="49" s="1"/>
  <c r="R178" i="49" s="1"/>
  <c r="R180" i="49" s="1"/>
  <c r="H98" i="1" s="1"/>
  <c r="L176" i="49"/>
  <c r="L178" i="49" s="1"/>
  <c r="L180" i="49" s="1"/>
  <c r="Q93" i="49"/>
  <c r="O93" i="49"/>
  <c r="K93" i="49"/>
  <c r="Q97" i="49"/>
  <c r="O97" i="49"/>
  <c r="P97" i="49" s="1"/>
  <c r="K97" i="49"/>
  <c r="Q88" i="49"/>
  <c r="O88" i="49"/>
  <c r="K88" i="49"/>
  <c r="E43" i="56"/>
  <c r="H179" i="1"/>
  <c r="H17" i="50"/>
  <c r="E11" i="50"/>
  <c r="H210" i="1"/>
  <c r="P91" i="49" l="1"/>
  <c r="D23" i="55"/>
  <c r="D25" i="55" s="1"/>
  <c r="D33" i="55" s="1"/>
  <c r="D37" i="55" s="1"/>
  <c r="H128" i="1"/>
  <c r="P93" i="49"/>
  <c r="P90" i="49"/>
  <c r="Q98" i="49"/>
  <c r="P88" i="49"/>
  <c r="P89" i="49"/>
  <c r="P96" i="49"/>
  <c r="K98" i="49"/>
  <c r="L86" i="49"/>
  <c r="P86" i="49"/>
  <c r="P92" i="49"/>
  <c r="P87" i="49"/>
  <c r="O98" i="49"/>
  <c r="G23" i="55"/>
  <c r="G25" i="55" s="1"/>
  <c r="H306" i="1" s="1"/>
  <c r="H291" i="1"/>
  <c r="I26" i="12"/>
  <c r="I27" i="12" s="1"/>
  <c r="L27" i="12" s="1"/>
  <c r="L36" i="49"/>
  <c r="L38" i="49" s="1"/>
  <c r="L40" i="49" s="1"/>
  <c r="E17" i="50"/>
  <c r="R34" i="49"/>
  <c r="R36" i="49" s="1"/>
  <c r="R38" i="49" s="1"/>
  <c r="R40" i="49" s="1"/>
  <c r="H94" i="1" s="1"/>
  <c r="I18" i="12"/>
  <c r="I19" i="12" s="1"/>
  <c r="L19" i="12" s="1"/>
  <c r="H289" i="1"/>
  <c r="I29" i="12" l="1"/>
  <c r="I30" i="12" s="1"/>
  <c r="L30" i="12" s="1"/>
  <c r="L32" i="12" s="1"/>
  <c r="R86" i="49"/>
  <c r="R87" i="49" s="1"/>
  <c r="R88" i="49" s="1"/>
  <c r="R89" i="49" s="1"/>
  <c r="R90" i="49" s="1"/>
  <c r="R91" i="49" s="1"/>
  <c r="R92" i="49" s="1"/>
  <c r="R93" i="49" s="1"/>
  <c r="R94" i="49" s="1"/>
  <c r="R95" i="49" s="1"/>
  <c r="R96" i="49" s="1"/>
  <c r="R97" i="49" s="1"/>
  <c r="R109" i="49" s="1"/>
  <c r="R110" i="49" s="1"/>
  <c r="P98" i="49"/>
  <c r="L87" i="49"/>
  <c r="L88" i="49" s="1"/>
  <c r="L89" i="49" s="1"/>
  <c r="L90" i="49" s="1"/>
  <c r="L91" i="49" s="1"/>
  <c r="L92" i="49" s="1"/>
  <c r="L93" i="49" s="1"/>
  <c r="L94" i="49" s="1"/>
  <c r="L95" i="49" s="1"/>
  <c r="L96" i="49" s="1"/>
  <c r="L97" i="49" s="1"/>
  <c r="L109" i="49" s="1"/>
  <c r="L110" i="49" s="1"/>
  <c r="H130" i="1"/>
  <c r="H96" i="1" l="1"/>
  <c r="H99" i="1" s="1"/>
  <c r="H106" i="1" s="1"/>
  <c r="F67" i="12"/>
  <c r="G67" i="12" s="1"/>
  <c r="F65" i="12"/>
  <c r="G65" i="12" s="1"/>
  <c r="F75" i="12"/>
  <c r="G75" i="12" s="1"/>
  <c r="F63" i="12"/>
  <c r="G63" i="12" s="1"/>
  <c r="F68" i="12"/>
  <c r="G68" i="12" s="1"/>
  <c r="F66" i="12"/>
  <c r="G66" i="12" s="1"/>
  <c r="F74" i="12"/>
  <c r="G74" i="12" s="1"/>
  <c r="F69" i="12"/>
  <c r="G69" i="12" s="1"/>
  <c r="F62" i="12"/>
  <c r="G62" i="12" s="1"/>
  <c r="F71" i="12"/>
  <c r="G71" i="12" s="1"/>
  <c r="F70" i="12"/>
  <c r="G70" i="12" s="1"/>
  <c r="F73" i="12"/>
  <c r="G73" i="12" s="1"/>
  <c r="F64" i="12"/>
  <c r="G64" i="12" s="1"/>
  <c r="F72" i="12"/>
  <c r="G72" i="12" s="1"/>
  <c r="G89" i="12" l="1"/>
  <c r="H137" i="1"/>
  <c r="H139" i="1" l="1"/>
  <c r="H286" i="1"/>
  <c r="H252" i="1" l="1"/>
  <c r="H287" i="1"/>
  <c r="I16" i="8"/>
  <c r="I56" i="8" s="1"/>
  <c r="I82" i="8" s="1"/>
  <c r="I84" i="8" s="1"/>
  <c r="I9" i="8" s="1"/>
  <c r="H321" i="1" s="1"/>
  <c r="H292" i="1" l="1"/>
  <c r="H278" i="1"/>
  <c r="H280" i="1" l="1"/>
  <c r="I39" i="12"/>
  <c r="I40" i="12" s="1"/>
  <c r="L40" i="12" l="1"/>
  <c r="H293" i="1"/>
  <c r="I35" i="12" l="1"/>
  <c r="I36" i="12" s="1"/>
  <c r="H295" i="1"/>
  <c r="H302" i="1" l="1"/>
  <c r="L36" i="12"/>
  <c r="L42" i="12" s="1"/>
  <c r="I42" i="12"/>
  <c r="I75" i="12" l="1"/>
  <c r="J75" i="12" s="1"/>
  <c r="L75" i="12" s="1"/>
  <c r="O75" i="12" s="1"/>
  <c r="Q75" i="12" s="1"/>
  <c r="I63" i="12"/>
  <c r="J63" i="12" s="1"/>
  <c r="L63" i="12" s="1"/>
  <c r="I73" i="12"/>
  <c r="J73" i="12" s="1"/>
  <c r="L73" i="12" s="1"/>
  <c r="O73" i="12" s="1"/>
  <c r="Q73" i="12" s="1"/>
  <c r="I62" i="12"/>
  <c r="J62" i="12" s="1"/>
  <c r="I69" i="12"/>
  <c r="J69" i="12" s="1"/>
  <c r="L69" i="12" s="1"/>
  <c r="I72" i="12"/>
  <c r="J72" i="12" s="1"/>
  <c r="L72" i="12" s="1"/>
  <c r="I66" i="12"/>
  <c r="J66" i="12" s="1"/>
  <c r="L66" i="12" s="1"/>
  <c r="I68" i="12"/>
  <c r="J68" i="12" s="1"/>
  <c r="L68" i="12" s="1"/>
  <c r="I74" i="12"/>
  <c r="J74" i="12" s="1"/>
  <c r="L74" i="12" s="1"/>
  <c r="O74" i="12" s="1"/>
  <c r="Q74" i="12" s="1"/>
  <c r="I71" i="12"/>
  <c r="J71" i="12" s="1"/>
  <c r="L71" i="12" s="1"/>
  <c r="O71" i="12" s="1"/>
  <c r="Q71" i="12" s="1"/>
  <c r="I64" i="12"/>
  <c r="J64" i="12" s="1"/>
  <c r="L64" i="12" s="1"/>
  <c r="I70" i="12"/>
  <c r="J70" i="12" s="1"/>
  <c r="L70" i="12" s="1"/>
  <c r="O70" i="12" s="1"/>
  <c r="Q70" i="12" s="1"/>
  <c r="I67" i="12"/>
  <c r="J67" i="12" s="1"/>
  <c r="L67" i="12" s="1"/>
  <c r="I65" i="12"/>
  <c r="J65" i="12" s="1"/>
  <c r="L65" i="12" s="1"/>
  <c r="H303" i="1"/>
  <c r="P89" i="12"/>
  <c r="L62" i="12" l="1"/>
  <c r="J89" i="12"/>
  <c r="H309" i="1"/>
  <c r="H312" i="1" l="1"/>
  <c r="H327" i="1"/>
  <c r="H320" i="1"/>
  <c r="L89" i="12"/>
  <c r="O62" i="12"/>
  <c r="Q62" i="12" s="1"/>
  <c r="H322" i="1" l="1"/>
  <c r="H316" i="1"/>
  <c r="H315" i="1"/>
  <c r="H314" i="1"/>
  <c r="L12" i="57" l="1"/>
  <c r="L18" i="57"/>
  <c r="H324" i="1"/>
  <c r="H325" i="1"/>
  <c r="L13" i="57" l="1"/>
  <c r="L14" i="57" s="1"/>
  <c r="Y29" i="57"/>
  <c r="AW29" i="57"/>
  <c r="BA29" i="57"/>
  <c r="I29" i="57"/>
  <c r="AK29" i="57"/>
  <c r="AS29" i="57"/>
  <c r="U29" i="57"/>
  <c r="Q29" i="57"/>
  <c r="M29" i="57"/>
  <c r="AC29" i="57"/>
  <c r="E29" i="57"/>
  <c r="AG29" i="57"/>
  <c r="AO29" i="57"/>
  <c r="AJ60" i="57" l="1"/>
  <c r="AJ70" i="57"/>
  <c r="AJ64" i="57"/>
  <c r="AJ66" i="57"/>
  <c r="AJ62" i="57"/>
  <c r="AJ72" i="57"/>
  <c r="AJ74" i="57"/>
  <c r="AJ68" i="57"/>
  <c r="AN74" i="57"/>
  <c r="AN70" i="57"/>
  <c r="AN60" i="57"/>
  <c r="AN62" i="57"/>
  <c r="AN66" i="57"/>
  <c r="AN68" i="57"/>
  <c r="AN64" i="57"/>
  <c r="AN72" i="57"/>
  <c r="L68" i="57"/>
  <c r="L70" i="57"/>
  <c r="L66" i="57"/>
  <c r="L74" i="57"/>
  <c r="L64" i="57"/>
  <c r="L60" i="57"/>
  <c r="L62" i="57"/>
  <c r="L72" i="57"/>
  <c r="H68" i="57"/>
  <c r="H70" i="57"/>
  <c r="H62" i="57"/>
  <c r="H64" i="57"/>
  <c r="H74" i="57"/>
  <c r="H60" i="57"/>
  <c r="H72" i="57"/>
  <c r="H66" i="57"/>
  <c r="BD66" i="57"/>
  <c r="BD62" i="57"/>
  <c r="BD64" i="57"/>
  <c r="BD68" i="57"/>
  <c r="BD70" i="57"/>
  <c r="BD72" i="57"/>
  <c r="BD60" i="57"/>
  <c r="BD74" i="57"/>
  <c r="AV60" i="57"/>
  <c r="AV68" i="57"/>
  <c r="AV70" i="57"/>
  <c r="AV62" i="57"/>
  <c r="AV64" i="57"/>
  <c r="AV66" i="57"/>
  <c r="AV72" i="57"/>
  <c r="AV74" i="57"/>
  <c r="AZ70" i="57"/>
  <c r="AZ60" i="57"/>
  <c r="AZ74" i="57"/>
  <c r="AZ62" i="57"/>
  <c r="AZ68" i="57"/>
  <c r="AZ64" i="57"/>
  <c r="AZ66" i="57"/>
  <c r="AZ72" i="57"/>
  <c r="P74" i="57"/>
  <c r="P72" i="57"/>
  <c r="P60" i="57"/>
  <c r="P62" i="57"/>
  <c r="P70" i="57"/>
  <c r="P64" i="57"/>
  <c r="P66" i="57"/>
  <c r="P68" i="57"/>
  <c r="AB74" i="57"/>
  <c r="AB72" i="57"/>
  <c r="AB60" i="57"/>
  <c r="AB66" i="57"/>
  <c r="AB70" i="57"/>
  <c r="AB62" i="57"/>
  <c r="AB64" i="57"/>
  <c r="AB68" i="57"/>
  <c r="AR60" i="57"/>
  <c r="AR70" i="57"/>
  <c r="AR62" i="57"/>
  <c r="AR74" i="57"/>
  <c r="AR64" i="57"/>
  <c r="AR66" i="57"/>
  <c r="AR68" i="57"/>
  <c r="AR72" i="57"/>
  <c r="T68" i="57"/>
  <c r="T70" i="57"/>
  <c r="T62" i="57"/>
  <c r="T72" i="57"/>
  <c r="T74" i="57"/>
  <c r="T60" i="57"/>
  <c r="T64" i="57"/>
  <c r="T66" i="57"/>
  <c r="I30" i="57"/>
  <c r="AC30" i="57"/>
  <c r="Q30" i="57"/>
  <c r="M30" i="57"/>
  <c r="AK30" i="57"/>
  <c r="U30" i="57"/>
  <c r="AW30" i="57"/>
  <c r="BA30" i="57"/>
  <c r="AS30" i="57"/>
  <c r="E30" i="57"/>
  <c r="AO30" i="57"/>
  <c r="Y30" i="57"/>
  <c r="AG30" i="57"/>
  <c r="AF68" i="57"/>
  <c r="AF60" i="57"/>
  <c r="AF64" i="57"/>
  <c r="AF62" i="57"/>
  <c r="AF66" i="57"/>
  <c r="AF70" i="57"/>
  <c r="AF72" i="57"/>
  <c r="AF74" i="57"/>
  <c r="X62" i="57"/>
  <c r="X60" i="57"/>
  <c r="X64" i="57"/>
  <c r="X66" i="57"/>
  <c r="X72" i="57"/>
  <c r="X70" i="57"/>
  <c r="X68" i="57"/>
  <c r="X74" i="57"/>
  <c r="X67" i="57" l="1"/>
  <c r="X69" i="57"/>
  <c r="X71" i="57"/>
  <c r="X65" i="57"/>
  <c r="N67" i="12" s="1"/>
  <c r="X73" i="57"/>
  <c r="X61" i="57"/>
  <c r="X75" i="57"/>
  <c r="X63" i="57"/>
  <c r="BE60" i="57"/>
  <c r="BG60" i="57" s="1"/>
  <c r="AN71" i="57"/>
  <c r="AN73" i="57"/>
  <c r="AN65" i="57"/>
  <c r="AN61" i="57"/>
  <c r="AN63" i="57"/>
  <c r="AN69" i="57"/>
  <c r="AN75" i="57"/>
  <c r="AN67" i="57"/>
  <c r="BE74" i="57"/>
  <c r="BG74" i="57" s="1"/>
  <c r="BE64" i="57"/>
  <c r="BG64" i="57" s="1"/>
  <c r="AZ75" i="57"/>
  <c r="AZ63" i="57"/>
  <c r="AZ67" i="57"/>
  <c r="AZ65" i="57"/>
  <c r="AZ69" i="57"/>
  <c r="AZ71" i="57"/>
  <c r="AZ73" i="57"/>
  <c r="AZ61" i="57"/>
  <c r="BE72" i="57"/>
  <c r="BG72" i="57" s="1"/>
  <c r="AR69" i="57"/>
  <c r="AR63" i="57"/>
  <c r="AR65" i="57"/>
  <c r="N72" i="12" s="1"/>
  <c r="AR67" i="57"/>
  <c r="AR61" i="57"/>
  <c r="AR75" i="57"/>
  <c r="AR71" i="57"/>
  <c r="AR73" i="57"/>
  <c r="T69" i="57"/>
  <c r="T75" i="57"/>
  <c r="T61" i="57"/>
  <c r="T65" i="57"/>
  <c r="N66" i="12" s="1"/>
  <c r="T67" i="57"/>
  <c r="T63" i="57"/>
  <c r="T71" i="57"/>
  <c r="T73" i="57"/>
  <c r="BE62" i="57"/>
  <c r="BG62" i="57" s="1"/>
  <c r="BD61" i="57"/>
  <c r="BD63" i="57"/>
  <c r="BD65" i="57"/>
  <c r="BD73" i="57"/>
  <c r="BD71" i="57"/>
  <c r="BD75" i="57"/>
  <c r="BD69" i="57"/>
  <c r="BD67" i="57"/>
  <c r="BE66" i="57"/>
  <c r="BG66" i="57" s="1"/>
  <c r="AJ65" i="57"/>
  <c r="AJ67" i="57"/>
  <c r="AJ75" i="57"/>
  <c r="AJ69" i="57"/>
  <c r="AJ73" i="57"/>
  <c r="AJ71" i="57"/>
  <c r="AJ61" i="57"/>
  <c r="AJ63" i="57"/>
  <c r="P69" i="57"/>
  <c r="P71" i="57"/>
  <c r="P65" i="57"/>
  <c r="N65" i="12" s="1"/>
  <c r="P63" i="57"/>
  <c r="P61" i="57"/>
  <c r="P75" i="57"/>
  <c r="P67" i="57"/>
  <c r="P73" i="57"/>
  <c r="H75" i="57"/>
  <c r="H69" i="57"/>
  <c r="H61" i="57"/>
  <c r="H67" i="57"/>
  <c r="H63" i="57"/>
  <c r="H65" i="57"/>
  <c r="N63" i="12" s="1"/>
  <c r="H71" i="57"/>
  <c r="H73" i="57"/>
  <c r="AF69" i="57"/>
  <c r="AF61" i="57"/>
  <c r="AF63" i="57"/>
  <c r="AF73" i="57"/>
  <c r="AF75" i="57"/>
  <c r="AF67" i="57"/>
  <c r="AF65" i="57"/>
  <c r="N69" i="12" s="1"/>
  <c r="AF71" i="57"/>
  <c r="BE70" i="57"/>
  <c r="BG70" i="57" s="1"/>
  <c r="AB69" i="57"/>
  <c r="AB75" i="57"/>
  <c r="AB67" i="57"/>
  <c r="AB61" i="57"/>
  <c r="AB63" i="57"/>
  <c r="AB73" i="57"/>
  <c r="AB65" i="57"/>
  <c r="N68" i="12" s="1"/>
  <c r="AB71" i="57"/>
  <c r="AV61" i="57"/>
  <c r="AV63" i="57"/>
  <c r="AV75" i="57"/>
  <c r="AV73" i="57"/>
  <c r="AV71" i="57"/>
  <c r="AV65" i="57"/>
  <c r="AV69" i="57"/>
  <c r="AV67" i="57"/>
  <c r="L63" i="57"/>
  <c r="L67" i="57"/>
  <c r="L65" i="57"/>
  <c r="N64" i="12" s="1"/>
  <c r="L69" i="57"/>
  <c r="L73" i="57"/>
  <c r="L75" i="57"/>
  <c r="L71" i="57"/>
  <c r="L61" i="57"/>
  <c r="BE68" i="57"/>
  <c r="BG68" i="57" s="1"/>
  <c r="O67" i="12" l="1"/>
  <c r="Q67" i="12" s="1"/>
  <c r="O64" i="12"/>
  <c r="Q64" i="12" s="1"/>
  <c r="O65" i="12"/>
  <c r="Q65" i="12" s="1"/>
  <c r="O72" i="12"/>
  <c r="Q72" i="12" s="1"/>
  <c r="O68" i="12"/>
  <c r="Q68" i="12" s="1"/>
  <c r="O66" i="12"/>
  <c r="Q66" i="12" s="1"/>
  <c r="O69" i="12"/>
  <c r="Q69" i="12" s="1"/>
  <c r="BE61" i="57"/>
  <c r="BF61" i="57" s="1"/>
  <c r="BH61" i="57" s="1"/>
  <c r="BE69" i="57"/>
  <c r="BF69" i="57" s="1"/>
  <c r="BE75" i="57"/>
  <c r="BF75" i="57" s="1"/>
  <c r="BE73" i="57"/>
  <c r="BF73" i="57" s="1"/>
  <c r="BE71" i="57"/>
  <c r="BF71" i="57" s="1"/>
  <c r="BE65" i="57"/>
  <c r="BF65" i="57" s="1"/>
  <c r="BH65" i="57" s="1"/>
  <c r="BE63" i="57"/>
  <c r="BF63" i="57" s="1"/>
  <c r="BH63" i="57" s="1"/>
  <c r="BE67" i="57"/>
  <c r="BF67" i="57" s="1"/>
  <c r="BG78" i="57"/>
  <c r="BF78" i="57" l="1"/>
  <c r="N89" i="12"/>
  <c r="H329" i="1" s="1"/>
  <c r="O63" i="12"/>
  <c r="E77" i="13" l="1"/>
  <c r="G14" i="13"/>
  <c r="G24" i="13"/>
  <c r="H24" i="13" s="1"/>
  <c r="D51" i="14" s="1"/>
  <c r="G51" i="14" s="1"/>
  <c r="J24" i="13" s="1"/>
  <c r="K24" i="13" s="1"/>
  <c r="G18" i="13"/>
  <c r="H18" i="13" s="1"/>
  <c r="D45" i="14" s="1"/>
  <c r="G45" i="14" s="1"/>
  <c r="J18" i="13" s="1"/>
  <c r="K18" i="13" s="1"/>
  <c r="G21" i="13"/>
  <c r="H21" i="13" s="1"/>
  <c r="D48" i="14" s="1"/>
  <c r="G48" i="14" s="1"/>
  <c r="J21" i="13" s="1"/>
  <c r="K21" i="13" s="1"/>
  <c r="G20" i="13"/>
  <c r="H20" i="13" s="1"/>
  <c r="D47" i="14" s="1"/>
  <c r="G47" i="14" s="1"/>
  <c r="J20" i="13" s="1"/>
  <c r="K20" i="13" s="1"/>
  <c r="G22" i="13"/>
  <c r="H22" i="13" s="1"/>
  <c r="D49" i="14" s="1"/>
  <c r="G49" i="14" s="1"/>
  <c r="J22" i="13" s="1"/>
  <c r="K22" i="13" s="1"/>
  <c r="G16" i="13"/>
  <c r="H16" i="13" s="1"/>
  <c r="D43" i="14" s="1"/>
  <c r="G43" i="14" s="1"/>
  <c r="J16" i="13" s="1"/>
  <c r="K16" i="13" s="1"/>
  <c r="G25" i="13"/>
  <c r="H25" i="13" s="1"/>
  <c r="D52" i="14" s="1"/>
  <c r="G52" i="14" s="1"/>
  <c r="J25" i="13" s="1"/>
  <c r="K25" i="13" s="1"/>
  <c r="G15" i="13"/>
  <c r="H15" i="13" s="1"/>
  <c r="D42" i="14" s="1"/>
  <c r="G42" i="14" s="1"/>
  <c r="J15" i="13" s="1"/>
  <c r="K15" i="13" s="1"/>
  <c r="G19" i="13"/>
  <c r="H19" i="13" s="1"/>
  <c r="D46" i="14" s="1"/>
  <c r="G46" i="14" s="1"/>
  <c r="J19" i="13" s="1"/>
  <c r="K19" i="13" s="1"/>
  <c r="G23" i="13"/>
  <c r="H23" i="13" s="1"/>
  <c r="D50" i="14" s="1"/>
  <c r="G50" i="14" s="1"/>
  <c r="J23" i="13" s="1"/>
  <c r="K23" i="13" s="1"/>
  <c r="G26" i="13"/>
  <c r="H26" i="13" s="1"/>
  <c r="D53" i="14" s="1"/>
  <c r="G53" i="14" s="1"/>
  <c r="J26" i="13" s="1"/>
  <c r="K26" i="13" s="1"/>
  <c r="G17" i="13"/>
  <c r="H17" i="13" s="1"/>
  <c r="D44" i="14" s="1"/>
  <c r="G44" i="14" s="1"/>
  <c r="J17" i="13" s="1"/>
  <c r="K17" i="13" s="1"/>
  <c r="Q63" i="12"/>
  <c r="Q89" i="12" s="1"/>
  <c r="O89" i="12"/>
  <c r="H332" i="1"/>
  <c r="H14" i="13" l="1"/>
  <c r="H42" i="13" s="1"/>
  <c r="G42" i="13"/>
  <c r="H336" i="1"/>
  <c r="I14" i="13"/>
  <c r="D41" i="14" l="1"/>
  <c r="G41" i="14" s="1"/>
  <c r="H338" i="1"/>
  <c r="D70" i="14" l="1"/>
  <c r="J14" i="13"/>
  <c r="G70" i="14"/>
  <c r="J42" i="13" l="1"/>
  <c r="J45" i="13" s="1"/>
  <c r="K14" i="13"/>
  <c r="K42"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<sst xmlns="http://schemas.openxmlformats.org/spreadsheetml/2006/main" count="5348" uniqueCount="2008">
  <si>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</si>
  <si>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</si>
  <si>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</si>
  <si>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</si>
  <si>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</si>
  <si>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</si>
  <si>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</si>
  <si>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</si>
  <si>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</si>
  <si>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</si>
  <si>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</si>
  <si>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</si>
  <si>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</si>
  <si>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</si>
  <si>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</si>
  <si>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</si>
  <si>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</si>
  <si>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</si>
  <si>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</si>
  <si>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"Yes" if a project under PJM OATT Schedule 12, otherwise "No"</t>
  </si>
  <si>
    <t>Schedule 12</t>
  </si>
  <si>
    <t>(Yes or 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</si>
  <si>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</si>
  <si>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</si>
  <si>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</si>
  <si>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</si>
  <si>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</si>
  <si>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</si>
  <si>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</si>
  <si>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</si>
  <si>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</si>
  <si>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</si>
  <si>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</si>
  <si>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</si>
  <si>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</si>
  <si>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</si>
  <si>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</si>
  <si>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</si>
  <si>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</si>
  <si>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</si>
  <si>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</si>
  <si>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</si>
  <si>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</si>
  <si>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</si>
  <si>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</si>
  <si>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</si>
  <si>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</si>
  <si>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</si>
  <si>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</si>
  <si>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</si>
  <si>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</si>
  <si>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</si>
  <si>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</si>
  <si>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</si>
  <si>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</si>
  <si>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</si>
  <si>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</si>
  <si>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</si>
  <si>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</si>
  <si>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</si>
  <si>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</si>
  <si>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</si>
  <si>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</si>
  <si>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</si>
  <si>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</si>
  <si>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</si>
  <si>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</si>
  <si>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</si>
  <si>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</si>
  <si>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</si>
  <si>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</si>
  <si>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</si>
  <si>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</si>
  <si>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</si>
  <si>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</si>
  <si>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</si>
  <si>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</si>
  <si>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</si>
  <si>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</si>
  <si>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</si>
  <si>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</si>
  <si>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</si>
  <si>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</si>
  <si>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</si>
  <si>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</si>
  <si>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Enter Calculation</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</si>
  <si>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</si>
  <si>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</si>
  <si>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</si>
  <si>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</si>
  <si>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</si>
  <si>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</si>
  <si>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</si>
  <si>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</si>
  <si>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</si>
  <si>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</si>
  <si>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</si>
  <si>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</si>
  <si>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</si>
  <si>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</si>
  <si>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</si>
  <si>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</si>
  <si>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</si>
  <si>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</si>
  <si>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</si>
  <si>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</si>
  <si>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</si>
  <si>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</si>
  <si>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</si>
  <si>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</si>
  <si>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 xml:space="preserve">Prepayments </t>
  </si>
  <si>
    <t>Prepaid Pensions if not included in Prepayments</t>
  </si>
  <si>
    <t xml:space="preserve">  Prepaid Pension is recorded in FERC account 186 (see FERC Form 1 page 233).</t>
  </si>
  <si>
    <t>Outstanding Network Credits Cost Support</t>
  </si>
  <si>
    <t>Description of the Credits</t>
  </si>
  <si>
    <t>Network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</si>
  <si>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</si>
  <si>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</si>
  <si>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</si>
  <si>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</si>
  <si>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</si>
  <si>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</si>
  <si>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</si>
  <si>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</si>
  <si>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</si>
  <si>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</si>
  <si>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</si>
  <si>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</si>
  <si>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</si>
  <si>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</si>
  <si>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</si>
  <si>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</si>
  <si>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</si>
  <si>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</si>
  <si>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E</t>
  </si>
  <si>
    <t>F</t>
  </si>
  <si>
    <t>G</t>
  </si>
  <si>
    <t>MAPP Abandonment recovery pursuant to ER13-607</t>
  </si>
  <si>
    <t>Pepco</t>
  </si>
  <si>
    <t>171a</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</si>
  <si>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</si>
  <si>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</si>
  <si>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</si>
  <si>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</si>
  <si>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</si>
  <si>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</si>
  <si>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</si>
  <si>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</si>
  <si>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</si>
  <si>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</si>
  <si>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</si>
  <si>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</si>
  <si>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</si>
  <si>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</si>
  <si>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</si>
  <si>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</si>
  <si>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</si>
  <si>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</si>
  <si>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</si>
  <si>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</si>
  <si>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</si>
  <si>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</si>
  <si>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</si>
  <si>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</si>
  <si>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</si>
  <si>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</si>
  <si>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</si>
  <si>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</si>
  <si>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</si>
  <si>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</si>
  <si>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</si>
  <si>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</si>
  <si>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</si>
  <si>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</si>
  <si>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</si>
  <si>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</si>
  <si>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</si>
  <si>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</si>
  <si>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T</t>
  </si>
  <si>
    <t xml:space="preserve">     T=1 - {[(1 - SIT) * (1 - FIT)] / (1 - SIT * FIT * p)} =</t>
  </si>
  <si>
    <t>T/ (1-T)</t>
  </si>
  <si>
    <t>ITC Adjustment</t>
  </si>
  <si>
    <t>enter negative</t>
  </si>
  <si>
    <t>ITC Adjustment Allocated to Transmission</t>
  </si>
  <si>
    <t xml:space="preserve">Income Tax Component = </t>
  </si>
  <si>
    <t xml:space="preserve">     CIT=(T/1-T) * Investment Return * (1-(WCLTD/R)) =</t>
  </si>
  <si>
    <t>Total Income Taxes</t>
  </si>
  <si>
    <t>Account 454 - Rent from Electric Property</t>
  </si>
  <si>
    <t>Total Rent Revenues</t>
  </si>
  <si>
    <t>(Sum Lines 1)</t>
  </si>
  <si>
    <t>Account 456 - Other Electric Revenues (Note 1)</t>
  </si>
  <si>
    <t>Schedule 1A</t>
  </si>
  <si>
    <t>PJM Transitional Revenue Neutrality (Note 1)</t>
  </si>
  <si>
    <t>PJM Transitional Market Expansion (Note 1)</t>
  </si>
  <si>
    <t>Revenues from Directly Assigned Transmission Facility Charges (Note 2)</t>
  </si>
  <si>
    <t>Gross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</si>
  <si>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</si>
  <si>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</si>
  <si>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</si>
  <si>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</si>
  <si>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17c</t>
  </si>
  <si>
    <t>17d</t>
  </si>
  <si>
    <t>17e</t>
  </si>
  <si>
    <t>17f</t>
  </si>
  <si>
    <t>17g</t>
  </si>
  <si>
    <t>Amount offset in line 4 above</t>
  </si>
  <si>
    <t>Total Account 454, 456 and 456.1</t>
  </si>
  <si>
    <t>The ROE is 11.30%, which includes a 50 basis point RTO membership adder as authorized by FERC to become effective on December 1, 2007.</t>
  </si>
  <si>
    <t>Transmission</t>
  </si>
  <si>
    <t>General</t>
  </si>
  <si>
    <t xml:space="preserve">General </t>
  </si>
  <si>
    <t>Attachment 2 - Taxes Other Than Income Worksheet</t>
  </si>
  <si>
    <t>Page 263</t>
  </si>
  <si>
    <t>Allocated</t>
  </si>
  <si>
    <t>Other Taxes</t>
  </si>
  <si>
    <t>Col (i)</t>
  </si>
  <si>
    <t>Allocator</t>
  </si>
  <si>
    <t>Gross Plant Allocator</t>
  </si>
  <si>
    <t>Total Plant Related</t>
  </si>
  <si>
    <t>Labor Related</t>
  </si>
  <si>
    <t xml:space="preserve">Wages &amp; Salary Allocator </t>
  </si>
  <si>
    <t>Total Labor Related</t>
  </si>
  <si>
    <t>Other Included</t>
  </si>
  <si>
    <t>Total Other Included</t>
  </si>
  <si>
    <t>Total Included</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</si>
  <si>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</si>
  <si>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</si>
  <si>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</si>
  <si>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</si>
  <si>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</si>
  <si>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</si>
  <si>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</si>
  <si>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</si>
  <si>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</si>
  <si>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</si>
  <si>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</si>
  <si>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</si>
  <si>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</si>
  <si>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</si>
  <si>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</si>
  <si>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</si>
  <si>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</si>
  <si>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</si>
  <si>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</si>
  <si>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</si>
  <si>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</si>
  <si>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</si>
  <si>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</si>
  <si>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</si>
  <si>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</si>
  <si>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</si>
  <si>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</si>
  <si>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Instructions for Account 283:</t>
  </si>
  <si>
    <t>ADITC-255</t>
  </si>
  <si>
    <t>Formula Rate -- Appendix A</t>
  </si>
  <si>
    <t>Notes</t>
  </si>
  <si>
    <t>FERC Form 1  Page # or Instruction</t>
  </si>
  <si>
    <t>Shaded cells are input cells</t>
  </si>
  <si>
    <t>Allocators</t>
  </si>
  <si>
    <t>Wages &amp; Salary Allocation Factor</t>
  </si>
  <si>
    <t>p354.21b</t>
  </si>
  <si>
    <t>Total Wages Expense</t>
  </si>
  <si>
    <t>p354.28b</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</si>
  <si>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</si>
  <si>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</si>
  <si>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</si>
  <si>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</si>
  <si>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</si>
  <si>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</si>
  <si>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</si>
  <si>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</si>
  <si>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</si>
  <si>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</si>
  <si>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</si>
  <si>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</si>
  <si>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</si>
  <si>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</si>
  <si>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</si>
  <si>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</si>
  <si>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</si>
  <si>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</si>
  <si>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</si>
  <si>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</si>
  <si>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</si>
  <si>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</si>
  <si>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</si>
  <si>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</si>
  <si>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</si>
  <si>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</si>
  <si>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</si>
  <si>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</si>
  <si>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</si>
  <si>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</si>
  <si>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</si>
  <si>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</si>
  <si>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</si>
  <si>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</si>
  <si>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</si>
  <si>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</si>
  <si>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</si>
  <si>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</si>
  <si>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</si>
  <si>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</si>
  <si>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</si>
  <si>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</si>
  <si>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</si>
  <si>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</si>
  <si>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</si>
  <si>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</si>
  <si>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</si>
  <si>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</si>
  <si>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</si>
  <si>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</si>
  <si>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</si>
  <si>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</si>
  <si>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</si>
  <si>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</si>
  <si>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</si>
  <si>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</si>
  <si>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</si>
  <si>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</si>
  <si>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</si>
  <si>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</si>
  <si>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</si>
  <si>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</si>
  <si>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</si>
  <si>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</si>
  <si>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</si>
  <si>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</si>
  <si>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</si>
  <si>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</si>
  <si>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</si>
  <si>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</si>
  <si>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</si>
  <si>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</si>
  <si>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</si>
  <si>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</si>
  <si>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</si>
  <si>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</si>
  <si>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</si>
  <si>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</si>
  <si>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</si>
  <si>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</si>
  <si>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</si>
  <si>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</si>
  <si>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</si>
  <si>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</si>
  <si>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</si>
  <si>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</si>
  <si>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</si>
  <si>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</si>
  <si>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</si>
  <si>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</si>
  <si>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</si>
  <si>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</si>
  <si>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</si>
  <si>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</si>
  <si>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</si>
  <si>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</si>
  <si>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</si>
  <si>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</si>
  <si>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</si>
  <si>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</si>
  <si>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</si>
  <si>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</si>
  <si>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</si>
  <si>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</si>
  <si>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</si>
  <si>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</si>
  <si>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</si>
  <si>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</si>
  <si>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</si>
  <si>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</si>
  <si>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</si>
  <si>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</si>
  <si>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</si>
  <si>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</si>
  <si>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</si>
  <si>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</si>
  <si>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</si>
  <si>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</si>
  <si>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</si>
  <si>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</si>
  <si>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</si>
  <si>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</si>
  <si>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</si>
  <si>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</si>
  <si>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</si>
  <si>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</si>
  <si>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</si>
  <si>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</si>
  <si>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</si>
  <si>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</si>
  <si>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</si>
  <si>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</si>
  <si>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</si>
  <si>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</si>
  <si>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</si>
  <si>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</si>
  <si>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</si>
  <si>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</si>
  <si>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</si>
  <si>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</si>
  <si>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</si>
  <si>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</si>
  <si>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</si>
  <si>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</si>
  <si>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</si>
  <si>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</si>
  <si>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</si>
  <si>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</si>
  <si>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</si>
  <si>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</si>
  <si>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</si>
  <si>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</si>
  <si>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</si>
  <si>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</si>
  <si>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</si>
  <si>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</si>
  <si>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</si>
  <si>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</si>
  <si>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</si>
  <si>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</si>
  <si>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</si>
  <si>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</si>
  <si>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</si>
  <si>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</si>
  <si>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</si>
  <si>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</si>
  <si>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</si>
  <si>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</si>
  <si>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</si>
  <si>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</si>
  <si>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</si>
  <si>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</si>
  <si>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</si>
  <si>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</si>
  <si>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</si>
  <si>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</si>
  <si>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</si>
  <si>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</si>
  <si>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</si>
  <si>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</si>
  <si>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</si>
  <si>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</si>
  <si>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</si>
  <si>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</si>
  <si>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</si>
  <si>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</si>
  <si>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</si>
  <si>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</si>
  <si>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</si>
  <si>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</si>
  <si>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</si>
  <si>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</si>
  <si>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</si>
  <si>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</si>
  <si>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</si>
  <si>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</si>
  <si>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</si>
  <si>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</si>
  <si>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</si>
  <si>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</si>
  <si>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</si>
  <si>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</si>
  <si>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</si>
  <si>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</si>
  <si>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Attachment 5a - Allocations of Costs to Affiliate</t>
  </si>
  <si>
    <t>Delmarva</t>
  </si>
  <si>
    <t>Atlantic</t>
  </si>
  <si>
    <t>Power</t>
  </si>
  <si>
    <t>City</t>
  </si>
  <si>
    <t>Non - Regulated</t>
  </si>
  <si>
    <t xml:space="preserve">Rate Base Worksheet </t>
  </si>
  <si>
    <t>CWIP</t>
  </si>
  <si>
    <t>Line No</t>
  </si>
  <si>
    <t>Common</t>
  </si>
  <si>
    <t xml:space="preserve">CWIP in Rate Base </t>
  </si>
  <si>
    <t xml:space="preserve">  Materials &amp; Supplies</t>
  </si>
  <si>
    <t xml:space="preserve">  Prepayments</t>
  </si>
  <si>
    <t>(a)</t>
  </si>
  <si>
    <t>(b)</t>
  </si>
  <si>
    <t>(c)</t>
  </si>
  <si>
    <t>(d)</t>
  </si>
  <si>
    <t>(e)</t>
  </si>
  <si>
    <t>(f)</t>
  </si>
  <si>
    <t>(g)</t>
  </si>
  <si>
    <t>(h)</t>
  </si>
  <si>
    <t>(i)</t>
  </si>
  <si>
    <t>(j)</t>
  </si>
  <si>
    <t>(k)</t>
  </si>
  <si>
    <t>Electric Only, Form No 1, page 356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</si>
  <si>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</si>
  <si>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</si>
  <si>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</si>
  <si>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</si>
  <si>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</si>
  <si>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</si>
  <si>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</si>
  <si>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</si>
  <si>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</si>
  <si>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</si>
  <si>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</si>
  <si>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</si>
  <si>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</si>
  <si>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</si>
  <si>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</si>
  <si>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</si>
  <si>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</si>
  <si>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</si>
  <si>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</si>
  <si>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</si>
  <si>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</si>
  <si>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</si>
  <si>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H</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</si>
  <si>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</si>
  <si>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</si>
  <si>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</si>
  <si>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</si>
  <si>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</si>
  <si>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</si>
  <si>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</si>
  <si>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</si>
  <si>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</si>
  <si>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</si>
  <si>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</si>
  <si>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</si>
  <si>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</si>
  <si>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</si>
  <si>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</si>
  <si>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</si>
  <si>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</si>
  <si>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</si>
  <si>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</si>
  <si>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</si>
  <si>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</si>
  <si>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</si>
  <si>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</si>
  <si>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</si>
  <si>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</si>
  <si>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</si>
  <si>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</si>
  <si>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</si>
  <si>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</si>
  <si>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</si>
  <si>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</si>
  <si>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</si>
  <si>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</si>
  <si>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</si>
  <si>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</si>
  <si>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</si>
  <si>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</si>
  <si>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</si>
  <si>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</si>
  <si>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</si>
  <si>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</si>
  <si>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</si>
  <si>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</si>
  <si>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</si>
  <si>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</si>
  <si>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</si>
  <si>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</si>
  <si>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</si>
  <si>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</si>
  <si>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</si>
  <si>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</si>
  <si>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</si>
  <si>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</si>
  <si>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</si>
  <si>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</si>
  <si>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</si>
  <si>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</si>
  <si>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</si>
  <si>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</si>
  <si>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</si>
  <si>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</si>
  <si>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</si>
  <si>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</si>
  <si>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</si>
  <si>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</si>
  <si>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</si>
  <si>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</si>
  <si>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</si>
  <si>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</si>
  <si>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</si>
  <si>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</si>
  <si>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</si>
  <si>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</si>
  <si>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</si>
  <si>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</si>
  <si>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</si>
  <si>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</si>
  <si>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</si>
  <si>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</si>
  <si>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</si>
  <si>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</si>
  <si>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</si>
  <si>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</si>
  <si>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</si>
  <si>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</si>
  <si>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</si>
  <si>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</si>
  <si>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</si>
  <si>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</si>
  <si>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</si>
  <si>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</si>
  <si>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</si>
  <si>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</si>
  <si>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</si>
  <si>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</si>
  <si>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</si>
  <si>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</si>
  <si>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</si>
  <si>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</si>
  <si>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</si>
  <si>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</si>
  <si>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</si>
  <si>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</si>
  <si>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</si>
  <si>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</si>
  <si>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</si>
  <si>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</si>
  <si>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</si>
  <si>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</si>
  <si>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</si>
  <si>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</si>
  <si>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</si>
  <si>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</si>
  <si>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</si>
  <si>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</si>
  <si>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</si>
  <si>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</si>
  <si>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</si>
  <si>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</si>
  <si>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</si>
  <si>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</si>
  <si>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</si>
  <si>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</si>
  <si>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</si>
  <si>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</si>
  <si>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</si>
  <si>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</si>
  <si>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</si>
  <si>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</si>
  <si>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</si>
  <si>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</si>
  <si>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</si>
  <si>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</si>
  <si>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</si>
  <si>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</si>
  <si>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</si>
  <si>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</si>
  <si>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</si>
  <si>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</si>
  <si>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</si>
  <si>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</si>
  <si>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</si>
  <si>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</si>
  <si>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</si>
  <si>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</si>
  <si>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</si>
  <si>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</si>
  <si>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</si>
  <si>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</si>
  <si>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</si>
  <si>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</si>
  <si>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</si>
  <si>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t>(E, Line 2 ) x (D)</t>
  </si>
  <si>
    <t>Collection  (F)-(E)</t>
  </si>
  <si>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</si>
  <si>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</si>
  <si>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</si>
  <si>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</si>
  <si>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</si>
  <si>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</si>
  <si>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</si>
  <si>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</si>
  <si>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</si>
  <si>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</si>
  <si>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</si>
  <si>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</si>
  <si>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</si>
  <si>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</si>
  <si>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</si>
  <si>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</si>
  <si>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</si>
  <si>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</si>
  <si>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</si>
  <si>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</si>
  <si>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</si>
  <si>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</si>
  <si>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</si>
  <si>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</si>
  <si>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</si>
  <si>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</si>
  <si>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</si>
  <si>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</si>
  <si>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</si>
  <si>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</si>
  <si>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</si>
  <si>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</si>
  <si>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</si>
  <si>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</si>
  <si>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</si>
  <si>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</si>
  <si>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</si>
  <si>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</si>
  <si>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</si>
  <si>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</si>
  <si>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</si>
  <si>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</si>
  <si>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</si>
  <si>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</si>
  <si>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</si>
  <si>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</si>
  <si>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</si>
  <si>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</si>
  <si>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</si>
  <si>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</si>
  <si>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</si>
  <si>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</si>
  <si>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</si>
  <si>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</si>
  <si>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</si>
  <si>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</si>
  <si>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</si>
  <si>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</si>
  <si>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</si>
  <si>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</si>
  <si>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</si>
  <si>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</si>
  <si>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</si>
  <si>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</si>
  <si>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</si>
  <si>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</si>
  <si>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</si>
  <si>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</si>
  <si>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</si>
  <si>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</si>
  <si>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</si>
  <si>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</si>
  <si>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</si>
  <si>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</si>
  <si>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</si>
  <si>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</si>
  <si>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</si>
  <si>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</si>
  <si>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</si>
  <si>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</si>
  <si>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</si>
  <si>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</si>
  <si>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</si>
  <si>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</si>
  <si>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p214 (See Attachment 9, line 30, column c)</t>
  </si>
  <si>
    <t>Attachment 9, line 30, column h</t>
  </si>
  <si>
    <t>Attachment 9, line 30, column f</t>
  </si>
  <si>
    <t>p227.6c &amp; 16.c (See Attachment 9, line 30, column e)</t>
  </si>
  <si>
    <t>Attachment 6A, line 4, column j</t>
  </si>
  <si>
    <t>Attachment 6A, Col. G + Col H</t>
  </si>
  <si>
    <t>Attach 9, line 16, column b</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</si>
  <si>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</si>
  <si>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</si>
  <si>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</si>
  <si>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</si>
  <si>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</si>
  <si>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</si>
  <si>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</si>
  <si>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</si>
  <si>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</si>
  <si>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</si>
  <si>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</si>
  <si>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</si>
  <si>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</si>
  <si>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</si>
  <si>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</si>
  <si>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</si>
  <si>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(Line 1 / 4)</t>
  </si>
  <si>
    <t>(Note A)</t>
  </si>
  <si>
    <t>(Line 8 - 13)</t>
  </si>
  <si>
    <t>(Line 29 - Line 28)</t>
  </si>
  <si>
    <t>(Line 15 / 8)</t>
  </si>
  <si>
    <t>(Line 39 - Line 28)</t>
  </si>
  <si>
    <t>(Line 17 / 14)</t>
  </si>
  <si>
    <t>(Notes A &amp; B)</t>
  </si>
  <si>
    <t>(Line 5)</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</si>
  <si>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</si>
  <si>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</si>
  <si>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</si>
  <si>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</si>
  <si>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</si>
  <si>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</si>
  <si>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</si>
  <si>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</si>
  <si>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</si>
  <si>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</si>
  <si>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</si>
  <si>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</si>
  <si>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</si>
  <si>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</si>
  <si>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</si>
  <si>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</si>
  <si>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</si>
  <si>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</si>
  <si>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</si>
  <si>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</si>
  <si>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</si>
  <si>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</si>
  <si>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</si>
  <si>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</si>
  <si>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</si>
  <si>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</si>
  <si>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</si>
  <si>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</si>
  <si>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</si>
  <si>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</si>
  <si>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</si>
  <si>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</si>
  <si>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</si>
  <si>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</si>
  <si>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</si>
  <si>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</si>
  <si>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</si>
  <si>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</si>
  <si>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</si>
  <si>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</si>
  <si>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</si>
  <si>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</si>
  <si>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</si>
  <si>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</si>
  <si>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</si>
  <si>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</si>
  <si>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</si>
  <si>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</si>
  <si>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</si>
  <si>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</si>
  <si>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</si>
  <si>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</si>
  <si>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</si>
  <si>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</si>
  <si>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</si>
  <si>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</si>
  <si>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</si>
  <si>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</si>
  <si>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</si>
  <si>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</si>
  <si>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</si>
  <si>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Attachment 9, line 15, column h</t>
  </si>
  <si>
    <t>Attachment A Line #s, Descriptions and Notes</t>
  </si>
  <si>
    <t>General  Depreciation</t>
  </si>
  <si>
    <t>p216.43.b (See Attachment 9, line 30, column b)</t>
  </si>
  <si>
    <t>Attachment 10, line 8, column b</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</si>
  <si>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</si>
  <si>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</si>
  <si>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</si>
  <si>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</si>
  <si>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</si>
  <si>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</si>
  <si>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</si>
  <si>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</si>
  <si>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</si>
  <si>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</si>
  <si>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</si>
  <si>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</si>
  <si>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</si>
  <si>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</si>
  <si>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</si>
  <si>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</si>
  <si>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</si>
  <si>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</si>
  <si>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</si>
  <si>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</si>
  <si>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</si>
  <si>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</si>
  <si>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</si>
  <si>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</si>
  <si>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</si>
  <si>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</si>
  <si>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</si>
  <si>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</si>
  <si>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</si>
  <si>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</si>
  <si>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</si>
  <si>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</si>
  <si>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</si>
  <si>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</si>
  <si>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</si>
  <si>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</si>
  <si>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</si>
  <si>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</si>
  <si>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</si>
  <si>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</si>
  <si>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</si>
  <si>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</si>
  <si>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</si>
  <si>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</si>
  <si>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</si>
  <si>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</si>
  <si>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</si>
  <si>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</si>
  <si>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</si>
  <si>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</si>
  <si>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</si>
  <si>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</si>
  <si>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</si>
  <si>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</si>
  <si>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</si>
  <si>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</si>
  <si>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</si>
  <si>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</si>
  <si>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</si>
  <si>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</si>
  <si>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</si>
  <si>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</si>
  <si>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</si>
  <si>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</si>
  <si>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</si>
  <si>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 xml:space="preserve">Allocation (Plant Allocator) </t>
  </si>
  <si>
    <t xml:space="preserve">Allocation (Labor Allocator) </t>
  </si>
  <si>
    <t xml:space="preserve">207.57.g.  Projected monthly balances that are the amounts expected to be included in 207.57.g for end of year and records for other months </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</si>
  <si>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</si>
  <si>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</si>
  <si>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</si>
  <si>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</si>
  <si>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</si>
  <si>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</si>
  <si>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</si>
  <si>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</si>
  <si>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</si>
  <si>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</si>
  <si>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</si>
  <si>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</si>
  <si>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</si>
  <si>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</si>
  <si>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</si>
  <si>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207.57.g. + 207.74.g. + 207.83.g. + 207.98.g.  Projected monthly balances that are the amounts expected to be included in 207.57.g. + 207.74.g. + 207.83.g. + 207.98.g.  for end of year and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</si>
  <si>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</si>
  <si>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</si>
  <si>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</si>
  <si>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</si>
  <si>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</si>
  <si>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</si>
  <si>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</si>
  <si>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</si>
  <si>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</si>
  <si>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</si>
  <si>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</si>
  <si>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</si>
  <si>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</si>
  <si>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</si>
  <si>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</si>
  <si>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</si>
  <si>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</si>
  <si>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</si>
  <si>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</si>
  <si>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</si>
  <si>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</si>
  <si>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</si>
  <si>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</si>
  <si>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</si>
  <si>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</si>
  <si>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</si>
  <si>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</si>
  <si>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Subtotal: ADIT-283 (Subject to Proration)</t>
  </si>
  <si>
    <t>Attachment 10, line 9, column b</t>
  </si>
  <si>
    <t>TO calculates Reconciliation Revenues for Year 1 (e.g. 2018) by populating template with Year 1 actuals.</t>
  </si>
  <si>
    <t>TO calculates NITS revenues, net of true-ups, received in calendar Year 1 (e.g., 2018)</t>
  </si>
  <si>
    <t>Plant Related Exclusions - Cost Support</t>
  </si>
  <si>
    <t>Attachment A Line #s, Descriptions, Notes, Form 1 Pages #s and Instructions</t>
  </si>
  <si>
    <t>Form 1 Amounts</t>
  </si>
  <si>
    <t>Capital Leases</t>
  </si>
  <si>
    <t>p207.104g</t>
  </si>
  <si>
    <t>p219.29c</t>
  </si>
  <si>
    <t>p200.21c</t>
  </si>
  <si>
    <t>p207.58.g</t>
  </si>
  <si>
    <t>p205.5.g &amp; p207.99.g</t>
  </si>
  <si>
    <t xml:space="preserve">Accumulated General Depreciation </t>
  </si>
  <si>
    <t>p219.28c</t>
  </si>
  <si>
    <t>p321.112.b</t>
  </si>
  <si>
    <t>Rents</t>
  </si>
  <si>
    <t>Property Insurance</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</si>
  <si>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</si>
  <si>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</si>
  <si>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</si>
  <si>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</si>
  <si>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</si>
  <si>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</si>
  <si>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</si>
  <si>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</si>
  <si>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</si>
  <si>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</si>
  <si>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</si>
  <si>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Transmission Related Account Reserves</t>
  </si>
  <si>
    <t>Total Balance Transmission Related Account Reserves</t>
  </si>
  <si>
    <t>Attachment 11A, line 27, column c</t>
  </si>
  <si>
    <t>Attachment 11B, line 15, column a</t>
  </si>
  <si>
    <t>(Note X)</t>
  </si>
  <si>
    <t>V</t>
  </si>
  <si>
    <t>W</t>
  </si>
  <si>
    <t>X</t>
  </si>
  <si>
    <t>Total Amount</t>
  </si>
  <si>
    <t>Allocation Factor</t>
  </si>
  <si>
    <t>Allocation %</t>
  </si>
  <si>
    <t>Total Amount Included In Rates</t>
  </si>
  <si>
    <t>Wages and Salaries</t>
  </si>
  <si>
    <t>Attachment 5b - EBSC Allocations of Costs to Affiliate</t>
  </si>
  <si>
    <t>BGE</t>
  </si>
  <si>
    <t>ComEd</t>
  </si>
  <si>
    <t>PECO</t>
  </si>
  <si>
    <t xml:space="preserve">End of Year December </t>
  </si>
  <si>
    <t>p.111, l.57</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</si>
  <si>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</si>
  <si>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</si>
  <si>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</si>
  <si>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</si>
  <si>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</si>
  <si>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</si>
  <si>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</si>
  <si>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Transmission Related Account Reserves Monthly Balance</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</si>
  <si>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</si>
  <si>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</si>
  <si>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</si>
  <si>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</si>
  <si>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</si>
  <si>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</si>
  <si>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</si>
  <si>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</si>
  <si>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</si>
  <si>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</si>
  <si>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</si>
  <si>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</si>
  <si>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</si>
  <si>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</si>
  <si>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</si>
  <si>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</si>
  <si>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</si>
  <si>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</si>
  <si>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</si>
  <si>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</si>
  <si>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</si>
  <si>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</si>
  <si>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</si>
  <si>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</si>
  <si>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</si>
  <si>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</si>
  <si>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</si>
  <si>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</si>
  <si>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</si>
  <si>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</si>
  <si>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</si>
  <si>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</si>
  <si>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</si>
  <si>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</si>
  <si>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</si>
  <si>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</si>
  <si>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</si>
  <si>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</si>
  <si>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</si>
  <si>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</si>
  <si>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</si>
  <si>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</si>
  <si>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</si>
  <si>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</si>
  <si>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</si>
  <si>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</si>
  <si>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</si>
  <si>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</si>
  <si>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</si>
  <si>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</si>
  <si>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</si>
  <si>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</si>
  <si>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</si>
  <si>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</si>
  <si>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</si>
  <si>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</si>
  <si>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</si>
  <si>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</si>
  <si>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</si>
  <si>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</si>
  <si>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</si>
  <si>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</si>
  <si>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</si>
  <si>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Stores Equipment</t>
  </si>
  <si>
    <t>Tools, Shop, Garage Equipment</t>
  </si>
  <si>
    <t xml:space="preserve">Laboratory Equipment </t>
  </si>
  <si>
    <t>Power Operated Equipment</t>
  </si>
  <si>
    <t>Communication Equipment</t>
  </si>
  <si>
    <t>Miscellaneous Equipment</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</si>
  <si>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</si>
  <si>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</si>
  <si>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</si>
  <si>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</si>
  <si>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</si>
  <si>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</si>
  <si>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</si>
  <si>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</si>
  <si>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</si>
  <si>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</si>
  <si>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</si>
  <si>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</si>
  <si>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</si>
  <si>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</si>
  <si>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</si>
  <si>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</si>
  <si>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</si>
  <si>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</si>
  <si>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</si>
  <si>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</si>
  <si>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</si>
  <si>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</si>
  <si>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</si>
  <si>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Various</t>
  </si>
  <si>
    <t>2-year plant</t>
  </si>
  <si>
    <t xml:space="preserve">Note: </t>
  </si>
  <si>
    <t>Depreciation and amortization rates as approved by FERC in Docket #</t>
  </si>
  <si>
    <t xml:space="preserve">    Less Accumulated Depreciation Associated with Facilities with Outstanding Network Credits (Enter as negative)</t>
  </si>
  <si>
    <t>Wages &amp; Salary</t>
  </si>
  <si>
    <t>68c</t>
  </si>
  <si>
    <t xml:space="preserve">    Less Other</t>
  </si>
  <si>
    <t>Account No. 282 (ADIT - Other Property)</t>
  </si>
  <si>
    <t>40e</t>
  </si>
  <si>
    <t>40f</t>
  </si>
  <si>
    <t>41a</t>
  </si>
  <si>
    <t xml:space="preserve">Unamortized Deficient / (Excess) ADIT - Federal </t>
  </si>
  <si>
    <t>41b</t>
  </si>
  <si>
    <t>Unamortized Deficient / (Excess) ADIT - State</t>
  </si>
  <si>
    <t xml:space="preserve">Unamortized Deficient / (Excess) ADIT Allocated to Transmission </t>
  </si>
  <si>
    <t>Adjusted Accumulated Deferred Income Taxes Allocated To Transmission</t>
  </si>
  <si>
    <t>(Note AA)</t>
  </si>
  <si>
    <t>(Note Z)</t>
  </si>
  <si>
    <t>Attachment 1B - ADIT EOY, Line 7</t>
  </si>
  <si>
    <t>132a</t>
  </si>
  <si>
    <t>132b</t>
  </si>
  <si>
    <t xml:space="preserve">Tax Gross-Up Factor </t>
  </si>
  <si>
    <t>1*1/(1-T)</t>
  </si>
  <si>
    <t>Attachment 1B - ADIT EOY</t>
  </si>
  <si>
    <t xml:space="preserve">Investment Tax Credit Amortization </t>
  </si>
  <si>
    <t>Tax Adjustment for AFUDC Equity Component of Transmission Depreciation Expense</t>
  </si>
  <si>
    <t>Amortization Deficient / (Excess) Deferred Taxes (Federal) - Transmission Component</t>
  </si>
  <si>
    <t>136d</t>
  </si>
  <si>
    <t>Amortization Deficient / (Excess) Deferred Taxes (State) - Transmission Component</t>
  </si>
  <si>
    <t>136e</t>
  </si>
  <si>
    <t>Amortization of Other Flow-Through Items - Transmission Component</t>
  </si>
  <si>
    <t>136f</t>
  </si>
  <si>
    <t>Other Income Tax Adjustments - Expense / (Benefit)</t>
  </si>
  <si>
    <t>136g</t>
  </si>
  <si>
    <t>See Attachment 5 - Cost Support, section entitled "Other Income Tax Adjustment" for additional information.</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</si>
  <si>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</si>
  <si>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</si>
  <si>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</si>
  <si>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</si>
  <si>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Gross Plant In Service</t>
  </si>
  <si>
    <t>Accumulated Amortization</t>
  </si>
  <si>
    <t>Net Plant In Service</t>
  </si>
  <si>
    <t>Affiliate Credits</t>
  </si>
  <si>
    <t>Investment Tax Credit Amortization</t>
  </si>
  <si>
    <t>Tax Gross-Up Factor</t>
  </si>
  <si>
    <t>Excluded</t>
  </si>
  <si>
    <t>Description</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</si>
  <si>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</si>
  <si>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</si>
  <si>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</si>
  <si>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</si>
  <si>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</si>
  <si>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</si>
  <si>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</si>
  <si>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</si>
  <si>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</si>
  <si>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</si>
  <si>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21q</t>
  </si>
  <si>
    <t>Other Income Tax Adjustments</t>
  </si>
  <si>
    <t>Tax Rate from</t>
  </si>
  <si>
    <t>Component Descriptions</t>
  </si>
  <si>
    <t>Instruction References</t>
  </si>
  <si>
    <t>Expense Amount</t>
  </si>
  <si>
    <t>Instr. 1, 2, 3 below</t>
  </si>
  <si>
    <t>=</t>
  </si>
  <si>
    <t>Instr. 4 below</t>
  </si>
  <si>
    <t>Instr. 5 below</t>
  </si>
  <si>
    <t>Total Other Income Tax Adjustments - Expense / (Benefit)</t>
  </si>
  <si>
    <t xml:space="preserve">Instr. 6 below </t>
  </si>
  <si>
    <t>Instr. #s</t>
  </si>
  <si>
    <t>Instructions</t>
  </si>
  <si>
    <t>Inst. 1</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</si>
  <si>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</si>
  <si>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</si>
  <si>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</si>
  <si>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</si>
  <si>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</si>
  <si>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</si>
  <si>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</si>
  <si>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</si>
  <si>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</si>
  <si>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</si>
  <si>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Transmission Expenses - Total (Sum of lines 1-25)</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</si>
  <si>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</si>
  <si>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</si>
  <si>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</si>
  <si>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</si>
  <si>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</si>
  <si>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</si>
  <si>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</si>
  <si>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</si>
  <si>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</si>
  <si>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</si>
  <si>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</si>
  <si>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</si>
  <si>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</si>
  <si>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</si>
  <si>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</si>
  <si>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</si>
  <si>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</si>
  <si>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</si>
  <si>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</si>
  <si>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</si>
  <si>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</si>
  <si>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</si>
  <si>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</si>
  <si>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</si>
  <si>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</si>
  <si>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</si>
  <si>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Accumulated Deferred Income Taxes - Accelerated Amortization (Account No. 281)</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</si>
  <si>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</si>
  <si>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</si>
  <si>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</si>
  <si>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</si>
  <si>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</si>
  <si>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</si>
  <si>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</si>
  <si>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</si>
  <si>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</si>
  <si>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</si>
  <si>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</si>
  <si>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</si>
  <si>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</si>
  <si>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</si>
  <si>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</si>
  <si>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</si>
  <si>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</si>
  <si>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</si>
  <si>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</si>
  <si>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</si>
  <si>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In filling out this attachment, a full and complete description of each item and justification for the allocation to Columns B - F and each separate ADIT item will be listed, dissimilar items with amounts exceeding $100,000 will be listed separately.</t>
  </si>
  <si>
    <t xml:space="preserve">ADIT-190 </t>
  </si>
  <si>
    <t>1.  ADIT items related only to Non-Electric Operations (e.g., Gas, Water, Sewer), Production or Distribution Only are directly assigned to Column C</t>
  </si>
  <si>
    <t>ADIT- 283 (Subject to Proration)</t>
  </si>
  <si>
    <t>ADITC-255 (Unamortized Investment Tax Credits)</t>
  </si>
  <si>
    <t>Subtotal: ADIT-255 (Form  No. 1 p. 266 &amp; 267)</t>
  </si>
  <si>
    <t>Total: ADIT-255</t>
  </si>
  <si>
    <t>Unamortized Investment Tax Credit   - Transmission</t>
  </si>
  <si>
    <t>Subtotal: (Form  No. 1 p. 266 &amp; 267)</t>
  </si>
  <si>
    <t xml:space="preserve">Investment Tax Credit Amortization - Transmission </t>
  </si>
  <si>
    <t>Attachment 1C - ADIT Worksheet - Beginning of Year</t>
  </si>
  <si>
    <t>ADITC-255  (Unamortized Investment Tax Credits)</t>
  </si>
  <si>
    <t xml:space="preserve">ADITC-255 </t>
  </si>
  <si>
    <t>Deficient / (Excess) Accumulated Deferred Income Taxes - Transmission Allocated</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</si>
  <si>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</si>
  <si>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</si>
  <si>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</si>
  <si>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</si>
  <si>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</si>
  <si>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</si>
  <si>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</si>
  <si>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</si>
  <si>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</si>
  <si>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</si>
  <si>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</si>
  <si>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</si>
  <si>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</si>
  <si>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</si>
  <si>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</si>
  <si>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</si>
  <si>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</si>
  <si>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</si>
  <si>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</si>
  <si>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</si>
  <si>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</si>
  <si>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</si>
  <si>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</si>
  <si>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</si>
  <si>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</si>
  <si>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</si>
  <si>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</si>
  <si>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</si>
  <si>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</si>
  <si>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</si>
  <si>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</si>
  <si>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</si>
  <si>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</si>
  <si>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</si>
  <si>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</si>
  <si>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</si>
  <si>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</si>
  <si>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</si>
  <si>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</si>
  <si>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</si>
  <si>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</si>
  <si>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</si>
  <si>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</si>
  <si>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</si>
  <si>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</si>
  <si>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</si>
  <si>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</si>
  <si>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</si>
  <si>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</si>
  <si>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</si>
  <si>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</si>
  <si>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</si>
  <si>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</si>
  <si>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</si>
  <si>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</si>
  <si>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</si>
  <si>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</si>
  <si>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</si>
  <si>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</si>
  <si>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</si>
  <si>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</si>
  <si>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</si>
  <si>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NA</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</si>
  <si>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</si>
  <si>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</si>
  <si>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</si>
  <si>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</si>
  <si>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</si>
  <si>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</si>
  <si>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</si>
  <si>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</si>
  <si>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</si>
  <si>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</si>
  <si>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</si>
  <si>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</si>
  <si>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</si>
  <si>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</si>
  <si>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</si>
  <si>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</si>
  <si>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</si>
  <si>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</si>
  <si>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</si>
  <si>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</si>
  <si>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</si>
  <si>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</si>
  <si>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</si>
  <si>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</si>
  <si>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</si>
  <si>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</si>
  <si>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</si>
  <si>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</si>
  <si>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</si>
  <si>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</si>
  <si>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</si>
  <si>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</si>
  <si>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</si>
  <si>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</si>
  <si>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</si>
  <si>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</si>
  <si>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</si>
  <si>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</si>
  <si>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</si>
  <si>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</si>
  <si>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</si>
  <si>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</si>
  <si>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</si>
  <si>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</si>
  <si>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</si>
  <si>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t>Non-Property</t>
  </si>
  <si>
    <t>Total FERC Account 190</t>
  </si>
  <si>
    <t>Total FERC Account 282</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</si>
  <si>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</si>
  <si>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</si>
  <si>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</si>
  <si>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</si>
  <si>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</si>
  <si>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</si>
  <si>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</si>
  <si>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</si>
  <si>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</si>
  <si>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</si>
  <si>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</si>
  <si>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(Attachment 7)</t>
  </si>
  <si>
    <t>"All revenue requirements excluding projects and adjustments" on line 17a refers to all projects not qualifying for regional recovery or adjustments.</t>
  </si>
  <si>
    <t xml:space="preserve">  </t>
  </si>
  <si>
    <t>Annual Depreciation Exp</t>
  </si>
  <si>
    <t>….</t>
  </si>
  <si>
    <t>…..</t>
  </si>
  <si>
    <t>Delmarva Power &amp; Light Company</t>
  </si>
  <si>
    <t>`</t>
  </si>
  <si>
    <t>ATTACHMENT H-3D</t>
  </si>
  <si>
    <t>MD</t>
  </si>
  <si>
    <t>DE</t>
  </si>
  <si>
    <t>DPL zone</t>
  </si>
  <si>
    <t>86a</t>
  </si>
  <si>
    <t>Amortization of Abandoned Transmission Plant</t>
  </si>
  <si>
    <t>Long Term Debt balance will reflect the 13 month average of the balances, of which the 1st and 13th are found on page 112 lines 18.c &amp; d to 21.c &amp; d in the Form No. 1. The balances for January through November shall represent the actual balances in DPL’s books and records (trial balance or monthly balance sheet).</t>
  </si>
  <si>
    <t>Preferred Stock balance will reflect the 13 month average of the balances, of which the 1st and 13th are found on page 112 line 3.c &amp; d in the Form No. 1. The balances for January through November shall represent the actual balances in DPL’s books and records (trial balance or monthly balance sheet).</t>
  </si>
  <si>
    <t xml:space="preserve">Common Stock balance will reflect the 13 month average of the balances, of which the 1st and 13th are found on page 112 lines 16.c &amp; d in the Form No. 1. The balances for January through November shall represent the actual balances in DPL’s books and records (trial balance or monthly balance sheet). </t>
  </si>
  <si>
    <t>390 DE</t>
  </si>
  <si>
    <t>390 MD</t>
  </si>
  <si>
    <t>391.3 DE</t>
  </si>
  <si>
    <t>391.1 MD</t>
  </si>
  <si>
    <t>391.3 MD</t>
  </si>
  <si>
    <t>393 DE</t>
  </si>
  <si>
    <t>394 DE</t>
  </si>
  <si>
    <t>394 MD</t>
  </si>
  <si>
    <t>393 MD</t>
  </si>
  <si>
    <t>395 DE</t>
  </si>
  <si>
    <t>397 DE</t>
  </si>
  <si>
    <t>397.1 DE</t>
  </si>
  <si>
    <t>397 MD</t>
  </si>
  <si>
    <t>397.1 MD</t>
  </si>
  <si>
    <t>397.3 DE</t>
  </si>
  <si>
    <t>397.3 MD</t>
  </si>
  <si>
    <t>398 DE</t>
  </si>
  <si>
    <t>398 MD</t>
  </si>
  <si>
    <t>390.3a</t>
  </si>
  <si>
    <t>390.3b</t>
  </si>
  <si>
    <t>397.1a</t>
  </si>
  <si>
    <t>Beginning Balance of Unamortized Transmission Plant</t>
  </si>
  <si>
    <t>Per FERC Order</t>
  </si>
  <si>
    <t>Months Remaining in Amortization Period</t>
  </si>
  <si>
    <t>A/B</t>
  </si>
  <si>
    <t>Months in Year to be Amortized</t>
  </si>
  <si>
    <t>Amortization in Rate Year</t>
  </si>
  <si>
    <t>C*D</t>
  </si>
  <si>
    <t>Line 86a</t>
  </si>
  <si>
    <t>Deductions</t>
  </si>
  <si>
    <t>End of Year Balance in Unamortized Transmission Plant</t>
  </si>
  <si>
    <t>A-E-F</t>
  </si>
  <si>
    <t>Line 43b</t>
  </si>
  <si>
    <t>DPL</t>
  </si>
  <si>
    <t>2013-14 rate period</t>
  </si>
  <si>
    <t>2014-15 rate period</t>
  </si>
  <si>
    <t>2015-16 rate period</t>
  </si>
  <si>
    <t>W&amp;S Allocator</t>
  </si>
  <si>
    <t>Electric vs Gas</t>
  </si>
  <si>
    <t>Modified Wages &amp; Salaries Allocator</t>
  </si>
  <si>
    <t>Common General</t>
  </si>
  <si>
    <t>Common Intangible</t>
  </si>
  <si>
    <t xml:space="preserve">Delmarva Power &amp; Light Company </t>
  </si>
  <si>
    <t>State Tax Rate Change</t>
  </si>
  <si>
    <t>Unamortized Deficient / (Excess) ADIT</t>
  </si>
  <si>
    <t>A utility that elected to use amortization of tax credits against taxable income, rather than book tax credits to Account No. 255 and reduce rate base, must reduce its income tax expense by the amount of the Amortized Investment Tax Credit (Form 1, 266.8.f) multiplied by (1/1-T).  A utility must not include tax credits as a reduction to rate base and as an amortization against taxable income.</t>
  </si>
  <si>
    <t>Attachment 1D - EDIT Rate Base Adjustment</t>
  </si>
  <si>
    <t>Amount for Attachment H-3D, Line 40a</t>
  </si>
  <si>
    <t>Amount for Attachment H-3D, Line 40b</t>
  </si>
  <si>
    <t>Amount for Attachment H-3D, Line 40e</t>
  </si>
  <si>
    <t>Amount for Attachment H-3D, Line 40d</t>
  </si>
  <si>
    <t>Amount for Attachment H-3D, Line 40c</t>
  </si>
  <si>
    <t>(Entered in ATT H-3D, Line 41a)</t>
  </si>
  <si>
    <t>(Entered in ATT H-3D, Line 41b)</t>
  </si>
  <si>
    <t>ATT H-3D, Line 132b</t>
  </si>
  <si>
    <t>(Note I from ATT H-3D)</t>
  </si>
  <si>
    <t>(Note U from ATT H-3D)</t>
  </si>
  <si>
    <t>(Note T from ATT H-3D)</t>
  </si>
  <si>
    <t>Attachment H-3D, Line 131</t>
  </si>
  <si>
    <t>Amount to Line 136e</t>
  </si>
  <si>
    <t>Note: ADIT associated with Gain or Loss on Reacquired Debt included in ADIT-283, Column A is excluded from rate base and instead included in Cost of Debt on Attachment H-3D, Line 111.   A deferred tax (liability) should be reported as a positive balance and a deferred tax asset should be reported as a negative balance on Attachment H-3D, Line 111. The ADIT balance is based on the 13 month average.</t>
  </si>
  <si>
    <t>207.58.g minus 207.57.g.  Projected monthly balances that are the amounts expected to be included in 207.58.g for end of year and records for other months (Note F)</t>
  </si>
  <si>
    <t>Projected monthly balances that are expected to be included in 219.25.c for end of year and records for other months (Note F)</t>
  </si>
  <si>
    <t>(Note H)</t>
  </si>
  <si>
    <t>(Notes G)</t>
  </si>
  <si>
    <t>(Notes B &amp; E)</t>
  </si>
  <si>
    <t>Attachment H-3D, Line 44</t>
  </si>
  <si>
    <t>To be completed in conjunction with Attachment H-3D.</t>
  </si>
  <si>
    <t>Attachment H-3D</t>
  </si>
  <si>
    <t>Attach H-3D, line 85</t>
  </si>
  <si>
    <t>Attach H-3D, line 86a plus line 91 plus line 96</t>
  </si>
  <si>
    <t>Attach H-3D, line 99</t>
  </si>
  <si>
    <t>Attach H-3D, line 154</t>
  </si>
  <si>
    <t>Attach H-3D, line 138</t>
  </si>
  <si>
    <t>Attach H-3D, line 145</t>
  </si>
  <si>
    <t>All transmission facilities reflected in the revenue requirement on Attachment H-3D are to be included in this Attachment 6.</t>
  </si>
  <si>
    <t>For each project or Attachment H-3D, the utility will populate the formula rate with the inputs for the True-Up Year.  The revenue requirements, based on actual operating results for the True-Up Year, associated with the projects and Attachment H-3D will then be entered in Col. (F) above.  Column (E) above contains the actual revenues received associated with Attachment H-3D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</si>
  <si>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Attachment H-3D, Line No:</t>
  </si>
  <si>
    <t>227. 8. c + 227.5.c (see Att H-3D Note AA) for end of year, records for other months</t>
  </si>
  <si>
    <t xml:space="preserve">Beginning Balance - ADIT Adjustment </t>
  </si>
  <si>
    <t xml:space="preserve">Ending Balance - ADIT Adjustment </t>
  </si>
  <si>
    <r>
      <t>Allocator
(</t>
    </r>
    <r>
      <rPr>
        <b/>
        <sz val="10"/>
        <color rgb="FF0070C0"/>
        <rFont val="Arial"/>
        <family val="2"/>
      </rPr>
      <t>Note B</t>
    </r>
    <r>
      <rPr>
        <b/>
        <sz val="10"/>
        <color theme="1"/>
        <rFont val="Arial"/>
        <family val="2"/>
      </rPr>
      <t>)</t>
    </r>
  </si>
  <si>
    <r>
      <t>FERC Account 190 - Non-Current (</t>
    </r>
    <r>
      <rPr>
        <b/>
        <u/>
        <sz val="10"/>
        <color rgb="FF0070C0"/>
        <rFont val="Arial"/>
        <family val="2"/>
      </rPr>
      <t>Note A</t>
    </r>
    <r>
      <rPr>
        <b/>
        <u/>
        <sz val="10"/>
        <color theme="1"/>
        <rFont val="Arial"/>
        <family val="2"/>
      </rPr>
      <t>)</t>
    </r>
  </si>
  <si>
    <r>
      <t>FERC Account 282 - Property (</t>
    </r>
    <r>
      <rPr>
        <b/>
        <u/>
        <sz val="10"/>
        <color rgb="FF0070C0"/>
        <rFont val="Arial"/>
        <family val="2"/>
      </rPr>
      <t>Note A</t>
    </r>
    <r>
      <rPr>
        <b/>
        <u/>
        <sz val="10"/>
        <color theme="1"/>
        <rFont val="Arial"/>
        <family val="2"/>
      </rPr>
      <t>)</t>
    </r>
  </si>
  <si>
    <r>
      <t>FERC Account 283 - Non-Current (</t>
    </r>
    <r>
      <rPr>
        <b/>
        <u/>
        <sz val="10"/>
        <color rgb="FF0070C0"/>
        <rFont val="Arial"/>
        <family val="2"/>
      </rPr>
      <t>Note A</t>
    </r>
    <r>
      <rPr>
        <b/>
        <u/>
        <sz val="10"/>
        <color theme="1"/>
        <rFont val="Arial"/>
        <family val="2"/>
      </rPr>
      <t>)</t>
    </r>
  </si>
  <si>
    <t>(Percent of federal income tax deductible for state purposes)</t>
  </si>
  <si>
    <t>T=1 - {[(1 - SIT) * (1 - FIT)] / (1 - SIT * FIT * P)} =</t>
  </si>
  <si>
    <t>Amortization of Deficient / (Excess) Deferred Taxes - Transmission Component</t>
  </si>
  <si>
    <t>Transportation Equipment</t>
  </si>
  <si>
    <t>Abandoned Transmission Plant</t>
  </si>
  <si>
    <t>Monthly Amortization</t>
  </si>
  <si>
    <t>207.58.g. Projected monthly balances that are the amounts expected to be included in 207.58.g for end of year and records for other months (Note F)</t>
  </si>
  <si>
    <t>From Attachment 5 for the end of year balance and records for other months.</t>
  </si>
  <si>
    <t>(Notes A)</t>
  </si>
  <si>
    <t>Pension Liabilities, if any</t>
  </si>
  <si>
    <t xml:space="preserve">Prepayments Monthly Balance </t>
  </si>
  <si>
    <t xml:space="preserve">The December beginning year and end of year balances shall tie to DPL’s FERC Form 1, Page 111, Line 57 – Prepayments. For the months of January through November, the prepayment balances shall represent actual balances on DPL’s books and records </t>
  </si>
  <si>
    <t>Gross Plant Allocation Factor</t>
  </si>
  <si>
    <t>(Line 16)</t>
  </si>
  <si>
    <t>P336.7b (See Attachment 5)</t>
  </si>
  <si>
    <t>p336.10b (See Attachment 5)</t>
  </si>
  <si>
    <t>Rent from Electric Property - Transmission Related</t>
  </si>
  <si>
    <t>Professional Services</t>
  </si>
  <si>
    <t>Rent or Attachment Fees associated with Transmission Facilities</t>
  </si>
  <si>
    <t>Shared Revenues (Attachment 3a)</t>
  </si>
  <si>
    <t>Ln</t>
  </si>
  <si>
    <t>Item</t>
  </si>
  <si>
    <t>Revenue Category 1</t>
  </si>
  <si>
    <t>Revenue Category 2</t>
  </si>
  <si>
    <t>Revenue Category 3</t>
  </si>
  <si>
    <t>Revenue Category 4</t>
  </si>
  <si>
    <t>Revenue Category 5</t>
  </si>
  <si>
    <t>Incremental Expenses</t>
  </si>
  <si>
    <t>Functionalized Operating Expenses</t>
  </si>
  <si>
    <t>Functionalized Taxes Other Than Income Taxes</t>
  </si>
  <si>
    <t>+</t>
  </si>
  <si>
    <t>Total Functionalized Expenses</t>
  </si>
  <si>
    <t>Functional Allocator</t>
  </si>
  <si>
    <t>×</t>
  </si>
  <si>
    <t>Allocated Functional Expenses</t>
  </si>
  <si>
    <t>Administrative &amp; General Expenses (Labor)</t>
  </si>
  <si>
    <t>Labor-related Taxes Other Than Income Taxes</t>
  </si>
  <si>
    <t>Total Labor-related Expenses</t>
  </si>
  <si>
    <t>Wages and Salaries Allocator</t>
  </si>
  <si>
    <t>Allocated Labor-related Expenses</t>
  </si>
  <si>
    <t>Plant-related Taxes Other Than Income Taxes</t>
  </si>
  <si>
    <t>Total Plant-related Expenses</t>
  </si>
  <si>
    <t>Allocated Plant-related Expenses</t>
  </si>
  <si>
    <t>Gross Revenues</t>
  </si>
  <si>
    <t>Total Non-Recovered Expenses</t>
  </si>
  <si>
    <t>-</t>
  </si>
  <si>
    <t>Pre-tax Net Revenue for Sharing (minimum of zero)</t>
  </si>
  <si>
    <t>Utility Pre-Tax Allocation Factor</t>
  </si>
  <si>
    <t>Federal Tax Rate</t>
  </si>
  <si>
    <t>FIT</t>
  </si>
  <si>
    <t>State Tax Rate</t>
  </si>
  <si>
    <t>SIT</t>
  </si>
  <si>
    <t>Percent of FIT deductible for SIT</t>
  </si>
  <si>
    <t>p</t>
  </si>
  <si>
    <t>Composite Tax Rate</t>
  </si>
  <si>
    <t>CTR = 1 - ((1-SIT)*(1-FIT))/(1-(SIT*FIT*p))</t>
  </si>
  <si>
    <t>Customer % of Post-tax Revenues</t>
  </si>
  <si>
    <t>CUSTP</t>
  </si>
  <si>
    <t>Customer to Utility Post-tax Ratio</t>
  </si>
  <si>
    <t>CUSTR = 1/((1-CUSTP)/CUSTP)</t>
  </si>
  <si>
    <t>1/(1+CUSTR-(CTR*CUSTR))</t>
  </si>
  <si>
    <t>FA</t>
  </si>
  <si>
    <t>WS</t>
  </si>
  <si>
    <t>"Total Non-Recovered Expenses" are incremental expenses that are recorded to FERC Accounts that are not included for recovery in the formula rate template.</t>
  </si>
  <si>
    <t>(Line 108 / (108+114+115))</t>
  </si>
  <si>
    <t>(Line 114 / (108+114+115))</t>
  </si>
  <si>
    <t>(Line 115 / (108+114+115))</t>
  </si>
  <si>
    <t>(Sum Lines 2-12)</t>
  </si>
  <si>
    <t>GP</t>
  </si>
  <si>
    <t>Total from ATT H-3D</t>
  </si>
  <si>
    <t>392.2 DE</t>
  </si>
  <si>
    <t>Only the transmission portion of amounts reported at Form 1, page 227, line 5 is used.  The transmission portion of line 5 is derived by applying the wage and salary alliocator to the total of line 5 and is specified in a footnote to the Form 1, page 227.</t>
  </si>
  <si>
    <t>PJM Billed Revenue Earned</t>
  </si>
  <si>
    <t>DPL capital structure is derived from gross long term debt. Also see footnote X, Y, and Z.</t>
  </si>
  <si>
    <t>Per State Tax Code</t>
  </si>
  <si>
    <t>Tax Gross-Up Factor 1/(1-T)</t>
  </si>
  <si>
    <t xml:space="preserve">Note 3: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</si>
  <si>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Note 3: SECA revenues booked in Account 447.</t>
  </si>
  <si>
    <t>Net revenues associated with Network Integration Transmission Service (NITS) for which the load is not included in the divisor (difference between NITS credits from PJM and PJM NITS charges paid by Transmission Owner) (Note 3)</t>
  </si>
  <si>
    <t>Point to Point Service revenues for which the load is not included in the divisor received by Transmission Owner (Note 3)</t>
  </si>
  <si>
    <t>Attach 9, line 16, column j</t>
  </si>
  <si>
    <t>Annual Revenue Earned(net of true-ups)</t>
  </si>
  <si>
    <t>Plant Held for Future Use</t>
  </si>
  <si>
    <t>Gross Plant Allocation</t>
  </si>
  <si>
    <t>(Notes U)</t>
  </si>
  <si>
    <t>Gross Transmission Plant is that identified on page 2 line 2 of Attachment H-3D</t>
  </si>
  <si>
    <t>207.98.g. for end of year, records for other months</t>
  </si>
  <si>
    <t xml:space="preserve">This section is reserved for adjustments necessary to comply with the IRS normalization rules. </t>
  </si>
  <si>
    <t xml:space="preserve">Total: Investment Tax Amortization </t>
  </si>
  <si>
    <t>Unamortized Investment Tax Credit  - Transmission</t>
  </si>
  <si>
    <t>This section is reserved for adjustments necessary to comply with the IRS normalization rules.</t>
  </si>
  <si>
    <t>ADIT and Accumulated Deferred Income Tax Credits are computed using the average of non-prorated ADIT balances for the beginning of the year and end of the year balances plus the prorated balance.</t>
  </si>
  <si>
    <r>
      <t xml:space="preserve">Revenue Categories are those defined in </t>
    </r>
    <r>
      <rPr>
        <i/>
        <sz val="10"/>
        <color theme="1"/>
        <rFont val="Arial"/>
        <family val="2"/>
      </rPr>
      <t>Pacific Gas &amp; Electric Company</t>
    </r>
    <r>
      <rPr>
        <sz val="10"/>
        <color theme="1"/>
        <rFont val="Arial"/>
        <family val="2"/>
      </rPr>
      <t xml:space="preserve">, 90 FERC ¶ 61,314 and </t>
    </r>
    <r>
      <rPr>
        <i/>
        <sz val="10"/>
        <color theme="1"/>
        <rFont val="Arial"/>
        <family val="2"/>
      </rPr>
      <t>Pacific Gas &amp; Electric Company</t>
    </r>
    <r>
      <rPr>
        <sz val="10"/>
        <color theme="1"/>
        <rFont val="Arial"/>
        <family val="2"/>
      </rPr>
      <t>, 121 FERC ¶ 61,174: (1) right-of-way leases and lease for space on transmission facilities for telecommunications or to provide outdoor lighting or advertising; (2) ransmission tower licenses for wireless antennas; (3) right-of-way property leases for farming; grazing; nurseries; outdoor lighting; outdoor advertising; storage facilities (vehicle, material, container, and self-storage); environmental mitigation; parks and recreation; private recreation; specialized usage and other compatible uses; and opportunities to sell or trade oil, mineral, and excess water rights; (4) licenses of intellectual property and other propriety software developed by the utility or for the utility by a third party to interested parties relating to its transmission function; and (5) transmission maintenance and consulting services, including transformer repairs, rentals, and sales; transmission system engineering, planning, training, and environmental consulting; and marketing services for third-party owned poles.</t>
    </r>
  </si>
  <si>
    <r>
      <t>Revenue Received</t>
    </r>
    <r>
      <rPr>
        <vertAlign val="superscript"/>
        <sz val="10"/>
        <color theme="1"/>
        <rFont val="Arial"/>
        <family val="2"/>
      </rPr>
      <t>3</t>
    </r>
  </si>
  <si>
    <r>
      <t>Requirement</t>
    </r>
    <r>
      <rPr>
        <vertAlign val="superscript"/>
        <sz val="10"/>
        <color theme="1"/>
        <rFont val="Arial"/>
        <family val="2"/>
      </rPr>
      <t>1</t>
    </r>
  </si>
  <si>
    <r>
      <t>Requirement</t>
    </r>
    <r>
      <rPr>
        <vertAlign val="superscript"/>
        <sz val="10"/>
        <color theme="1"/>
        <rFont val="Arial"/>
        <family val="2"/>
      </rPr>
      <t>2</t>
    </r>
  </si>
  <si>
    <r>
      <t xml:space="preserve">Adjustment </t>
    </r>
    <r>
      <rPr>
        <vertAlign val="superscript"/>
        <sz val="10"/>
        <rFont val="Arial"/>
        <family val="2"/>
      </rPr>
      <t>5</t>
    </r>
  </si>
  <si>
    <r>
      <t>(Expense)</t>
    </r>
    <r>
      <rPr>
        <vertAlign val="superscript"/>
        <sz val="10"/>
        <color theme="1"/>
        <rFont val="Arial"/>
        <family val="2"/>
      </rPr>
      <t>4</t>
    </r>
  </si>
  <si>
    <r>
      <rPr>
        <sz val="10"/>
        <rFont val="Arial"/>
        <family val="2"/>
      </rPr>
      <t xml:space="preserve">Unamortized Abandoned Plant and Amortization of Abandoned Plant will be zero until the Commission accepts or approves recovery of the cost of abandoned plant. </t>
    </r>
    <r>
      <rPr>
        <strike/>
        <sz val="10"/>
        <rFont val="Arial"/>
        <family val="2"/>
      </rPr>
      <t xml:space="preserve"> </t>
    </r>
  </si>
  <si>
    <r>
      <t xml:space="preserve">Transmission A&amp;G </t>
    </r>
    <r>
      <rPr>
        <vertAlign val="superscript"/>
        <sz val="10"/>
        <rFont val="Arial"/>
        <family val="2"/>
      </rPr>
      <t>1</t>
    </r>
  </si>
  <si>
    <r>
      <t xml:space="preserve">Total </t>
    </r>
    <r>
      <rPr>
        <vertAlign val="superscript"/>
        <sz val="10"/>
        <rFont val="Arial"/>
        <family val="2"/>
      </rPr>
      <t>2</t>
    </r>
  </si>
  <si>
    <r>
      <rPr>
        <vertAlign val="superscript"/>
        <sz val="10"/>
        <rFont val="Arial"/>
        <family val="2"/>
      </rPr>
      <t>1</t>
    </r>
    <r>
      <rPr>
        <sz val="10"/>
        <rFont val="Arial"/>
        <family val="2"/>
      </rPr>
      <t xml:space="preserve"> Multiply total amounts on line 15, columns (b)-(e) by allocation factors on line 16.</t>
    </r>
  </si>
  <si>
    <r>
      <rPr>
        <vertAlign val="superscript"/>
        <sz val="10"/>
        <rFont val="Arial"/>
        <family val="2"/>
      </rPr>
      <t>2</t>
    </r>
    <r>
      <rPr>
        <sz val="10"/>
        <rFont val="Arial"/>
        <family val="2"/>
      </rPr>
      <t xml:space="preserve"> Sum of line 17, columns (b), (c), (d), (e). </t>
    </r>
  </si>
  <si>
    <t>Projected monthly balances that are expected to be included in 207.99.g  minus 207.98.g plus 205.5.g for end of year, records for other months (Note F)</t>
  </si>
  <si>
    <t>Projected monthly balances that are expected to be included in Electric Only, Form No 1, page 356 for end of year, records for other months (Note F)</t>
  </si>
  <si>
    <t>Projected monthly balances that are expected to be included in 219.28.c for end of year, records for other months (Note F)</t>
  </si>
  <si>
    <t>Projected monthly balances that are expected to be included in 200.21c for end of year, records for other months (Note F)</t>
  </si>
  <si>
    <t>Projected monthly balances that are expected to be included in Electric Only, Form No 1, page 356 for end of year, records for other months (Note E)</t>
  </si>
  <si>
    <t>Projected monthly balances that are expected to be included in 207.99.g. plus 205.5.g. for end of year, records for other months (Note F)</t>
  </si>
  <si>
    <t>Projected monthly balances that are the amounts expected to be included in 219.28c for end of year, records for other months (Note F)</t>
  </si>
  <si>
    <t>Projected monthly balances that are the amounts expected to be included in 200.21c for end of year, records for other months (Note F)</t>
  </si>
  <si>
    <t>Projected monthly balances that are the amounts expected to be included in Electric Only, Form No 1, page 356 for end of year, records for other months (Note F)</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</si>
  <si>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amortization of protected property related deficient and (excess) ADIT attributable to federal net operating loss carry-forwards recorded to Account 190 will likewise be calculated using ARAM or a manner that complies with the normalization requirements.  Under the ARAM methodology, the deficient and (excess) ADIT attributable to federal net operating losses will begin amortizing in the period in which the book depreciation exceeds the tax depreciation associated with the underlying assets that gave rise to the federal net operating loss.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DPL resides in the amortization cycle.  The current year amortization of deficient and (excess) ADIT is recorded in FERC Accounts 410.1 and 411.1.</t>
  </si>
  <si>
    <t>Projected / Actual Activity</t>
  </si>
  <si>
    <t>Includable Plant</t>
  </si>
  <si>
    <t>N/A</t>
  </si>
  <si>
    <t>Less: ASC 740 ADIT Adjustments excluded from rate base</t>
  </si>
  <si>
    <t>Less: ASC 740 ADIT Adjustments related to AFUDC Equity</t>
  </si>
  <si>
    <t>Less: ASC 740 ADIT balances related to income tax regulatory assets / (liabilities)</t>
  </si>
  <si>
    <t>Less: OPEB related ADIT, Above if not separately removed</t>
  </si>
  <si>
    <t>Transmission Depreciation Expense is the gross cumulative amount based upon tax records of capitalized AFUDC equity embedded in the gross plant attributable to the transmission function multiplied by the Capital Recovery Rate (described in Instruction 2). Within five years of the effective date of the Settlement in Docket No ER19-5 et al, and at least every five years thereafter, DPL will file an FPA Section 205 rate proceeding to revise its depreciation rates (unless the company has otherwise submitted an FPA Section 205 rate filing that addresses its depreciation rates in the prior five years).</t>
  </si>
  <si>
    <t>Executive Management</t>
  </si>
  <si>
    <t>Support Services</t>
  </si>
  <si>
    <t>Financial Services</t>
  </si>
  <si>
    <t>Human Resources</t>
  </si>
  <si>
    <t>Legal Services</t>
  </si>
  <si>
    <t>Customer Services</t>
  </si>
  <si>
    <t>Information Technology</t>
  </si>
  <si>
    <t>Government Affairs</t>
  </si>
  <si>
    <t>Communication Services</t>
  </si>
  <si>
    <t>Regulatory Services</t>
  </si>
  <si>
    <t>Regulated Electric and Gas Operation Services</t>
  </si>
  <si>
    <t>Supply Services</t>
  </si>
  <si>
    <t>Bodily Injuries - Plant Related</t>
  </si>
  <si>
    <t>Bodily Injuries - Labor Related</t>
  </si>
  <si>
    <t>Current A/R-Workers Comp</t>
  </si>
  <si>
    <t>Other A/R-Workers Comp</t>
  </si>
  <si>
    <t>Workers Comp - Long Term</t>
  </si>
  <si>
    <t>Workers Comp - Short Term</t>
  </si>
  <si>
    <t>FASB 112 Liability</t>
  </si>
  <si>
    <t>Other Payroll Taxes</t>
  </si>
  <si>
    <t>Accrued Bonuses &amp; Incentives</t>
  </si>
  <si>
    <t>Accrued Benefits - Medical, Dental, Vision Benefits, etc.</t>
  </si>
  <si>
    <t>ASC 712 OPEB Obligation - Current &amp; Long-term</t>
  </si>
  <si>
    <t>Non-Pension Postretiree Benefit Obligation</t>
  </si>
  <si>
    <t>Current &amp; Long-term Incentive Plans</t>
  </si>
  <si>
    <t>Deferred Comp Plan - Level 2</t>
  </si>
  <si>
    <t xml:space="preserve">Severance Liability </t>
  </si>
  <si>
    <t>Other Accrued Incentive Plans</t>
  </si>
  <si>
    <t>Accrued Retention</t>
  </si>
  <si>
    <t>Provision for Uncollectible Accounts-Special Billing</t>
  </si>
  <si>
    <t>Allowance for Doubtful Accounts</t>
  </si>
  <si>
    <t>Provision for Uncollectible Accounts - DE</t>
  </si>
  <si>
    <t>Provision for Uncollectible Accounts - MD</t>
  </si>
  <si>
    <t>Prov for Uncollectible Accounts-DE</t>
  </si>
  <si>
    <t>Federal Charitable Contribution Carry-forward</t>
  </si>
  <si>
    <t>Charitable Contributions</t>
  </si>
  <si>
    <t>Maryland Charitable Contribution Carry-forward</t>
  </si>
  <si>
    <t>Delaware Charitable Contribution Carry-forward</t>
  </si>
  <si>
    <t>Accrued Liab-General Liability</t>
  </si>
  <si>
    <t>Claims Reserve</t>
  </si>
  <si>
    <t>Accrued Liab-Auto Liability</t>
  </si>
  <si>
    <t>Accumulated Deferred Investment Tax Credit</t>
  </si>
  <si>
    <t>Deferred ITC</t>
  </si>
  <si>
    <t>Accrued Liab-Environmental Site Exp</t>
  </si>
  <si>
    <t>Environmental Expense</t>
  </si>
  <si>
    <t>Other Liability - State Funds</t>
  </si>
  <si>
    <t>Liability-Environmental (925300)-Contra</t>
  </si>
  <si>
    <t>Accrued Liab-Environmental Site Exp - Long Term</t>
  </si>
  <si>
    <t>Accrued Liab-Merrill Creek Lease</t>
  </si>
  <si>
    <t>Merrill Creek</t>
  </si>
  <si>
    <t>Accrued Liab-Merrill Creek Lease - Long Term</t>
  </si>
  <si>
    <t>Liab-Merrill Crk Capacity (92420X)-Contra</t>
  </si>
  <si>
    <t>Liab-Merril Crk Lease (92420X)-Contra</t>
  </si>
  <si>
    <t>Excess Merrill Creek Capacity</t>
  </si>
  <si>
    <t>Accrued Liab-OPEB</t>
  </si>
  <si>
    <t>OPEB</t>
  </si>
  <si>
    <t>Taxes Accrued - Taxes other than income</t>
  </si>
  <si>
    <t>Other (190)</t>
  </si>
  <si>
    <t>Accrued Liability - Other Energy Purchases</t>
  </si>
  <si>
    <t>Above-market Energy Supply Contracts</t>
  </si>
  <si>
    <t>Oth Reg Liab-Asset Retirement Obligation</t>
  </si>
  <si>
    <t>Oth Reg Liab - Asset Retirement Obligation</t>
  </si>
  <si>
    <t>Regulatory Liability-MD Grid Resiliency</t>
  </si>
  <si>
    <t>Liabilities-Disability (92420L)-Contra</t>
  </si>
  <si>
    <t>Accrued Liabilities - Disability - Long Term</t>
  </si>
  <si>
    <t>Accrued Payroll Taxes - Manual</t>
  </si>
  <si>
    <t>Other Labor Related Accruals</t>
  </si>
  <si>
    <t>Accrued Liab-Required Health Claims Residential</t>
  </si>
  <si>
    <t>Accrued Liabilities - Workers Comp</t>
  </si>
  <si>
    <t>Accrued Liabilities - Disability</t>
  </si>
  <si>
    <t>Accrued Liability - PHI Incentive Plan</t>
  </si>
  <si>
    <t>Accrued Liab-Sick Pay Carryover</t>
  </si>
  <si>
    <t>Accrued Liab-Vacation</t>
  </si>
  <si>
    <t>Acc Liab - Deferred Comp ST</t>
  </si>
  <si>
    <t>Liabilities-SERP (92420L) - Contra</t>
  </si>
  <si>
    <t>Liab-Workers Comp (92420L)-Contra</t>
  </si>
  <si>
    <t>Accrued Liabilities - Workers Comp - Long Term</t>
  </si>
  <si>
    <t>Accrued Liab-SERP</t>
  </si>
  <si>
    <t>Liability-Deferred Comp (92530P)-Contra</t>
  </si>
  <si>
    <t>Acc Liab - Deferred Comp LT</t>
  </si>
  <si>
    <t>Acc Liab - Deferred Comp LT - Active</t>
  </si>
  <si>
    <t>481(a) - Payroll Taxes</t>
  </si>
  <si>
    <t>Reg Liab-MD Dynamic Pricing/Critical Pk</t>
  </si>
  <si>
    <t>Reg Asset - DSM</t>
  </si>
  <si>
    <t>Provision for Uncollectible POR - DPL MD</t>
  </si>
  <si>
    <t>Reg Liab - Other</t>
  </si>
  <si>
    <t>Renewable Energy Credits - MD</t>
  </si>
  <si>
    <t>SERP Asset</t>
  </si>
  <si>
    <t>Misc Deferred Debits - Long-Term Receivable</t>
  </si>
  <si>
    <t>Deferred Debits - Payment Plan - Long-Term</t>
  </si>
  <si>
    <t>Use Tax Payable</t>
  </si>
  <si>
    <t>Virginia Use Tax Payable</t>
  </si>
  <si>
    <t>Accrued Liability-Claims-Contra</t>
  </si>
  <si>
    <t>Accrued Liab-LTIP</t>
  </si>
  <si>
    <t>Regulatory Liability-Current-Rev Acct</t>
  </si>
  <si>
    <t>Other Regulatory Liability - General</t>
  </si>
  <si>
    <t>Reg Liab-Asset Retirement Oblig-Electric</t>
  </si>
  <si>
    <t>Reg Liab-Asset Retirement Oblig-Gas-Contra</t>
  </si>
  <si>
    <t>Regulatory Liability - Gas - Unbilled</t>
  </si>
  <si>
    <t>Other Regulatory Liability - MD SOS</t>
  </si>
  <si>
    <t>Other Regulatory Liability - DE SOS</t>
  </si>
  <si>
    <t>Accrued Liability-Claims-Long-Term</t>
  </si>
  <si>
    <t>Accrued Liability - LTIP - Long-Term</t>
  </si>
  <si>
    <t>Asset Retirement Obligation - Non-Utility</t>
  </si>
  <si>
    <t>Asset Retirement Obligation-Electric Utility</t>
  </si>
  <si>
    <t>Asset Retirement Obligation-Gas Utility</t>
  </si>
  <si>
    <t>Miscellaneous Deferred Debits</t>
  </si>
  <si>
    <t>Accrued Liab-General</t>
  </si>
  <si>
    <t>Renewable Energy Credits - DE</t>
  </si>
  <si>
    <t>Renewable Energy Credits</t>
  </si>
  <si>
    <t>Maryland Net Operating Loss Carry-forward</t>
  </si>
  <si>
    <t>State NOL</t>
  </si>
  <si>
    <t>Delaware Net Operating Loss Carry-forward</t>
  </si>
  <si>
    <t>Federal Net Operating Loss Carry-forward</t>
  </si>
  <si>
    <t>Federal NOL</t>
  </si>
  <si>
    <t>FAS109 Regulatory Asset - Electric</t>
  </si>
  <si>
    <t>FAS109 Non-TCJA</t>
  </si>
  <si>
    <t>FAS109 Regulatory Asset</t>
  </si>
  <si>
    <t>FAS109 Regulatory Liability - Electric</t>
  </si>
  <si>
    <t>FAS109 Regulatory Liability - Gas</t>
  </si>
  <si>
    <t>SFAS109-Regulatory Liability Electric</t>
  </si>
  <si>
    <t>FAS109 TCJA</t>
  </si>
  <si>
    <t xml:space="preserve">Fixed Asset Basis Differences (PowerTax) - Protected </t>
  </si>
  <si>
    <t>Protected Property (PowerTax)</t>
  </si>
  <si>
    <t>Fixed Asset Basis Differences (PowerTax) - Non-Protected</t>
  </si>
  <si>
    <t>Non-Protected Property (PowerTax)</t>
  </si>
  <si>
    <t>Fixed Asset Basis Differences (PowerTax) - Non-Protected CIAC</t>
  </si>
  <si>
    <t>Maryland Fixed Asset Basis (PowerTax)</t>
  </si>
  <si>
    <t>Maryland Fixed Asset Basis (PowerTax) - CIAC</t>
  </si>
  <si>
    <t>Delaware Fixed Asset Basis (PowerTax)</t>
  </si>
  <si>
    <t>Delaware Fixed Asset Basis (PowerTax) - CIAC</t>
  </si>
  <si>
    <t>Fixed Asset Basis Differences (PowerTax FT) - Non-Protected</t>
  </si>
  <si>
    <t>Maryland Fixed Asset Basis (PowerTax FT)</t>
  </si>
  <si>
    <t>Delaware Fixed Asset Basis (PowerTax FT)</t>
  </si>
  <si>
    <t>Fixed Asset Basis Differences (Non-PowerTax) - Non-Protected</t>
  </si>
  <si>
    <t>Non-Protected Property (Non-PowerTax)</t>
  </si>
  <si>
    <t>Fixed Asset Basis Differences (Non-PowerTax) - Non-Protected CIAC</t>
  </si>
  <si>
    <t>Maryland Fixed Asset Basis (Non-PowerTax)</t>
  </si>
  <si>
    <t>Maryland Fixed Asset Basis (Non-PowerTax) - CIAC</t>
  </si>
  <si>
    <t>Delaware Fixed Asset Basis (Non-PowerTax)</t>
  </si>
  <si>
    <t>Delaware Fixed Asset Basis (Non-PowerTax) - CIAC</t>
  </si>
  <si>
    <t>Reg Asset-Blueprint for the Future-MD</t>
  </si>
  <si>
    <t>Blueprint for the Future</t>
  </si>
  <si>
    <t>Regulatory Asset-Return on Blueprint</t>
  </si>
  <si>
    <t>Deferred Fuel Adjustment Gas Production</t>
  </si>
  <si>
    <t>Deferred Fuel</t>
  </si>
  <si>
    <t>Interest Factor - Deferred Fuel - Gas</t>
  </si>
  <si>
    <t>Deferred Fuel Interest</t>
  </si>
  <si>
    <t>Materials-Reserve for Obsolete Material</t>
  </si>
  <si>
    <t>Materials Reserve</t>
  </si>
  <si>
    <t>Accrued Charitable Contributions-DE</t>
  </si>
  <si>
    <t>Merger Commitment Fees</t>
  </si>
  <si>
    <t>Accrued Charitable Contributions-MD</t>
  </si>
  <si>
    <t>Deferred Credits-General</t>
  </si>
  <si>
    <t>Accrued Charitable Contributions-DE Long Term</t>
  </si>
  <si>
    <t>Accrued Charitable Contributions-MD Long Term</t>
  </si>
  <si>
    <t>Prepaid Pension Costs</t>
  </si>
  <si>
    <t>Pension</t>
  </si>
  <si>
    <t>Prepayments - Other Taxes</t>
  </si>
  <si>
    <t>Property Taxes</t>
  </si>
  <si>
    <t>Unamortized Loss on Reacquired Debt</t>
  </si>
  <si>
    <t>Reacquired Debt</t>
  </si>
  <si>
    <t>Unamortized Loss - Revenue Bonds</t>
  </si>
  <si>
    <t>Unamortized Loss - Pollution Bonds</t>
  </si>
  <si>
    <t>DSM - Energy Efficient Products</t>
  </si>
  <si>
    <t>Reg Assets-FERC Formula Rate Adj-Transmission</t>
  </si>
  <si>
    <t>Reg Asset - FERC Formula Rate Adj.</t>
  </si>
  <si>
    <t>Regulatory Assets - Asset Retirement Obligation</t>
  </si>
  <si>
    <t>Reg Asset - Other</t>
  </si>
  <si>
    <t xml:space="preserve">Regulatory Assets - MD Recovery </t>
  </si>
  <si>
    <t xml:space="preserve">Regulatory Assets - DE Recovery </t>
  </si>
  <si>
    <t>Regulatory Assets - MD</t>
  </si>
  <si>
    <t>Regulatory Assets - DE</t>
  </si>
  <si>
    <t>Other Regulatory Assets - General</t>
  </si>
  <si>
    <t>Other Reg Assets - Gas - Base</t>
  </si>
  <si>
    <t>Other Reg Assets - Gas - Other</t>
  </si>
  <si>
    <t>Regulatory Assets - DSM - Direct Load</t>
  </si>
  <si>
    <t>Other Regulatory Assets - Vacation Accrual</t>
  </si>
  <si>
    <t>Other Regulatory Assets - MD SOS</t>
  </si>
  <si>
    <t>Other Reg Assets - MD SOS Administrative</t>
  </si>
  <si>
    <t>Other Reg Assets - DE SOS Administrative</t>
  </si>
  <si>
    <t>Regulatory Asset- Maryland Meters</t>
  </si>
  <si>
    <t>Regulatory Asst-Meters-Incremental Depreciation</t>
  </si>
  <si>
    <t>Regulatory Asset Contra - MD AMI</t>
  </si>
  <si>
    <t>Regulatory Assets - COPCO Acquisition</t>
  </si>
  <si>
    <t>Reg Asset- COPCO Acquisition Adjustment</t>
  </si>
  <si>
    <t>Regulatory Assets-Current-Corp Acctg</t>
  </si>
  <si>
    <t>Reg Asset-DE Dfd Energy Supply</t>
  </si>
  <si>
    <t>Reg Asset-MD Dfd Energy Supply</t>
  </si>
  <si>
    <t>Regulatory Assets-Current-Rev Acctg</t>
  </si>
  <si>
    <t>Regulatory Assets-Elec Gen'l</t>
  </si>
  <si>
    <t>Regulatory Assets-Gas-Current-Asset</t>
  </si>
  <si>
    <t>Regulatory Assets-Contra-Corp Acctg</t>
  </si>
  <si>
    <t>Regulatory Assets-Contra-Rev Acctg</t>
  </si>
  <si>
    <t>Reg Assets-Asset Retirement Oblig-Gas-Contra</t>
  </si>
  <si>
    <t>Regulatory Assets-DPL DE-DSM-Energy Efficiency</t>
  </si>
  <si>
    <t>Other Reg Assets - Gas Derivatives FAS</t>
  </si>
  <si>
    <t>Regulatory Assets-Elec Gen'l-Contra</t>
  </si>
  <si>
    <t>Regulatory Assets-Gas-Contra-Asset Acct</t>
  </si>
  <si>
    <t>Reg Assets-Third Party Supplier Recover</t>
  </si>
  <si>
    <t>Other Regulatory Assets - DE SOS</t>
  </si>
  <si>
    <t>Reg Liab-DE Dfd Energy Supply-Netting</t>
  </si>
  <si>
    <t>Reg Liab-MD Dfd Energy Supply-Netting</t>
  </si>
  <si>
    <t>Regulatory Assets-DE Renewable Energy</t>
  </si>
  <si>
    <t>Reg Asset-DSM-MD-Egy Eff-CIF Merger Commitments</t>
  </si>
  <si>
    <t>Regulatory Asset Contra-DE Electric CTA</t>
  </si>
  <si>
    <t>Current State Income Taxes Deductible</t>
  </si>
  <si>
    <t>No</t>
  </si>
  <si>
    <t>100% DE</t>
  </si>
  <si>
    <t>100% MD</t>
  </si>
  <si>
    <t>Yes</t>
  </si>
  <si>
    <t>Plant</t>
  </si>
  <si>
    <t xml:space="preserve">Real property (State, Municipal or Local) </t>
  </si>
  <si>
    <t>Personal property</t>
  </si>
  <si>
    <t>Federal/State Excise</t>
  </si>
  <si>
    <t>Federal FICA &amp; Unemployment &amp; State unemployment</t>
  </si>
  <si>
    <t>Miscellaneous</t>
  </si>
  <si>
    <t>MD State Franchise Tax</t>
  </si>
  <si>
    <t>DE Gross Receipts Tax</t>
  </si>
  <si>
    <t>MD Sales and Use Tax</t>
  </si>
  <si>
    <t>Sales and Use tax VA</t>
  </si>
  <si>
    <t xml:space="preserve">PA Franchise </t>
  </si>
  <si>
    <t>DE Public Utility Tax</t>
  </si>
  <si>
    <t>Wilmington City Franchise Tax</t>
  </si>
  <si>
    <t>MD Environmental Surcharge</t>
  </si>
  <si>
    <t>Exclude State Dist RA amort in line 7</t>
  </si>
  <si>
    <t>December 31, 2021</t>
  </si>
  <si>
    <t>Apportioned: DE 5.600%, MD 2.900%</t>
  </si>
  <si>
    <t>12/31/2021 (Actuals)</t>
  </si>
  <si>
    <t>Accrued Benefits</t>
  </si>
  <si>
    <t>Accrued Environmental Liability</t>
  </si>
  <si>
    <t>Accrued Liability - Legal</t>
  </si>
  <si>
    <t>Accrued OPEB</t>
  </si>
  <si>
    <t>Accrued Other Expenses</t>
  </si>
  <si>
    <t>Accrued Payroll Taxes - AIP</t>
  </si>
  <si>
    <t>Accrued Severance</t>
  </si>
  <si>
    <t>Accrued Vacation</t>
  </si>
  <si>
    <t>Accrued Worker's Compensation</t>
  </si>
  <si>
    <t>Asset Retirement Obligation</t>
  </si>
  <si>
    <t>Deferred Compensation</t>
  </si>
  <si>
    <t>Deferred Revenue</t>
  </si>
  <si>
    <t>Merrill Creek Liability</t>
  </si>
  <si>
    <t>Other Deferred Credits</t>
  </si>
  <si>
    <t>Purchased Power</t>
  </si>
  <si>
    <t>Regulatory Liability</t>
  </si>
  <si>
    <t>Sales &amp; Use Tax Reserve</t>
  </si>
  <si>
    <t>State Income Taxes</t>
  </si>
  <si>
    <t>Unamortized Investment Tax Credit</t>
  </si>
  <si>
    <t>Charitable Contribution Carryforward</t>
  </si>
  <si>
    <t>Merger Commitments</t>
  </si>
  <si>
    <t>Plant Deferred Taxes - FAS 109</t>
  </si>
  <si>
    <t>AFUDC Equity</t>
  </si>
  <si>
    <t>Maryland Subtraction Modification</t>
  </si>
  <si>
    <t>Plant Deferred Taxes - Flow-through</t>
  </si>
  <si>
    <t>Accrued Property Taxes</t>
  </si>
  <si>
    <t>Other Deferred Debits</t>
  </si>
  <si>
    <t>Pension Asset</t>
  </si>
  <si>
    <t>Regulatory Asset</t>
  </si>
  <si>
    <t>Regulatory Asset - Accrued Vacation</t>
  </si>
  <si>
    <t xml:space="preserve">Account No. 255 (Accum. Deferred Investment Tax Credits) </t>
  </si>
  <si>
    <t>State Net Operating Loss Carryforward - MD</t>
  </si>
  <si>
    <t>Maryland Additional Subtraction Carryforward</t>
  </si>
  <si>
    <t>Maryland 10-309 Carryforward</t>
  </si>
  <si>
    <t>State Net Operating Loss Carryforward - DE</t>
  </si>
  <si>
    <t>Delaware NOL - Valuation Allowance</t>
  </si>
  <si>
    <t>B0241.3 Red Lion sub reconfiguration</t>
  </si>
  <si>
    <t>B0494.1-4 Red Lion-Keeney</t>
  </si>
  <si>
    <t>B0241.1-.2 Red Lion-Keeney</t>
  </si>
  <si>
    <t>B0567 Mt.Pleasant-Townsend</t>
  </si>
  <si>
    <t>B0483.1-.3 Oak Hall-Wattsville</t>
  </si>
  <si>
    <t>B0320 Cool Springs</t>
  </si>
  <si>
    <t>BO568 3rd Indian River</t>
  </si>
  <si>
    <t xml:space="preserve">BO272.1 Keeney 500kV Sub </t>
  </si>
  <si>
    <t>BO751 Keeney - Additional Breakers on 500kV Bus</t>
  </si>
  <si>
    <t xml:space="preserve">BO566 Trappe Tap - Todd </t>
  </si>
  <si>
    <t>BO733 Harmony Add 2nd 230/138 Auto Tr</t>
  </si>
  <si>
    <t>B1247 Glasgow - Cecil 138 kV Circuit Rebuild</t>
  </si>
  <si>
    <t>b2633.10 Interconnect the new
Silver Run 230 kV
substation with existing
Red Lion – Cartanza and
Red Lion – Cedar Creek
230 kV lines</t>
  </si>
  <si>
    <t>p336.7b&amp;c</t>
  </si>
  <si>
    <t xml:space="preserve">p336.10b&amp;c </t>
  </si>
  <si>
    <t>p336.1d&amp;e</t>
  </si>
  <si>
    <t>p336.11b</t>
  </si>
  <si>
    <t>p336.11d</t>
  </si>
  <si>
    <t>Chamber of Commerce (923)</t>
  </si>
  <si>
    <t>Chamber of Commerce (930.2)</t>
  </si>
  <si>
    <t>Separation Costs</t>
  </si>
  <si>
    <t>BSC Commercial Operations Grp</t>
  </si>
  <si>
    <t>BSC Communications</t>
  </si>
  <si>
    <t>BSC Corp Development</t>
  </si>
  <si>
    <t>BSC Corp Secretary</t>
  </si>
  <si>
    <t>BSC Corp Strategy</t>
  </si>
  <si>
    <t>BSC Corporate SLA</t>
  </si>
  <si>
    <t>BSC Executive Services</t>
  </si>
  <si>
    <t>BSC Exelon Utilities</t>
  </si>
  <si>
    <t>BSC Exelon Transmission Co</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</si>
  <si>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</si>
  <si>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</si>
  <si>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</si>
  <si>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</si>
  <si>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</si>
  <si>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</si>
  <si>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</si>
  <si>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</si>
  <si>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</si>
  <si>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</si>
  <si>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</si>
  <si>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Red Lion sub reconfiguration</t>
  </si>
  <si>
    <t xml:space="preserve">B0241.3 </t>
  </si>
  <si>
    <t>Red Lion-Keeney</t>
  </si>
  <si>
    <t>B0494.1-4</t>
  </si>
  <si>
    <t xml:space="preserve">B0241.1-.2 </t>
  </si>
  <si>
    <t>Mt.Pleasant-Townsend</t>
  </si>
  <si>
    <t>B0567</t>
  </si>
  <si>
    <t>Oak Hall-Wattsville</t>
  </si>
  <si>
    <t xml:space="preserve">B0483.1-.3 </t>
  </si>
  <si>
    <t>Cool Springs</t>
  </si>
  <si>
    <t xml:space="preserve">B0320 </t>
  </si>
  <si>
    <t>3rd Indian River</t>
  </si>
  <si>
    <t>BO568</t>
  </si>
  <si>
    <t xml:space="preserve">Keeney 500kV Sub </t>
  </si>
  <si>
    <t>BO272.1</t>
  </si>
  <si>
    <t>Keeney - Additional Breakers on 500kV Bus</t>
  </si>
  <si>
    <t xml:space="preserve">BO751 </t>
  </si>
  <si>
    <t xml:space="preserve">Trappe Tap - Todd </t>
  </si>
  <si>
    <t xml:space="preserve">BO566 </t>
  </si>
  <si>
    <t>Harmony Add 2nd 230/138 Auto Tr</t>
  </si>
  <si>
    <t>BO733</t>
  </si>
  <si>
    <t>Glasgow - Cecil 138 kV Circuit Rebuild</t>
  </si>
  <si>
    <t>B1247</t>
  </si>
  <si>
    <t>B2633.10</t>
  </si>
  <si>
    <t>Illinois Legislative Costs</t>
  </si>
  <si>
    <t xml:space="preserve">ADIT relates to all functions and attributable to underlying operating and maintenance expenses that are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</si>
  <si>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</si>
  <si>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</si>
  <si>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</si>
  <si>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</si>
  <si>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</si>
  <si>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</si>
  <si>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</si>
  <si>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</si>
  <si>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 xml:space="preserve">ADIT relates to all functions and attributable to underlying accounts that are recoverable in the transmission formula. </t>
  </si>
  <si>
    <t xml:space="preserve">ADIT excluded because the underlying account(s) are not recoverable in the transmission formula. </t>
  </si>
  <si>
    <t>The cost of bond redemption is deductible currently for tax purposes and is amortized over the life of the new bond issue for book purposes.    Excluded here since included in Cost of Debt</t>
  </si>
  <si>
    <t>Gross Receipt Taxes Refund (in 923)</t>
  </si>
  <si>
    <t>Gross Receipt Taxes Refund (Total)</t>
  </si>
  <si>
    <t>Other Prepayments</t>
  </si>
  <si>
    <t>Prepaid Rent</t>
  </si>
  <si>
    <t>Prepaid Insurance</t>
  </si>
  <si>
    <t>Prepaid Taxes</t>
  </si>
  <si>
    <t>Prepaid Property Tax</t>
  </si>
  <si>
    <t>Leased Asset ROU-Op -Building</t>
  </si>
  <si>
    <t>p354 footnote</t>
  </si>
  <si>
    <t>(Line 1+1a+1b)</t>
  </si>
  <si>
    <t>(Line 2+2a+2b)</t>
  </si>
  <si>
    <t>(Line 2c - 3-3a-3b)</t>
  </si>
  <si>
    <t>Direct Transmission Wages Expense</t>
  </si>
  <si>
    <t>Exelon Business Services Company Transmission Wages Expense</t>
  </si>
  <si>
    <t>PHI Service Company Transmission Wages Expense</t>
  </si>
  <si>
    <t>Total Transmission Wages Expense</t>
  </si>
  <si>
    <t>Total Direct Wages Expense</t>
  </si>
  <si>
    <t>Total Exelon Business Services Company Wages Expense</t>
  </si>
  <si>
    <t>Total PHI Service Company Wages Expense</t>
  </si>
  <si>
    <t>Less Direct A&amp;G Wages Expense</t>
  </si>
  <si>
    <t>Less Exelon Business Services Company A&amp;G Expense</t>
  </si>
  <si>
    <t>Less PHI Service Company A&amp;G Expense</t>
  </si>
  <si>
    <t>1a</t>
  </si>
  <si>
    <t>1b</t>
  </si>
  <si>
    <t>1c</t>
  </si>
  <si>
    <t>2a</t>
  </si>
  <si>
    <t>2b</t>
  </si>
  <si>
    <t>2c</t>
  </si>
  <si>
    <t>2022
True-Up</t>
  </si>
  <si>
    <t>Prepaid Software Fee &amp; License</t>
  </si>
  <si>
    <t>December 31, 2022</t>
  </si>
  <si>
    <t>2022 Projected</t>
  </si>
  <si>
    <t>Actuals for the 12 Months Ended December 31, 2022</t>
  </si>
  <si>
    <t>12/31/2022 (Actuals)</t>
  </si>
  <si>
    <t>December 31, 2021(Actual)</t>
  </si>
  <si>
    <t>ADIT relates to all functions and attributable materials and supplies included in rate base.</t>
  </si>
  <si>
    <t xml:space="preserve">Included because the pension asset is included in rate base.  Related to accrual recognition of expense for book purposes &amp; deductibility of cash funding's for tax purposes.  </t>
  </si>
  <si>
    <t>December 31, 2022 (Actuals)</t>
  </si>
  <si>
    <t xml:space="preserve">Federal Taxes on state income taxes
</t>
  </si>
  <si>
    <t>Accrued Bodily Injuries</t>
  </si>
  <si>
    <t>Actuals for the Period Ended December 31, 2022</t>
  </si>
  <si>
    <t>EPRI</t>
  </si>
  <si>
    <t>EPRI Membership dues in FERC Transmission O&amp;M Account 566</t>
  </si>
  <si>
    <t>Prior Period Adjustments listed in row 3j</t>
  </si>
  <si>
    <t>Operation of Energy Storage Equipment</t>
  </si>
  <si>
    <t>Maintenance of Energy Storage Equipment</t>
  </si>
  <si>
    <t>Maridel Substation</t>
  </si>
  <si>
    <t>MD PSC Assessment</t>
  </si>
  <si>
    <t>DE PSC Assessment</t>
  </si>
  <si>
    <t>Intracompany Sales</t>
  </si>
  <si>
    <t>391.1 DE</t>
  </si>
  <si>
    <t>392.3 MD</t>
  </si>
  <si>
    <t>392.4 MD</t>
  </si>
  <si>
    <t>392.8 DE</t>
  </si>
  <si>
    <t>PJM</t>
  </si>
  <si>
    <t>The actuarially determined amount of OPEB expense in FERC 926 increase from the prior year;  The increase is due decrease in service cost, increase in interest cost due to higher discount rates and there was an increase due to expiration of some of the prior service cost credits.</t>
  </si>
  <si>
    <t>Other Accrued Deferred Tax Assets</t>
  </si>
  <si>
    <t>Income Tax Regulatory Liability</t>
  </si>
  <si>
    <t>Plant Related Deferred Taxes</t>
  </si>
  <si>
    <t>Contribution in Aid of Construction</t>
  </si>
  <si>
    <t xml:space="preserve">ADIT is included to the extent attributable to plant in service that is included in rate base. </t>
  </si>
  <si>
    <t>True-up Adjustment</t>
  </si>
  <si>
    <t xml:space="preserve">  FERC Form 1 page 351.1 line 14 (h) - 16 (h), transmission related only.</t>
  </si>
  <si>
    <t>General Capital Lease $43,987,453</t>
  </si>
  <si>
    <t>General Capital Lease $12,871,612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</si>
</sst>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 #,##0.0_);_(* \(#,##0.0\);_(* &quot;-&quot;??_);_(@_)"/>
    <numFmt numFmtId="170" formatCode="General_)"/>
    <numFmt numFmtId="171" formatCode="0.0000"/>
    <numFmt numFmtId="172" formatCode="_(* #,##0.0000_);_(* \(#,##0.0000\);_(* &quot;-&quot;??_);_(@_)"/>
    <numFmt numFmtId="173" formatCode="0.00000"/>
    <numFmt numFmtId="174" formatCode="0.00000%"/>
    <numFmt numFmtId="175" formatCode="0.0%"/>
    <numFmt numFmtId="176" formatCode="0.000000%"/>
    <numFmt numFmtId="177" formatCode="#,##0_);\(#,##0\);&quot; &quot;"/>
    <numFmt numFmtId="178" formatCode="0_);\(0\)"/>
    <numFmt numFmtId="179" formatCode="#,##0.00000"/>
    <numFmt numFmtId="180" formatCode="&quot;$&quot;#,##0"/>
    <numFmt numFmtId="181" formatCode="_(* #,##0.00000_);_(* \(#,##0.00000\);_(* &quot;-&quot;?????_);_(@_)"/>
    <numFmt numFmtId="182" formatCode="_(* #,##0.000_);_(* \(#,##0.000\);_(* &quot;-&quot;???_);_(@_)"/>
    <numFmt numFmtId="183" formatCode="0_)"/>
    <numFmt numFmtId="184" formatCode="0.0"/>
    <numFmt numFmtId="185" formatCode="_(&quot;$&quot;* #,##0.0_);_(&quot;$&quot;* \(#,##0.0\);_(&quot;$&quot;* &quot;-&quot;??_);_(@_)"/>
    <numFmt numFmtId="186" formatCode="_(* #,##0.00000_);_(* \(#,##0.00000\);_(* &quot;-&quot;??_);_(@_)"/>
    <numFmt numFmtId="187" formatCode="0.000"/>
    <numFmt numFmtId="188" formatCode="_(* #,##0_);_(* \(#,##0\);_(* &quot;-&quot;???_);_(@_)"/>
  </numFmts>
  <fonts count="92">
    <font>
      <sz val="11"/>
      <color theme="1"/>
      <name val="Calibri"/>
      <family val="2"/>
      <scheme val="minor"/>
    </font>
    <font>
      <b/>
      <sz val="14"/>
      <name val="Arial"/>
      <family val="2"/>
    </font>
    <font>
      <b/>
      <sz val="10"/>
      <color indexed="10"/>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0"/>
      <color rgb="FFFF0000"/>
      <name val="Arial"/>
      <family val="2"/>
    </font>
    <font>
      <b/>
      <sz val="14"/>
      <name val="Arial Narrow"/>
      <family val="2"/>
    </font>
    <font>
      <b/>
      <sz val="12"/>
      <color indexed="10"/>
      <name val="Arial"/>
      <family val="2"/>
    </font>
    <font>
      <b/>
      <sz val="14"/>
      <color indexed="10"/>
      <name val="Arial"/>
      <family val="2"/>
    </font>
    <font>
      <sz val="10"/>
      <color rgb="FFFF0000"/>
      <name val="Arial"/>
      <family val="2"/>
    </font>
    <font>
      <sz val="12"/>
      <name val="Arial"/>
      <family val="2"/>
    </font>
    <font>
      <i/>
      <sz val="10"/>
      <name val="Arial"/>
      <family val="2"/>
    </font>
    <font>
      <sz val="10"/>
      <name val="Courier"/>
      <family val="3"/>
    </font>
    <font>
      <b/>
      <sz val="12"/>
      <name val="Helv"/>
    </font>
    <font>
      <sz val="11"/>
      <name val="Arial"/>
      <family val="2"/>
    </font>
    <font>
      <sz val="12"/>
      <name val="Arial MT"/>
    </font>
    <font>
      <sz val="12"/>
      <color indexed="12"/>
      <name val="Arial"/>
      <family val="2"/>
    </font>
    <font>
      <sz val="12"/>
      <color indexed="10"/>
      <name val="Arial"/>
      <family val="2"/>
    </font>
    <font>
      <b/>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sz val="12"/>
      <color rgb="FFFF0000"/>
      <name val="Arial"/>
      <family val="2"/>
    </font>
    <font>
      <u/>
      <sz val="12"/>
      <name val="Arial"/>
      <family val="2"/>
    </font>
    <font>
      <b/>
      <i/>
      <sz val="12"/>
      <color indexed="14"/>
      <name val="Arial"/>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1"/>
      <color indexed="8"/>
      <name val="Arial Narrow"/>
      <family val="2"/>
    </font>
    <font>
      <sz val="10"/>
      <color indexed="8"/>
      <name val="Arial"/>
      <family val="2"/>
    </font>
    <font>
      <sz val="10"/>
      <color rgb="FF0000FF"/>
      <name val="Arial"/>
      <family val="2"/>
    </font>
    <font>
      <sz val="11"/>
      <color indexed="8"/>
      <name val="Arial"/>
      <family val="2"/>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8"/>
      <name val="Calibri"/>
      <family val="2"/>
      <scheme val="minor"/>
    </font>
    <font>
      <sz val="12"/>
      <color indexed="8"/>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sz val="10"/>
      <color theme="0"/>
      <name val="Arial"/>
      <family val="2"/>
    </font>
    <font>
      <sz val="10"/>
      <color theme="3"/>
      <name val="Arial"/>
      <family val="2"/>
    </font>
    <font>
      <sz val="10"/>
      <name val="Arial"/>
      <family val="2"/>
    </font>
    <font>
      <b/>
      <sz val="10"/>
      <color rgb="FF0070C0"/>
      <name val="Arial"/>
      <family val="2"/>
    </font>
    <font>
      <b/>
      <u/>
      <sz val="10"/>
      <color theme="1"/>
      <name val="Arial"/>
      <family val="2"/>
    </font>
    <font>
      <b/>
      <u/>
      <sz val="10"/>
      <color rgb="FF0070C0"/>
      <name val="Arial"/>
      <family val="2"/>
    </font>
    <font>
      <sz val="10"/>
      <color theme="1"/>
      <name val="Calibri"/>
      <family val="2"/>
      <scheme val="minor"/>
    </font>
    <font>
      <b/>
      <sz val="10"/>
      <color indexed="13"/>
      <name val="Arial"/>
      <family val="2"/>
    </font>
    <font>
      <sz val="15"/>
      <color theme="1"/>
      <name val="Arial"/>
      <family val="2"/>
    </font>
    <font>
      <b/>
      <sz val="12"/>
      <color theme="0"/>
      <name val="Arial"/>
      <family val="2"/>
    </font>
    <font>
      <sz val="10"/>
      <color theme="1"/>
      <name val="Courier New"/>
      <family val="2"/>
    </font>
    <font>
      <sz val="12"/>
      <color theme="1"/>
      <name val="Times New Roman"/>
      <family val="1"/>
    </font>
    <font>
      <u/>
      <sz val="10"/>
      <color theme="1"/>
      <name val="Arial"/>
      <family val="2"/>
    </font>
    <font>
      <i/>
      <sz val="10"/>
      <color theme="1"/>
      <name val="Arial"/>
      <family val="2"/>
    </font>
    <font>
      <u/>
      <sz val="10"/>
      <name val="Arial"/>
      <family val="2"/>
    </font>
    <font>
      <b/>
      <sz val="14"/>
      <color rgb="FFFF0000"/>
      <name val="Arial"/>
      <family val="2"/>
    </font>
    <font>
      <sz val="11"/>
      <color rgb="FFFF0000"/>
      <name val="Arial"/>
      <family val="2"/>
    </font>
    <font>
      <sz val="10"/>
      <color indexed="17"/>
      <name val="Arial"/>
      <family val="2"/>
    </font>
    <font>
      <strike/>
      <sz val="10"/>
      <name val="Arial"/>
      <family val="2"/>
    </font>
    <font>
      <vertAlign val="superscript"/>
      <sz val="10"/>
      <color theme="1"/>
      <name val="Arial"/>
      <family val="2"/>
    </font>
    <font>
      <vertAlign val="superscript"/>
      <sz val="10"/>
      <name val="Arial"/>
      <family val="2"/>
    </font>
    <font>
      <sz val="10"/>
      <color indexed="40"/>
      <name val="Arial"/>
      <family val="2"/>
    </font>
    <font>
      <sz val="10"/>
      <name val="Arial Narrow"/>
      <family val="2"/>
    </font>
    <font>
      <b/>
      <sz val="12"/>
      <color indexed="10"/>
      <name val="Arial Narrow"/>
      <family val="2"/>
    </font>
    <font>
      <b/>
      <sz val="10"/>
      <name val="Arial Narrow"/>
      <family val="2"/>
    </font>
    <font>
      <sz val="8"/>
      <name val="Arial Narrow"/>
      <family val="2"/>
    </font>
    <font>
      <sz val="9"/>
      <name val="Arial Narrow"/>
      <family val="2"/>
    </font>
    <font>
      <sz val="10"/>
      <color theme="1"/>
      <name val="Tahoma"/>
      <family val="2"/>
    </font>
    <font>
      <b/>
      <i/>
      <sz val="12"/>
      <name val="Arial"/>
      <family val="2"/>
    </font>
    <font>
      <sz val="10"/>
      <name val="Times New Roman"/>
      <family val="1"/>
    </font>
    <font>
      <b/>
      <sz val="12"/>
      <color rgb="FFFF0000"/>
      <name val="Arial"/>
      <family val="2"/>
    </font>
    <font>
      <b/>
      <i/>
      <sz val="10"/>
      <color rgb="FFFF0000"/>
      <name val="Arial"/>
      <family val="2"/>
    </font>
  </fonts>
  <fills count="1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s>
  <borders count="41">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7">
    <xf numFmtId="0" fontId="0"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170" fontId="16"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25" fillId="0" borderId="0"/>
    <xf numFmtId="43" fontId="25" fillId="0" borderId="0" applyFont="0" applyFill="0" applyBorder="0" applyAlignment="0" applyProtection="0"/>
    <xf numFmtId="168" fontId="19" fillId="0" borderId="0" applyProtection="0"/>
    <xf numFmtId="0" fontId="38" fillId="0" borderId="0"/>
    <xf numFmtId="0" fontId="36" fillId="0" borderId="0"/>
    <xf numFmtId="44" fontId="36" fillId="0" borderId="0" applyFont="0" applyFill="0" applyBorder="0" applyAlignment="0" applyProtection="0"/>
    <xf numFmtId="0" fontId="36" fillId="0" borderId="0"/>
    <xf numFmtId="43" fontId="36" fillId="0" borderId="0" applyFont="0" applyFill="0" applyBorder="0" applyAlignment="0" applyProtection="0"/>
    <xf numFmtId="168" fontId="19" fillId="0" borderId="0" applyProtection="0"/>
    <xf numFmtId="0" fontId="7" fillId="0" borderId="0"/>
    <xf numFmtId="168" fontId="19" fillId="0" borderId="0" applyProtection="0"/>
    <xf numFmtId="168" fontId="19" fillId="0" borderId="0" applyProtection="0"/>
    <xf numFmtId="0" fontId="19" fillId="0" borderId="0" applyProtection="0"/>
    <xf numFmtId="0" fontId="7" fillId="0" borderId="0"/>
    <xf numFmtId="0" fontId="7" fillId="0" borderId="0"/>
    <xf numFmtId="168" fontId="19" fillId="0" borderId="0" applyProtection="0"/>
    <xf numFmtId="0" fontId="7" fillId="0" borderId="0"/>
    <xf numFmtId="0" fontId="36" fillId="0" borderId="0"/>
    <xf numFmtId="168" fontId="19" fillId="0" borderId="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43" fontId="36" fillId="0" borderId="0" applyFont="0" applyFill="0" applyBorder="0" applyAlignment="0" applyProtection="0"/>
    <xf numFmtId="41" fontId="36" fillId="0" borderId="0" applyFont="0" applyFill="0" applyBorder="0" applyAlignment="0" applyProtection="0"/>
    <xf numFmtId="0" fontId="36" fillId="0" borderId="0"/>
    <xf numFmtId="0" fontId="36" fillId="0" borderId="0"/>
    <xf numFmtId="41" fontId="36" fillId="0" borderId="0" applyFont="0" applyFill="0" applyBorder="0" applyAlignment="0" applyProtection="0"/>
    <xf numFmtId="0" fontId="36" fillId="0" borderId="0"/>
    <xf numFmtId="43"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168" fontId="19" fillId="0" borderId="0" applyProtection="0"/>
    <xf numFmtId="168" fontId="19" fillId="0" borderId="0" applyProtection="0"/>
    <xf numFmtId="0" fontId="7" fillId="0" borderId="0"/>
    <xf numFmtId="0" fontId="41" fillId="0" borderId="0"/>
    <xf numFmtId="0" fontId="36" fillId="0" borderId="0"/>
    <xf numFmtId="0" fontId="7" fillId="0" borderId="0"/>
    <xf numFmtId="168" fontId="19" fillId="0" borderId="0" applyProtection="0"/>
    <xf numFmtId="0" fontId="7" fillId="0" borderId="0"/>
    <xf numFmtId="168" fontId="19" fillId="0" borderId="0" applyProtection="0"/>
    <xf numFmtId="44" fontId="36" fillId="0" borderId="0" applyFont="0" applyFill="0" applyBorder="0" applyAlignment="0" applyProtection="0"/>
    <xf numFmtId="44" fontId="7" fillId="0" borderId="0" applyFont="0" applyFill="0" applyBorder="0" applyAlignment="0" applyProtection="0"/>
    <xf numFmtId="0" fontId="36" fillId="0" borderId="0"/>
    <xf numFmtId="0" fontId="7" fillId="0" borderId="0"/>
    <xf numFmtId="0" fontId="36" fillId="0" borderId="0"/>
    <xf numFmtId="44"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7"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51" fillId="0" borderId="0"/>
    <xf numFmtId="0" fontId="7" fillId="0" borderId="0"/>
    <xf numFmtId="0" fontId="53" fillId="0" borderId="0"/>
    <xf numFmtId="0" fontId="7" fillId="0" borderId="0"/>
    <xf numFmtId="43" fontId="25" fillId="0" borderId="0" applyFont="0" applyFill="0" applyBorder="0" applyAlignment="0" applyProtection="0"/>
    <xf numFmtId="0" fontId="25" fillId="0" borderId="0"/>
    <xf numFmtId="9" fontId="7" fillId="0" borderId="0" applyFont="0" applyFill="0" applyBorder="0" applyAlignment="0" applyProtection="0"/>
    <xf numFmtId="0" fontId="7" fillId="0" borderId="0"/>
    <xf numFmtId="0" fontId="62" fillId="0" borderId="0"/>
    <xf numFmtId="44" fontId="7" fillId="0" borderId="0" applyFont="0" applyFill="0" applyBorder="0" applyAlignment="0" applyProtection="0"/>
    <xf numFmtId="43" fontId="7" fillId="0" borderId="0" applyFont="0" applyFill="0" applyBorder="0" applyAlignment="0" applyProtection="0"/>
    <xf numFmtId="43" fontId="25" fillId="0" borderId="0" applyFont="0" applyFill="0" applyBorder="0" applyAlignment="0" applyProtection="0"/>
    <xf numFmtId="0" fontId="25" fillId="0" borderId="0"/>
    <xf numFmtId="0" fontId="7" fillId="0" borderId="0"/>
    <xf numFmtId="0" fontId="7" fillId="0" borderId="0"/>
    <xf numFmtId="0" fontId="70" fillId="0" borderId="0"/>
    <xf numFmtId="43" fontId="70" fillId="0" borderId="0" applyFont="0" applyFill="0" applyBorder="0" applyAlignment="0" applyProtection="0"/>
    <xf numFmtId="43" fontId="7" fillId="0" borderId="0" applyFont="0" applyFill="0" applyBorder="0" applyAlignment="0" applyProtection="0"/>
    <xf numFmtId="0" fontId="87" fillId="0" borderId="0"/>
    <xf numFmtId="9" fontId="87" fillId="0" borderId="0" applyFont="0" applyFill="0" applyBorder="0" applyAlignment="0" applyProtection="0"/>
  </cellStyleXfs>
  <cellXfs count="1904">
    <xf numFmtId="0" fontId="0" fillId="0" borderId="0" xfId="0"/>
    <xf numFmtId="0" fontId="2" fillId="0" borderId="0" xfId="0" applyFont="1"/>
    <xf numFmtId="0" fontId="3" fillId="0" borderId="0" xfId="0" applyFont="1"/>
    <xf numFmtId="0" fontId="4" fillId="0" borderId="0" xfId="0" applyFont="1" applyAlignment="1">
      <alignment horizontal="center"/>
    </xf>
    <xf numFmtId="0" fontId="2" fillId="0" borderId="0" xfId="0" applyFont="1" applyFill="1"/>
    <xf numFmtId="0" fontId="5" fillId="0" borderId="0" xfId="0" applyNumberFormat="1" applyFont="1" applyFill="1"/>
    <xf numFmtId="0" fontId="8" fillId="0" borderId="0" xfId="0" applyFont="1" applyAlignment="1">
      <alignment horizontal="left"/>
    </xf>
    <xf numFmtId="0" fontId="7" fillId="0" borderId="0" xfId="0" applyFont="1"/>
    <xf numFmtId="0" fontId="0" fillId="0" borderId="0" xfId="0" applyFill="1" applyBorder="1"/>
    <xf numFmtId="0" fontId="11" fillId="0" borderId="0" xfId="0" applyFont="1"/>
    <xf numFmtId="0" fontId="13" fillId="0" borderId="0" xfId="0" applyFont="1"/>
    <xf numFmtId="0" fontId="14" fillId="0" borderId="0" xfId="0" applyFont="1"/>
    <xf numFmtId="0" fontId="7" fillId="0" borderId="1" xfId="0" applyFont="1" applyFill="1" applyBorder="1"/>
    <xf numFmtId="0" fontId="0" fillId="0" borderId="0" xfId="0" applyAlignment="1">
      <alignment horizontal="right"/>
    </xf>
    <xf numFmtId="0" fontId="7" fillId="0" borderId="0" xfId="7"/>
    <xf numFmtId="0" fontId="14" fillId="0" borderId="0" xfId="0" applyFont="1" applyAlignment="1">
      <alignment horizontal="center"/>
    </xf>
    <xf numFmtId="0" fontId="14" fillId="0" borderId="0" xfId="0" applyFont="1" applyFill="1"/>
    <xf numFmtId="164" fontId="14" fillId="0" borderId="0" xfId="8" applyNumberFormat="1" applyFont="1"/>
    <xf numFmtId="10" fontId="14" fillId="0" borderId="0" xfId="12" applyNumberFormat="1" applyFont="1" applyFill="1"/>
    <xf numFmtId="0" fontId="14" fillId="5" borderId="0" xfId="0" applyFont="1" applyFill="1"/>
    <xf numFmtId="0" fontId="14" fillId="0" borderId="0" xfId="0" applyFont="1" applyAlignment="1">
      <alignment wrapText="1"/>
    </xf>
    <xf numFmtId="0" fontId="14" fillId="0" borderId="0" xfId="0" applyFont="1" applyAlignment="1">
      <alignment horizontal="left"/>
    </xf>
    <xf numFmtId="0" fontId="14" fillId="0" borderId="0" xfId="0" applyNumberFormat="1" applyFont="1" applyFill="1" applyAlignment="1">
      <alignment horizontal="center"/>
    </xf>
    <xf numFmtId="0" fontId="14" fillId="0" borderId="0" xfId="0" applyNumberFormat="1" applyFont="1" applyFill="1" applyAlignment="1">
      <alignment horizontal="left"/>
    </xf>
    <xf numFmtId="3" fontId="6" fillId="0" borderId="0" xfId="0" applyNumberFormat="1" applyFont="1" applyBorder="1" applyAlignment="1"/>
    <xf numFmtId="0" fontId="14" fillId="0" borderId="0" xfId="0" applyFont="1" applyBorder="1" applyAlignment="1"/>
    <xf numFmtId="0" fontId="14" fillId="0" borderId="0" xfId="0" applyFont="1" applyAlignment="1"/>
    <xf numFmtId="3" fontId="14" fillId="0" borderId="0" xfId="0" applyNumberFormat="1" applyFont="1" applyBorder="1" applyAlignment="1">
      <alignment horizontal="left"/>
    </xf>
    <xf numFmtId="170" fontId="14" fillId="0" borderId="12" xfId="13" applyFont="1" applyBorder="1" applyAlignment="1">
      <alignment vertical="center"/>
    </xf>
    <xf numFmtId="3" fontId="14" fillId="0" borderId="12" xfId="0" applyNumberFormat="1" applyFont="1" applyBorder="1" applyAlignment="1">
      <alignment horizontal="left"/>
    </xf>
    <xf numFmtId="0" fontId="14" fillId="0" borderId="0" xfId="0" applyFont="1" applyBorder="1" applyAlignment="1">
      <alignment horizontal="left"/>
    </xf>
    <xf numFmtId="3" fontId="14" fillId="0" borderId="0" xfId="0" applyNumberFormat="1" applyFont="1" applyFill="1" applyAlignment="1"/>
    <xf numFmtId="3" fontId="6" fillId="0" borderId="0" xfId="0" applyNumberFormat="1" applyFont="1" applyAlignment="1">
      <alignment horizontal="left"/>
    </xf>
    <xf numFmtId="3" fontId="14" fillId="0" borderId="0" xfId="0" applyNumberFormat="1" applyFont="1" applyAlignment="1">
      <alignment horizontal="left"/>
    </xf>
    <xf numFmtId="0" fontId="14" fillId="0" borderId="0" xfId="0" applyNumberFormat="1" applyFont="1" applyAlignment="1"/>
    <xf numFmtId="0" fontId="6" fillId="0" borderId="0" xfId="0" applyNumberFormat="1" applyFont="1" applyAlignment="1">
      <alignment horizontal="left"/>
    </xf>
    <xf numFmtId="3" fontId="14" fillId="0" borderId="0" xfId="0" applyNumberFormat="1" applyFont="1" applyFill="1" applyAlignment="1">
      <alignment horizontal="left"/>
    </xf>
    <xf numFmtId="3" fontId="14" fillId="0" borderId="12" xfId="0" applyNumberFormat="1" applyFont="1" applyFill="1" applyBorder="1" applyAlignment="1">
      <alignment horizontal="left"/>
    </xf>
    <xf numFmtId="0" fontId="14" fillId="0" borderId="0" xfId="0" applyFont="1" applyFill="1" applyBorder="1" applyAlignment="1">
      <alignment horizontal="left"/>
    </xf>
    <xf numFmtId="0" fontId="14" fillId="0" borderId="0" xfId="0" applyNumberFormat="1" applyFont="1" applyBorder="1"/>
    <xf numFmtId="0" fontId="14" fillId="0" borderId="0" xfId="0" applyFont="1" applyFill="1" applyAlignment="1">
      <alignment horizontal="left"/>
    </xf>
    <xf numFmtId="0" fontId="14" fillId="0" borderId="18" xfId="0" applyFont="1" applyFill="1" applyBorder="1" applyAlignment="1"/>
    <xf numFmtId="0" fontId="14" fillId="0" borderId="18" xfId="0" applyNumberFormat="1" applyFont="1" applyFill="1" applyBorder="1" applyAlignment="1"/>
    <xf numFmtId="3" fontId="14" fillId="0" borderId="18" xfId="0" applyNumberFormat="1" applyFont="1" applyFill="1" applyBorder="1" applyAlignment="1"/>
    <xf numFmtId="0" fontId="14" fillId="0" borderId="18" xfId="0" applyFont="1" applyBorder="1" applyAlignment="1"/>
    <xf numFmtId="0" fontId="6" fillId="0" borderId="18" xfId="0" applyNumberFormat="1" applyFont="1" applyBorder="1" applyAlignment="1"/>
    <xf numFmtId="0" fontId="14" fillId="0" borderId="18" xfId="0" applyFont="1" applyBorder="1" applyAlignment="1">
      <alignment horizontal="left"/>
    </xf>
    <xf numFmtId="3" fontId="14" fillId="0" borderId="18" xfId="0" applyNumberFormat="1" applyFont="1" applyBorder="1" applyAlignment="1"/>
    <xf numFmtId="3" fontId="14" fillId="0" borderId="0" xfId="0" applyNumberFormat="1" applyFont="1" applyFill="1" applyAlignment="1">
      <alignment horizontal="center"/>
    </xf>
    <xf numFmtId="171" fontId="14" fillId="0" borderId="0" xfId="0" applyNumberFormat="1" applyFont="1" applyFill="1" applyAlignment="1"/>
    <xf numFmtId="172" fontId="14" fillId="0" borderId="0" xfId="8" applyNumberFormat="1" applyFont="1" applyFill="1" applyBorder="1" applyAlignment="1"/>
    <xf numFmtId="3" fontId="14" fillId="0" borderId="0" xfId="0" quotePrefix="1" applyNumberFormat="1" applyFont="1" applyAlignment="1">
      <alignment horizontal="right"/>
    </xf>
    <xf numFmtId="171" fontId="14" fillId="0" borderId="0" xfId="0" applyNumberFormat="1" applyFont="1" applyAlignment="1"/>
    <xf numFmtId="0" fontId="14" fillId="0" borderId="0" xfId="0" applyFont="1" applyAlignment="1">
      <alignment horizontal="right"/>
    </xf>
    <xf numFmtId="3" fontId="14" fillId="0" borderId="12" xfId="0" applyNumberFormat="1" applyFont="1" applyBorder="1" applyAlignment="1">
      <alignment horizontal="right"/>
    </xf>
    <xf numFmtId="171" fontId="14" fillId="0" borderId="12" xfId="0" applyNumberFormat="1" applyFont="1" applyBorder="1" applyAlignment="1"/>
    <xf numFmtId="0" fontId="6" fillId="0" borderId="0" xfId="0" applyFont="1" applyBorder="1" applyAlignment="1"/>
    <xf numFmtId="0" fontId="6" fillId="0" borderId="0" xfId="0" applyNumberFormat="1" applyFont="1" applyBorder="1" applyAlignment="1"/>
    <xf numFmtId="0" fontId="6" fillId="0" borderId="0" xfId="0" applyFont="1" applyBorder="1" applyAlignment="1">
      <alignment horizontal="left"/>
    </xf>
    <xf numFmtId="3" fontId="6" fillId="0" borderId="0" xfId="0" quotePrefix="1" applyNumberFormat="1" applyFont="1" applyBorder="1" applyAlignment="1">
      <alignment horizontal="right"/>
    </xf>
    <xf numFmtId="171" fontId="6" fillId="0" borderId="0" xfId="0" applyNumberFormat="1" applyFont="1" applyAlignment="1"/>
    <xf numFmtId="0" fontId="6" fillId="0" borderId="0" xfId="0" applyNumberFormat="1" applyFont="1" applyAlignment="1">
      <alignment horizontal="center"/>
    </xf>
    <xf numFmtId="0" fontId="6" fillId="0" borderId="19" xfId="0" applyFont="1" applyBorder="1" applyAlignment="1"/>
    <xf numFmtId="0" fontId="14" fillId="0" borderId="19" xfId="0" applyFont="1" applyBorder="1"/>
    <xf numFmtId="3" fontId="6" fillId="0" borderId="19" xfId="0" applyNumberFormat="1" applyFont="1" applyBorder="1" applyAlignment="1">
      <alignment horizontal="left"/>
    </xf>
    <xf numFmtId="173" fontId="6" fillId="0" borderId="19" xfId="0" applyNumberFormat="1" applyFont="1" applyBorder="1" applyAlignment="1">
      <alignment horizontal="center"/>
    </xf>
    <xf numFmtId="3" fontId="6" fillId="0" borderId="19" xfId="0" applyNumberFormat="1" applyFont="1" applyBorder="1" applyAlignment="1"/>
    <xf numFmtId="0" fontId="14" fillId="5" borderId="0" xfId="0" applyFont="1" applyFill="1" applyAlignment="1"/>
    <xf numFmtId="0" fontId="14" fillId="5" borderId="0" xfId="0" applyFont="1" applyFill="1" applyBorder="1" applyAlignment="1">
      <alignment horizontal="center" wrapText="1"/>
    </xf>
    <xf numFmtId="0" fontId="6" fillId="0" borderId="0" xfId="0" applyNumberFormat="1" applyFont="1" applyFill="1" applyAlignment="1"/>
    <xf numFmtId="3" fontId="14" fillId="0" borderId="0" xfId="0" applyNumberFormat="1" applyFont="1" applyAlignment="1">
      <alignment horizontal="center"/>
    </xf>
    <xf numFmtId="165" fontId="6" fillId="0" borderId="0" xfId="12" applyNumberFormat="1" applyFont="1" applyAlignment="1"/>
    <xf numFmtId="173" fontId="14" fillId="0" borderId="0" xfId="0" applyNumberFormat="1" applyFont="1" applyAlignment="1">
      <alignment horizontal="center"/>
    </xf>
    <xf numFmtId="167" fontId="14" fillId="0" borderId="0" xfId="0" applyNumberFormat="1" applyFont="1" applyAlignment="1">
      <alignment horizontal="left"/>
    </xf>
    <xf numFmtId="167" fontId="14" fillId="0" borderId="0" xfId="0" applyNumberFormat="1" applyFont="1" applyAlignment="1">
      <alignment horizontal="center"/>
    </xf>
    <xf numFmtId="10" fontId="14" fillId="0" borderId="0" xfId="0" applyNumberFormat="1" applyFont="1" applyFill="1" applyAlignment="1">
      <alignment horizontal="right"/>
    </xf>
    <xf numFmtId="10" fontId="14" fillId="0" borderId="0" xfId="12" applyNumberFormat="1" applyFont="1" applyFill="1" applyAlignment="1"/>
    <xf numFmtId="0" fontId="14" fillId="0" borderId="0" xfId="0" applyNumberFormat="1" applyFont="1" applyBorder="1" applyAlignment="1">
      <alignment horizontal="center"/>
    </xf>
    <xf numFmtId="0" fontId="14" fillId="0" borderId="12" xfId="0" applyFont="1" applyFill="1" applyBorder="1" applyAlignment="1">
      <alignment horizontal="left"/>
    </xf>
    <xf numFmtId="0" fontId="14" fillId="0" borderId="12" xfId="0" applyNumberFormat="1" applyFont="1" applyBorder="1" applyAlignment="1">
      <alignment horizontal="center"/>
    </xf>
    <xf numFmtId="0" fontId="20" fillId="0" borderId="18" xfId="0" applyNumberFormat="1" applyFont="1" applyFill="1" applyBorder="1" applyAlignment="1">
      <alignment horizontal="center"/>
    </xf>
    <xf numFmtId="0" fontId="6" fillId="0" borderId="0" xfId="0" applyNumberFormat="1" applyFont="1" applyBorder="1" applyAlignment="1">
      <alignment horizontal="left"/>
    </xf>
    <xf numFmtId="0" fontId="6" fillId="0" borderId="0" xfId="0" applyFont="1"/>
    <xf numFmtId="164" fontId="14" fillId="0" borderId="0" xfId="8" applyNumberFormat="1" applyFont="1" applyFill="1" applyAlignment="1"/>
    <xf numFmtId="167" fontId="6" fillId="0" borderId="19" xfId="0" applyNumberFormat="1" applyFont="1" applyBorder="1" applyAlignment="1">
      <alignment horizontal="left"/>
    </xf>
    <xf numFmtId="0" fontId="6" fillId="0" borderId="19" xfId="0" applyFont="1" applyBorder="1" applyAlignment="1">
      <alignment horizontal="center"/>
    </xf>
    <xf numFmtId="173" fontId="6" fillId="0" borderId="19" xfId="0" applyNumberFormat="1" applyFont="1" applyBorder="1" applyAlignment="1"/>
    <xf numFmtId="3" fontId="14" fillId="0" borderId="0" xfId="0" applyNumberFormat="1" applyFont="1" applyFill="1" applyAlignment="1">
      <alignment horizontal="right"/>
    </xf>
    <xf numFmtId="173" fontId="14" fillId="0" borderId="0" xfId="0" applyNumberFormat="1" applyFont="1" applyAlignment="1"/>
    <xf numFmtId="174" fontId="14" fillId="0" borderId="0" xfId="12" applyNumberFormat="1" applyFont="1" applyFill="1" applyAlignment="1">
      <alignment horizontal="right"/>
    </xf>
    <xf numFmtId="0" fontId="2" fillId="0" borderId="0" xfId="0" applyFont="1" applyAlignment="1">
      <alignment horizontal="center"/>
    </xf>
    <xf numFmtId="164" fontId="0" fillId="0" borderId="0" xfId="8" applyNumberFormat="1" applyFont="1" applyAlignment="1"/>
    <xf numFmtId="0" fontId="4" fillId="0" borderId="0" xfId="0" applyFont="1" applyAlignment="1">
      <alignment horizontal="right"/>
    </xf>
    <xf numFmtId="164" fontId="7" fillId="0" borderId="0" xfId="8" applyNumberFormat="1" applyFont="1" applyFill="1" applyBorder="1" applyAlignment="1">
      <alignment wrapText="1"/>
    </xf>
    <xf numFmtId="0" fontId="3" fillId="0" borderId="0" xfId="0" applyFont="1" applyFill="1"/>
    <xf numFmtId="0" fontId="15" fillId="0" borderId="0" xfId="0" applyFont="1" applyAlignment="1">
      <alignment wrapText="1"/>
    </xf>
    <xf numFmtId="0" fontId="7" fillId="0" borderId="0" xfId="0" applyFont="1" applyFill="1"/>
    <xf numFmtId="164" fontId="13" fillId="0" borderId="0" xfId="8" applyNumberFormat="1" applyFont="1" applyFill="1" applyAlignment="1"/>
    <xf numFmtId="0" fontId="13" fillId="0" borderId="0" xfId="0" applyFont="1" applyAlignment="1">
      <alignment horizontal="right"/>
    </xf>
    <xf numFmtId="164" fontId="7" fillId="0" borderId="0" xfId="0" applyNumberFormat="1" applyFont="1"/>
    <xf numFmtId="0" fontId="7" fillId="0" borderId="0" xfId="14"/>
    <xf numFmtId="0" fontId="23" fillId="0" borderId="0" xfId="0" applyFont="1" applyFill="1" applyAlignment="1">
      <alignment horizontal="center"/>
    </xf>
    <xf numFmtId="0" fontId="23" fillId="0" borderId="0" xfId="0" applyFont="1"/>
    <xf numFmtId="0" fontId="24" fillId="0" borderId="0" xfId="0" applyFont="1" applyFill="1" applyAlignment="1">
      <alignment horizontal="center"/>
    </xf>
    <xf numFmtId="0" fontId="23" fillId="0" borderId="0" xfId="0" applyFont="1" applyAlignment="1">
      <alignment horizontal="center"/>
    </xf>
    <xf numFmtId="0" fontId="23" fillId="0" borderId="0" xfId="0" applyFont="1" applyFill="1" applyAlignment="1">
      <alignment horizontal="right"/>
    </xf>
    <xf numFmtId="0" fontId="23" fillId="0" borderId="0" xfId="0" applyFont="1" applyBorder="1" applyAlignment="1">
      <alignment horizontal="center"/>
    </xf>
    <xf numFmtId="0" fontId="23" fillId="0" borderId="0" xfId="0" applyNumberFormat="1" applyFont="1" applyFill="1" applyBorder="1" applyAlignment="1">
      <alignment horizontal="center"/>
    </xf>
    <xf numFmtId="0" fontId="7" fillId="0" borderId="0" xfId="0" applyNumberFormat="1" applyFont="1" applyFill="1" applyBorder="1" applyAlignment="1">
      <alignment horizontal="left"/>
    </xf>
    <xf numFmtId="0" fontId="23" fillId="0" borderId="0" xfId="0" applyFont="1" applyFill="1"/>
    <xf numFmtId="0" fontId="3" fillId="0" borderId="0" xfId="0" applyFont="1" applyFill="1" applyBorder="1"/>
    <xf numFmtId="37" fontId="7" fillId="0" borderId="0" xfId="0" applyNumberFormat="1" applyFont="1" applyFill="1"/>
    <xf numFmtId="0" fontId="26" fillId="0" borderId="0" xfId="0" applyFont="1" applyAlignment="1">
      <alignment horizontal="center"/>
    </xf>
    <xf numFmtId="0" fontId="27" fillId="0" borderId="0" xfId="0" applyFont="1" applyBorder="1" applyAlignment="1">
      <alignment horizontal="center"/>
    </xf>
    <xf numFmtId="0" fontId="28" fillId="0" borderId="0" xfId="0" applyFont="1" applyFill="1" applyAlignment="1">
      <alignment horizontal="left"/>
    </xf>
    <xf numFmtId="0" fontId="28" fillId="0" borderId="0" xfId="0" applyFont="1" applyFill="1" applyAlignment="1"/>
    <xf numFmtId="0" fontId="28" fillId="0" borderId="0" xfId="0" applyFont="1" applyFill="1" applyAlignment="1">
      <alignment horizontal="center"/>
    </xf>
    <xf numFmtId="0" fontId="28" fillId="0" borderId="0" xfId="0" applyFont="1" applyFill="1"/>
    <xf numFmtId="0" fontId="26" fillId="6" borderId="2" xfId="0" applyFont="1" applyFill="1" applyBorder="1" applyAlignment="1">
      <alignment horizontal="left"/>
    </xf>
    <xf numFmtId="0" fontId="14" fillId="6" borderId="4" xfId="0" applyFont="1" applyFill="1" applyBorder="1" applyAlignment="1"/>
    <xf numFmtId="0" fontId="14" fillId="6" borderId="4" xfId="0" applyFont="1" applyFill="1" applyBorder="1" applyAlignment="1">
      <alignment horizontal="center"/>
    </xf>
    <xf numFmtId="0" fontId="14" fillId="6" borderId="3" xfId="0" applyFont="1" applyFill="1" applyBorder="1"/>
    <xf numFmtId="0" fontId="26" fillId="6" borderId="7" xfId="0" applyFont="1" applyFill="1" applyBorder="1" applyAlignment="1">
      <alignment horizontal="left"/>
    </xf>
    <xf numFmtId="0" fontId="17" fillId="6" borderId="1" xfId="0" applyFont="1" applyFill="1" applyBorder="1" applyAlignment="1"/>
    <xf numFmtId="0" fontId="6" fillId="6" borderId="1" xfId="0" applyFont="1" applyFill="1" applyBorder="1" applyAlignment="1"/>
    <xf numFmtId="0" fontId="17" fillId="6" borderId="1" xfId="0" applyNumberFormat="1" applyFont="1" applyFill="1" applyBorder="1" applyAlignment="1">
      <alignment horizontal="center"/>
    </xf>
    <xf numFmtId="0" fontId="6" fillId="6" borderId="8" xfId="0" applyFont="1" applyFill="1" applyBorder="1" applyAlignment="1">
      <alignment horizontal="center" wrapText="1"/>
    </xf>
    <xf numFmtId="0" fontId="6" fillId="0" borderId="6" xfId="0" applyFont="1" applyBorder="1"/>
    <xf numFmtId="0" fontId="6" fillId="2" borderId="17" xfId="0" quotePrefix="1" applyFont="1" applyFill="1" applyBorder="1" applyAlignment="1">
      <alignment horizontal="center" wrapText="1"/>
    </xf>
    <xf numFmtId="0" fontId="26" fillId="0" borderId="0" xfId="0" applyFont="1" applyFill="1" applyBorder="1" applyAlignment="1">
      <alignment horizontal="left"/>
    </xf>
    <xf numFmtId="0" fontId="17" fillId="0" borderId="0" xfId="0" applyFont="1" applyFill="1" applyBorder="1" applyAlignment="1"/>
    <xf numFmtId="0" fontId="6" fillId="0" borderId="0" xfId="0" applyFont="1" applyFill="1" applyBorder="1" applyAlignment="1"/>
    <xf numFmtId="0" fontId="17" fillId="0" borderId="0" xfId="0" applyNumberFormat="1" applyFont="1" applyFill="1" applyBorder="1" applyAlignment="1">
      <alignment horizontal="center"/>
    </xf>
    <xf numFmtId="0" fontId="6" fillId="0" borderId="0" xfId="0" applyFont="1" applyFill="1" applyBorder="1" applyAlignment="1">
      <alignment horizontal="center" wrapText="1"/>
    </xf>
    <xf numFmtId="0" fontId="6" fillId="0" borderId="0" xfId="0" applyFont="1" applyFill="1" applyBorder="1"/>
    <xf numFmtId="0" fontId="6" fillId="0" borderId="0" xfId="0" applyFont="1" applyFill="1"/>
    <xf numFmtId="0" fontId="29" fillId="5" borderId="0" xfId="0" applyFont="1" applyFill="1" applyBorder="1" applyAlignment="1">
      <alignment horizontal="left"/>
    </xf>
    <xf numFmtId="0" fontId="29" fillId="5" borderId="0" xfId="0" applyFont="1" applyFill="1" applyBorder="1" applyAlignment="1"/>
    <xf numFmtId="0" fontId="14" fillId="5" borderId="0" xfId="0" applyFont="1" applyFill="1" applyBorder="1" applyAlignment="1"/>
    <xf numFmtId="0" fontId="14" fillId="5" borderId="0" xfId="0" applyFont="1" applyFill="1" applyBorder="1"/>
    <xf numFmtId="0" fontId="14" fillId="0" borderId="0" xfId="0" applyFont="1" applyFill="1" applyBorder="1" applyAlignment="1">
      <alignment horizontal="center" wrapText="1"/>
    </xf>
    <xf numFmtId="0" fontId="20" fillId="0" borderId="0" xfId="0" applyFont="1" applyFill="1" applyAlignment="1">
      <alignment horizontal="left"/>
    </xf>
    <xf numFmtId="0" fontId="14" fillId="0" borderId="0" xfId="0" applyFont="1" applyFill="1" applyAlignment="1">
      <alignment horizontal="center"/>
    </xf>
    <xf numFmtId="166" fontId="14" fillId="2" borderId="0" xfId="10" applyNumberFormat="1" applyFont="1" applyFill="1"/>
    <xf numFmtId="0" fontId="14" fillId="0" borderId="18" xfId="0" applyNumberFormat="1" applyFont="1" applyBorder="1" applyAlignment="1"/>
    <xf numFmtId="3" fontId="14" fillId="0" borderId="18" xfId="0" applyNumberFormat="1" applyFont="1" applyBorder="1" applyAlignment="1">
      <alignment horizontal="center"/>
    </xf>
    <xf numFmtId="0" fontId="14" fillId="0" borderId="19" xfId="0" applyNumberFormat="1" applyFont="1" applyFill="1" applyBorder="1" applyAlignment="1"/>
    <xf numFmtId="0" fontId="14" fillId="0" borderId="19" xfId="0" applyFont="1" applyFill="1" applyBorder="1" applyAlignment="1"/>
    <xf numFmtId="3" fontId="14" fillId="0" borderId="19" xfId="0" applyNumberFormat="1" applyFont="1" applyBorder="1" applyAlignment="1"/>
    <xf numFmtId="0" fontId="14" fillId="0" borderId="19" xfId="0" applyFont="1" applyBorder="1" applyAlignment="1"/>
    <xf numFmtId="165" fontId="14" fillId="0" borderId="0" xfId="12" applyNumberFormat="1" applyFont="1" applyAlignment="1"/>
    <xf numFmtId="0" fontId="14" fillId="0" borderId="18" xfId="0" applyFont="1" applyBorder="1"/>
    <xf numFmtId="0" fontId="14" fillId="0" borderId="18" xfId="0" applyFont="1" applyBorder="1" applyAlignment="1">
      <alignment horizontal="center"/>
    </xf>
    <xf numFmtId="0" fontId="14" fillId="0" borderId="19" xfId="0" applyFont="1" applyBorder="1" applyAlignment="1">
      <alignment horizontal="center"/>
    </xf>
    <xf numFmtId="3" fontId="14" fillId="0" borderId="0" xfId="0" applyNumberFormat="1" applyFont="1" applyFill="1"/>
    <xf numFmtId="0" fontId="30" fillId="5" borderId="0" xfId="0" applyFont="1" applyFill="1" applyBorder="1" applyAlignment="1">
      <alignment horizontal="left"/>
    </xf>
    <xf numFmtId="0" fontId="30" fillId="5" borderId="0" xfId="0" applyFont="1" applyFill="1" applyBorder="1" applyAlignment="1"/>
    <xf numFmtId="0" fontId="30" fillId="0" borderId="0" xfId="0" applyFont="1" applyFill="1" applyBorder="1" applyAlignment="1">
      <alignment horizontal="center"/>
    </xf>
    <xf numFmtId="0" fontId="30" fillId="0" borderId="0" xfId="0" applyFont="1" applyFill="1" applyBorder="1" applyAlignment="1"/>
    <xf numFmtId="0" fontId="14" fillId="0" borderId="12" xfId="0" applyFont="1" applyBorder="1" applyAlignment="1">
      <alignment horizontal="center"/>
    </xf>
    <xf numFmtId="0" fontId="14" fillId="0" borderId="0" xfId="0" applyNumberFormat="1" applyFont="1" applyAlignment="1">
      <alignment horizontal="right"/>
    </xf>
    <xf numFmtId="0" fontId="20" fillId="0" borderId="18" xfId="0" applyFont="1" applyFill="1" applyBorder="1" applyAlignment="1"/>
    <xf numFmtId="3" fontId="14" fillId="0" borderId="19" xfId="0" applyNumberFormat="1" applyFont="1" applyBorder="1"/>
    <xf numFmtId="0" fontId="20" fillId="0" borderId="12" xfId="0" applyFont="1" applyFill="1" applyBorder="1" applyAlignment="1">
      <alignment horizontal="center"/>
    </xf>
    <xf numFmtId="0" fontId="14" fillId="0" borderId="0" xfId="0" applyNumberFormat="1" applyFont="1" applyBorder="1" applyAlignment="1"/>
    <xf numFmtId="0" fontId="31" fillId="0" borderId="0" xfId="0" applyFont="1" applyAlignment="1">
      <alignment horizontal="left"/>
    </xf>
    <xf numFmtId="0" fontId="31" fillId="0" borderId="0" xfId="0" applyFont="1"/>
    <xf numFmtId="0" fontId="14" fillId="0" borderId="0" xfId="0" applyFont="1" applyAlignment="1">
      <alignment vertical="center"/>
    </xf>
    <xf numFmtId="0" fontId="14" fillId="0" borderId="0" xfId="0" applyNumberFormat="1" applyFont="1" applyFill="1" applyAlignment="1">
      <alignment horizontal="right"/>
    </xf>
    <xf numFmtId="165" fontId="14" fillId="0" borderId="0" xfId="0" applyNumberFormat="1" applyFont="1" applyAlignment="1">
      <alignment horizontal="right"/>
    </xf>
    <xf numFmtId="0" fontId="14" fillId="0" borderId="12" xfId="0" applyNumberFormat="1" applyFont="1" applyFill="1" applyBorder="1" applyAlignment="1">
      <alignment horizontal="center"/>
    </xf>
    <xf numFmtId="0" fontId="14" fillId="0" borderId="12" xfId="0" applyFont="1" applyBorder="1"/>
    <xf numFmtId="0" fontId="20" fillId="0" borderId="12" xfId="0" applyFont="1" applyBorder="1" applyAlignment="1">
      <alignment horizontal="center"/>
    </xf>
    <xf numFmtId="0" fontId="14" fillId="0" borderId="19" xfId="0" applyFont="1" applyFill="1" applyBorder="1"/>
    <xf numFmtId="0" fontId="6" fillId="0" borderId="0" xfId="0" applyFont="1" applyFill="1" applyAlignment="1"/>
    <xf numFmtId="0" fontId="20" fillId="0" borderId="0" xfId="0" applyFont="1" applyFill="1" applyAlignment="1">
      <alignment horizontal="center"/>
    </xf>
    <xf numFmtId="0" fontId="20" fillId="0" borderId="12" xfId="0" applyFont="1" applyFill="1" applyBorder="1" applyAlignment="1"/>
    <xf numFmtId="3" fontId="14" fillId="0" borderId="19" xfId="0" applyNumberFormat="1" applyFont="1" applyBorder="1" applyAlignment="1">
      <alignment horizontal="center"/>
    </xf>
    <xf numFmtId="0" fontId="21" fillId="0" borderId="0" xfId="0" applyNumberFormat="1" applyFont="1" applyFill="1" applyAlignment="1">
      <alignment horizontal="center"/>
    </xf>
    <xf numFmtId="0" fontId="21" fillId="0" borderId="0" xfId="0" applyNumberFormat="1" applyFont="1" applyFill="1" applyAlignment="1"/>
    <xf numFmtId="0" fontId="14" fillId="0" borderId="19" xfId="0" applyNumberFormat="1" applyFont="1" applyBorder="1" applyAlignment="1">
      <alignment horizontal="left"/>
    </xf>
    <xf numFmtId="0" fontId="14" fillId="0" borderId="19" xfId="0" applyFont="1" applyBorder="1" applyAlignment="1">
      <alignment horizontal="right"/>
    </xf>
    <xf numFmtId="0" fontId="34" fillId="0" borderId="0" xfId="0" applyNumberFormat="1" applyFont="1" applyFill="1" applyAlignment="1">
      <alignment horizontal="left"/>
    </xf>
    <xf numFmtId="164" fontId="14" fillId="0" borderId="0" xfId="8" applyNumberFormat="1" applyFont="1" applyFill="1"/>
    <xf numFmtId="170" fontId="14" fillId="0" borderId="12" xfId="13" applyFont="1" applyFill="1" applyBorder="1" applyAlignment="1">
      <alignment vertical="center"/>
    </xf>
    <xf numFmtId="3" fontId="20" fillId="0" borderId="12" xfId="0" applyNumberFormat="1" applyFont="1" applyFill="1" applyBorder="1" applyAlignment="1">
      <alignment horizontal="center"/>
    </xf>
    <xf numFmtId="164" fontId="14" fillId="2" borderId="0" xfId="8" applyNumberFormat="1" applyFont="1" applyFill="1" applyBorder="1"/>
    <xf numFmtId="0" fontId="20" fillId="0" borderId="0" xfId="0" applyFont="1" applyAlignment="1">
      <alignment horizontal="center"/>
    </xf>
    <xf numFmtId="3" fontId="14" fillId="0" borderId="0" xfId="0" quotePrefix="1" applyNumberFormat="1" applyFont="1" applyBorder="1" applyAlignment="1">
      <alignment horizontal="right"/>
    </xf>
    <xf numFmtId="167" fontId="14" fillId="0" borderId="19" xfId="0" applyNumberFormat="1" applyFont="1" applyBorder="1" applyAlignment="1">
      <alignment horizontal="left"/>
    </xf>
    <xf numFmtId="173" fontId="14" fillId="0" borderId="19" xfId="0" applyNumberFormat="1" applyFont="1" applyBorder="1" applyAlignment="1">
      <alignment horizontal="center"/>
    </xf>
    <xf numFmtId="167" fontId="14" fillId="0" borderId="0" xfId="0" applyNumberFormat="1" applyFont="1" applyBorder="1" applyAlignment="1">
      <alignment horizontal="left"/>
    </xf>
    <xf numFmtId="10" fontId="14" fillId="0" borderId="0" xfId="12" applyNumberFormat="1" applyFont="1" applyAlignment="1"/>
    <xf numFmtId="0" fontId="14" fillId="0" borderId="18" xfId="0" applyNumberFormat="1" applyFont="1" applyBorder="1" applyAlignment="1">
      <alignment horizontal="left"/>
    </xf>
    <xf numFmtId="173" fontId="14" fillId="0" borderId="19" xfId="0" applyNumberFormat="1" applyFont="1" applyBorder="1" applyAlignment="1"/>
    <xf numFmtId="3" fontId="14" fillId="0" borderId="0" xfId="0" applyNumberFormat="1" applyFont="1" applyFill="1" applyBorder="1"/>
    <xf numFmtId="0" fontId="14" fillId="0" borderId="12" xfId="0" applyNumberFormat="1" applyFont="1" applyFill="1" applyBorder="1" applyAlignment="1"/>
    <xf numFmtId="3" fontId="14" fillId="0" borderId="12" xfId="0" applyNumberFormat="1" applyFont="1" applyFill="1" applyBorder="1"/>
    <xf numFmtId="10" fontId="14" fillId="0" borderId="0" xfId="12" applyNumberFormat="1" applyFont="1" applyFill="1" applyBorder="1"/>
    <xf numFmtId="0" fontId="14" fillId="0" borderId="15" xfId="0" applyFont="1" applyBorder="1"/>
    <xf numFmtId="166" fontId="14" fillId="0" borderId="0" xfId="0" applyNumberFormat="1" applyFont="1" applyAlignment="1">
      <alignment horizontal="center"/>
    </xf>
    <xf numFmtId="0" fontId="28" fillId="0" borderId="0" xfId="0" applyFont="1" applyFill="1" applyBorder="1"/>
    <xf numFmtId="164" fontId="14" fillId="0" borderId="0" xfId="8" applyNumberFormat="1" applyFont="1" applyFill="1" applyBorder="1" applyAlignment="1"/>
    <xf numFmtId="0" fontId="35" fillId="0" borderId="0" xfId="0" applyFont="1" applyAlignment="1">
      <alignment horizontal="left"/>
    </xf>
    <xf numFmtId="166" fontId="14" fillId="0" borderId="0" xfId="10" applyNumberFormat="1" applyFont="1"/>
    <xf numFmtId="0" fontId="6" fillId="0" borderId="0" xfId="0" applyNumberFormat="1" applyFont="1" applyBorder="1" applyAlignment="1">
      <alignment horizontal="center"/>
    </xf>
    <xf numFmtId="0" fontId="29" fillId="5" borderId="0" xfId="0" applyNumberFormat="1" applyFont="1" applyFill="1" applyAlignment="1">
      <alignment horizontal="left"/>
    </xf>
    <xf numFmtId="0" fontId="14" fillId="5" borderId="0" xfId="0" applyNumberFormat="1" applyFont="1" applyFill="1" applyAlignment="1">
      <alignment horizontal="center"/>
    </xf>
    <xf numFmtId="3" fontId="14" fillId="5" borderId="0" xfId="0" applyNumberFormat="1" applyFont="1" applyFill="1" applyAlignment="1">
      <alignment horizontal="center"/>
    </xf>
    <xf numFmtId="43" fontId="14" fillId="0" borderId="0" xfId="8" applyFont="1"/>
    <xf numFmtId="176" fontId="14" fillId="0" borderId="0" xfId="12" applyNumberFormat="1" applyFont="1"/>
    <xf numFmtId="43" fontId="14" fillId="0" borderId="0" xfId="0" applyNumberFormat="1" applyFont="1"/>
    <xf numFmtId="3" fontId="14" fillId="0" borderId="0" xfId="0" applyNumberFormat="1" applyFont="1" applyFill="1" applyBorder="1" applyAlignment="1">
      <alignment horizontal="left"/>
    </xf>
    <xf numFmtId="3" fontId="14" fillId="0" borderId="18" xfId="0" applyNumberFormat="1" applyFont="1" applyFill="1" applyBorder="1" applyAlignment="1">
      <alignment horizontal="left"/>
    </xf>
    <xf numFmtId="3" fontId="14" fillId="0" borderId="18" xfId="0" applyNumberFormat="1" applyFont="1" applyBorder="1" applyAlignment="1">
      <alignment horizontal="left"/>
    </xf>
    <xf numFmtId="3" fontId="6" fillId="0" borderId="0" xfId="0" applyNumberFormat="1" applyFont="1" applyBorder="1" applyAlignment="1">
      <alignment horizontal="left"/>
    </xf>
    <xf numFmtId="0" fontId="7" fillId="0" borderId="0" xfId="20" applyFont="1"/>
    <xf numFmtId="0" fontId="9" fillId="0" borderId="0" xfId="7" applyFont="1" applyBorder="1"/>
    <xf numFmtId="0" fontId="8" fillId="0" borderId="0" xfId="7" applyFont="1" applyBorder="1"/>
    <xf numFmtId="0" fontId="7" fillId="0" borderId="0" xfId="7" applyFont="1"/>
    <xf numFmtId="0" fontId="8" fillId="0" borderId="0" xfId="20" applyFont="1" applyAlignment="1">
      <alignment horizontal="left"/>
    </xf>
    <xf numFmtId="0" fontId="8" fillId="0" borderId="0" xfId="7" applyFont="1" applyAlignment="1">
      <alignment horizontal="center"/>
    </xf>
    <xf numFmtId="0" fontId="8" fillId="0" borderId="0" xfId="7" applyFont="1" applyBorder="1" applyAlignment="1">
      <alignment horizontal="center"/>
    </xf>
    <xf numFmtId="0" fontId="8" fillId="0" borderId="0" xfId="7" applyFont="1" applyFill="1" applyBorder="1" applyAlignment="1">
      <alignment horizontal="center"/>
    </xf>
    <xf numFmtId="0" fontId="7" fillId="0" borderId="0" xfId="7" applyFont="1" applyAlignment="1">
      <alignment horizontal="center"/>
    </xf>
    <xf numFmtId="0" fontId="7" fillId="0" borderId="0" xfId="7" applyFont="1" applyBorder="1" applyAlignment="1">
      <alignment horizontal="center"/>
    </xf>
    <xf numFmtId="0" fontId="7" fillId="0" borderId="0" xfId="7" applyFont="1" applyFill="1" applyBorder="1" applyAlignment="1">
      <alignment horizontal="center"/>
    </xf>
    <xf numFmtId="0" fontId="25" fillId="0" borderId="0" xfId="21" applyFont="1"/>
    <xf numFmtId="177" fontId="25" fillId="0" borderId="0" xfId="22" applyNumberFormat="1" applyFont="1" applyBorder="1"/>
    <xf numFmtId="177" fontId="39" fillId="7" borderId="0" xfId="23" applyNumberFormat="1" applyFont="1" applyFill="1"/>
    <xf numFmtId="177" fontId="25" fillId="0" borderId="0" xfId="24" applyNumberFormat="1" applyFont="1" applyBorder="1"/>
    <xf numFmtId="49" fontId="7" fillId="0" borderId="0" xfId="7" applyNumberFormat="1" applyFont="1" applyFill="1" applyBorder="1" applyAlignment="1">
      <alignment horizontal="left"/>
    </xf>
    <xf numFmtId="41" fontId="7" fillId="0" borderId="0" xfId="7" applyNumberFormat="1" applyFont="1" applyFill="1" applyBorder="1"/>
    <xf numFmtId="41" fontId="7" fillId="0" borderId="0" xfId="7" applyNumberFormat="1" applyFont="1" applyBorder="1" applyAlignment="1">
      <alignment horizontal="center"/>
    </xf>
    <xf numFmtId="42" fontId="7" fillId="0" borderId="0" xfId="20" applyNumberFormat="1" applyFont="1"/>
    <xf numFmtId="166" fontId="40" fillId="0" borderId="19" xfId="10" applyNumberFormat="1" applyFont="1" applyBorder="1"/>
    <xf numFmtId="164" fontId="7" fillId="0" borderId="0" xfId="8" applyNumberFormat="1" applyFont="1" applyFill="1" applyAlignment="1">
      <alignment horizontal="left"/>
    </xf>
    <xf numFmtId="164" fontId="8" fillId="0" borderId="0" xfId="8" applyNumberFormat="1" applyFont="1" applyFill="1" applyAlignment="1"/>
    <xf numFmtId="0" fontId="14" fillId="0" borderId="0" xfId="53" applyNumberFormat="1" applyFont="1" applyFill="1" applyAlignment="1">
      <alignment horizontal="center"/>
    </xf>
    <xf numFmtId="0" fontId="14" fillId="0" borderId="0" xfId="53" applyFont="1" applyFill="1" applyBorder="1" applyAlignment="1">
      <alignment horizontal="center"/>
    </xf>
    <xf numFmtId="165" fontId="14" fillId="0" borderId="0" xfId="12" applyNumberFormat="1" applyFont="1" applyFill="1" applyBorder="1" applyAlignment="1">
      <alignment horizontal="center"/>
    </xf>
    <xf numFmtId="1" fontId="14" fillId="0" borderId="0" xfId="27" applyNumberFormat="1" applyFont="1" applyFill="1" applyAlignment="1">
      <alignment horizontal="left"/>
    </xf>
    <xf numFmtId="168" fontId="34" fillId="0" borderId="0" xfId="27" quotePrefix="1" applyFont="1" applyFill="1" applyAlignment="1">
      <alignment horizontal="left"/>
    </xf>
    <xf numFmtId="168" fontId="6" fillId="0" borderId="0" xfId="27" applyFont="1" applyFill="1" applyAlignment="1"/>
    <xf numFmtId="0" fontId="42" fillId="0" borderId="0" xfId="53" applyFont="1" applyFill="1" applyAlignment="1">
      <alignment horizontal="center" wrapText="1"/>
    </xf>
    <xf numFmtId="0" fontId="42" fillId="0" borderId="0" xfId="53" applyFont="1" applyFill="1" applyBorder="1" applyAlignment="1">
      <alignment horizontal="center" wrapText="1"/>
    </xf>
    <xf numFmtId="168" fontId="14" fillId="0" borderId="0" xfId="27" applyFont="1" applyFill="1" applyAlignment="1"/>
    <xf numFmtId="43" fontId="14" fillId="0" borderId="0" xfId="8" applyFont="1" applyFill="1" applyAlignment="1"/>
    <xf numFmtId="172" fontId="43" fillId="9" borderId="0" xfId="8" applyNumberFormat="1" applyFont="1" applyFill="1"/>
    <xf numFmtId="10" fontId="43" fillId="0" borderId="0" xfId="53" applyNumberFormat="1" applyFont="1" applyFill="1" applyBorder="1"/>
    <xf numFmtId="43" fontId="42" fillId="0" borderId="0" xfId="8" applyFont="1" applyFill="1" applyBorder="1"/>
    <xf numFmtId="0" fontId="42" fillId="0" borderId="0" xfId="53" applyFont="1" applyFill="1" applyBorder="1"/>
    <xf numFmtId="0" fontId="14" fillId="0" borderId="0" xfId="53" applyNumberFormat="1" applyFont="1" applyFill="1" applyBorder="1" applyAlignment="1">
      <alignment horizontal="center"/>
    </xf>
    <xf numFmtId="0" fontId="42" fillId="0" borderId="0" xfId="53" applyFont="1" applyFill="1" applyBorder="1" applyAlignment="1">
      <alignment horizontal="center"/>
    </xf>
    <xf numFmtId="10" fontId="42" fillId="0" borderId="0" xfId="53" applyNumberFormat="1" applyFont="1" applyFill="1" applyBorder="1"/>
    <xf numFmtId="168" fontId="14" fillId="0" borderId="0" xfId="27" quotePrefix="1" applyFont="1" applyFill="1" applyBorder="1" applyAlignment="1">
      <alignment horizontal="left"/>
    </xf>
    <xf numFmtId="43" fontId="14" fillId="0" borderId="0" xfId="8" applyFont="1" applyFill="1" applyBorder="1" applyAlignment="1"/>
    <xf numFmtId="0" fontId="44" fillId="0" borderId="0" xfId="53" applyFont="1" applyFill="1" applyBorder="1"/>
    <xf numFmtId="168" fontId="14" fillId="0" borderId="0" xfId="27" applyFont="1" applyFill="1" applyBorder="1" applyAlignment="1"/>
    <xf numFmtId="0" fontId="42" fillId="0" borderId="0" xfId="53" applyFont="1" applyFill="1"/>
    <xf numFmtId="164" fontId="14" fillId="0" borderId="0" xfId="0" applyNumberFormat="1" applyFont="1" applyFill="1" applyBorder="1" applyAlignment="1"/>
    <xf numFmtId="175" fontId="14" fillId="0" borderId="0" xfId="0" applyNumberFormat="1" applyFont="1" applyAlignment="1">
      <alignment horizontal="center"/>
    </xf>
    <xf numFmtId="0" fontId="46" fillId="0" borderId="0" xfId="0" applyFont="1"/>
    <xf numFmtId="0" fontId="45" fillId="0" borderId="0" xfId="0" applyFont="1"/>
    <xf numFmtId="0" fontId="47" fillId="9" borderId="0" xfId="0" applyFont="1" applyFill="1"/>
    <xf numFmtId="0" fontId="46" fillId="9" borderId="0" xfId="0" applyFont="1" applyFill="1"/>
    <xf numFmtId="0" fontId="39" fillId="0" borderId="0" xfId="0" applyFont="1"/>
    <xf numFmtId="0" fontId="49" fillId="11" borderId="0" xfId="0" applyFont="1" applyFill="1"/>
    <xf numFmtId="0" fontId="50" fillId="0" borderId="0" xfId="0" applyFont="1" applyAlignment="1">
      <alignment horizontal="center"/>
    </xf>
    <xf numFmtId="0" fontId="14" fillId="0" borderId="0" xfId="0" applyFont="1" applyFill="1" applyAlignment="1">
      <alignment horizontal="right"/>
    </xf>
    <xf numFmtId="0" fontId="14" fillId="0" borderId="0" xfId="0" applyFont="1" applyFill="1" applyAlignment="1">
      <alignment vertical="center"/>
    </xf>
    <xf numFmtId="43" fontId="14" fillId="0" borderId="0" xfId="8" applyFont="1" applyFill="1"/>
    <xf numFmtId="164" fontId="14" fillId="0" borderId="0" xfId="48" applyNumberFormat="1" applyFont="1"/>
    <xf numFmtId="0" fontId="37" fillId="0" borderId="0" xfId="0" applyFont="1"/>
    <xf numFmtId="0" fontId="43" fillId="0" borderId="0" xfId="53" applyNumberFormat="1" applyFont="1" applyFill="1" applyBorder="1"/>
    <xf numFmtId="165" fontId="14" fillId="0" borderId="0" xfId="12" applyNumberFormat="1" applyFont="1" applyFill="1" applyBorder="1" applyAlignment="1"/>
    <xf numFmtId="164" fontId="14" fillId="0" borderId="0" xfId="8" applyNumberFormat="1" applyFont="1" applyFill="1" applyBorder="1" applyAlignment="1">
      <alignment horizontal="right"/>
    </xf>
    <xf numFmtId="0" fontId="6" fillId="0" borderId="0" xfId="0" quotePrefix="1" applyFont="1" applyFill="1" applyBorder="1" applyAlignment="1">
      <alignment horizontal="center" wrapText="1"/>
    </xf>
    <xf numFmtId="166" fontId="14" fillId="0" borderId="0" xfId="10" applyNumberFormat="1" applyFont="1" applyFill="1"/>
    <xf numFmtId="166" fontId="14" fillId="0" borderId="0" xfId="0" applyNumberFormat="1" applyFont="1" applyFill="1" applyAlignment="1"/>
    <xf numFmtId="165" fontId="14" fillId="0" borderId="0" xfId="12" applyNumberFormat="1" applyFont="1" applyFill="1" applyAlignment="1"/>
    <xf numFmtId="174" fontId="14" fillId="0" borderId="0" xfId="12" applyNumberFormat="1" applyFont="1" applyFill="1" applyAlignment="1"/>
    <xf numFmtId="174" fontId="14" fillId="0" borderId="0" xfId="12" applyNumberFormat="1" applyFont="1" applyFill="1" applyBorder="1" applyAlignment="1"/>
    <xf numFmtId="165" fontId="14" fillId="0" borderId="0" xfId="0" applyNumberFormat="1" applyFont="1" applyFill="1" applyAlignment="1">
      <alignment horizontal="right"/>
    </xf>
    <xf numFmtId="165" fontId="14" fillId="0" borderId="0" xfId="0" applyNumberFormat="1" applyFont="1" applyFill="1" applyBorder="1" applyAlignment="1">
      <alignment horizontal="right"/>
    </xf>
    <xf numFmtId="164" fontId="14" fillId="0" borderId="0" xfId="8" applyNumberFormat="1" applyFont="1" applyFill="1" applyBorder="1"/>
    <xf numFmtId="175" fontId="14" fillId="0" borderId="0" xfId="0" applyNumberFormat="1" applyFont="1" applyFill="1" applyAlignment="1"/>
    <xf numFmtId="175" fontId="14" fillId="0" borderId="0" xfId="0" applyNumberFormat="1" applyFont="1" applyFill="1" applyAlignment="1">
      <alignment horizontal="center"/>
    </xf>
    <xf numFmtId="171" fontId="14" fillId="0" borderId="0" xfId="0" applyNumberFormat="1" applyFont="1" applyFill="1" applyBorder="1" applyAlignment="1"/>
    <xf numFmtId="43" fontId="14" fillId="0" borderId="0" xfId="12" applyNumberFormat="1" applyFont="1" applyFill="1" applyAlignment="1"/>
    <xf numFmtId="37" fontId="14" fillId="0" borderId="0" xfId="0" applyNumberFormat="1" applyFont="1" applyFill="1" applyBorder="1" applyAlignment="1">
      <alignment horizontal="center"/>
    </xf>
    <xf numFmtId="0" fontId="6" fillId="0" borderId="0" xfId="0" applyNumberFormat="1" applyFont="1" applyFill="1" applyBorder="1" applyAlignment="1">
      <alignment horizontal="center"/>
    </xf>
    <xf numFmtId="165" fontId="6" fillId="0" borderId="0" xfId="12" applyNumberFormat="1" applyFont="1" applyFill="1" applyAlignment="1"/>
    <xf numFmtId="176" fontId="14" fillId="0" borderId="0" xfId="12" applyNumberFormat="1" applyFont="1" applyFill="1"/>
    <xf numFmtId="43" fontId="14" fillId="0" borderId="0" xfId="0" applyNumberFormat="1" applyFont="1" applyFill="1"/>
    <xf numFmtId="9" fontId="7" fillId="0" borderId="0" xfId="47" applyFont="1" applyFill="1" applyAlignment="1">
      <alignment wrapText="1"/>
    </xf>
    <xf numFmtId="166" fontId="25" fillId="0" borderId="0" xfId="46" applyNumberFormat="1" applyFont="1" applyFill="1" applyAlignment="1">
      <alignment horizontal="left" wrapText="1"/>
    </xf>
    <xf numFmtId="10" fontId="7" fillId="0" borderId="0" xfId="47" applyNumberFormat="1" applyFont="1" applyFill="1" applyAlignment="1">
      <alignment wrapText="1"/>
    </xf>
    <xf numFmtId="0" fontId="25" fillId="0" borderId="0" xfId="0" applyFont="1"/>
    <xf numFmtId="0" fontId="32" fillId="0" borderId="0" xfId="20" applyFont="1" applyAlignment="1"/>
    <xf numFmtId="3" fontId="14" fillId="0" borderId="12" xfId="0" applyNumberFormat="1" applyFont="1" applyBorder="1"/>
    <xf numFmtId="3" fontId="14" fillId="0" borderId="12" xfId="0" applyNumberFormat="1" applyFont="1" applyBorder="1" applyAlignment="1">
      <alignment horizontal="center"/>
    </xf>
    <xf numFmtId="0" fontId="7" fillId="0" borderId="0" xfId="33"/>
    <xf numFmtId="44" fontId="7" fillId="0" borderId="0" xfId="46" applyFont="1" applyAlignment="1">
      <alignment horizontal="center"/>
    </xf>
    <xf numFmtId="0" fontId="13" fillId="0" borderId="0" xfId="33" applyFont="1"/>
    <xf numFmtId="0" fontId="14" fillId="0" borderId="0" xfId="0" applyFont="1" applyFill="1"/>
    <xf numFmtId="3" fontId="14" fillId="0" borderId="0" xfId="0" applyNumberFormat="1" applyFont="1" applyAlignment="1"/>
    <xf numFmtId="3" fontId="14" fillId="0" borderId="12" xfId="0" applyNumberFormat="1" applyFont="1" applyFill="1" applyBorder="1" applyAlignment="1"/>
    <xf numFmtId="0" fontId="14" fillId="0" borderId="0" xfId="0" applyFont="1" applyFill="1" applyAlignment="1"/>
    <xf numFmtId="0" fontId="14" fillId="0" borderId="0" xfId="0" applyNumberFormat="1" applyFont="1" applyFill="1" applyBorder="1" applyAlignment="1"/>
    <xf numFmtId="0" fontId="14" fillId="0" borderId="0" xfId="0" applyFont="1" applyFill="1" applyBorder="1"/>
    <xf numFmtId="0" fontId="14" fillId="0" borderId="18" xfId="0" applyFont="1" applyFill="1" applyBorder="1"/>
    <xf numFmtId="0" fontId="14" fillId="0" borderId="0" xfId="0" applyNumberFormat="1" applyFont="1" applyFill="1" applyBorder="1" applyAlignment="1">
      <alignment horizontal="left"/>
    </xf>
    <xf numFmtId="0" fontId="14" fillId="0" borderId="18" xfId="0" applyNumberFormat="1" applyFont="1" applyFill="1" applyBorder="1" applyAlignment="1">
      <alignment horizontal="left"/>
    </xf>
    <xf numFmtId="0" fontId="14" fillId="0" borderId="0" xfId="0" applyFont="1" applyBorder="1"/>
    <xf numFmtId="3" fontId="14" fillId="0" borderId="0" xfId="0" applyNumberFormat="1" applyFont="1" applyFill="1" applyBorder="1" applyAlignment="1">
      <alignment horizontal="right"/>
    </xf>
    <xf numFmtId="0" fontId="14" fillId="0" borderId="12" xfId="0" applyNumberFormat="1" applyFont="1" applyFill="1" applyBorder="1" applyAlignment="1">
      <alignment horizontal="left"/>
    </xf>
    <xf numFmtId="0" fontId="14" fillId="0" borderId="12" xfId="0" applyFont="1" applyFill="1" applyBorder="1"/>
    <xf numFmtId="0" fontId="14" fillId="0" borderId="0" xfId="0" applyNumberFormat="1" applyFont="1" applyFill="1"/>
    <xf numFmtId="168" fontId="14" fillId="0" borderId="0" xfId="0" applyNumberFormat="1" applyFont="1" applyAlignment="1"/>
    <xf numFmtId="172" fontId="14" fillId="0" borderId="0" xfId="48" applyNumberFormat="1" applyFont="1" applyFill="1"/>
    <xf numFmtId="0" fontId="14" fillId="0" borderId="0" xfId="0" applyNumberFormat="1" applyFont="1" applyFill="1" applyAlignment="1"/>
    <xf numFmtId="3" fontId="14" fillId="0" borderId="0" xfId="0" applyNumberFormat="1" applyFont="1" applyFill="1" applyBorder="1" applyAlignment="1"/>
    <xf numFmtId="0" fontId="14" fillId="0" borderId="0" xfId="0" applyFont="1" applyAlignment="1"/>
    <xf numFmtId="3" fontId="14" fillId="0" borderId="0" xfId="0" applyNumberFormat="1" applyFont="1" applyBorder="1" applyAlignment="1"/>
    <xf numFmtId="0" fontId="14" fillId="0" borderId="0" xfId="0" applyNumberFormat="1" applyFont="1" applyAlignment="1">
      <alignment horizontal="center"/>
    </xf>
    <xf numFmtId="0" fontId="14" fillId="0" borderId="0" xfId="0" applyNumberFormat="1" applyFont="1" applyAlignment="1">
      <alignment horizontal="left"/>
    </xf>
    <xf numFmtId="0" fontId="14" fillId="0" borderId="12" xfId="0" applyFont="1" applyBorder="1" applyAlignment="1"/>
    <xf numFmtId="3" fontId="14" fillId="0" borderId="12" xfId="0" applyNumberFormat="1" applyFont="1" applyBorder="1" applyAlignment="1"/>
    <xf numFmtId="0" fontId="14" fillId="0" borderId="0" xfId="0" applyNumberFormat="1" applyFont="1" applyBorder="1" applyAlignment="1">
      <alignment horizontal="left"/>
    </xf>
    <xf numFmtId="0" fontId="14" fillId="0" borderId="12" xfId="0" applyNumberFormat="1" applyFont="1" applyBorder="1" applyAlignment="1">
      <alignment horizontal="left"/>
    </xf>
    <xf numFmtId="0" fontId="14" fillId="0" borderId="12" xfId="0" applyNumberFormat="1" applyFont="1" applyBorder="1" applyAlignment="1"/>
    <xf numFmtId="0" fontId="14" fillId="0" borderId="0" xfId="0" applyFont="1" applyFill="1" applyBorder="1" applyAlignment="1"/>
    <xf numFmtId="0" fontId="21" fillId="0" borderId="0" xfId="0" applyNumberFormat="1" applyFont="1" applyFill="1" applyBorder="1" applyAlignment="1">
      <alignment horizontal="center"/>
    </xf>
    <xf numFmtId="3" fontId="21" fillId="0" borderId="0" xfId="0" applyNumberFormat="1" applyFont="1" applyBorder="1" applyAlignment="1"/>
    <xf numFmtId="3" fontId="14" fillId="0" borderId="0" xfId="0" applyNumberFormat="1" applyFont="1"/>
    <xf numFmtId="3" fontId="14" fillId="0" borderId="18" xfId="0" applyNumberFormat="1" applyFont="1" applyBorder="1" applyAlignment="1">
      <alignment horizontal="right"/>
    </xf>
    <xf numFmtId="0" fontId="14" fillId="0" borderId="12" xfId="0" applyFont="1" applyFill="1" applyBorder="1" applyAlignment="1"/>
    <xf numFmtId="3" fontId="20" fillId="0" borderId="0" xfId="0" applyNumberFormat="1" applyFont="1" applyBorder="1" applyAlignment="1">
      <alignment horizontal="right"/>
    </xf>
    <xf numFmtId="3" fontId="21" fillId="0" borderId="0" xfId="0" applyNumberFormat="1" applyFont="1" applyBorder="1" applyAlignment="1">
      <alignment horizontal="right"/>
    </xf>
    <xf numFmtId="3" fontId="20" fillId="0" borderId="12" xfId="0" applyNumberFormat="1" applyFont="1" applyBorder="1" applyAlignment="1">
      <alignment horizontal="right"/>
    </xf>
    <xf numFmtId="172" fontId="14" fillId="0" borderId="0" xfId="0" applyNumberFormat="1" applyFont="1" applyFill="1"/>
    <xf numFmtId="0" fontId="0" fillId="0" borderId="0" xfId="0"/>
    <xf numFmtId="0" fontId="14" fillId="0" borderId="0" xfId="0" applyFont="1"/>
    <xf numFmtId="0" fontId="14" fillId="0" borderId="0" xfId="0" applyNumberFormat="1" applyFont="1" applyFill="1" applyBorder="1" applyAlignment="1">
      <alignment horizontal="center"/>
    </xf>
    <xf numFmtId="168" fontId="14" fillId="0" borderId="0" xfId="0" applyNumberFormat="1" applyFont="1"/>
    <xf numFmtId="173" fontId="14" fillId="0" borderId="12" xfId="0" applyNumberFormat="1" applyFont="1" applyBorder="1" applyAlignment="1">
      <alignment horizontal="center"/>
    </xf>
    <xf numFmtId="172" fontId="14" fillId="0" borderId="12" xfId="12" applyNumberFormat="1" applyFont="1" applyFill="1" applyBorder="1" applyAlignment="1"/>
    <xf numFmtId="166" fontId="7" fillId="0" borderId="0" xfId="0" applyNumberFormat="1" applyFont="1"/>
    <xf numFmtId="0" fontId="40" fillId="0" borderId="0" xfId="0" applyFont="1"/>
    <xf numFmtId="0" fontId="40" fillId="0" borderId="0" xfId="0" applyFont="1" applyAlignment="1">
      <alignment horizontal="center"/>
    </xf>
    <xf numFmtId="0" fontId="46" fillId="0" borderId="0" xfId="0" applyFont="1" applyAlignment="1">
      <alignment horizontal="center"/>
    </xf>
    <xf numFmtId="0" fontId="25" fillId="0" borderId="0" xfId="0" applyFont="1" applyAlignment="1">
      <alignment horizontal="center"/>
    </xf>
    <xf numFmtId="0" fontId="40" fillId="0" borderId="0" xfId="0" applyFont="1" applyAlignment="1">
      <alignment horizontal="center" vertical="center" wrapText="1"/>
    </xf>
    <xf numFmtId="0" fontId="40" fillId="0" borderId="32"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wrapText="1"/>
    </xf>
    <xf numFmtId="15" fontId="25" fillId="0" borderId="0" xfId="0" applyNumberFormat="1" applyFont="1" applyAlignment="1">
      <alignment horizontal="left" vertical="center" wrapText="1" indent="1"/>
    </xf>
    <xf numFmtId="15" fontId="25" fillId="0" borderId="12" xfId="0" applyNumberFormat="1" applyFont="1" applyBorder="1" applyAlignment="1">
      <alignment horizontal="left" vertical="center" wrapText="1" indent="1"/>
    </xf>
    <xf numFmtId="3" fontId="7" fillId="0" borderId="0" xfId="0" applyNumberFormat="1" applyFont="1"/>
    <xf numFmtId="0" fontId="25" fillId="0" borderId="18" xfId="0" applyFont="1" applyBorder="1" applyAlignment="1">
      <alignment vertical="center" wrapText="1"/>
    </xf>
    <xf numFmtId="0" fontId="25" fillId="0" borderId="18" xfId="0" applyFont="1" applyBorder="1" applyAlignment="1">
      <alignment horizontal="right" vertical="center" wrapText="1"/>
    </xf>
    <xf numFmtId="0" fontId="25" fillId="0" borderId="0" xfId="0" applyFont="1" applyAlignment="1">
      <alignment vertical="center" wrapText="1"/>
    </xf>
    <xf numFmtId="0" fontId="25" fillId="0" borderId="0" xfId="0" applyFont="1" applyAlignment="1">
      <alignment horizontal="right" vertical="center" wrapText="1"/>
    </xf>
    <xf numFmtId="0" fontId="25" fillId="0" borderId="0" xfId="0" applyFont="1" applyAlignment="1">
      <alignment horizontal="justify" vertical="center" wrapText="1"/>
    </xf>
    <xf numFmtId="0" fontId="25" fillId="0" borderId="0" xfId="0" quotePrefix="1" applyFont="1" applyAlignment="1">
      <alignment vertical="center"/>
    </xf>
    <xf numFmtId="0" fontId="54" fillId="9" borderId="0" xfId="0" applyFont="1" applyFill="1" applyAlignment="1">
      <alignment vertical="center" wrapText="1"/>
    </xf>
    <xf numFmtId="164" fontId="25" fillId="9" borderId="12" xfId="48" applyNumberFormat="1" applyFont="1" applyFill="1" applyBorder="1" applyAlignment="1">
      <alignment vertical="center" wrapText="1"/>
    </xf>
    <xf numFmtId="0" fontId="25" fillId="0" borderId="0" xfId="0" applyFont="1" applyAlignment="1">
      <alignment horizontal="right" vertical="center"/>
    </xf>
    <xf numFmtId="0" fontId="40" fillId="0" borderId="0" xfId="0" applyFont="1" applyAlignment="1">
      <alignment vertical="center"/>
    </xf>
    <xf numFmtId="0" fontId="40" fillId="0" borderId="12" xfId="0" quotePrefix="1" applyFont="1" applyBorder="1" applyAlignment="1">
      <alignment vertical="center"/>
    </xf>
    <xf numFmtId="0" fontId="40" fillId="0" borderId="12" xfId="0" applyFont="1" applyBorder="1" applyAlignment="1">
      <alignment vertical="center"/>
    </xf>
    <xf numFmtId="43" fontId="25" fillId="0" borderId="0" xfId="0" applyNumberFormat="1" applyFont="1"/>
    <xf numFmtId="0" fontId="56" fillId="11" borderId="0" xfId="0" applyFont="1" applyFill="1"/>
    <xf numFmtId="0" fontId="56" fillId="11" borderId="0" xfId="0" applyFont="1" applyFill="1" applyAlignment="1">
      <alignment horizontal="center"/>
    </xf>
    <xf numFmtId="0" fontId="13" fillId="9" borderId="0" xfId="0" applyFont="1" applyFill="1"/>
    <xf numFmtId="0" fontId="13" fillId="0" borderId="0" xfId="0" applyFont="1" applyAlignment="1">
      <alignment vertical="center" wrapText="1"/>
    </xf>
    <xf numFmtId="0" fontId="7" fillId="0" borderId="0" xfId="17" applyFont="1"/>
    <xf numFmtId="0" fontId="23" fillId="0" borderId="0" xfId="17" applyFont="1" applyAlignment="1">
      <alignment horizontal="center"/>
    </xf>
    <xf numFmtId="0" fontId="7" fillId="0" borderId="0" xfId="17" applyFont="1" applyAlignment="1">
      <alignment horizontal="left"/>
    </xf>
    <xf numFmtId="0" fontId="23" fillId="0" borderId="0" xfId="17" applyFont="1"/>
    <xf numFmtId="0" fontId="8" fillId="0" borderId="0" xfId="14" applyFont="1" applyAlignment="1">
      <alignment horizontal="center"/>
    </xf>
    <xf numFmtId="0" fontId="8" fillId="0" borderId="0" xfId="17" applyFont="1" applyAlignment="1">
      <alignment horizontal="center"/>
    </xf>
    <xf numFmtId="0" fontId="8" fillId="0" borderId="12" xfId="17" applyFont="1" applyBorder="1"/>
    <xf numFmtId="0" fontId="8" fillId="0" borderId="12" xfId="14" applyFont="1" applyBorder="1" applyAlignment="1">
      <alignment horizontal="center"/>
    </xf>
    <xf numFmtId="0" fontId="8" fillId="0" borderId="12" xfId="17" applyFont="1" applyBorder="1" applyAlignment="1">
      <alignment horizontal="center"/>
    </xf>
    <xf numFmtId="0" fontId="7" fillId="0" borderId="0" xfId="14" applyAlignment="1">
      <alignment horizontal="left" indent="1"/>
    </xf>
    <xf numFmtId="164" fontId="7" fillId="9" borderId="0" xfId="48" applyNumberFormat="1" applyFont="1" applyFill="1"/>
    <xf numFmtId="41" fontId="7" fillId="0" borderId="0" xfId="17" applyNumberFormat="1" applyFont="1"/>
    <xf numFmtId="0" fontId="8" fillId="0" borderId="0" xfId="14" applyFont="1"/>
    <xf numFmtId="37" fontId="7" fillId="0" borderId="0" xfId="17" applyNumberFormat="1" applyFont="1"/>
    <xf numFmtId="164" fontId="7" fillId="0" borderId="0" xfId="17" applyNumberFormat="1" applyFont="1"/>
    <xf numFmtId="0" fontId="8" fillId="0" borderId="12" xfId="14" applyFont="1" applyBorder="1"/>
    <xf numFmtId="0" fontId="7" fillId="0" borderId="0" xfId="17" applyFont="1" applyAlignment="1">
      <alignment horizontal="left" indent="1"/>
    </xf>
    <xf numFmtId="164" fontId="7" fillId="2" borderId="0" xfId="48" applyNumberFormat="1" applyFont="1" applyFill="1"/>
    <xf numFmtId="43" fontId="7" fillId="0" borderId="0" xfId="17" applyNumberFormat="1" applyFont="1"/>
    <xf numFmtId="0" fontId="7" fillId="0" borderId="0" xfId="14" applyAlignment="1">
      <alignment vertical="top" wrapText="1"/>
    </xf>
    <xf numFmtId="0" fontId="23" fillId="0" borderId="0" xfId="14" applyFont="1"/>
    <xf numFmtId="0" fontId="7" fillId="2" borderId="21" xfId="0" applyFont="1" applyFill="1" applyBorder="1"/>
    <xf numFmtId="41" fontId="7" fillId="2" borderId="22" xfId="0" applyNumberFormat="1" applyFont="1" applyFill="1" applyBorder="1"/>
    <xf numFmtId="0" fontId="7" fillId="2" borderId="22" xfId="0" applyFont="1" applyFill="1" applyBorder="1" applyAlignment="1">
      <alignment wrapText="1"/>
    </xf>
    <xf numFmtId="0" fontId="40" fillId="0" borderId="31" xfId="14" applyFont="1" applyBorder="1"/>
    <xf numFmtId="0" fontId="7" fillId="0" borderId="25" xfId="14" applyBorder="1"/>
    <xf numFmtId="0" fontId="7" fillId="0" borderId="23" xfId="14" applyBorder="1"/>
    <xf numFmtId="41" fontId="7" fillId="0" borderId="22" xfId="0" applyNumberFormat="1" applyFont="1" applyBorder="1"/>
    <xf numFmtId="0" fontId="7" fillId="0" borderId="22" xfId="14" applyBorder="1" applyAlignment="1">
      <alignment wrapText="1"/>
    </xf>
    <xf numFmtId="0" fontId="40" fillId="0" borderId="21" xfId="14" applyFont="1" applyBorder="1"/>
    <xf numFmtId="0" fontId="25" fillId="9" borderId="21" xfId="14" applyFont="1" applyFill="1" applyBorder="1"/>
    <xf numFmtId="0" fontId="7" fillId="9" borderId="23" xfId="14" applyFill="1" applyBorder="1"/>
    <xf numFmtId="41" fontId="7" fillId="9" borderId="22" xfId="0" applyNumberFormat="1" applyFont="1" applyFill="1" applyBorder="1"/>
    <xf numFmtId="0" fontId="57" fillId="2" borderId="22" xfId="14" applyFont="1" applyFill="1" applyBorder="1" applyAlignment="1">
      <alignment wrapText="1"/>
    </xf>
    <xf numFmtId="0" fontId="7" fillId="0" borderId="22" xfId="14" applyBorder="1" applyAlignment="1">
      <alignment horizontal="left" indent="1"/>
    </xf>
    <xf numFmtId="0" fontId="23" fillId="0" borderId="22" xfId="14" applyFont="1" applyBorder="1"/>
    <xf numFmtId="0" fontId="7" fillId="0" borderId="22" xfId="17" applyFont="1" applyBorder="1"/>
    <xf numFmtId="41" fontId="7" fillId="0" borderId="22" xfId="17" applyNumberFormat="1" applyFont="1" applyBorder="1"/>
    <xf numFmtId="10" fontId="7" fillId="2" borderId="0" xfId="47" applyNumberFormat="1" applyFont="1" applyFill="1"/>
    <xf numFmtId="0" fontId="7" fillId="0" borderId="22" xfId="17" applyFont="1" applyBorder="1" applyAlignment="1">
      <alignment wrapText="1"/>
    </xf>
    <xf numFmtId="0" fontId="8" fillId="0" borderId="22" xfId="14" applyFont="1" applyBorder="1"/>
    <xf numFmtId="0" fontId="2" fillId="0" borderId="0" xfId="17" applyFont="1"/>
    <xf numFmtId="0" fontId="7" fillId="0" borderId="0" xfId="17" applyFont="1" applyAlignment="1">
      <alignment wrapText="1"/>
    </xf>
    <xf numFmtId="0" fontId="7" fillId="2" borderId="23" xfId="14" applyFill="1" applyBorder="1"/>
    <xf numFmtId="37" fontId="7" fillId="2" borderId="23" xfId="14" applyNumberFormat="1" applyFill="1" applyBorder="1"/>
    <xf numFmtId="37" fontId="7" fillId="2" borderId="22" xfId="14" applyNumberFormat="1" applyFill="1" applyBorder="1"/>
    <xf numFmtId="41" fontId="7" fillId="2" borderId="22" xfId="14" applyNumberFormat="1" applyFill="1" applyBorder="1"/>
    <xf numFmtId="0" fontId="7" fillId="2" borderId="22" xfId="14" applyFill="1" applyBorder="1" applyAlignment="1">
      <alignment wrapText="1"/>
    </xf>
    <xf numFmtId="0" fontId="25" fillId="9" borderId="31" xfId="14" applyFont="1" applyFill="1" applyBorder="1"/>
    <xf numFmtId="0" fontId="7" fillId="9" borderId="25" xfId="14" applyFill="1" applyBorder="1"/>
    <xf numFmtId="0" fontId="7" fillId="9" borderId="22" xfId="14" applyFill="1" applyBorder="1"/>
    <xf numFmtId="0" fontId="40" fillId="0" borderId="28" xfId="14" applyFont="1" applyBorder="1"/>
    <xf numFmtId="0" fontId="7" fillId="0" borderId="29" xfId="14" applyBorder="1"/>
    <xf numFmtId="0" fontId="2" fillId="0" borderId="21" xfId="17" applyFont="1" applyBorder="1"/>
    <xf numFmtId="0" fontId="7" fillId="0" borderId="23" xfId="17" applyFont="1" applyBorder="1"/>
    <xf numFmtId="0" fontId="7" fillId="0" borderId="24" xfId="14" applyBorder="1" applyAlignment="1">
      <alignment horizontal="left" indent="1"/>
    </xf>
    <xf numFmtId="0" fontId="23" fillId="0" borderId="24" xfId="14" applyFont="1" applyBorder="1"/>
    <xf numFmtId="0" fontId="7" fillId="0" borderId="0" xfId="14" applyAlignment="1">
      <alignment horizontal="left"/>
    </xf>
    <xf numFmtId="0" fontId="8" fillId="0" borderId="22" xfId="17" applyFont="1" applyBorder="1"/>
    <xf numFmtId="0" fontId="40" fillId="0" borderId="0" xfId="14" applyFont="1"/>
    <xf numFmtId="37" fontId="7" fillId="0" borderId="0" xfId="14" applyNumberFormat="1"/>
    <xf numFmtId="37" fontId="7" fillId="0" borderId="0" xfId="14" applyNumberFormat="1" applyAlignment="1">
      <alignment horizontal="center"/>
    </xf>
    <xf numFmtId="0" fontId="7" fillId="0" borderId="0" xfId="14" applyAlignment="1">
      <alignment horizontal="center"/>
    </xf>
    <xf numFmtId="0" fontId="7" fillId="0" borderId="0" xfId="14" applyAlignment="1">
      <alignment wrapText="1"/>
    </xf>
    <xf numFmtId="37" fontId="7" fillId="0" borderId="0" xfId="14" applyNumberFormat="1" applyAlignment="1">
      <alignment wrapText="1"/>
    </xf>
    <xf numFmtId="0" fontId="40" fillId="0" borderId="0" xfId="14" applyFont="1" applyAlignment="1">
      <alignment horizontal="left"/>
    </xf>
    <xf numFmtId="0" fontId="57" fillId="0" borderId="0" xfId="14" applyFont="1" applyAlignment="1">
      <alignment wrapText="1"/>
    </xf>
    <xf numFmtId="37" fontId="7" fillId="0" borderId="0" xfId="17" applyNumberFormat="1" applyFont="1" applyAlignment="1">
      <alignment horizontal="center"/>
    </xf>
    <xf numFmtId="0" fontId="7" fillId="0" borderId="0" xfId="17" applyFont="1" applyAlignment="1">
      <alignment horizontal="center"/>
    </xf>
    <xf numFmtId="0" fontId="3" fillId="0" borderId="0" xfId="17" applyFont="1"/>
    <xf numFmtId="0" fontId="7" fillId="2" borderId="21" xfId="14" applyFill="1" applyBorder="1"/>
    <xf numFmtId="0" fontId="8" fillId="0" borderId="0" xfId="14" applyFont="1" applyAlignment="1">
      <alignment horizontal="left"/>
    </xf>
    <xf numFmtId="0" fontId="8" fillId="0" borderId="0" xfId="17" applyFont="1" applyAlignment="1">
      <alignment horizontal="centerContinuous"/>
    </xf>
    <xf numFmtId="0" fontId="3" fillId="0" borderId="0" xfId="17" applyFont="1" applyAlignment="1">
      <alignment horizontal="centerContinuous"/>
    </xf>
    <xf numFmtId="0" fontId="7" fillId="0" borderId="0" xfId="17" applyFont="1" applyAlignment="1">
      <alignment horizontal="centerContinuous"/>
    </xf>
    <xf numFmtId="0" fontId="7" fillId="2" borderId="22" xfId="0" applyFont="1" applyFill="1" applyBorder="1" applyAlignment="1">
      <alignment vertical="top" wrapText="1"/>
    </xf>
    <xf numFmtId="0" fontId="2" fillId="0" borderId="22" xfId="17" applyFont="1" applyBorder="1"/>
    <xf numFmtId="0" fontId="7" fillId="0" borderId="22" xfId="14" applyBorder="1"/>
    <xf numFmtId="0" fontId="29" fillId="5" borderId="0" xfId="0" applyFont="1" applyFill="1" applyAlignment="1">
      <alignment horizontal="left"/>
    </xf>
    <xf numFmtId="0" fontId="14" fillId="5" borderId="0" xfId="0" applyFont="1" applyFill="1" applyAlignment="1">
      <alignment horizontal="center"/>
    </xf>
    <xf numFmtId="0" fontId="25" fillId="0" borderId="0" xfId="0" applyFont="1" applyAlignment="1">
      <alignment vertical="center"/>
    </xf>
    <xf numFmtId="0" fontId="40" fillId="0" borderId="31" xfId="0" applyFont="1" applyBorder="1" applyAlignment="1">
      <alignment vertical="center"/>
    </xf>
    <xf numFmtId="0" fontId="25" fillId="0" borderId="25" xfId="0" applyFont="1" applyBorder="1" applyAlignment="1">
      <alignment vertical="center" wrapText="1"/>
    </xf>
    <xf numFmtId="0" fontId="40" fillId="0" borderId="31" xfId="0" applyFont="1" applyBorder="1" applyAlignment="1">
      <alignment horizontal="left" vertical="center" indent="1"/>
    </xf>
    <xf numFmtId="0" fontId="25" fillId="0" borderId="25" xfId="0" applyFont="1" applyBorder="1"/>
    <xf numFmtId="0" fontId="40" fillId="0" borderId="22" xfId="0" applyFont="1" applyBorder="1" applyAlignment="1">
      <alignment horizontal="center" wrapText="1"/>
    </xf>
    <xf numFmtId="0" fontId="40" fillId="0" borderId="21" xfId="0" applyFont="1" applyBorder="1" applyAlignment="1">
      <alignment vertical="center"/>
    </xf>
    <xf numFmtId="0" fontId="25" fillId="0" borderId="23" xfId="0" applyFont="1" applyBorder="1" applyAlignment="1">
      <alignment vertical="center" wrapText="1"/>
    </xf>
    <xf numFmtId="0" fontId="40" fillId="0" borderId="21" xfId="0" applyFont="1" applyBorder="1" applyAlignment="1">
      <alignment horizontal="left" vertical="center" indent="1"/>
    </xf>
    <xf numFmtId="0" fontId="25" fillId="0" borderId="23" xfId="0" applyFont="1" applyBorder="1"/>
    <xf numFmtId="0" fontId="25" fillId="0" borderId="0" xfId="0" applyFont="1" applyAlignment="1">
      <alignment horizontal="left" indent="1"/>
    </xf>
    <xf numFmtId="3" fontId="7" fillId="0" borderId="0" xfId="0" applyNumberFormat="1" applyFont="1" applyAlignment="1">
      <alignment horizontal="left" indent="1"/>
    </xf>
    <xf numFmtId="166" fontId="25" fillId="9" borderId="0" xfId="46" applyNumberFormat="1" applyFont="1" applyFill="1"/>
    <xf numFmtId="164" fontId="25" fillId="9" borderId="0" xfId="0" applyNumberFormat="1" applyFont="1" applyFill="1"/>
    <xf numFmtId="166" fontId="25" fillId="0" borderId="0" xfId="46" applyNumberFormat="1" applyFont="1"/>
    <xf numFmtId="166" fontId="40" fillId="0" borderId="20" xfId="46" applyNumberFormat="1" applyFont="1" applyBorder="1"/>
    <xf numFmtId="3" fontId="7" fillId="0" borderId="0" xfId="0" applyNumberFormat="1" applyFont="1" applyAlignment="1">
      <alignment horizontal="left"/>
    </xf>
    <xf numFmtId="0" fontId="48" fillId="0" borderId="0" xfId="0" applyFont="1" applyAlignment="1">
      <alignment horizontal="left"/>
    </xf>
    <xf numFmtId="0" fontId="25" fillId="0" borderId="0" xfId="0" quotePrefix="1" applyFont="1"/>
    <xf numFmtId="0" fontId="25" fillId="0" borderId="0" xfId="0" applyFont="1" applyAlignment="1">
      <alignment horizontal="center" vertical="center"/>
    </xf>
    <xf numFmtId="0" fontId="25" fillId="0" borderId="12" xfId="0" quotePrefix="1" applyFont="1" applyBorder="1" applyAlignment="1">
      <alignment horizontal="center" vertical="center" wrapText="1"/>
    </xf>
    <xf numFmtId="164" fontId="25" fillId="0" borderId="0" xfId="0" applyNumberFormat="1" applyFont="1"/>
    <xf numFmtId="164" fontId="40" fillId="0" borderId="12" xfId="0" applyNumberFormat="1" applyFont="1" applyBorder="1"/>
    <xf numFmtId="164" fontId="25" fillId="0" borderId="0" xfId="0" applyNumberFormat="1" applyFont="1" applyAlignment="1">
      <alignment horizontal="center"/>
    </xf>
    <xf numFmtId="42" fontId="25" fillId="0" borderId="0" xfId="0" applyNumberFormat="1" applyFont="1"/>
    <xf numFmtId="166" fontId="25" fillId="0" borderId="0" xfId="0" applyNumberFormat="1" applyFont="1"/>
    <xf numFmtId="164" fontId="25" fillId="9" borderId="0" xfId="48" applyNumberFormat="1" applyFont="1" applyFill="1"/>
    <xf numFmtId="0" fontId="25" fillId="0" borderId="12" xfId="0" applyFont="1" applyBorder="1"/>
    <xf numFmtId="166" fontId="25" fillId="0" borderId="33" xfId="46" applyNumberFormat="1" applyFont="1" applyBorder="1"/>
    <xf numFmtId="44" fontId="25" fillId="0" borderId="0" xfId="0" applyNumberFormat="1" applyFont="1"/>
    <xf numFmtId="15" fontId="25" fillId="0" borderId="0" xfId="0" quotePrefix="1" applyNumberFormat="1" applyFont="1"/>
    <xf numFmtId="166" fontId="25" fillId="0" borderId="18" xfId="46" applyNumberFormat="1" applyFont="1" applyBorder="1"/>
    <xf numFmtId="166" fontId="25" fillId="0" borderId="20" xfId="46" applyNumberFormat="1" applyFont="1" applyBorder="1"/>
    <xf numFmtId="43" fontId="25" fillId="9" borderId="0" xfId="48" applyFont="1" applyFill="1"/>
    <xf numFmtId="166" fontId="25" fillId="0" borderId="19" xfId="46" applyNumberFormat="1" applyFont="1" applyBorder="1"/>
    <xf numFmtId="0" fontId="46" fillId="0" borderId="0" xfId="152" applyFont="1"/>
    <xf numFmtId="0" fontId="46" fillId="0" borderId="0" xfId="152" applyFont="1" applyAlignment="1">
      <alignment horizontal="left"/>
    </xf>
    <xf numFmtId="0" fontId="58" fillId="0" borderId="0" xfId="152" applyFont="1"/>
    <xf numFmtId="0" fontId="46" fillId="0" borderId="0" xfId="152" applyFont="1" applyAlignment="1">
      <alignment horizontal="center"/>
    </xf>
    <xf numFmtId="0" fontId="7" fillId="0" borderId="0" xfId="152" applyFont="1"/>
    <xf numFmtId="0" fontId="56" fillId="0" borderId="0" xfId="152" applyFont="1" applyAlignment="1">
      <alignment horizontal="left"/>
    </xf>
    <xf numFmtId="0" fontId="56" fillId="0" borderId="0" xfId="152" applyFont="1" applyAlignment="1">
      <alignment horizontal="center" wrapText="1"/>
    </xf>
    <xf numFmtId="0" fontId="60" fillId="0" borderId="0" xfId="152" applyFont="1"/>
    <xf numFmtId="0" fontId="61" fillId="0" borderId="0" xfId="152" applyFont="1" applyAlignment="1">
      <alignment horizontal="left"/>
    </xf>
    <xf numFmtId="0" fontId="61" fillId="0" borderId="0" xfId="152" applyFont="1" applyAlignment="1">
      <alignment horizontal="center"/>
    </xf>
    <xf numFmtId="0" fontId="40" fillId="0" borderId="0" xfId="152" applyFont="1" applyAlignment="1">
      <alignment horizontal="left"/>
    </xf>
    <xf numFmtId="164" fontId="25" fillId="0" borderId="0" xfId="0" applyNumberFormat="1" applyFont="1" applyAlignment="1">
      <alignment horizontal="right"/>
    </xf>
    <xf numFmtId="0" fontId="25" fillId="0" borderId="0" xfId="0" applyFont="1" applyAlignment="1">
      <alignment horizontal="right"/>
    </xf>
    <xf numFmtId="0" fontId="40" fillId="0" borderId="0" xfId="0" applyFont="1" applyAlignment="1">
      <alignment horizontal="right"/>
    </xf>
    <xf numFmtId="0" fontId="9" fillId="0" borderId="0" xfId="152" applyFont="1" applyAlignment="1">
      <alignment horizontal="left"/>
    </xf>
    <xf numFmtId="0" fontId="7" fillId="0" borderId="0" xfId="152" applyFont="1" applyAlignment="1">
      <alignment horizontal="left"/>
    </xf>
    <xf numFmtId="0" fontId="40" fillId="0" borderId="0" xfId="0" applyFont="1" applyAlignment="1">
      <alignment horizontal="left"/>
    </xf>
    <xf numFmtId="0" fontId="13" fillId="0" borderId="0" xfId="0" applyFont="1" applyAlignment="1">
      <alignment vertical="top" wrapText="1"/>
    </xf>
    <xf numFmtId="0" fontId="7" fillId="0" borderId="0" xfId="152" applyFont="1" applyAlignment="1">
      <alignment horizontal="center" vertical="center"/>
    </xf>
    <xf numFmtId="0" fontId="31" fillId="0" borderId="0" xfId="0" applyFont="1" applyFill="1" applyAlignment="1">
      <alignment horizontal="left"/>
    </xf>
    <xf numFmtId="37" fontId="14" fillId="0" borderId="0" xfId="0" applyNumberFormat="1" applyFont="1" applyBorder="1" applyAlignment="1">
      <alignment horizontal="left"/>
    </xf>
    <xf numFmtId="37" fontId="6" fillId="0" borderId="0" xfId="0" applyNumberFormat="1" applyFont="1" applyBorder="1" applyAlignment="1">
      <alignment horizontal="right"/>
    </xf>
    <xf numFmtId="3" fontId="11" fillId="0" borderId="0" xfId="0" applyNumberFormat="1" applyFont="1" applyFill="1" applyAlignment="1">
      <alignment horizontal="right"/>
    </xf>
    <xf numFmtId="3" fontId="14" fillId="0" borderId="0" xfId="8" applyNumberFormat="1" applyFont="1" applyFill="1" applyAlignment="1"/>
    <xf numFmtId="10" fontId="14" fillId="0" borderId="0" xfId="0" applyNumberFormat="1" applyFont="1" applyFill="1"/>
    <xf numFmtId="3" fontId="20" fillId="0" borderId="18" xfId="0" applyNumberFormat="1" applyFont="1" applyBorder="1" applyAlignment="1">
      <alignment horizontal="right"/>
    </xf>
    <xf numFmtId="3" fontId="14" fillId="0" borderId="0" xfId="0" applyNumberFormat="1" applyFont="1" applyBorder="1" applyAlignment="1">
      <alignment horizontal="right"/>
    </xf>
    <xf numFmtId="3" fontId="14" fillId="0" borderId="12" xfId="0" applyNumberFormat="1" applyFont="1" applyFill="1" applyBorder="1" applyAlignment="1">
      <alignment horizontal="right"/>
    </xf>
    <xf numFmtId="3" fontId="14" fillId="0" borderId="19" xfId="8" applyNumberFormat="1" applyFont="1" applyFill="1" applyBorder="1" applyAlignment="1">
      <alignment horizontal="right"/>
    </xf>
    <xf numFmtId="0" fontId="7" fillId="2" borderId="21" xfId="0" applyFont="1" applyFill="1" applyBorder="1" applyAlignment="1">
      <alignment vertical="top"/>
    </xf>
    <xf numFmtId="0" fontId="7" fillId="2" borderId="23" xfId="0" applyFont="1" applyFill="1" applyBorder="1" applyAlignment="1">
      <alignment vertical="top"/>
    </xf>
    <xf numFmtId="37" fontId="7" fillId="2" borderId="23" xfId="0" applyNumberFormat="1" applyFont="1" applyFill="1" applyBorder="1" applyAlignment="1">
      <alignment vertical="top"/>
    </xf>
    <xf numFmtId="41" fontId="7" fillId="2" borderId="22" xfId="0" applyNumberFormat="1" applyFont="1" applyFill="1" applyBorder="1" applyAlignment="1">
      <alignment vertical="top"/>
    </xf>
    <xf numFmtId="0" fontId="7" fillId="2" borderId="21" xfId="14" applyFill="1" applyBorder="1" applyAlignment="1">
      <alignment vertical="top"/>
    </xf>
    <xf numFmtId="0" fontId="7" fillId="2" borderId="23" xfId="14" applyFill="1" applyBorder="1" applyAlignment="1">
      <alignment vertical="top"/>
    </xf>
    <xf numFmtId="0" fontId="7" fillId="9" borderId="22" xfId="14" applyFill="1" applyBorder="1" applyAlignment="1">
      <alignment vertical="top"/>
    </xf>
    <xf numFmtId="0" fontId="7" fillId="9" borderId="23" xfId="14" applyFill="1" applyBorder="1" applyAlignment="1">
      <alignment vertical="top"/>
    </xf>
    <xf numFmtId="37" fontId="7" fillId="9" borderId="22" xfId="14" applyNumberFormat="1" applyFill="1" applyBorder="1" applyAlignment="1">
      <alignment vertical="top"/>
    </xf>
    <xf numFmtId="37" fontId="7" fillId="2" borderId="22" xfId="14" applyNumberFormat="1" applyFill="1" applyBorder="1" applyAlignment="1">
      <alignment vertical="top"/>
    </xf>
    <xf numFmtId="0" fontId="14" fillId="0" borderId="0" xfId="0" applyFont="1" applyAlignment="1">
      <alignment horizontal="center" vertical="top"/>
    </xf>
    <xf numFmtId="0" fontId="11" fillId="0" borderId="0" xfId="0" applyFont="1" applyAlignment="1">
      <alignment horizontal="center"/>
    </xf>
    <xf numFmtId="37" fontId="14" fillId="0" borderId="0" xfId="0" applyNumberFormat="1" applyFont="1" applyAlignment="1">
      <alignment horizontal="left"/>
    </xf>
    <xf numFmtId="168" fontId="14" fillId="0" borderId="0" xfId="19" applyFont="1" applyProtection="1">
      <protection locked="0"/>
    </xf>
    <xf numFmtId="0" fontId="6" fillId="0" borderId="0" xfId="0" applyFont="1" applyAlignment="1">
      <alignment horizontal="left"/>
    </xf>
    <xf numFmtId="0" fontId="21" fillId="0" borderId="0" xfId="0" applyFont="1" applyAlignment="1">
      <alignment horizontal="center"/>
    </xf>
    <xf numFmtId="0" fontId="30" fillId="5" borderId="0" xfId="0" applyFont="1" applyFill="1" applyAlignment="1">
      <alignment horizontal="center"/>
    </xf>
    <xf numFmtId="3" fontId="20" fillId="0" borderId="12" xfId="0" applyNumberFormat="1" applyFont="1" applyBorder="1" applyAlignment="1">
      <alignment horizontal="center"/>
    </xf>
    <xf numFmtId="0" fontId="21" fillId="0" borderId="12" xfId="0" applyFont="1" applyBorder="1" applyAlignment="1">
      <alignment horizontal="center"/>
    </xf>
    <xf numFmtId="1" fontId="7" fillId="0" borderId="0" xfId="27" applyNumberFormat="1" applyFont="1" applyFill="1" applyAlignment="1">
      <alignment horizontal="left"/>
    </xf>
    <xf numFmtId="168" fontId="7" fillId="0" borderId="0" xfId="27" applyFont="1" applyFill="1" applyAlignment="1"/>
    <xf numFmtId="168" fontId="7" fillId="0" borderId="0" xfId="27" applyFont="1" applyFill="1" applyAlignment="1">
      <alignment horizontal="left"/>
    </xf>
    <xf numFmtId="172" fontId="7" fillId="0" borderId="0" xfId="8" applyNumberFormat="1" applyFont="1" applyFill="1" applyAlignment="1"/>
    <xf numFmtId="0" fontId="7" fillId="9" borderId="22" xfId="154" applyFill="1" applyBorder="1" applyAlignment="1">
      <alignment vertical="top" wrapText="1"/>
    </xf>
    <xf numFmtId="37" fontId="7" fillId="2" borderId="0" xfId="0" applyNumberFormat="1" applyFont="1" applyFill="1"/>
    <xf numFmtId="41" fontId="7" fillId="2" borderId="0" xfId="0" applyNumberFormat="1" applyFont="1" applyFill="1"/>
    <xf numFmtId="0" fontId="23" fillId="0" borderId="0" xfId="0" applyFont="1" applyAlignment="1">
      <alignment horizontal="left"/>
    </xf>
    <xf numFmtId="0" fontId="7" fillId="0" borderId="0" xfId="0" applyFont="1" applyAlignment="1">
      <alignment horizontal="right"/>
    </xf>
    <xf numFmtId="41" fontId="7" fillId="2" borderId="0" xfId="0" applyNumberFormat="1" applyFont="1" applyFill="1" applyAlignment="1">
      <alignment horizontal="right" wrapText="1"/>
    </xf>
    <xf numFmtId="41" fontId="7" fillId="2" borderId="0" xfId="0" applyNumberFormat="1" applyFont="1" applyFill="1" applyAlignment="1">
      <alignment horizontal="right"/>
    </xf>
    <xf numFmtId="0" fontId="7" fillId="0" borderId="0" xfId="0" applyFont="1" applyAlignment="1">
      <alignment horizontal="left"/>
    </xf>
    <xf numFmtId="37" fontId="7" fillId="0" borderId="0" xfId="0" applyNumberFormat="1" applyFont="1"/>
    <xf numFmtId="0" fontId="1" fillId="0" borderId="0" xfId="155" applyFont="1" applyAlignment="1">
      <alignment horizontal="center"/>
    </xf>
    <xf numFmtId="0" fontId="7" fillId="2" borderId="0" xfId="0" applyFont="1" applyFill="1"/>
    <xf numFmtId="37" fontId="8" fillId="2" borderId="0" xfId="0" applyNumberFormat="1" applyFont="1" applyFill="1" applyAlignment="1">
      <alignment horizontal="right" wrapText="1"/>
    </xf>
    <xf numFmtId="164" fontId="7" fillId="9" borderId="0" xfId="0" applyNumberFormat="1" applyFont="1" applyFill="1" applyAlignment="1">
      <alignment horizontal="right" wrapText="1"/>
    </xf>
    <xf numFmtId="0" fontId="14" fillId="0" borderId="0" xfId="0" applyFont="1" applyAlignment="1">
      <alignment horizontal="center" vertical="center"/>
    </xf>
    <xf numFmtId="0" fontId="1" fillId="0" borderId="0" xfId="62" applyFont="1" applyAlignment="1">
      <alignment horizontal="center"/>
    </xf>
    <xf numFmtId="0" fontId="1" fillId="0" borderId="0" xfId="62" applyFont="1"/>
    <xf numFmtId="0" fontId="6" fillId="0" borderId="0" xfId="62" applyFont="1" applyAlignment="1">
      <alignment horizontal="center"/>
    </xf>
    <xf numFmtId="0" fontId="2" fillId="0" borderId="0" xfId="62" applyFont="1"/>
    <xf numFmtId="0" fontId="8" fillId="0" borderId="0" xfId="62" applyFont="1" applyAlignment="1">
      <alignment horizontal="left"/>
    </xf>
    <xf numFmtId="0" fontId="7" fillId="0" borderId="5" xfId="0" applyFont="1" applyBorder="1"/>
    <xf numFmtId="166" fontId="7" fillId="0" borderId="0" xfId="10" applyNumberFormat="1" applyFont="1" applyBorder="1"/>
    <xf numFmtId="0" fontId="7" fillId="0" borderId="6" xfId="0" applyFont="1" applyBorder="1"/>
    <xf numFmtId="0" fontId="7" fillId="0" borderId="7" xfId="0" applyFont="1" applyBorder="1"/>
    <xf numFmtId="0" fontId="7" fillId="0" borderId="1" xfId="0" applyFont="1" applyBorder="1"/>
    <xf numFmtId="166" fontId="7" fillId="0" borderId="1" xfId="0" applyNumberFormat="1" applyFont="1" applyBorder="1"/>
    <xf numFmtId="0" fontId="7" fillId="0" borderId="8" xfId="0" applyFont="1" applyBorder="1"/>
    <xf numFmtId="0" fontId="13" fillId="0" borderId="5" xfId="0" applyFont="1" applyBorder="1"/>
    <xf numFmtId="0" fontId="13" fillId="0" borderId="0" xfId="0" applyFont="1" applyAlignment="1">
      <alignment horizontal="center"/>
    </xf>
    <xf numFmtId="166" fontId="13" fillId="0" borderId="0" xfId="10" applyNumberFormat="1" applyFont="1" applyBorder="1" applyAlignment="1">
      <alignment horizontal="center"/>
    </xf>
    <xf numFmtId="0" fontId="13" fillId="0" borderId="6" xfId="0" applyFont="1" applyBorder="1" applyAlignment="1">
      <alignment horizontal="center"/>
    </xf>
    <xf numFmtId="166" fontId="13" fillId="0" borderId="0" xfId="0" applyNumberFormat="1" applyFont="1"/>
    <xf numFmtId="166" fontId="13" fillId="0" borderId="6" xfId="0" applyNumberFormat="1" applyFont="1" applyBorder="1"/>
    <xf numFmtId="166" fontId="13" fillId="0" borderId="0" xfId="10" applyNumberFormat="1" applyFont="1" applyBorder="1"/>
    <xf numFmtId="164" fontId="13" fillId="0" borderId="0" xfId="10" applyNumberFormat="1" applyFont="1" applyBorder="1"/>
    <xf numFmtId="0" fontId="13" fillId="0" borderId="12" xfId="0" applyFont="1" applyBorder="1"/>
    <xf numFmtId="166" fontId="13" fillId="0" borderId="12" xfId="10" applyNumberFormat="1" applyFont="1" applyBorder="1"/>
    <xf numFmtId="164" fontId="13" fillId="0" borderId="12" xfId="0" applyNumberFormat="1" applyFont="1" applyBorder="1"/>
    <xf numFmtId="166" fontId="13" fillId="0" borderId="13" xfId="0" applyNumberFormat="1" applyFont="1" applyBorder="1"/>
    <xf numFmtId="0" fontId="13" fillId="0" borderId="7" xfId="0" applyFont="1" applyBorder="1"/>
    <xf numFmtId="0" fontId="13" fillId="0" borderId="1" xfId="0" applyFont="1" applyBorder="1"/>
    <xf numFmtId="166" fontId="13" fillId="0" borderId="1" xfId="0" applyNumberFormat="1" applyFont="1" applyBorder="1"/>
    <xf numFmtId="166" fontId="13" fillId="0" borderId="1" xfId="10" applyNumberFormat="1" applyFont="1" applyBorder="1"/>
    <xf numFmtId="166" fontId="13" fillId="0" borderId="8" xfId="0" applyNumberFormat="1" applyFont="1" applyBorder="1"/>
    <xf numFmtId="0" fontId="13" fillId="0" borderId="0" xfId="0" applyFont="1" applyBorder="1"/>
    <xf numFmtId="166" fontId="13" fillId="0" borderId="0" xfId="0" applyNumberFormat="1" applyFont="1" applyBorder="1"/>
    <xf numFmtId="10" fontId="25" fillId="0" borderId="0" xfId="47" applyNumberFormat="1" applyFont="1" applyFill="1" applyBorder="1"/>
    <xf numFmtId="0" fontId="9" fillId="0" borderId="0" xfId="7" applyFont="1"/>
    <xf numFmtId="0" fontId="8" fillId="0" borderId="0" xfId="7" applyFont="1"/>
    <xf numFmtId="0" fontId="8" fillId="0" borderId="0" xfId="33" applyFont="1" applyAlignment="1">
      <alignment horizontal="left"/>
    </xf>
    <xf numFmtId="43" fontId="13" fillId="0" borderId="0" xfId="48" applyFont="1"/>
    <xf numFmtId="177" fontId="25" fillId="0" borderId="0" xfId="24" applyNumberFormat="1" applyFont="1"/>
    <xf numFmtId="177" fontId="25" fillId="0" borderId="0" xfId="22" applyNumberFormat="1" applyFont="1"/>
    <xf numFmtId="41" fontId="7" fillId="0" borderId="0" xfId="7" applyNumberFormat="1"/>
    <xf numFmtId="41" fontId="7" fillId="0" borderId="0" xfId="7" applyNumberFormat="1" applyAlignment="1">
      <alignment horizontal="center"/>
    </xf>
    <xf numFmtId="49" fontId="7" fillId="0" borderId="0" xfId="7" applyNumberFormat="1" applyAlignment="1">
      <alignment horizontal="left"/>
    </xf>
    <xf numFmtId="41" fontId="3" fillId="0" borderId="0" xfId="7" applyNumberFormat="1" applyFont="1"/>
    <xf numFmtId="42" fontId="7" fillId="0" borderId="0" xfId="7" applyNumberFormat="1"/>
    <xf numFmtId="0" fontId="25" fillId="0" borderId="0" xfId="0" applyFont="1" applyAlignment="1">
      <alignment horizontal="left" vertical="top" wrapText="1"/>
    </xf>
    <xf numFmtId="0" fontId="40" fillId="0" borderId="29" xfId="0" applyFont="1" applyBorder="1" applyAlignment="1">
      <alignment horizontal="center" vertical="center"/>
    </xf>
    <xf numFmtId="0" fontId="40" fillId="0" borderId="21"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45" fillId="0" borderId="0" xfId="0" applyFont="1" applyAlignment="1">
      <alignment horizontal="center"/>
    </xf>
    <xf numFmtId="0" fontId="40" fillId="0" borderId="0" xfId="0" applyFont="1" applyAlignment="1">
      <alignment horizontal="left" vertical="center" indent="1"/>
    </xf>
    <xf numFmtId="0" fontId="7" fillId="0" borderId="0" xfId="0" applyFont="1" applyAlignment="1">
      <alignment horizontal="left" vertical="top" wrapText="1"/>
    </xf>
    <xf numFmtId="0" fontId="25" fillId="0" borderId="0" xfId="0" applyFont="1" applyAlignment="1">
      <alignment horizontal="center" vertical="center" wrapText="1"/>
    </xf>
    <xf numFmtId="0" fontId="25" fillId="0" borderId="12" xfId="0" applyFont="1" applyBorder="1" applyAlignment="1">
      <alignment horizontal="center" wrapText="1"/>
    </xf>
    <xf numFmtId="164" fontId="25" fillId="0" borderId="33" xfId="48" applyNumberFormat="1" applyFont="1" applyBorder="1" applyAlignment="1">
      <alignment vertical="center" wrapText="1"/>
    </xf>
    <xf numFmtId="164" fontId="25" fillId="0" borderId="0" xfId="48" applyNumberFormat="1" applyFont="1" applyAlignment="1">
      <alignment vertical="center" wrapText="1"/>
    </xf>
    <xf numFmtId="164" fontId="55" fillId="0" borderId="0" xfId="48" applyNumberFormat="1" applyFont="1" applyAlignment="1">
      <alignment vertical="center" wrapText="1"/>
    </xf>
    <xf numFmtId="164" fontId="25" fillId="9" borderId="0" xfId="48" applyNumberFormat="1" applyFont="1" applyFill="1" applyAlignment="1">
      <alignment vertical="center" wrapText="1"/>
    </xf>
    <xf numFmtId="0" fontId="25" fillId="0" borderId="0" xfId="48" applyNumberFormat="1" applyFont="1" applyAlignment="1">
      <alignment horizontal="right" vertical="center" wrapText="1"/>
    </xf>
    <xf numFmtId="164" fontId="25" fillId="0" borderId="18" xfId="48" applyNumberFormat="1" applyFont="1" applyBorder="1" applyAlignment="1">
      <alignment horizontal="right" vertical="center" wrapText="1"/>
    </xf>
    <xf numFmtId="164" fontId="25" fillId="0" borderId="18" xfId="48" applyNumberFormat="1" applyFont="1" applyBorder="1" applyAlignment="1">
      <alignment vertical="center" wrapText="1"/>
    </xf>
    <xf numFmtId="164" fontId="25" fillId="0" borderId="0" xfId="48" applyNumberFormat="1" applyFont="1" applyAlignment="1">
      <alignment horizontal="right" vertical="center" wrapText="1"/>
    </xf>
    <xf numFmtId="10" fontId="25" fillId="0" borderId="0" xfId="47" applyNumberFormat="1" applyFont="1"/>
    <xf numFmtId="164" fontId="25" fillId="9" borderId="0" xfId="48" applyNumberFormat="1" applyFont="1" applyFill="1" applyAlignment="1">
      <alignment horizontal="right" vertical="center" wrapText="1"/>
    </xf>
    <xf numFmtId="37" fontId="7" fillId="9" borderId="22" xfId="14" applyNumberFormat="1" applyFill="1" applyBorder="1" applyAlignment="1">
      <alignment horizontal="left" vertical="top"/>
    </xf>
    <xf numFmtId="37" fontId="7" fillId="9" borderId="23" xfId="14" applyNumberFormat="1" applyFill="1" applyBorder="1" applyAlignment="1">
      <alignment horizontal="left" vertical="top"/>
    </xf>
    <xf numFmtId="37" fontId="7" fillId="9" borderId="21" xfId="14" applyNumberFormat="1" applyFill="1" applyBorder="1" applyAlignment="1">
      <alignment horizontal="left" vertical="top"/>
    </xf>
    <xf numFmtId="0" fontId="7" fillId="9" borderId="22" xfId="0" applyFont="1" applyFill="1" applyBorder="1" applyAlignment="1">
      <alignment horizontal="left" vertical="top" wrapText="1"/>
    </xf>
    <xf numFmtId="0" fontId="7" fillId="9" borderId="22" xfId="0" applyFont="1" applyFill="1" applyBorder="1" applyAlignment="1">
      <alignment horizontal="left" wrapText="1"/>
    </xf>
    <xf numFmtId="164" fontId="7" fillId="0" borderId="0" xfId="18" applyNumberFormat="1" applyFont="1"/>
    <xf numFmtId="164" fontId="7" fillId="0" borderId="12" xfId="48" applyNumberFormat="1" applyFont="1" applyBorder="1"/>
    <xf numFmtId="164" fontId="54" fillId="0" borderId="0" xfId="48" applyNumberFormat="1" applyFont="1"/>
    <xf numFmtId="166" fontId="25" fillId="0" borderId="12" xfId="46" applyNumberFormat="1" applyFont="1" applyBorder="1"/>
    <xf numFmtId="164" fontId="25" fillId="0" borderId="0" xfId="8" applyNumberFormat="1" applyFont="1"/>
    <xf numFmtId="164" fontId="7" fillId="0" borderId="0" xfId="158" applyNumberFormat="1" applyFont="1"/>
    <xf numFmtId="164" fontId="7" fillId="0" borderId="0" xfId="158" applyNumberFormat="1" applyFont="1" applyProtection="1">
      <protection locked="0"/>
    </xf>
    <xf numFmtId="164" fontId="25" fillId="9" borderId="0" xfId="8" applyNumberFormat="1" applyFont="1" applyFill="1"/>
    <xf numFmtId="42" fontId="25" fillId="0" borderId="0" xfId="8" applyNumberFormat="1" applyFont="1"/>
    <xf numFmtId="42" fontId="25" fillId="9" borderId="0" xfId="8" applyNumberFormat="1" applyFont="1" applyFill="1"/>
    <xf numFmtId="0" fontId="7" fillId="0" borderId="0" xfId="159" applyFont="1"/>
    <xf numFmtId="0" fontId="14" fillId="0" borderId="12" xfId="0" applyNumberFormat="1" applyFont="1" applyFill="1" applyBorder="1" applyAlignment="1">
      <alignment horizontal="left" indent="1"/>
    </xf>
    <xf numFmtId="164" fontId="25" fillId="0" borderId="0" xfId="48" applyNumberFormat="1" applyFont="1"/>
    <xf numFmtId="0" fontId="14" fillId="0" borderId="0" xfId="0" applyNumberFormat="1" applyFont="1" applyFill="1" applyAlignment="1">
      <alignment horizontal="left" indent="1"/>
    </xf>
    <xf numFmtId="0" fontId="14" fillId="0" borderId="0" xfId="0" applyNumberFormat="1" applyFont="1" applyBorder="1" applyAlignment="1">
      <alignment horizontal="left" indent="1"/>
    </xf>
    <xf numFmtId="0" fontId="14" fillId="0" borderId="0" xfId="0" applyFont="1" applyAlignment="1">
      <alignment vertical="top"/>
    </xf>
    <xf numFmtId="0" fontId="7" fillId="0" borderId="0" xfId="14" applyAlignment="1">
      <alignment horizontal="left" vertical="top" wrapText="1"/>
    </xf>
    <xf numFmtId="0" fontId="25" fillId="0" borderId="0" xfId="152" applyFont="1"/>
    <xf numFmtId="0" fontId="25" fillId="0" borderId="0" xfId="152" applyFont="1" applyAlignment="1">
      <alignment horizontal="center"/>
    </xf>
    <xf numFmtId="0" fontId="25" fillId="0" borderId="0" xfId="152" applyFont="1" applyAlignment="1">
      <alignment horizontal="left"/>
    </xf>
    <xf numFmtId="0" fontId="40" fillId="0" borderId="12" xfId="0" applyFont="1" applyBorder="1" applyAlignment="1">
      <alignment horizontal="center" wrapText="1"/>
    </xf>
    <xf numFmtId="0" fontId="40" fillId="0" borderId="12" xfId="0" applyFont="1" applyBorder="1" applyAlignment="1">
      <alignment horizontal="left" wrapText="1"/>
    </xf>
    <xf numFmtId="0" fontId="40" fillId="0" borderId="0" xfId="0" applyFont="1" applyAlignment="1">
      <alignment horizontal="left" wrapText="1" indent="1"/>
    </xf>
    <xf numFmtId="0" fontId="40" fillId="0" borderId="0" xfId="0" applyFont="1" applyAlignment="1">
      <alignment horizontal="center" wrapText="1"/>
    </xf>
    <xf numFmtId="0" fontId="40" fillId="0" borderId="0" xfId="0" applyFont="1" applyAlignment="1">
      <alignment horizontal="left" wrapText="1"/>
    </xf>
    <xf numFmtId="0" fontId="64" fillId="0" borderId="0" xfId="0" applyFont="1"/>
    <xf numFmtId="164" fontId="7" fillId="0" borderId="0" xfId="8" applyNumberFormat="1" applyFont="1" applyProtection="1">
      <protection locked="0"/>
    </xf>
    <xf numFmtId="164" fontId="40" fillId="0" borderId="0" xfId="0" applyNumberFormat="1" applyFont="1"/>
    <xf numFmtId="42" fontId="40" fillId="0" borderId="18" xfId="48" applyNumberFormat="1" applyFont="1" applyBorder="1"/>
    <xf numFmtId="164" fontId="66" fillId="0" borderId="0" xfId="151" applyNumberFormat="1" applyFont="1" applyProtection="1">
      <protection locked="0"/>
    </xf>
    <xf numFmtId="164" fontId="66" fillId="0" borderId="0" xfId="151" applyNumberFormat="1" applyFont="1"/>
    <xf numFmtId="167" fontId="66" fillId="0" borderId="0" xfId="47" applyNumberFormat="1" applyFont="1"/>
    <xf numFmtId="42" fontId="25" fillId="0" borderId="0" xfId="48" applyNumberFormat="1" applyFont="1"/>
    <xf numFmtId="42" fontId="40" fillId="0" borderId="19" xfId="0" applyNumberFormat="1" applyFont="1" applyBorder="1"/>
    <xf numFmtId="164" fontId="25" fillId="0" borderId="0" xfId="152" applyNumberFormat="1" applyFont="1"/>
    <xf numFmtId="0" fontId="25" fillId="0" borderId="0" xfId="152" applyFont="1" applyAlignment="1">
      <alignment horizontal="center" vertical="center"/>
    </xf>
    <xf numFmtId="0" fontId="67" fillId="5" borderId="0" xfId="0" applyFont="1" applyFill="1" applyAlignment="1">
      <alignment horizontal="left"/>
    </xf>
    <xf numFmtId="0" fontId="7" fillId="5" borderId="0" xfId="0" applyFont="1" applyFill="1" applyAlignment="1">
      <alignment horizontal="center"/>
    </xf>
    <xf numFmtId="0" fontId="7" fillId="5" borderId="0" xfId="0" applyFont="1" applyFill="1"/>
    <xf numFmtId="3" fontId="7" fillId="5" borderId="0" xfId="0" applyNumberFormat="1" applyFont="1" applyFill="1" applyAlignment="1">
      <alignment horizontal="center"/>
    </xf>
    <xf numFmtId="0" fontId="68" fillId="0" borderId="0" xfId="152" applyFont="1"/>
    <xf numFmtId="0" fontId="68" fillId="0" borderId="0" xfId="152" applyFont="1" applyAlignment="1">
      <alignment horizontal="center"/>
    </xf>
    <xf numFmtId="0" fontId="69" fillId="11" borderId="0" xfId="0" applyFont="1" applyFill="1"/>
    <xf numFmtId="0" fontId="6" fillId="0" borderId="0" xfId="0" applyFont="1" applyFill="1" applyAlignment="1">
      <alignment horizontal="center"/>
    </xf>
    <xf numFmtId="0" fontId="0" fillId="0" borderId="0" xfId="0" applyAlignment="1">
      <alignment horizontal="center"/>
    </xf>
    <xf numFmtId="0" fontId="23" fillId="0" borderId="0" xfId="14" applyFont="1" applyAlignment="1">
      <alignment horizontal="center" wrapText="1"/>
    </xf>
    <xf numFmtId="0" fontId="8" fillId="0" borderId="0" xfId="0" applyFont="1"/>
    <xf numFmtId="164" fontId="7" fillId="2" borderId="0" xfId="8" applyNumberFormat="1" applyFont="1" applyFill="1" applyAlignment="1"/>
    <xf numFmtId="0" fontId="5" fillId="0" borderId="0" xfId="0" applyFont="1"/>
    <xf numFmtId="0" fontId="71" fillId="0" borderId="0" xfId="162" applyFont="1" applyAlignment="1">
      <alignment horizontal="center"/>
    </xf>
    <xf numFmtId="0" fontId="71" fillId="0" borderId="0" xfId="162" applyFont="1"/>
    <xf numFmtId="164" fontId="71" fillId="0" borderId="0" xfId="163" applyNumberFormat="1" applyFont="1"/>
    <xf numFmtId="0" fontId="1" fillId="0" borderId="0" xfId="0" applyFont="1" applyAlignment="1"/>
    <xf numFmtId="3" fontId="20" fillId="0" borderId="0" xfId="0" applyNumberFormat="1" applyFont="1" applyFill="1" applyAlignment="1">
      <alignment horizontal="center"/>
    </xf>
    <xf numFmtId="168" fontId="14" fillId="0" borderId="0" xfId="19" applyFont="1" applyFill="1"/>
    <xf numFmtId="0" fontId="11" fillId="0" borderId="0" xfId="0" applyFont="1" applyFill="1" applyAlignment="1">
      <alignment horizontal="center"/>
    </xf>
    <xf numFmtId="0" fontId="23" fillId="0" borderId="22" xfId="14" applyFont="1" applyFill="1" applyBorder="1"/>
    <xf numFmtId="0" fontId="7" fillId="0" borderId="22" xfId="14" applyFill="1" applyBorder="1" applyAlignment="1">
      <alignment horizontal="left" indent="1"/>
    </xf>
    <xf numFmtId="0" fontId="8" fillId="0" borderId="0" xfId="0" applyFont="1" applyFill="1"/>
    <xf numFmtId="0" fontId="22" fillId="0" borderId="0" xfId="0" applyFont="1" applyFill="1"/>
    <xf numFmtId="0" fontId="7" fillId="0" borderId="0" xfId="0" applyFont="1" applyFill="1" applyAlignment="1">
      <alignment wrapText="1"/>
    </xf>
    <xf numFmtId="0" fontId="25" fillId="0" borderId="0" xfId="0" applyFont="1" applyFill="1" applyAlignment="1">
      <alignment wrapText="1"/>
    </xf>
    <xf numFmtId="0" fontId="25" fillId="0" borderId="0" xfId="0" applyFont="1" applyFill="1"/>
    <xf numFmtId="166" fontId="7" fillId="0" borderId="0" xfId="46" applyNumberFormat="1" applyFont="1" applyFill="1"/>
    <xf numFmtId="166" fontId="7" fillId="0" borderId="0" xfId="0" applyNumberFormat="1" applyFont="1" applyFill="1"/>
    <xf numFmtId="0" fontId="33" fillId="0" borderId="0" xfId="0" applyFont="1"/>
    <xf numFmtId="168" fontId="14" fillId="0" borderId="0" xfId="19" applyFont="1" applyAlignment="1" applyProtection="1">
      <alignment horizontal="left" vertical="top" wrapText="1"/>
      <protection locked="0"/>
    </xf>
    <xf numFmtId="0" fontId="14" fillId="0" borderId="0" xfId="0" applyFont="1" applyAlignment="1">
      <alignment horizontal="center"/>
    </xf>
    <xf numFmtId="164" fontId="7" fillId="0" borderId="0" xfId="1" applyNumberFormat="1" applyFont="1" applyFill="1" applyBorder="1" applyAlignment="1">
      <alignment horizontal="center"/>
    </xf>
    <xf numFmtId="164" fontId="7" fillId="0" borderId="1" xfId="1" applyNumberFormat="1" applyFont="1" applyFill="1" applyBorder="1" applyAlignment="1">
      <alignment horizontal="center"/>
    </xf>
    <xf numFmtId="2" fontId="7" fillId="0" borderId="0" xfId="0" applyNumberFormat="1" applyFont="1" applyFill="1" applyBorder="1" applyAlignment="1">
      <alignment horizontal="center"/>
    </xf>
    <xf numFmtId="0" fontId="7" fillId="0" borderId="0" xfId="0" applyFont="1" applyFill="1" applyBorder="1" applyAlignment="1">
      <alignment horizontal="center"/>
    </xf>
    <xf numFmtId="0" fontId="14" fillId="0" borderId="0" xfId="0" applyFont="1"/>
    <xf numFmtId="0" fontId="6" fillId="5" borderId="0" xfId="0" applyNumberFormat="1" applyFont="1" applyFill="1" applyBorder="1" applyAlignment="1">
      <alignment horizontal="center"/>
    </xf>
    <xf numFmtId="0" fontId="6" fillId="0" borderId="0" xfId="0" applyFont="1" applyAlignment="1">
      <alignment horizontal="center"/>
    </xf>
    <xf numFmtId="4" fontId="20" fillId="0" borderId="0" xfId="0" applyNumberFormat="1" applyFont="1" applyFill="1" applyAlignment="1">
      <alignment horizontal="right"/>
    </xf>
    <xf numFmtId="3" fontId="20" fillId="0" borderId="0" xfId="0" applyNumberFormat="1" applyFont="1" applyAlignment="1">
      <alignment horizontal="right"/>
    </xf>
    <xf numFmtId="3" fontId="20" fillId="0" borderId="0" xfId="0" applyNumberFormat="1" applyFont="1" applyFill="1" applyAlignment="1">
      <alignment horizontal="right"/>
    </xf>
    <xf numFmtId="175" fontId="14" fillId="0" borderId="0" xfId="12" applyNumberFormat="1" applyFont="1" applyAlignment="1">
      <alignment horizontal="right"/>
    </xf>
    <xf numFmtId="175" fontId="14" fillId="0" borderId="0" xfId="12" applyNumberFormat="1" applyFont="1" applyFill="1" applyAlignment="1">
      <alignment horizontal="right"/>
    </xf>
    <xf numFmtId="0" fontId="30" fillId="5" borderId="0" xfId="0" applyFont="1" applyFill="1" applyAlignment="1">
      <alignment horizontal="left"/>
    </xf>
    <xf numFmtId="0" fontId="30" fillId="5" borderId="0" xfId="0" applyFont="1" applyFill="1" applyAlignment="1"/>
    <xf numFmtId="0" fontId="14" fillId="5" borderId="0" xfId="0" applyNumberFormat="1" applyFont="1" applyFill="1" applyAlignment="1">
      <alignment horizontal="left"/>
    </xf>
    <xf numFmtId="165" fontId="20" fillId="0" borderId="0" xfId="0" applyNumberFormat="1" applyFont="1" applyFill="1" applyAlignment="1">
      <alignment horizontal="right"/>
    </xf>
    <xf numFmtId="3" fontId="14" fillId="0" borderId="0" xfId="0" applyNumberFormat="1" applyFont="1" applyAlignment="1">
      <alignment horizontal="right"/>
    </xf>
    <xf numFmtId="10" fontId="14" fillId="2" borderId="0" xfId="0" applyNumberFormat="1" applyFont="1" applyFill="1"/>
    <xf numFmtId="0" fontId="21" fillId="0" borderId="0" xfId="0" applyFont="1" applyFill="1" applyBorder="1" applyAlignment="1">
      <alignment horizontal="center"/>
    </xf>
    <xf numFmtId="37" fontId="14" fillId="0" borderId="0" xfId="0" applyNumberFormat="1" applyFont="1" applyFill="1" applyBorder="1" applyAlignment="1">
      <alignment horizontal="right"/>
    </xf>
    <xf numFmtId="0" fontId="21" fillId="0" borderId="0" xfId="0" applyFont="1" applyBorder="1" applyAlignment="1">
      <alignment horizontal="center"/>
    </xf>
    <xf numFmtId="0" fontId="11" fillId="0" borderId="0" xfId="0" applyFont="1" applyBorder="1" applyAlignment="1">
      <alignment horizontal="center"/>
    </xf>
    <xf numFmtId="37" fontId="6" fillId="0" borderId="0" xfId="0" applyNumberFormat="1" applyFont="1" applyFill="1" applyBorder="1" applyAlignment="1">
      <alignment horizontal="right"/>
    </xf>
    <xf numFmtId="0" fontId="29" fillId="0" borderId="0" xfId="0" applyNumberFormat="1" applyFont="1" applyFill="1" applyBorder="1" applyAlignment="1">
      <alignment horizontal="left"/>
    </xf>
    <xf numFmtId="0" fontId="6" fillId="0" borderId="0" xfId="0" applyFont="1" applyAlignment="1">
      <alignment vertical="center"/>
    </xf>
    <xf numFmtId="0" fontId="14" fillId="0" borderId="14" xfId="0" applyNumberFormat="1" applyFont="1" applyBorder="1" applyAlignment="1">
      <alignment horizontal="center"/>
    </xf>
    <xf numFmtId="0" fontId="14" fillId="0" borderId="15" xfId="0" applyNumberFormat="1" applyFont="1" applyBorder="1" applyAlignment="1">
      <alignment horizontal="center"/>
    </xf>
    <xf numFmtId="0" fontId="14" fillId="0" borderId="15" xfId="0" applyNumberFormat="1" applyFont="1" applyFill="1" applyBorder="1" applyAlignment="1"/>
    <xf numFmtId="0" fontId="14" fillId="0" borderId="15" xfId="0" applyFont="1" applyFill="1" applyBorder="1" applyAlignment="1"/>
    <xf numFmtId="3" fontId="14" fillId="0" borderId="15" xfId="0" applyNumberFormat="1" applyFont="1" applyBorder="1" applyAlignment="1">
      <alignment horizontal="center"/>
    </xf>
    <xf numFmtId="3" fontId="14" fillId="0" borderId="15" xfId="0" applyNumberFormat="1" applyFont="1" applyBorder="1" applyAlignment="1"/>
    <xf numFmtId="0" fontId="14" fillId="0" borderId="15" xfId="0" applyFont="1" applyBorder="1" applyAlignment="1"/>
    <xf numFmtId="0" fontId="14" fillId="0" borderId="15" xfId="0" applyNumberFormat="1" applyFont="1" applyBorder="1" applyAlignment="1">
      <alignment horizontal="left"/>
    </xf>
    <xf numFmtId="0" fontId="14" fillId="0" borderId="15" xfId="0" applyFont="1" applyFill="1" applyBorder="1"/>
    <xf numFmtId="0" fontId="14" fillId="0" borderId="15" xfId="0" applyFont="1" applyBorder="1" applyAlignment="1">
      <alignment horizontal="center"/>
    </xf>
    <xf numFmtId="0" fontId="21" fillId="0" borderId="0" xfId="0" applyFont="1" applyFill="1" applyAlignment="1"/>
    <xf numFmtId="164" fontId="14" fillId="2" borderId="0" xfId="48" applyNumberFormat="1" applyFont="1" applyFill="1"/>
    <xf numFmtId="164" fontId="14" fillId="2" borderId="0" xfId="48" applyNumberFormat="1" applyFont="1" applyFill="1" applyAlignment="1"/>
    <xf numFmtId="164" fontId="14" fillId="0" borderId="18" xfId="48" applyNumberFormat="1" applyFont="1" applyFill="1" applyBorder="1" applyAlignment="1"/>
    <xf numFmtId="164" fontId="14" fillId="0" borderId="18" xfId="48" applyNumberFormat="1" applyFont="1" applyBorder="1" applyAlignment="1"/>
    <xf numFmtId="164" fontId="14" fillId="0" borderId="0" xfId="48" applyNumberFormat="1" applyFont="1" applyFill="1" applyBorder="1" applyAlignment="1"/>
    <xf numFmtId="164" fontId="14" fillId="0" borderId="12" xfId="48" applyNumberFormat="1" applyFont="1" applyFill="1" applyBorder="1" applyAlignment="1"/>
    <xf numFmtId="164" fontId="14" fillId="0" borderId="0" xfId="48" applyNumberFormat="1" applyFont="1" applyFill="1" applyAlignment="1"/>
    <xf numFmtId="164" fontId="14" fillId="2" borderId="0" xfId="48" applyNumberFormat="1" applyFont="1" applyFill="1" applyBorder="1" applyAlignment="1"/>
    <xf numFmtId="164" fontId="14" fillId="0" borderId="0" xfId="48" applyNumberFormat="1" applyFont="1" applyBorder="1" applyAlignment="1"/>
    <xf numFmtId="164" fontId="14" fillId="0" borderId="19" xfId="48" applyNumberFormat="1" applyFont="1" applyBorder="1"/>
    <xf numFmtId="164" fontId="14" fillId="0" borderId="0" xfId="48" applyNumberFormat="1" applyFont="1" applyAlignment="1"/>
    <xf numFmtId="164" fontId="14" fillId="2" borderId="12" xfId="48" applyNumberFormat="1" applyFont="1" applyFill="1" applyBorder="1" applyAlignment="1"/>
    <xf numFmtId="10" fontId="14" fillId="0" borderId="0" xfId="12" applyNumberFormat="1" applyFont="1" applyBorder="1" applyAlignment="1"/>
    <xf numFmtId="164" fontId="14" fillId="0" borderId="0" xfId="48" applyNumberFormat="1" applyFont="1" applyFill="1" applyBorder="1" applyAlignment="1">
      <alignment horizontal="right"/>
    </xf>
    <xf numFmtId="164" fontId="14" fillId="0" borderId="18" xfId="48" applyNumberFormat="1" applyFont="1" applyFill="1" applyBorder="1" applyAlignment="1">
      <alignment horizontal="right"/>
    </xf>
    <xf numFmtId="164" fontId="14" fillId="0" borderId="18" xfId="48" applyNumberFormat="1" applyFont="1" applyBorder="1" applyAlignment="1">
      <alignment horizontal="right"/>
    </xf>
    <xf numFmtId="164" fontId="14" fillId="0" borderId="18" xfId="48" applyNumberFormat="1" applyFont="1" applyBorder="1"/>
    <xf numFmtId="164" fontId="14" fillId="0" borderId="0" xfId="48" applyNumberFormat="1" applyFont="1" applyFill="1" applyAlignment="1">
      <alignment horizontal="right"/>
    </xf>
    <xf numFmtId="164" fontId="14" fillId="0" borderId="0" xfId="48" applyNumberFormat="1" applyFont="1" applyBorder="1" applyAlignment="1">
      <alignment horizontal="right"/>
    </xf>
    <xf numFmtId="164" fontId="14" fillId="0" borderId="0" xfId="48" applyNumberFormat="1" applyFont="1" applyFill="1"/>
    <xf numFmtId="164" fontId="14" fillId="0" borderId="12" xfId="48" applyNumberFormat="1" applyFont="1" applyFill="1" applyBorder="1"/>
    <xf numFmtId="10" fontId="14" fillId="0" borderId="0" xfId="0" applyNumberFormat="1" applyFont="1" applyAlignment="1">
      <alignment horizontal="right"/>
    </xf>
    <xf numFmtId="164" fontId="14" fillId="0" borderId="12" xfId="48" applyNumberFormat="1" applyFont="1" applyFill="1" applyBorder="1" applyAlignment="1">
      <alignment horizontal="right"/>
    </xf>
    <xf numFmtId="164" fontId="20" fillId="0" borderId="0" xfId="48" applyNumberFormat="1" applyFont="1" applyFill="1" applyAlignment="1">
      <alignment horizontal="right"/>
    </xf>
    <xf numFmtId="164" fontId="14" fillId="0" borderId="4" xfId="48" applyNumberFormat="1" applyFont="1" applyFill="1" applyBorder="1" applyAlignment="1">
      <alignment horizontal="right"/>
    </xf>
    <xf numFmtId="164" fontId="14" fillId="0" borderId="19" xfId="48" applyNumberFormat="1" applyFont="1" applyBorder="1" applyAlignment="1"/>
    <xf numFmtId="164" fontId="14" fillId="5" borderId="0" xfId="48" applyNumberFormat="1" applyFont="1" applyFill="1" applyBorder="1" applyAlignment="1">
      <alignment horizontal="center" wrapText="1"/>
    </xf>
    <xf numFmtId="164" fontId="20" fillId="0" borderId="0" xfId="48" applyNumberFormat="1" applyFont="1" applyAlignment="1">
      <alignment horizontal="right"/>
    </xf>
    <xf numFmtId="10" fontId="14" fillId="0" borderId="12" xfId="0" applyNumberFormat="1" applyFont="1" applyBorder="1" applyAlignment="1">
      <alignment horizontal="right"/>
    </xf>
    <xf numFmtId="164" fontId="14" fillId="0" borderId="0" xfId="48" applyNumberFormat="1" applyFont="1" applyAlignment="1">
      <alignment horizontal="right"/>
    </xf>
    <xf numFmtId="164" fontId="14" fillId="0" borderId="19" xfId="48" applyNumberFormat="1" applyFont="1" applyBorder="1" applyAlignment="1">
      <alignment horizontal="right"/>
    </xf>
    <xf numFmtId="164" fontId="14" fillId="2" borderId="12" xfId="48" applyNumberFormat="1" applyFont="1" applyFill="1" applyBorder="1" applyAlignment="1">
      <alignment horizontal="right"/>
    </xf>
    <xf numFmtId="187" fontId="14" fillId="0" borderId="0" xfId="0" applyNumberFormat="1" applyFont="1" applyAlignment="1"/>
    <xf numFmtId="187" fontId="14" fillId="2" borderId="0" xfId="0" applyNumberFormat="1" applyFont="1" applyFill="1" applyAlignment="1"/>
    <xf numFmtId="187" fontId="14" fillId="0" borderId="12" xfId="0" applyNumberFormat="1" applyFont="1" applyBorder="1" applyAlignment="1"/>
    <xf numFmtId="164" fontId="14" fillId="0" borderId="19" xfId="48" applyNumberFormat="1" applyFont="1" applyFill="1" applyBorder="1" applyAlignment="1">
      <alignment horizontal="right"/>
    </xf>
    <xf numFmtId="164" fontId="14" fillId="0" borderId="15" xfId="48" applyNumberFormat="1" applyFont="1" applyBorder="1"/>
    <xf numFmtId="164" fontId="14" fillId="0" borderId="0" xfId="48" applyNumberFormat="1" applyFont="1" applyBorder="1"/>
    <xf numFmtId="164" fontId="14" fillId="0" borderId="0" xfId="48" applyNumberFormat="1" applyFont="1" applyFill="1" applyBorder="1"/>
    <xf numFmtId="164" fontId="14" fillId="0" borderId="15" xfId="48" applyNumberFormat="1" applyFont="1" applyBorder="1" applyAlignment="1">
      <alignment horizontal="center"/>
    </xf>
    <xf numFmtId="0" fontId="0" fillId="0" borderId="0" xfId="0" applyFont="1" applyAlignment="1"/>
    <xf numFmtId="0" fontId="6" fillId="0" borderId="0" xfId="0" applyFont="1" applyAlignment="1"/>
    <xf numFmtId="164" fontId="7" fillId="2" borderId="0" xfId="8" applyNumberFormat="1" applyFont="1" applyFill="1" applyAlignment="1">
      <alignment horizontal="right"/>
    </xf>
    <xf numFmtId="0" fontId="25" fillId="0" borderId="0" xfId="0" applyFont="1" applyAlignment="1">
      <alignment horizontal="left" wrapText="1"/>
    </xf>
    <xf numFmtId="37" fontId="25" fillId="0" borderId="0" xfId="0" applyNumberFormat="1" applyFont="1" applyAlignment="1">
      <alignment horizontal="right" wrapText="1"/>
    </xf>
    <xf numFmtId="0" fontId="25" fillId="0" borderId="0" xfId="0" applyFont="1" applyAlignment="1">
      <alignment horizontal="right" wrapText="1"/>
    </xf>
    <xf numFmtId="37" fontId="25" fillId="0" borderId="0" xfId="0" applyNumberFormat="1" applyFont="1" applyAlignment="1">
      <alignment horizontal="left" vertical="center" wrapText="1"/>
    </xf>
    <xf numFmtId="0" fontId="25" fillId="0" borderId="0" xfId="0" applyFont="1" applyAlignment="1">
      <alignment horizontal="left" vertical="center" wrapText="1"/>
    </xf>
    <xf numFmtId="37" fontId="25" fillId="0" borderId="0" xfId="0" applyNumberFormat="1" applyFont="1"/>
    <xf numFmtId="0" fontId="25" fillId="2" borderId="0" xfId="0" applyFont="1" applyFill="1"/>
    <xf numFmtId="0" fontId="25" fillId="0" borderId="0" xfId="0" applyFont="1" applyFill="1" applyAlignment="1">
      <alignment horizontal="right"/>
    </xf>
    <xf numFmtId="41" fontId="25" fillId="0" borderId="0" xfId="0" applyNumberFormat="1" applyFont="1" applyAlignment="1">
      <alignment horizontal="right"/>
    </xf>
    <xf numFmtId="41" fontId="25" fillId="9" borderId="12" xfId="0" applyNumberFormat="1" applyFont="1" applyFill="1" applyBorder="1" applyAlignment="1">
      <alignment horizontal="right"/>
    </xf>
    <xf numFmtId="37" fontId="25" fillId="0" borderId="0" xfId="0" applyNumberFormat="1" applyFont="1" applyFill="1"/>
    <xf numFmtId="164" fontId="25" fillId="0" borderId="0" xfId="8" applyNumberFormat="1" applyFont="1" applyFill="1" applyAlignment="1">
      <alignment horizontal="right"/>
    </xf>
    <xf numFmtId="41" fontId="25" fillId="0" borderId="0" xfId="0" applyNumberFormat="1" applyFont="1" applyFill="1" applyBorder="1" applyAlignment="1">
      <alignment horizontal="right"/>
    </xf>
    <xf numFmtId="37" fontId="25" fillId="0" borderId="0" xfId="0" applyNumberFormat="1" applyFont="1" applyFill="1" applyAlignment="1">
      <alignment horizontal="right" wrapText="1"/>
    </xf>
    <xf numFmtId="0" fontId="25" fillId="0" borderId="0" xfId="0" applyFont="1" applyAlignment="1">
      <alignment horizontal="left"/>
    </xf>
    <xf numFmtId="166" fontId="7" fillId="2" borderId="0" xfId="7" applyNumberFormat="1" applyFont="1" applyFill="1"/>
    <xf numFmtId="164" fontId="7" fillId="0" borderId="0" xfId="8" applyNumberFormat="1" applyFont="1" applyFill="1" applyAlignment="1">
      <alignment wrapText="1"/>
    </xf>
    <xf numFmtId="164" fontId="7" fillId="0" borderId="0" xfId="143" applyNumberFormat="1" applyFont="1" applyFill="1" applyAlignment="1">
      <alignment wrapText="1"/>
    </xf>
    <xf numFmtId="166" fontId="7" fillId="0" borderId="0" xfId="62" applyNumberFormat="1" applyFont="1"/>
    <xf numFmtId="164" fontId="7" fillId="0" borderId="0" xfId="8" applyNumberFormat="1" applyFont="1" applyFill="1" applyAlignment="1">
      <alignment vertical="center" wrapText="1"/>
    </xf>
    <xf numFmtId="164" fontId="7" fillId="0" borderId="0" xfId="8" applyNumberFormat="1" applyFont="1" applyFill="1" applyAlignment="1"/>
    <xf numFmtId="166" fontId="7" fillId="9" borderId="0" xfId="7" applyNumberFormat="1" applyFont="1" applyFill="1"/>
    <xf numFmtId="164" fontId="7" fillId="0" borderId="0" xfId="8" applyNumberFormat="1" applyFont="1" applyFill="1"/>
    <xf numFmtId="166" fontId="7" fillId="0" borderId="0" xfId="7" applyNumberFormat="1" applyFont="1" applyFill="1"/>
    <xf numFmtId="164" fontId="7" fillId="0" borderId="0" xfId="8" applyNumberFormat="1" applyFont="1" applyAlignment="1"/>
    <xf numFmtId="164" fontId="40" fillId="0" borderId="0" xfId="8" applyNumberFormat="1" applyFont="1" applyAlignment="1">
      <alignment horizontal="center"/>
    </xf>
    <xf numFmtId="164" fontId="25" fillId="0" borderId="0" xfId="8" applyNumberFormat="1" applyFont="1" applyAlignment="1"/>
    <xf numFmtId="0" fontId="25" fillId="0" borderId="0" xfId="0" applyFont="1" applyFill="1" applyAlignment="1">
      <alignment horizontal="left"/>
    </xf>
    <xf numFmtId="164" fontId="25" fillId="0" borderId="0" xfId="8" applyNumberFormat="1" applyFont="1" applyFill="1" applyAlignment="1"/>
    <xf numFmtId="0" fontId="25" fillId="0" borderId="0" xfId="0" applyFont="1" applyFill="1" applyAlignment="1">
      <alignment horizontal="left" vertical="center"/>
    </xf>
    <xf numFmtId="164" fontId="25" fillId="0" borderId="0" xfId="8" applyNumberFormat="1" applyFont="1" applyFill="1" applyAlignment="1">
      <alignment vertical="center" wrapText="1"/>
    </xf>
    <xf numFmtId="0" fontId="25" fillId="0" borderId="0" xfId="0" applyFont="1" applyFill="1" applyAlignment="1">
      <alignment vertical="top"/>
    </xf>
    <xf numFmtId="0" fontId="25" fillId="9" borderId="0" xfId="0" applyFont="1" applyFill="1"/>
    <xf numFmtId="164" fontId="25" fillId="0" borderId="0" xfId="8" applyNumberFormat="1" applyFont="1" applyFill="1" applyBorder="1" applyAlignment="1"/>
    <xf numFmtId="0" fontId="25" fillId="0" borderId="0" xfId="0" applyFont="1" applyFill="1" applyAlignment="1">
      <alignment horizontal="center" vertical="top"/>
    </xf>
    <xf numFmtId="0" fontId="7" fillId="0" borderId="0" xfId="0" applyFont="1" applyAlignment="1">
      <alignment horizontal="center" vertical="center" wrapText="1"/>
    </xf>
    <xf numFmtId="0" fontId="25" fillId="0" borderId="0" xfId="0" applyFont="1" applyFill="1" applyAlignment="1">
      <alignment horizontal="center"/>
    </xf>
    <xf numFmtId="164" fontId="25" fillId="0" borderId="0" xfId="8" applyNumberFormat="1" applyFont="1" applyBorder="1" applyAlignment="1"/>
    <xf numFmtId="164" fontId="25" fillId="0" borderId="0" xfId="8" applyNumberFormat="1" applyFont="1" applyFill="1"/>
    <xf numFmtId="0" fontId="40" fillId="0" borderId="0" xfId="0" applyFont="1" applyFill="1"/>
    <xf numFmtId="0" fontId="25" fillId="0" borderId="0" xfId="162" applyFont="1" applyAlignment="1">
      <alignment horizontal="center"/>
    </xf>
    <xf numFmtId="0" fontId="25" fillId="0" borderId="0" xfId="162" applyFont="1"/>
    <xf numFmtId="0" fontId="23" fillId="0" borderId="0" xfId="0" applyFont="1" applyAlignment="1"/>
    <xf numFmtId="0" fontId="7" fillId="0" borderId="0" xfId="0" applyFont="1" applyAlignment="1"/>
    <xf numFmtId="164" fontId="25" fillId="0" borderId="0" xfId="163" applyNumberFormat="1" applyFont="1"/>
    <xf numFmtId="0" fontId="40" fillId="0" borderId="12" xfId="162" applyFont="1" applyBorder="1" applyAlignment="1">
      <alignment horizontal="center" wrapText="1"/>
    </xf>
    <xf numFmtId="0" fontId="40" fillId="0" borderId="0" xfId="162" applyFont="1" applyAlignment="1">
      <alignment horizontal="center" wrapText="1"/>
    </xf>
    <xf numFmtId="164" fontId="40" fillId="0" borderId="12" xfId="163" applyNumberFormat="1" applyFont="1" applyBorder="1" applyAlignment="1">
      <alignment horizontal="center" wrapText="1"/>
    </xf>
    <xf numFmtId="0" fontId="72" fillId="0" borderId="0" xfId="162" applyFont="1" applyAlignment="1">
      <alignment horizontal="left" wrapText="1"/>
    </xf>
    <xf numFmtId="164" fontId="40" fillId="0" borderId="0" xfId="163" applyNumberFormat="1" applyFont="1" applyBorder="1" applyAlignment="1">
      <alignment horizontal="center" wrapText="1"/>
    </xf>
    <xf numFmtId="0" fontId="25" fillId="0" borderId="0" xfId="162" applyFont="1" applyAlignment="1">
      <alignment horizontal="left" indent="1"/>
    </xf>
    <xf numFmtId="164" fontId="25" fillId="9" borderId="0" xfId="163" applyNumberFormat="1" applyFont="1" applyFill="1"/>
    <xf numFmtId="0" fontId="25" fillId="0" borderId="0" xfId="162" quotePrefix="1" applyFont="1" applyAlignment="1">
      <alignment horizontal="center"/>
    </xf>
    <xf numFmtId="0" fontId="25" fillId="0" borderId="18" xfId="162" applyFont="1" applyBorder="1"/>
    <xf numFmtId="164" fontId="25" fillId="0" borderId="18" xfId="163" applyNumberFormat="1" applyFont="1" applyBorder="1"/>
    <xf numFmtId="172" fontId="25" fillId="0" borderId="0" xfId="163" applyNumberFormat="1" applyFont="1"/>
    <xf numFmtId="164" fontId="25" fillId="0" borderId="0" xfId="163" applyNumberFormat="1" applyFont="1" applyBorder="1"/>
    <xf numFmtId="186" fontId="25" fillId="0" borderId="0" xfId="163" applyNumberFormat="1" applyFont="1"/>
    <xf numFmtId="172" fontId="25" fillId="0" borderId="0" xfId="163" quotePrefix="1" applyNumberFormat="1" applyFont="1"/>
    <xf numFmtId="0" fontId="72" fillId="0" borderId="0" xfId="162" applyFont="1"/>
    <xf numFmtId="0" fontId="29" fillId="5" borderId="0" xfId="0" applyFont="1" applyFill="1"/>
    <xf numFmtId="0" fontId="29" fillId="5" borderId="0" xfId="0" applyFont="1" applyFill="1" applyAlignment="1"/>
    <xf numFmtId="0" fontId="6" fillId="5" borderId="0" xfId="0" applyNumberFormat="1" applyFont="1" applyFill="1" applyAlignment="1">
      <alignment horizontal="left"/>
    </xf>
    <xf numFmtId="0" fontId="6" fillId="5" borderId="0" xfId="0" applyNumberFormat="1" applyFont="1" applyFill="1" applyAlignment="1">
      <alignment horizontal="center"/>
    </xf>
    <xf numFmtId="0" fontId="2" fillId="3" borderId="4" xfId="0" applyFont="1" applyFill="1" applyBorder="1" applyAlignment="1">
      <alignment horizontal="center" wrapText="1"/>
    </xf>
    <xf numFmtId="0" fontId="7" fillId="0" borderId="0" xfId="0" applyFont="1" applyBorder="1"/>
    <xf numFmtId="3" fontId="7" fillId="0" borderId="0" xfId="0" applyNumberFormat="1" applyFont="1" applyAlignment="1">
      <alignment horizontal="center"/>
    </xf>
    <xf numFmtId="0" fontId="7" fillId="0" borderId="0" xfId="0" applyFont="1" applyBorder="1" applyAlignment="1">
      <alignment horizontal="left" wrapText="1"/>
    </xf>
    <xf numFmtId="0" fontId="7" fillId="0" borderId="0" xfId="0" applyFont="1" applyBorder="1" applyAlignment="1">
      <alignment wrapText="1"/>
    </xf>
    <xf numFmtId="3" fontId="7" fillId="0" borderId="5" xfId="0" applyNumberFormat="1" applyFont="1" applyBorder="1" applyAlignment="1">
      <alignment horizontal="center"/>
    </xf>
    <xf numFmtId="3" fontId="7" fillId="0" borderId="7" xfId="0" applyNumberFormat="1" applyFont="1" applyBorder="1" applyAlignment="1">
      <alignment horizontal="center"/>
    </xf>
    <xf numFmtId="3" fontId="7" fillId="0" borderId="1" xfId="0" applyNumberFormat="1" applyFont="1" applyBorder="1" applyAlignment="1">
      <alignment horizontal="center"/>
    </xf>
    <xf numFmtId="0" fontId="7" fillId="0" borderId="0" xfId="0" applyFont="1" applyFill="1" applyBorder="1"/>
    <xf numFmtId="0" fontId="8" fillId="0" borderId="0" xfId="0" applyFont="1" applyBorder="1" applyAlignment="1">
      <alignment horizontal="center"/>
    </xf>
    <xf numFmtId="0" fontId="8" fillId="0" borderId="0" xfId="0" applyFont="1" applyFill="1" applyBorder="1" applyAlignment="1">
      <alignment horizontal="center"/>
    </xf>
    <xf numFmtId="0" fontId="7" fillId="0" borderId="0" xfId="0" applyFont="1" applyAlignment="1">
      <alignment horizontal="center"/>
    </xf>
    <xf numFmtId="0" fontId="7" fillId="0" borderId="1" xfId="0" applyFont="1" applyBorder="1" applyAlignment="1">
      <alignment horizontal="center"/>
    </xf>
    <xf numFmtId="0" fontId="48" fillId="0" borderId="0" xfId="0" applyFont="1"/>
    <xf numFmtId="0" fontId="7" fillId="0" borderId="0" xfId="0" applyFont="1" applyFill="1" applyBorder="1" applyAlignment="1">
      <alignment horizontal="left"/>
    </xf>
    <xf numFmtId="0" fontId="8" fillId="0" borderId="0" xfId="0" applyFont="1" applyAlignment="1">
      <alignment horizontal="center"/>
    </xf>
    <xf numFmtId="3" fontId="7" fillId="0" borderId="1" xfId="8" applyNumberFormat="1" applyFont="1" applyBorder="1" applyAlignment="1">
      <alignment horizontal="center"/>
    </xf>
    <xf numFmtId="0" fontId="8" fillId="0" borderId="0" xfId="0" applyFont="1" applyFill="1" applyBorder="1" applyAlignment="1">
      <alignment horizontal="center" wrapText="1"/>
    </xf>
    <xf numFmtId="0" fontId="7" fillId="0" borderId="0" xfId="0" applyFont="1" applyFill="1" applyBorder="1" applyAlignment="1">
      <alignment horizontal="center" wrapText="1"/>
    </xf>
    <xf numFmtId="0" fontId="8" fillId="0" borderId="5" xfId="0" applyFont="1" applyBorder="1" applyAlignment="1">
      <alignment horizontal="center"/>
    </xf>
    <xf numFmtId="10" fontId="7" fillId="9" borderId="7" xfId="145" applyNumberFormat="1" applyFont="1" applyFill="1" applyBorder="1" applyAlignment="1">
      <alignment horizontal="center"/>
    </xf>
    <xf numFmtId="10" fontId="7" fillId="9" borderId="1" xfId="145" applyNumberFormat="1" applyFont="1" applyFill="1" applyBorder="1" applyAlignment="1">
      <alignment horizontal="center"/>
    </xf>
    <xf numFmtId="0" fontId="2" fillId="3" borderId="2" xfId="0" applyFont="1" applyFill="1" applyBorder="1" applyAlignment="1">
      <alignment horizontal="center" wrapText="1"/>
    </xf>
    <xf numFmtId="0" fontId="8" fillId="0" borderId="0" xfId="0" applyNumberFormat="1" applyFont="1" applyBorder="1" applyAlignment="1">
      <alignment horizontal="left"/>
    </xf>
    <xf numFmtId="0" fontId="8" fillId="0" borderId="5" xfId="0" applyFont="1" applyBorder="1"/>
    <xf numFmtId="0" fontId="8" fillId="2" borderId="5" xfId="0" applyFont="1" applyFill="1" applyBorder="1" applyAlignment="1">
      <alignment horizontal="center"/>
    </xf>
    <xf numFmtId="0" fontId="7" fillId="0" borderId="6" xfId="0" applyFont="1" applyFill="1" applyBorder="1" applyAlignment="1">
      <alignment horizontal="center" wrapText="1"/>
    </xf>
    <xf numFmtId="0" fontId="8" fillId="0" borderId="5" xfId="0" applyFont="1" applyFill="1" applyBorder="1" applyAlignment="1">
      <alignment horizontal="center"/>
    </xf>
    <xf numFmtId="0" fontId="2" fillId="0" borderId="1" xfId="0" applyFont="1" applyBorder="1"/>
    <xf numFmtId="0" fontId="2" fillId="0" borderId="0" xfId="0" applyFont="1" applyBorder="1"/>
    <xf numFmtId="0" fontId="2" fillId="0" borderId="4" xfId="0" applyFont="1" applyFill="1" applyBorder="1" applyAlignment="1">
      <alignment wrapText="1"/>
    </xf>
    <xf numFmtId="0" fontId="3" fillId="0" borderId="4" xfId="0" applyFont="1" applyFill="1" applyBorder="1" applyAlignment="1">
      <alignment wrapText="1"/>
    </xf>
    <xf numFmtId="0" fontId="2" fillId="0" borderId="2" xfId="0" applyFont="1" applyFill="1" applyBorder="1"/>
    <xf numFmtId="0" fontId="7" fillId="0" borderId="5" xfId="0" applyFont="1" applyFill="1" applyBorder="1"/>
    <xf numFmtId="164" fontId="7" fillId="0" borderId="0" xfId="0" applyNumberFormat="1" applyFont="1" applyFill="1"/>
    <xf numFmtId="0" fontId="8" fillId="0" borderId="0" xfId="26" applyFont="1" applyFill="1"/>
    <xf numFmtId="0" fontId="8" fillId="0" borderId="0" xfId="26" applyFont="1" applyFill="1" applyAlignment="1">
      <alignment wrapText="1"/>
    </xf>
    <xf numFmtId="0" fontId="8" fillId="0" borderId="0" xfId="26" applyFont="1" applyFill="1" applyBorder="1" applyAlignment="1">
      <alignment wrapText="1"/>
    </xf>
    <xf numFmtId="9" fontId="7" fillId="0" borderId="5" xfId="2" applyFont="1" applyBorder="1" applyAlignment="1">
      <alignment horizontal="left"/>
    </xf>
    <xf numFmtId="9" fontId="7" fillId="0" borderId="5" xfId="2" applyFont="1" applyFill="1" applyBorder="1" applyAlignment="1">
      <alignment horizontal="left"/>
    </xf>
    <xf numFmtId="9" fontId="7" fillId="0" borderId="7" xfId="2" applyFont="1" applyFill="1" applyBorder="1" applyAlignment="1">
      <alignment horizontal="left"/>
    </xf>
    <xf numFmtId="0" fontId="7" fillId="0" borderId="4" xfId="0" applyFont="1" applyFill="1" applyBorder="1"/>
    <xf numFmtId="0" fontId="7" fillId="0" borderId="3" xfId="0" applyFont="1" applyFill="1" applyBorder="1"/>
    <xf numFmtId="0" fontId="7" fillId="0" borderId="6" xfId="0" applyFont="1" applyFill="1" applyBorder="1"/>
    <xf numFmtId="0" fontId="8" fillId="0" borderId="34" xfId="26" quotePrefix="1" applyFont="1" applyFill="1" applyBorder="1" applyAlignment="1">
      <alignment horizontal="left" wrapText="1"/>
    </xf>
    <xf numFmtId="0" fontId="8" fillId="0" borderId="12" xfId="26" applyFont="1" applyFill="1" applyBorder="1"/>
    <xf numFmtId="0" fontId="8" fillId="0" borderId="12" xfId="26" applyFont="1" applyFill="1" applyBorder="1" applyAlignment="1">
      <alignment wrapText="1"/>
    </xf>
    <xf numFmtId="0" fontId="8" fillId="0" borderId="12" xfId="26" applyFont="1" applyFill="1" applyBorder="1" applyAlignment="1">
      <alignment horizontal="center" wrapText="1"/>
    </xf>
    <xf numFmtId="3" fontId="7" fillId="0" borderId="34" xfId="33" applyNumberFormat="1" applyFont="1" applyFill="1" applyBorder="1" applyAlignment="1">
      <alignment horizontal="center" wrapText="1"/>
    </xf>
    <xf numFmtId="0" fontId="7" fillId="0" borderId="12" xfId="33" applyFont="1" applyFill="1" applyBorder="1" applyAlignment="1">
      <alignment horizontal="center" wrapText="1"/>
    </xf>
    <xf numFmtId="3" fontId="7" fillId="0" borderId="12" xfId="33" applyNumberFormat="1" applyFont="1" applyFill="1" applyBorder="1" applyAlignment="1">
      <alignment horizontal="center" wrapText="1"/>
    </xf>
    <xf numFmtId="0" fontId="7" fillId="0" borderId="12" xfId="0" applyFont="1" applyFill="1" applyBorder="1"/>
    <xf numFmtId="0" fontId="7" fillId="0" borderId="13" xfId="0" applyFont="1" applyFill="1" applyBorder="1"/>
    <xf numFmtId="168" fontId="7" fillId="9" borderId="0" xfId="25" applyFont="1" applyFill="1" applyAlignment="1">
      <alignment horizontal="left"/>
    </xf>
    <xf numFmtId="164" fontId="7" fillId="9" borderId="5" xfId="48" applyNumberFormat="1" applyFont="1" applyFill="1" applyBorder="1"/>
    <xf numFmtId="164" fontId="7" fillId="0" borderId="35" xfId="48" applyNumberFormat="1" applyFont="1" applyFill="1" applyBorder="1"/>
    <xf numFmtId="164" fontId="7" fillId="9" borderId="0" xfId="8" applyNumberFormat="1" applyFont="1" applyFill="1" applyAlignment="1">
      <alignment horizontal="center"/>
    </xf>
    <xf numFmtId="10" fontId="7" fillId="0" borderId="0" xfId="8" applyNumberFormat="1" applyFont="1" applyFill="1" applyAlignment="1">
      <alignment horizontal="center"/>
    </xf>
    <xf numFmtId="164" fontId="7" fillId="0" borderId="0" xfId="48" applyNumberFormat="1" applyFont="1" applyFill="1"/>
    <xf numFmtId="164" fontId="7" fillId="0" borderId="0" xfId="48" applyNumberFormat="1" applyFont="1" applyFill="1" applyAlignment="1">
      <alignment horizontal="center" wrapText="1"/>
    </xf>
    <xf numFmtId="164" fontId="7" fillId="0" borderId="36" xfId="48" applyNumberFormat="1" applyFont="1" applyFill="1" applyBorder="1"/>
    <xf numFmtId="168" fontId="7" fillId="0" borderId="0" xfId="25" applyFont="1" applyFill="1" applyAlignment="1">
      <alignment horizontal="left"/>
    </xf>
    <xf numFmtId="164" fontId="8" fillId="9" borderId="37" xfId="48" applyNumberFormat="1" applyFont="1" applyFill="1" applyBorder="1"/>
    <xf numFmtId="164" fontId="7" fillId="0" borderId="38" xfId="48" applyNumberFormat="1" applyFont="1" applyFill="1" applyBorder="1"/>
    <xf numFmtId="0" fontId="7" fillId="0" borderId="0" xfId="26" applyFont="1" applyFill="1" applyAlignment="1">
      <alignment horizontal="left"/>
    </xf>
    <xf numFmtId="164" fontId="25" fillId="0" borderId="39" xfId="48" applyNumberFormat="1" applyFont="1" applyFill="1" applyBorder="1"/>
    <xf numFmtId="164" fontId="7" fillId="0" borderId="40" xfId="48" applyNumberFormat="1" applyFont="1" applyFill="1" applyBorder="1"/>
    <xf numFmtId="164" fontId="8" fillId="0" borderId="40" xfId="48" applyNumberFormat="1" applyFont="1" applyFill="1" applyBorder="1"/>
    <xf numFmtId="43" fontId="7" fillId="0" borderId="0" xfId="8" applyFont="1" applyFill="1"/>
    <xf numFmtId="168" fontId="7" fillId="0" borderId="0" xfId="25" applyFont="1" applyFill="1"/>
    <xf numFmtId="164" fontId="25" fillId="0" borderId="0" xfId="48" applyNumberFormat="1" applyFont="1" applyFill="1"/>
    <xf numFmtId="164" fontId="8" fillId="0" borderId="0" xfId="48" applyNumberFormat="1" applyFont="1" applyFill="1"/>
    <xf numFmtId="44" fontId="7" fillId="0" borderId="0" xfId="25" applyNumberFormat="1" applyFont="1" applyFill="1" applyBorder="1" applyAlignment="1"/>
    <xf numFmtId="0" fontId="7" fillId="0" borderId="8" xfId="0" applyFont="1" applyFill="1" applyBorder="1"/>
    <xf numFmtId="0" fontId="7" fillId="0" borderId="4" xfId="0" applyFont="1" applyBorder="1"/>
    <xf numFmtId="0" fontId="2" fillId="0" borderId="4" xfId="0" applyFont="1" applyBorder="1"/>
    <xf numFmtId="0" fontId="7" fillId="0" borderId="3" xfId="0" applyFont="1" applyBorder="1"/>
    <xf numFmtId="166" fontId="7" fillId="0" borderId="5" xfId="6" applyNumberFormat="1" applyFont="1" applyBorder="1"/>
    <xf numFmtId="44" fontId="7" fillId="0" borderId="7" xfId="6" applyFont="1" applyBorder="1"/>
    <xf numFmtId="166" fontId="7" fillId="0" borderId="1" xfId="6" applyNumberFormat="1" applyFont="1" applyBorder="1"/>
    <xf numFmtId="0" fontId="8" fillId="0" borderId="0" xfId="0" applyFont="1" applyBorder="1"/>
    <xf numFmtId="164" fontId="8" fillId="0" borderId="7" xfId="1" applyNumberFormat="1" applyFont="1" applyBorder="1" applyAlignment="1">
      <alignment horizontal="center"/>
    </xf>
    <xf numFmtId="169" fontId="8" fillId="0" borderId="7" xfId="8" applyNumberFormat="1" applyFont="1" applyBorder="1" applyAlignment="1">
      <alignment horizontal="center"/>
    </xf>
    <xf numFmtId="0" fontId="3" fillId="3" borderId="4" xfId="0" applyFont="1" applyFill="1" applyBorder="1" applyAlignment="1">
      <alignment horizontal="center"/>
    </xf>
    <xf numFmtId="0" fontId="3" fillId="3" borderId="3" xfId="0" applyFont="1" applyFill="1" applyBorder="1" applyAlignment="1">
      <alignment horizontal="center"/>
    </xf>
    <xf numFmtId="0" fontId="7" fillId="0" borderId="0" xfId="0" applyFont="1" applyBorder="1" applyAlignment="1"/>
    <xf numFmtId="0" fontId="7" fillId="0" borderId="6" xfId="0" applyFont="1" applyBorder="1" applyAlignment="1"/>
    <xf numFmtId="0" fontId="7" fillId="0" borderId="6" xfId="0" applyFont="1" applyFill="1" applyBorder="1" applyAlignment="1">
      <alignment horizontal="center"/>
    </xf>
    <xf numFmtId="0" fontId="7" fillId="0" borderId="1" xfId="0" applyFont="1" applyBorder="1" applyAlignment="1"/>
    <xf numFmtId="0" fontId="7" fillId="0" borderId="8" xfId="0" applyFont="1" applyBorder="1" applyAlignment="1"/>
    <xf numFmtId="0" fontId="3" fillId="3" borderId="4" xfId="0" applyFont="1" applyFill="1" applyBorder="1" applyAlignment="1">
      <alignment wrapText="1"/>
    </xf>
    <xf numFmtId="0" fontId="3" fillId="3" borderId="3" xfId="0" applyFont="1" applyFill="1" applyBorder="1" applyAlignment="1">
      <alignment wrapText="1"/>
    </xf>
    <xf numFmtId="0" fontId="2" fillId="3" borderId="4" xfId="0" applyFont="1" applyFill="1" applyBorder="1" applyAlignment="1">
      <alignment wrapText="1"/>
    </xf>
    <xf numFmtId="164" fontId="7" fillId="0" borderId="5" xfId="1" applyNumberFormat="1" applyFont="1" applyBorder="1"/>
    <xf numFmtId="164" fontId="7" fillId="0" borderId="0" xfId="0" applyNumberFormat="1" applyFont="1" applyBorder="1"/>
    <xf numFmtId="164" fontId="7" fillId="9" borderId="0" xfId="0" applyNumberFormat="1" applyFont="1" applyFill="1" applyBorder="1"/>
    <xf numFmtId="0" fontId="7" fillId="0" borderId="6" xfId="0" applyFont="1" applyBorder="1" applyAlignment="1">
      <alignment horizontal="left" wrapText="1"/>
    </xf>
    <xf numFmtId="164" fontId="7" fillId="0" borderId="1" xfId="0" applyNumberFormat="1" applyFont="1" applyBorder="1"/>
    <xf numFmtId="0" fontId="2" fillId="3" borderId="3" xfId="0" applyFont="1" applyFill="1" applyBorder="1" applyAlignment="1">
      <alignment horizontal="left"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3" fillId="0" borderId="0" xfId="0" applyFont="1" applyBorder="1" applyAlignment="1">
      <alignment horizontal="center" wrapText="1"/>
    </xf>
    <xf numFmtId="0" fontId="3" fillId="0" borderId="6" xfId="0" applyFont="1" applyBorder="1" applyAlignment="1">
      <alignment horizontal="center" wrapText="1"/>
    </xf>
    <xf numFmtId="164" fontId="7" fillId="0" borderId="0" xfId="8" applyNumberFormat="1" applyFont="1" applyFill="1" applyBorder="1"/>
    <xf numFmtId="164" fontId="7" fillId="0" borderId="1" xfId="1" applyNumberFormat="1" applyFont="1" applyFill="1" applyBorder="1"/>
    <xf numFmtId="0" fontId="7" fillId="0" borderId="1" xfId="0" applyFont="1" applyBorder="1" applyAlignment="1">
      <alignment horizontal="left"/>
    </xf>
    <xf numFmtId="0" fontId="7" fillId="0" borderId="8" xfId="0" applyFont="1" applyBorder="1" applyAlignment="1">
      <alignment horizontal="left"/>
    </xf>
    <xf numFmtId="0" fontId="2" fillId="0" borderId="0" xfId="0" applyFont="1" applyFill="1" applyBorder="1" applyAlignment="1">
      <alignment horizontal="center"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3" fillId="4" borderId="4" xfId="0" applyFont="1" applyFill="1" applyBorder="1" applyAlignment="1">
      <alignment wrapText="1"/>
    </xf>
    <xf numFmtId="0" fontId="3" fillId="4" borderId="3" xfId="0" applyFont="1" applyFill="1" applyBorder="1" applyAlignment="1">
      <alignment wrapText="1"/>
    </xf>
    <xf numFmtId="0" fontId="3" fillId="0" borderId="0" xfId="0" applyFont="1" applyFill="1" applyBorder="1" applyAlignment="1">
      <alignment horizontal="center" wrapText="1"/>
    </xf>
    <xf numFmtId="0" fontId="3" fillId="0" borderId="6" xfId="0" applyFont="1" applyFill="1" applyBorder="1" applyAlignment="1">
      <alignment horizontal="center" wrapText="1"/>
    </xf>
    <xf numFmtId="164" fontId="7" fillId="9" borderId="0" xfId="1" applyNumberFormat="1" applyFont="1" applyFill="1" applyBorder="1"/>
    <xf numFmtId="164" fontId="7" fillId="0" borderId="0" xfId="1" applyNumberFormat="1" applyFont="1" applyBorder="1"/>
    <xf numFmtId="0" fontId="7" fillId="0" borderId="6" xfId="0" applyNumberFormat="1" applyFont="1" applyFill="1" applyBorder="1" applyAlignment="1">
      <alignment horizontal="left" wrapText="1"/>
    </xf>
    <xf numFmtId="164" fontId="7" fillId="0" borderId="1" xfId="1" applyNumberFormat="1" applyFont="1" applyBorder="1"/>
    <xf numFmtId="0" fontId="8" fillId="0" borderId="0" xfId="0" applyNumberFormat="1" applyFont="1" applyBorder="1" applyAlignment="1">
      <alignment horizontal="center"/>
    </xf>
    <xf numFmtId="0" fontId="7" fillId="0" borderId="0" xfId="0" applyNumberFormat="1" applyFont="1" applyBorder="1" applyAlignment="1">
      <alignment horizontal="center"/>
    </xf>
    <xf numFmtId="0" fontId="2" fillId="0" borderId="0" xfId="0" applyFont="1" applyBorder="1" applyAlignment="1">
      <alignment horizontal="center"/>
    </xf>
    <xf numFmtId="37" fontId="7" fillId="0" borderId="0" xfId="0" applyNumberFormat="1" applyFont="1" applyBorder="1" applyAlignment="1">
      <alignment horizontal="left"/>
    </xf>
    <xf numFmtId="0" fontId="8" fillId="0" borderId="0" xfId="155" applyFont="1" applyAlignment="1">
      <alignment horizontal="center"/>
    </xf>
    <xf numFmtId="0" fontId="25" fillId="0" borderId="4" xfId="0" applyFont="1" applyBorder="1"/>
    <xf numFmtId="0" fontId="25" fillId="0" borderId="3" xfId="0" applyFont="1" applyBorder="1"/>
    <xf numFmtId="0" fontId="7" fillId="0" borderId="5" xfId="0" applyFont="1" applyBorder="1" applyAlignment="1">
      <alignment horizontal="center"/>
    </xf>
    <xf numFmtId="0" fontId="8" fillId="0" borderId="0" xfId="0" applyNumberFormat="1" applyFont="1" applyFill="1" applyBorder="1" applyAlignment="1"/>
    <xf numFmtId="0" fontId="7" fillId="0" borderId="0" xfId="0" applyFont="1" applyBorder="1" applyAlignment="1">
      <alignment horizontal="center"/>
    </xf>
    <xf numFmtId="0" fontId="25" fillId="0" borderId="0" xfId="0" applyFont="1" applyBorder="1"/>
    <xf numFmtId="0" fontId="25" fillId="0" borderId="6" xfId="0" applyFont="1" applyBorder="1"/>
    <xf numFmtId="0" fontId="7" fillId="0" borderId="5" xfId="0" applyNumberFormat="1" applyFont="1" applyFill="1" applyBorder="1" applyAlignment="1">
      <alignment horizontal="center"/>
    </xf>
    <xf numFmtId="0" fontId="57" fillId="0" borderId="0" xfId="0" applyNumberFormat="1" applyFont="1" applyFill="1" applyBorder="1" applyAlignment="1">
      <alignment horizontal="center"/>
    </xf>
    <xf numFmtId="3" fontId="7" fillId="0" borderId="6" xfId="0" applyNumberFormat="1" applyFont="1" applyFill="1" applyBorder="1" applyAlignment="1"/>
    <xf numFmtId="3" fontId="57" fillId="0" borderId="0" xfId="0" applyNumberFormat="1" applyFont="1" applyFill="1" applyBorder="1" applyAlignment="1">
      <alignment horizontal="center"/>
    </xf>
    <xf numFmtId="0" fontId="7" fillId="0" borderId="5" xfId="0" applyFont="1" applyFill="1" applyBorder="1" applyAlignment="1">
      <alignment horizontal="center"/>
    </xf>
    <xf numFmtId="0" fontId="8" fillId="0" borderId="0" xfId="0" applyNumberFormat="1" applyFont="1" applyFill="1" applyBorder="1" applyAlignment="1">
      <alignment horizontal="left"/>
    </xf>
    <xf numFmtId="0" fontId="7" fillId="0" borderId="0" xfId="0" applyFont="1" applyBorder="1" applyAlignment="1">
      <alignment horizontal="left"/>
    </xf>
    <xf numFmtId="0" fontId="57" fillId="0" borderId="0" xfId="0" applyFont="1" applyFill="1" applyBorder="1" applyAlignment="1">
      <alignment horizontal="right"/>
    </xf>
    <xf numFmtId="0" fontId="57" fillId="0" borderId="0" xfId="0" applyFont="1" applyFill="1" applyBorder="1"/>
    <xf numFmtId="0" fontId="57" fillId="0" borderId="0" xfId="0" applyFont="1" applyFill="1" applyBorder="1" applyAlignment="1">
      <alignment horizontal="center"/>
    </xf>
    <xf numFmtId="3" fontId="57" fillId="0" borderId="6" xfId="0" applyNumberFormat="1" applyFont="1" applyFill="1" applyBorder="1" applyAlignment="1"/>
    <xf numFmtId="0" fontId="7" fillId="0" borderId="0" xfId="0" applyFont="1" applyFill="1" applyBorder="1" applyAlignment="1"/>
    <xf numFmtId="0" fontId="7" fillId="0" borderId="6" xfId="0" applyFont="1" applyFill="1" applyBorder="1" applyAlignment="1"/>
    <xf numFmtId="0" fontId="7" fillId="0" borderId="7" xfId="0" applyFont="1" applyBorder="1" applyAlignment="1">
      <alignment horizontal="center"/>
    </xf>
    <xf numFmtId="0" fontId="7" fillId="0" borderId="1" xfId="0" applyFont="1" applyBorder="1" applyAlignment="1">
      <alignment horizontal="right"/>
    </xf>
    <xf numFmtId="0" fontId="57" fillId="0" borderId="1" xfId="0" applyFont="1" applyBorder="1" applyAlignment="1">
      <alignment horizontal="center"/>
    </xf>
    <xf numFmtId="0" fontId="25" fillId="0" borderId="1" xfId="0" applyFont="1" applyBorder="1"/>
    <xf numFmtId="0" fontId="25" fillId="0" borderId="8" xfId="0" applyFont="1" applyBorder="1"/>
    <xf numFmtId="0" fontId="7" fillId="0" borderId="0" xfId="0" applyNumberFormat="1" applyFont="1" applyFill="1" applyBorder="1" applyAlignment="1">
      <alignment horizontal="center"/>
    </xf>
    <xf numFmtId="0" fontId="57" fillId="0" borderId="0" xfId="0" applyFont="1" applyFill="1" applyBorder="1" applyAlignment="1"/>
    <xf numFmtId="3" fontId="7" fillId="0" borderId="6" xfId="0" applyNumberFormat="1" applyFont="1" applyFill="1" applyBorder="1" applyAlignment="1">
      <alignment horizontal="left"/>
    </xf>
    <xf numFmtId="3" fontId="7" fillId="0" borderId="0" xfId="0" applyNumberFormat="1" applyFont="1" applyBorder="1" applyAlignment="1">
      <alignment horizontal="center"/>
    </xf>
    <xf numFmtId="0" fontId="7" fillId="0" borderId="0" xfId="0" applyNumberFormat="1" applyFont="1" applyFill="1" applyBorder="1" applyAlignment="1">
      <alignment horizontal="right"/>
    </xf>
    <xf numFmtId="0" fontId="7" fillId="0" borderId="6" xfId="0" applyNumberFormat="1" applyFont="1" applyFill="1" applyBorder="1" applyAlignment="1">
      <alignment horizontal="left"/>
    </xf>
    <xf numFmtId="0" fontId="25" fillId="0" borderId="7" xfId="0" applyFont="1" applyBorder="1"/>
    <xf numFmtId="0" fontId="25" fillId="0" borderId="1" xfId="0" applyFont="1" applyFill="1" applyBorder="1"/>
    <xf numFmtId="0" fontId="57" fillId="0" borderId="0" xfId="0" applyFont="1" applyBorder="1" applyAlignment="1">
      <alignment horizontal="center"/>
    </xf>
    <xf numFmtId="3" fontId="7" fillId="0" borderId="6" xfId="0" applyNumberFormat="1" applyFont="1" applyBorder="1" applyAlignment="1">
      <alignment horizontal="left"/>
    </xf>
    <xf numFmtId="3" fontId="7" fillId="0" borderId="0" xfId="0" applyNumberFormat="1" applyFont="1" applyFill="1" applyBorder="1" applyAlignment="1"/>
    <xf numFmtId="3" fontId="57" fillId="0" borderId="0" xfId="0" applyNumberFormat="1" applyFont="1" applyBorder="1" applyAlignment="1">
      <alignment horizontal="center"/>
    </xf>
    <xf numFmtId="0" fontId="7" fillId="0" borderId="7" xfId="0" applyNumberFormat="1" applyFont="1" applyFill="1" applyBorder="1" applyAlignment="1">
      <alignment horizontal="center"/>
    </xf>
    <xf numFmtId="0" fontId="7" fillId="0" borderId="1" xfId="0" applyNumberFormat="1" applyFont="1" applyBorder="1" applyAlignment="1">
      <alignment horizontal="center"/>
    </xf>
    <xf numFmtId="0" fontId="7" fillId="0" borderId="1" xfId="0" applyNumberFormat="1" applyFont="1" applyFill="1" applyBorder="1" applyAlignment="1">
      <alignment horizontal="left"/>
    </xf>
    <xf numFmtId="0" fontId="57" fillId="0" borderId="1" xfId="0" applyNumberFormat="1" applyFont="1" applyFill="1" applyBorder="1" applyAlignment="1">
      <alignment horizontal="center"/>
    </xf>
    <xf numFmtId="3" fontId="7" fillId="0" borderId="8" xfId="0" applyNumberFormat="1" applyFont="1" applyFill="1" applyBorder="1" applyAlignment="1">
      <alignment horizontal="left"/>
    </xf>
    <xf numFmtId="3" fontId="7" fillId="0" borderId="0" xfId="0" applyNumberFormat="1" applyFont="1" applyFill="1" applyBorder="1" applyAlignment="1">
      <alignment horizontal="center"/>
    </xf>
    <xf numFmtId="0" fontId="7" fillId="0" borderId="1" xfId="0" applyNumberFormat="1" applyFont="1" applyFill="1" applyBorder="1" applyAlignment="1">
      <alignment horizontal="center"/>
    </xf>
    <xf numFmtId="0" fontId="7" fillId="0" borderId="6" xfId="0" applyFont="1" applyBorder="1" applyAlignment="1">
      <alignment horizontal="left"/>
    </xf>
    <xf numFmtId="0" fontId="7" fillId="0" borderId="1" xfId="0" applyNumberFormat="1" applyFont="1" applyFill="1" applyBorder="1" applyAlignment="1">
      <alignment horizontal="right"/>
    </xf>
    <xf numFmtId="0" fontId="57" fillId="0" borderId="1" xfId="0" applyFont="1" applyFill="1" applyBorder="1" applyAlignment="1">
      <alignment horizontal="center"/>
    </xf>
    <xf numFmtId="0" fontId="7" fillId="0" borderId="8" xfId="0" applyNumberFormat="1" applyFont="1" applyFill="1" applyBorder="1" applyAlignment="1">
      <alignment horizontal="left"/>
    </xf>
    <xf numFmtId="0" fontId="7" fillId="0" borderId="7" xfId="0" applyNumberFormat="1" applyFont="1" applyBorder="1" applyAlignment="1">
      <alignment horizontal="center"/>
    </xf>
    <xf numFmtId="0" fontId="7" fillId="0" borderId="1" xfId="0" applyNumberFormat="1" applyFont="1" applyBorder="1" applyAlignment="1">
      <alignment horizontal="left"/>
    </xf>
    <xf numFmtId="0" fontId="7" fillId="0" borderId="1" xfId="0" applyFont="1" applyFill="1" applyBorder="1" applyAlignment="1"/>
    <xf numFmtId="0" fontId="57" fillId="0" borderId="1" xfId="0" applyNumberFormat="1" applyFont="1" applyBorder="1" applyAlignment="1">
      <alignment horizontal="center"/>
    </xf>
    <xf numFmtId="0" fontId="7" fillId="0" borderId="8" xfId="0" applyNumberFormat="1" applyFont="1" applyBorder="1" applyAlignment="1">
      <alignment horizontal="left"/>
    </xf>
    <xf numFmtId="0" fontId="7" fillId="0" borderId="5" xfId="0" applyNumberFormat="1" applyFont="1" applyBorder="1" applyAlignment="1">
      <alignment horizontal="center"/>
    </xf>
    <xf numFmtId="167" fontId="8" fillId="0" borderId="0" xfId="0" applyNumberFormat="1" applyFont="1" applyBorder="1" applyAlignment="1">
      <alignment horizontal="left"/>
    </xf>
    <xf numFmtId="3" fontId="7" fillId="0" borderId="6" xfId="0" applyNumberFormat="1" applyFont="1" applyBorder="1" applyAlignment="1"/>
    <xf numFmtId="3" fontId="7" fillId="0" borderId="6" xfId="0" applyNumberFormat="1" applyFont="1" applyBorder="1"/>
    <xf numFmtId="168" fontId="7" fillId="0" borderId="1" xfId="0" applyNumberFormat="1" applyFont="1" applyBorder="1" applyAlignment="1"/>
    <xf numFmtId="0" fontId="57" fillId="0" borderId="1" xfId="0" applyFont="1" applyFill="1" applyBorder="1" applyAlignment="1"/>
    <xf numFmtId="0" fontId="8" fillId="0" borderId="5" xfId="0" applyNumberFormat="1" applyFont="1" applyBorder="1" applyAlignment="1">
      <alignment horizontal="center"/>
    </xf>
    <xf numFmtId="0" fontId="8" fillId="0" borderId="0" xfId="0" applyFont="1" applyFill="1" applyBorder="1" applyAlignment="1"/>
    <xf numFmtId="3" fontId="8" fillId="0" borderId="0" xfId="0" applyNumberFormat="1" applyFont="1" applyBorder="1" applyAlignment="1">
      <alignment horizontal="center"/>
    </xf>
    <xf numFmtId="3" fontId="8" fillId="0" borderId="0" xfId="0" applyNumberFormat="1" applyFont="1" applyBorder="1" applyAlignment="1"/>
    <xf numFmtId="3" fontId="7" fillId="0" borderId="0" xfId="0" applyNumberFormat="1" applyFont="1" applyFill="1" applyBorder="1" applyAlignment="1">
      <alignment horizontal="left"/>
    </xf>
    <xf numFmtId="0" fontId="7" fillId="0" borderId="0" xfId="0" applyNumberFormat="1" applyFont="1" applyFill="1" applyBorder="1" applyAlignment="1"/>
    <xf numFmtId="0" fontId="25" fillId="0" borderId="5" xfId="0" applyFont="1" applyFill="1" applyBorder="1"/>
    <xf numFmtId="0" fontId="25" fillId="0" borderId="0" xfId="0" applyFont="1" applyFill="1" applyBorder="1" applyAlignment="1">
      <alignment horizontal="right"/>
    </xf>
    <xf numFmtId="164" fontId="25" fillId="0" borderId="0" xfId="1" applyNumberFormat="1" applyFont="1" applyFill="1" applyBorder="1"/>
    <xf numFmtId="0" fontId="25" fillId="0" borderId="0" xfId="0" applyFont="1" applyFill="1" applyBorder="1"/>
    <xf numFmtId="0" fontId="25" fillId="0" borderId="4" xfId="0" applyFont="1" applyFill="1" applyBorder="1"/>
    <xf numFmtId="0" fontId="25" fillId="0" borderId="3" xfId="0" applyFont="1" applyFill="1" applyBorder="1"/>
    <xf numFmtId="0" fontId="8" fillId="0" borderId="5" xfId="0" applyFont="1" applyFill="1" applyBorder="1"/>
    <xf numFmtId="0" fontId="8" fillId="0" borderId="0" xfId="0" applyFont="1" applyFill="1" applyAlignment="1">
      <alignment horizontal="left"/>
    </xf>
    <xf numFmtId="3" fontId="8" fillId="0" borderId="6" xfId="0" applyNumberFormat="1" applyFont="1" applyFill="1" applyBorder="1" applyAlignment="1">
      <alignment horizontal="center"/>
    </xf>
    <xf numFmtId="0" fontId="25" fillId="0" borderId="6" xfId="0" applyFont="1" applyFill="1" applyBorder="1"/>
    <xf numFmtId="0" fontId="7" fillId="0" borderId="6" xfId="0" applyFont="1" applyFill="1" applyBorder="1" applyAlignment="1">
      <alignment horizontal="left"/>
    </xf>
    <xf numFmtId="167" fontId="7" fillId="0" borderId="0" xfId="2" applyNumberFormat="1" applyFont="1" applyFill="1"/>
    <xf numFmtId="164" fontId="7" fillId="0" borderId="6" xfId="1" applyNumberFormat="1" applyFont="1" applyFill="1" applyBorder="1" applyAlignment="1">
      <alignment horizontal="left"/>
    </xf>
    <xf numFmtId="164" fontId="25" fillId="9" borderId="0" xfId="48" applyNumberFormat="1" applyFont="1" applyFill="1" applyAlignment="1">
      <alignment horizontal="center"/>
    </xf>
    <xf numFmtId="0" fontId="7" fillId="0" borderId="7" xfId="0" applyFont="1" applyFill="1" applyBorder="1" applyAlignment="1">
      <alignment horizontal="center"/>
    </xf>
    <xf numFmtId="0" fontId="7" fillId="0" borderId="1" xfId="0" applyFont="1" applyFill="1" applyBorder="1" applyAlignment="1">
      <alignment horizontal="center"/>
    </xf>
    <xf numFmtId="0" fontId="25" fillId="0" borderId="8" xfId="0" applyFont="1" applyFill="1" applyBorder="1"/>
    <xf numFmtId="0" fontId="2" fillId="0" borderId="0" xfId="0" applyFont="1" applyFill="1" applyAlignment="1">
      <alignment horizontal="center"/>
    </xf>
    <xf numFmtId="0" fontId="25" fillId="0" borderId="12" xfId="0" applyFont="1" applyFill="1" applyBorder="1" applyAlignment="1">
      <alignment wrapText="1"/>
    </xf>
    <xf numFmtId="0" fontId="25" fillId="0" borderId="12" xfId="0" applyFont="1" applyFill="1" applyBorder="1"/>
    <xf numFmtId="182" fontId="25" fillId="0" borderId="6" xfId="0" applyNumberFormat="1" applyFont="1" applyFill="1" applyBorder="1"/>
    <xf numFmtId="182" fontId="25" fillId="0" borderId="0" xfId="0" applyNumberFormat="1" applyFont="1" applyFill="1"/>
    <xf numFmtId="0" fontId="25" fillId="0" borderId="7" xfId="0" applyFont="1" applyFill="1" applyBorder="1"/>
    <xf numFmtId="0" fontId="7" fillId="0" borderId="1" xfId="0" applyFont="1" applyFill="1" applyBorder="1" applyAlignment="1">
      <alignment horizontal="left"/>
    </xf>
    <xf numFmtId="0" fontId="2" fillId="3" borderId="4" xfId="0" applyFont="1" applyFill="1" applyBorder="1"/>
    <xf numFmtId="0" fontId="8" fillId="4" borderId="4" xfId="0" applyFont="1" applyFill="1" applyBorder="1"/>
    <xf numFmtId="0" fontId="40" fillId="4" borderId="3" xfId="0" applyFont="1" applyFill="1" applyBorder="1" applyAlignment="1">
      <alignment horizontal="center"/>
    </xf>
    <xf numFmtId="0" fontId="25" fillId="0" borderId="5" xfId="0" applyFont="1" applyBorder="1"/>
    <xf numFmtId="0" fontId="7" fillId="0" borderId="12" xfId="7" applyFont="1" applyBorder="1"/>
    <xf numFmtId="164" fontId="7" fillId="0" borderId="1" xfId="7" applyNumberFormat="1" applyFont="1" applyBorder="1"/>
    <xf numFmtId="0" fontId="7" fillId="0" borderId="1" xfId="7" applyFont="1" applyBorder="1"/>
    <xf numFmtId="0" fontId="8" fillId="0" borderId="0" xfId="0" applyFont="1" applyBorder="1" applyAlignment="1">
      <alignment horizontal="left"/>
    </xf>
    <xf numFmtId="0" fontId="7" fillId="0" borderId="6" xfId="0" applyNumberFormat="1" applyFont="1" applyFill="1" applyBorder="1" applyAlignment="1">
      <alignment horizontal="center"/>
    </xf>
    <xf numFmtId="0" fontId="7" fillId="0" borderId="8" xfId="0" applyNumberFormat="1" applyFont="1" applyFill="1" applyBorder="1" applyAlignment="1">
      <alignment horizontal="center"/>
    </xf>
    <xf numFmtId="0" fontId="25" fillId="0" borderId="2" xfId="0" applyFont="1" applyBorder="1"/>
    <xf numFmtId="3" fontId="7" fillId="0" borderId="6" xfId="0" applyNumberFormat="1" applyFont="1" applyFill="1" applyBorder="1" applyAlignment="1">
      <alignment horizontal="center"/>
    </xf>
    <xf numFmtId="3" fontId="7" fillId="0" borderId="8" xfId="0" applyNumberFormat="1"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2" fontId="8" fillId="0" borderId="5" xfId="0" applyNumberFormat="1" applyFont="1" applyFill="1" applyBorder="1" applyAlignment="1">
      <alignment horizontal="center"/>
    </xf>
    <xf numFmtId="164" fontId="8" fillId="0" borderId="0" xfId="1" applyNumberFormat="1" applyFont="1" applyFill="1" applyBorder="1" applyAlignment="1">
      <alignment horizontal="center"/>
    </xf>
    <xf numFmtId="164" fontId="25" fillId="0" borderId="0" xfId="48" applyNumberFormat="1" applyFont="1" applyBorder="1"/>
    <xf numFmtId="0" fontId="2" fillId="0" borderId="0" xfId="0" applyFont="1" applyFill="1" applyBorder="1" applyAlignment="1">
      <alignment horizontal="center"/>
    </xf>
    <xf numFmtId="164" fontId="2" fillId="0" borderId="0" xfId="48" applyNumberFormat="1" applyFont="1" applyFill="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3" fontId="57" fillId="0" borderId="0" xfId="0" applyNumberFormat="1" applyFont="1" applyAlignment="1">
      <alignment horizontal="center"/>
    </xf>
    <xf numFmtId="0" fontId="25" fillId="0" borderId="0" xfId="0" applyFont="1" applyBorder="1" applyAlignment="1">
      <alignment horizontal="center"/>
    </xf>
    <xf numFmtId="0" fontId="2" fillId="0" borderId="5" xfId="0" applyFont="1" applyFill="1" applyBorder="1" applyAlignment="1">
      <alignment horizontal="center"/>
    </xf>
    <xf numFmtId="0" fontId="2" fillId="0" borderId="6" xfId="0" applyFont="1" applyFill="1" applyBorder="1" applyAlignment="1">
      <alignment horizontal="center"/>
    </xf>
    <xf numFmtId="0" fontId="8" fillId="0" borderId="0" xfId="0" applyFont="1" applyFill="1" applyBorder="1" applyAlignment="1">
      <alignment horizontal="left"/>
    </xf>
    <xf numFmtId="0" fontId="7" fillId="0" borderId="0" xfId="5" applyFont="1"/>
    <xf numFmtId="0" fontId="25" fillId="7" borderId="5" xfId="0" applyFont="1" applyFill="1" applyBorder="1" applyAlignment="1">
      <alignment horizontal="center"/>
    </xf>
    <xf numFmtId="0" fontId="25" fillId="7" borderId="0" xfId="0" applyFont="1" applyFill="1" applyAlignment="1">
      <alignment horizontal="center"/>
    </xf>
    <xf numFmtId="0" fontId="25" fillId="7" borderId="0" xfId="0" applyFont="1" applyFill="1" applyAlignment="1">
      <alignment horizontal="left"/>
    </xf>
    <xf numFmtId="2" fontId="25" fillId="7" borderId="0" xfId="0" applyNumberFormat="1" applyFont="1" applyFill="1" applyAlignment="1">
      <alignment horizontal="center"/>
    </xf>
    <xf numFmtId="164" fontId="25" fillId="7" borderId="0" xfId="8" applyNumberFormat="1" applyFont="1" applyFill="1"/>
    <xf numFmtId="164" fontId="8" fillId="7" borderId="0" xfId="8" applyNumberFormat="1" applyFont="1" applyFill="1" applyAlignment="1">
      <alignment horizontal="center"/>
    </xf>
    <xf numFmtId="164" fontId="25" fillId="7" borderId="0" xfId="0" applyNumberFormat="1" applyFont="1" applyFill="1"/>
    <xf numFmtId="0" fontId="8" fillId="7" borderId="0" xfId="0" applyFont="1" applyFill="1" applyAlignment="1">
      <alignment horizontal="center"/>
    </xf>
    <xf numFmtId="0" fontId="25" fillId="7" borderId="6" xfId="0" applyFont="1" applyFill="1" applyBorder="1" applyAlignment="1">
      <alignment horizontal="center"/>
    </xf>
    <xf numFmtId="0" fontId="8" fillId="7" borderId="0" xfId="0" applyFont="1" applyFill="1" applyAlignment="1">
      <alignment horizontal="left"/>
    </xf>
    <xf numFmtId="1" fontId="25" fillId="7" borderId="0" xfId="0" applyNumberFormat="1" applyFont="1" applyFill="1" applyAlignment="1">
      <alignment horizontal="center"/>
    </xf>
    <xf numFmtId="37" fontId="25" fillId="7" borderId="0" xfId="0" applyNumberFormat="1" applyFont="1" applyFill="1"/>
    <xf numFmtId="0" fontId="25" fillId="7" borderId="0" xfId="0" applyFont="1" applyFill="1"/>
    <xf numFmtId="0" fontId="25" fillId="7" borderId="6" xfId="0" applyFont="1" applyFill="1" applyBorder="1"/>
    <xf numFmtId="0" fontId="25" fillId="7" borderId="34" xfId="0" applyFont="1" applyFill="1" applyBorder="1" applyAlignment="1">
      <alignment horizontal="left"/>
    </xf>
    <xf numFmtId="0" fontId="8" fillId="7" borderId="12" xfId="0" applyFont="1" applyFill="1" applyBorder="1" applyAlignment="1">
      <alignment horizontal="left"/>
    </xf>
    <xf numFmtId="0" fontId="8" fillId="7" borderId="12" xfId="0" applyFont="1" applyFill="1" applyBorder="1" applyAlignment="1">
      <alignment horizontal="center"/>
    </xf>
    <xf numFmtId="164" fontId="8" fillId="7" borderId="12" xfId="8" applyNumberFormat="1" applyFont="1" applyFill="1" applyBorder="1" applyAlignment="1">
      <alignment horizontal="center"/>
    </xf>
    <xf numFmtId="0" fontId="74" fillId="7" borderId="0" xfId="0" applyFont="1" applyFill="1" applyAlignment="1">
      <alignment horizontal="left"/>
    </xf>
    <xf numFmtId="164" fontId="25" fillId="7" borderId="0" xfId="8" applyNumberFormat="1" applyFont="1" applyFill="1" applyAlignment="1">
      <alignment horizontal="center"/>
    </xf>
    <xf numFmtId="166" fontId="25" fillId="7" borderId="0" xfId="60" applyNumberFormat="1" applyFont="1" applyFill="1" applyAlignment="1">
      <alignment horizontal="center"/>
    </xf>
    <xf numFmtId="10" fontId="25" fillId="9" borderId="0" xfId="153" applyNumberFormat="1" applyFont="1" applyFill="1" applyAlignment="1">
      <alignment horizontal="center"/>
    </xf>
    <xf numFmtId="164" fontId="25" fillId="7" borderId="0" xfId="8" quotePrefix="1" applyNumberFormat="1" applyFont="1" applyFill="1" applyAlignment="1">
      <alignment horizontal="center"/>
    </xf>
    <xf numFmtId="166" fontId="25" fillId="7" borderId="0" xfId="60" applyNumberFormat="1" applyFont="1" applyFill="1"/>
    <xf numFmtId="0" fontId="7" fillId="7" borderId="0" xfId="8" applyNumberFormat="1" applyFont="1" applyFill="1"/>
    <xf numFmtId="0" fontId="7" fillId="7" borderId="6" xfId="8" applyNumberFormat="1" applyFont="1" applyFill="1" applyBorder="1"/>
    <xf numFmtId="0" fontId="7" fillId="7" borderId="0" xfId="0" applyNumberFormat="1" applyFont="1" applyFill="1" applyBorder="1" applyAlignment="1">
      <alignment horizontal="left" indent="1"/>
    </xf>
    <xf numFmtId="0" fontId="7" fillId="7" borderId="0" xfId="60" applyNumberFormat="1" applyFont="1" applyFill="1"/>
    <xf numFmtId="0" fontId="7" fillId="7" borderId="6" xfId="60" applyNumberFormat="1" applyFont="1" applyFill="1" applyBorder="1"/>
    <xf numFmtId="0" fontId="8" fillId="7" borderId="0" xfId="0" applyFont="1" applyFill="1" applyAlignment="1">
      <alignment horizontal="left" vertical="top"/>
    </xf>
    <xf numFmtId="166" fontId="25" fillId="7" borderId="19" xfId="60" applyNumberFormat="1" applyFont="1" applyFill="1" applyBorder="1"/>
    <xf numFmtId="0" fontId="74" fillId="7" borderId="5" xfId="0" applyFont="1" applyFill="1" applyBorder="1" applyAlignment="1">
      <alignment horizontal="left"/>
    </xf>
    <xf numFmtId="0" fontId="25" fillId="7" borderId="5" xfId="0" applyFont="1" applyFill="1" applyBorder="1" applyAlignment="1">
      <alignment horizontal="left" vertical="center"/>
    </xf>
    <xf numFmtId="0" fontId="7" fillId="7" borderId="0" xfId="0" applyFont="1" applyFill="1" applyAlignment="1">
      <alignment vertical="top" wrapText="1"/>
    </xf>
    <xf numFmtId="0" fontId="25" fillId="7" borderId="7" xfId="0" applyFont="1" applyFill="1" applyBorder="1" applyAlignment="1">
      <alignment horizontal="left" vertical="center"/>
    </xf>
    <xf numFmtId="0" fontId="25" fillId="7" borderId="1" xfId="0" applyFont="1" applyFill="1" applyBorder="1" applyAlignment="1">
      <alignment horizontal="center"/>
    </xf>
    <xf numFmtId="164" fontId="25" fillId="7" borderId="1" xfId="8" applyNumberFormat="1" applyFont="1" applyFill="1" applyBorder="1"/>
    <xf numFmtId="164" fontId="25" fillId="7" borderId="1" xfId="0" applyNumberFormat="1" applyFont="1" applyFill="1" applyBorder="1"/>
    <xf numFmtId="0" fontId="8" fillId="7" borderId="1" xfId="0" applyFont="1" applyFill="1" applyBorder="1" applyAlignment="1">
      <alignment horizontal="center"/>
    </xf>
    <xf numFmtId="0" fontId="25" fillId="7" borderId="8" xfId="0" applyFont="1" applyFill="1" applyBorder="1" applyAlignment="1">
      <alignment horizontal="center"/>
    </xf>
    <xf numFmtId="0" fontId="7" fillId="0" borderId="0" xfId="0" applyNumberFormat="1" applyFont="1" applyFill="1"/>
    <xf numFmtId="0" fontId="12" fillId="0" borderId="0" xfId="0" applyFont="1" applyFill="1" applyBorder="1" applyAlignment="1">
      <alignment horizontal="left"/>
    </xf>
    <xf numFmtId="0" fontId="12" fillId="0" borderId="0" xfId="0" applyFont="1" applyFill="1" applyAlignment="1">
      <alignment horizontal="left"/>
    </xf>
    <xf numFmtId="0" fontId="12" fillId="0" borderId="0" xfId="0" applyNumberFormat="1" applyFont="1" applyFill="1" applyBorder="1" applyAlignment="1">
      <alignment horizontal="left"/>
    </xf>
    <xf numFmtId="0" fontId="75" fillId="0" borderId="0" xfId="0" applyFont="1"/>
    <xf numFmtId="0" fontId="75" fillId="0" borderId="1" xfId="0" applyFont="1" applyBorder="1"/>
    <xf numFmtId="0" fontId="8" fillId="0" borderId="1" xfId="0" applyFont="1" applyBorder="1"/>
    <xf numFmtId="164" fontId="8" fillId="0" borderId="1" xfId="1" applyNumberFormat="1" applyFont="1" applyFill="1" applyBorder="1" applyAlignment="1">
      <alignment horizontal="center"/>
    </xf>
    <xf numFmtId="0" fontId="7" fillId="0" borderId="0" xfId="33" applyFont="1"/>
    <xf numFmtId="177" fontId="7" fillId="7" borderId="0" xfId="33" applyNumberFormat="1" applyFont="1" applyFill="1"/>
    <xf numFmtId="43" fontId="18" fillId="0" borderId="0" xfId="48" applyFont="1"/>
    <xf numFmtId="177" fontId="76" fillId="0" borderId="0" xfId="10" applyNumberFormat="1" applyFont="1"/>
    <xf numFmtId="177" fontId="76" fillId="0" borderId="0" xfId="8" applyNumberFormat="1" applyFont="1"/>
    <xf numFmtId="44" fontId="7" fillId="0" borderId="0" xfId="33" applyNumberFormat="1" applyFont="1"/>
    <xf numFmtId="177" fontId="39" fillId="0" borderId="0" xfId="8" applyNumberFormat="1" applyFont="1"/>
    <xf numFmtId="177" fontId="39" fillId="0" borderId="0" xfId="10" applyNumberFormat="1" applyFont="1"/>
    <xf numFmtId="177" fontId="7" fillId="0" borderId="0" xfId="33" applyNumberFormat="1" applyFont="1"/>
    <xf numFmtId="41" fontId="7" fillId="0" borderId="0" xfId="7" applyNumberFormat="1" applyFont="1"/>
    <xf numFmtId="41" fontId="7" fillId="0" borderId="0" xfId="7" applyNumberFormat="1" applyFont="1" applyAlignment="1">
      <alignment horizontal="center"/>
    </xf>
    <xf numFmtId="168" fontId="7" fillId="0" borderId="0" xfId="27" applyFont="1" applyFill="1" applyBorder="1" applyAlignment="1"/>
    <xf numFmtId="168" fontId="7" fillId="0" borderId="0" xfId="27" applyFont="1" applyFill="1" applyBorder="1" applyAlignment="1">
      <alignment horizontal="right"/>
    </xf>
    <xf numFmtId="164" fontId="7" fillId="0" borderId="0" xfId="8" applyNumberFormat="1" applyFont="1" applyFill="1" applyBorder="1" applyAlignment="1"/>
    <xf numFmtId="0" fontId="7" fillId="0" borderId="0" xfId="27" applyNumberFormat="1" applyFont="1" applyFill="1" applyBorder="1" applyAlignment="1" applyProtection="1">
      <protection locked="0"/>
    </xf>
    <xf numFmtId="0" fontId="7" fillId="0" borderId="0" xfId="27" applyNumberFormat="1" applyFont="1" applyFill="1" applyBorder="1" applyProtection="1">
      <protection locked="0"/>
    </xf>
    <xf numFmtId="0" fontId="7" fillId="0" borderId="0" xfId="31" applyFont="1" applyFill="1"/>
    <xf numFmtId="0" fontId="7" fillId="0" borderId="0" xfId="27" applyNumberFormat="1" applyFont="1" applyFill="1" applyAlignment="1">
      <alignment horizontal="right"/>
    </xf>
    <xf numFmtId="0" fontId="7" fillId="0" borderId="0" xfId="27" applyNumberFormat="1" applyFont="1" applyFill="1" applyBorder="1"/>
    <xf numFmtId="164" fontId="77" fillId="0" borderId="0" xfId="8" applyNumberFormat="1" applyFont="1" applyFill="1" applyBorder="1"/>
    <xf numFmtId="3" fontId="7" fillId="0" borderId="0" xfId="27" applyNumberFormat="1" applyFont="1" applyFill="1" applyBorder="1" applyAlignment="1"/>
    <xf numFmtId="0" fontId="7" fillId="0" borderId="0" xfId="27" applyNumberFormat="1" applyFont="1" applyFill="1" applyBorder="1" applyAlignment="1" applyProtection="1">
      <alignment horizontal="center"/>
      <protection locked="0"/>
    </xf>
    <xf numFmtId="0" fontId="77" fillId="0" borderId="0" xfId="27" applyNumberFormat="1" applyFont="1" applyFill="1" applyBorder="1" applyAlignment="1">
      <alignment horizontal="center"/>
    </xf>
    <xf numFmtId="0" fontId="77" fillId="0" borderId="0" xfId="27" applyNumberFormat="1" applyFont="1" applyFill="1" applyBorder="1"/>
    <xf numFmtId="49" fontId="7" fillId="0" borderId="0" xfId="27" applyNumberFormat="1" applyFont="1" applyFill="1" applyBorder="1"/>
    <xf numFmtId="3" fontId="7" fillId="0" borderId="0" xfId="27" applyNumberFormat="1" applyFont="1" applyFill="1" applyBorder="1"/>
    <xf numFmtId="0" fontId="7" fillId="0" borderId="0" xfId="27" applyNumberFormat="1" applyFont="1" applyFill="1" applyBorder="1" applyAlignment="1">
      <alignment horizontal="center"/>
    </xf>
    <xf numFmtId="49" fontId="7" fillId="0" borderId="0" xfId="27" applyNumberFormat="1" applyFont="1" applyFill="1" applyBorder="1" applyAlignment="1">
      <alignment horizontal="center"/>
    </xf>
    <xf numFmtId="0" fontId="7" fillId="0" borderId="0" xfId="27" applyNumberFormat="1" applyFont="1" applyFill="1" applyBorder="1" applyAlignment="1"/>
    <xf numFmtId="3" fontId="8" fillId="0" borderId="0" xfId="27" applyNumberFormat="1" applyFont="1" applyFill="1" applyBorder="1" applyAlignment="1">
      <alignment horizontal="center"/>
    </xf>
    <xf numFmtId="164" fontId="7" fillId="0" borderId="0" xfId="8" applyNumberFormat="1" applyFont="1" applyFill="1" applyBorder="1" applyAlignment="1">
      <alignment horizontal="center"/>
    </xf>
    <xf numFmtId="168" fontId="8" fillId="0" borderId="0" xfId="27" applyFont="1" applyFill="1" applyBorder="1" applyAlignment="1">
      <alignment horizontal="center"/>
    </xf>
    <xf numFmtId="0" fontId="8" fillId="0" borderId="0" xfId="27" applyNumberFormat="1" applyFont="1" applyFill="1" applyBorder="1" applyAlignment="1" applyProtection="1">
      <alignment horizontal="center"/>
      <protection locked="0"/>
    </xf>
    <xf numFmtId="0" fontId="8" fillId="0" borderId="0" xfId="27" applyNumberFormat="1" applyFont="1" applyFill="1" applyBorder="1" applyAlignment="1">
      <alignment horizontal="center"/>
    </xf>
    <xf numFmtId="0" fontId="8" fillId="0" borderId="0" xfId="27" applyNumberFormat="1" applyFont="1" applyFill="1" applyBorder="1" applyAlignment="1"/>
    <xf numFmtId="0" fontId="22" fillId="0" borderId="0" xfId="27" applyNumberFormat="1" applyFont="1" applyFill="1" applyBorder="1" applyAlignment="1" applyProtection="1">
      <alignment horizontal="center"/>
      <protection locked="0"/>
    </xf>
    <xf numFmtId="3" fontId="7" fillId="0" borderId="0" xfId="27" applyNumberFormat="1" applyFont="1" applyFill="1" applyBorder="1" applyAlignment="1">
      <alignment horizontal="center"/>
    </xf>
    <xf numFmtId="3" fontId="7" fillId="0" borderId="0" xfId="27" applyNumberFormat="1" applyFont="1" applyFill="1" applyBorder="1" applyAlignment="1">
      <alignment horizontal="left"/>
    </xf>
    <xf numFmtId="43" fontId="7" fillId="0" borderId="0" xfId="8" applyNumberFormat="1" applyFont="1" applyFill="1" applyBorder="1" applyAlignment="1"/>
    <xf numFmtId="43" fontId="42" fillId="0" borderId="0" xfId="8" applyNumberFormat="1" applyFont="1" applyFill="1" applyBorder="1" applyAlignment="1"/>
    <xf numFmtId="10" fontId="42" fillId="0" borderId="0" xfId="12" applyNumberFormat="1" applyFont="1" applyFill="1" applyBorder="1" applyAlignment="1"/>
    <xf numFmtId="10" fontId="8" fillId="0" borderId="0" xfId="27" applyNumberFormat="1" applyFont="1" applyFill="1" applyBorder="1" applyAlignment="1"/>
    <xf numFmtId="3" fontId="8" fillId="0" borderId="0" xfId="27" applyNumberFormat="1" applyFont="1" applyFill="1" applyBorder="1" applyAlignment="1"/>
    <xf numFmtId="179" fontId="8" fillId="0" borderId="0" xfId="27" applyNumberFormat="1" applyFont="1" applyFill="1" applyBorder="1" applyAlignment="1"/>
    <xf numFmtId="10" fontId="7" fillId="0" borderId="0" xfId="27" applyNumberFormat="1" applyFont="1" applyFill="1" applyBorder="1" applyAlignment="1"/>
    <xf numFmtId="168" fontId="7" fillId="0" borderId="0" xfId="27" applyFont="1" applyFill="1" applyBorder="1" applyAlignment="1">
      <alignment horizontal="left"/>
    </xf>
    <xf numFmtId="168" fontId="7" fillId="0" borderId="0" xfId="27" applyFont="1" applyFill="1" applyBorder="1" applyAlignment="1">
      <alignment horizontal="center"/>
    </xf>
    <xf numFmtId="3" fontId="7" fillId="0" borderId="0" xfId="27" applyNumberFormat="1" applyFont="1" applyAlignment="1">
      <alignment horizontal="left"/>
    </xf>
    <xf numFmtId="43" fontId="7" fillId="0" borderId="0" xfId="8" applyFont="1" applyFill="1" applyBorder="1" applyAlignment="1"/>
    <xf numFmtId="49" fontId="8" fillId="0" borderId="0" xfId="27" applyNumberFormat="1" applyFont="1" applyFill="1" applyBorder="1" applyAlignment="1">
      <alignment horizontal="center"/>
    </xf>
    <xf numFmtId="168" fontId="8" fillId="0" borderId="0" xfId="27" applyFont="1" applyFill="1" applyBorder="1" applyAlignment="1"/>
    <xf numFmtId="3" fontId="8" fillId="0" borderId="0" xfId="27" applyNumberFormat="1" applyFont="1" applyFill="1" applyBorder="1" applyAlignment="1">
      <alignment horizontal="left"/>
    </xf>
    <xf numFmtId="43" fontId="8" fillId="0" borderId="0" xfId="8" applyNumberFormat="1" applyFont="1" applyFill="1" applyBorder="1" applyAlignment="1"/>
    <xf numFmtId="10" fontId="8" fillId="0" borderId="0" xfId="12" applyNumberFormat="1" applyFont="1" applyFill="1" applyBorder="1" applyAlignment="1"/>
    <xf numFmtId="0" fontId="7" fillId="0" borderId="0" xfId="27" applyNumberFormat="1" applyFont="1" applyFill="1" applyBorder="1" applyAlignment="1">
      <alignment horizontal="fill"/>
    </xf>
    <xf numFmtId="168" fontId="3" fillId="0" borderId="0" xfId="27" applyFont="1" applyFill="1" applyBorder="1" applyAlignment="1"/>
    <xf numFmtId="3" fontId="3" fillId="0" borderId="0" xfId="27" applyNumberFormat="1" applyFont="1" applyFill="1" applyBorder="1" applyAlignment="1"/>
    <xf numFmtId="167" fontId="7" fillId="0" borderId="0" xfId="27" applyNumberFormat="1" applyFont="1" applyFill="1" applyBorder="1" applyAlignment="1">
      <alignment horizontal="left"/>
    </xf>
    <xf numFmtId="167" fontId="7" fillId="0" borderId="0" xfId="27" applyNumberFormat="1" applyFont="1" applyFill="1" applyBorder="1" applyAlignment="1">
      <alignment horizontal="center"/>
    </xf>
    <xf numFmtId="180" fontId="7" fillId="0" borderId="0" xfId="27" applyNumberFormat="1" applyFont="1" applyFill="1" applyBorder="1" applyAlignment="1"/>
    <xf numFmtId="0" fontId="3" fillId="0" borderId="0" xfId="27" applyNumberFormat="1" applyFont="1" applyFill="1" applyBorder="1"/>
    <xf numFmtId="49" fontId="7" fillId="0" borderId="0" xfId="27" applyNumberFormat="1" applyFont="1" applyFill="1" applyBorder="1" applyAlignment="1">
      <alignment horizontal="left"/>
    </xf>
    <xf numFmtId="0" fontId="7" fillId="0" borderId="0" xfId="27" applyNumberFormat="1" applyFont="1" applyFill="1" applyBorder="1" applyAlignment="1">
      <alignment horizontal="right"/>
    </xf>
    <xf numFmtId="178" fontId="8" fillId="0" borderId="0" xfId="27" applyNumberFormat="1" applyFont="1" applyFill="1" applyBorder="1" applyAlignment="1">
      <alignment horizontal="center"/>
    </xf>
    <xf numFmtId="178" fontId="8" fillId="0" borderId="0" xfId="27" quotePrefix="1" applyNumberFormat="1" applyFont="1" applyFill="1" applyBorder="1" applyAlignment="1">
      <alignment horizontal="center"/>
    </xf>
    <xf numFmtId="168" fontId="8" fillId="0" borderId="21" xfId="27" applyFont="1" applyFill="1" applyBorder="1" applyAlignment="1">
      <alignment horizontal="center" wrapText="1"/>
    </xf>
    <xf numFmtId="168" fontId="8" fillId="0" borderId="20" xfId="27" applyFont="1" applyFill="1" applyBorder="1" applyAlignment="1"/>
    <xf numFmtId="168" fontId="8" fillId="0" borderId="18" xfId="27" applyFont="1" applyBorder="1"/>
    <xf numFmtId="168" fontId="8" fillId="0" borderId="20" xfId="27" applyFont="1" applyBorder="1" applyAlignment="1">
      <alignment horizontal="center" wrapText="1"/>
    </xf>
    <xf numFmtId="0" fontId="8" fillId="0" borderId="20" xfId="27" applyNumberFormat="1" applyFont="1" applyFill="1" applyBorder="1" applyAlignment="1">
      <alignment horizontal="center" wrapText="1"/>
    </xf>
    <xf numFmtId="168" fontId="8" fillId="0" borderId="22" xfId="27" applyFont="1" applyFill="1" applyBorder="1" applyAlignment="1">
      <alignment horizontal="center" wrapText="1"/>
    </xf>
    <xf numFmtId="3" fontId="8" fillId="0" borderId="22" xfId="27" applyNumberFormat="1" applyFont="1" applyFill="1" applyBorder="1" applyAlignment="1">
      <alignment horizontal="center" wrapText="1"/>
    </xf>
    <xf numFmtId="0" fontId="7" fillId="0" borderId="21" xfId="27" applyNumberFormat="1" applyFont="1" applyFill="1" applyBorder="1"/>
    <xf numFmtId="0" fontId="7" fillId="0" borderId="20" xfId="27" applyNumberFormat="1" applyFont="1" applyFill="1" applyBorder="1"/>
    <xf numFmtId="0" fontId="7" fillId="0" borderId="20" xfId="27" applyNumberFormat="1" applyFont="1" applyFill="1" applyBorder="1" applyAlignment="1">
      <alignment horizontal="center"/>
    </xf>
    <xf numFmtId="0" fontId="7" fillId="0" borderId="22" xfId="27" applyNumberFormat="1" applyFont="1" applyFill="1" applyBorder="1" applyAlignment="1">
      <alignment horizontal="center"/>
    </xf>
    <xf numFmtId="0" fontId="7" fillId="0" borderId="22" xfId="27" applyNumberFormat="1" applyFont="1" applyFill="1" applyBorder="1" applyAlignment="1">
      <alignment horizontal="center" wrapText="1"/>
    </xf>
    <xf numFmtId="3" fontId="7" fillId="0" borderId="22" xfId="27" applyNumberFormat="1" applyFont="1" applyFill="1" applyBorder="1" applyAlignment="1">
      <alignment horizontal="center" wrapText="1"/>
    </xf>
    <xf numFmtId="3" fontId="7" fillId="0" borderId="20" xfId="27" applyNumberFormat="1" applyFont="1" applyFill="1" applyBorder="1" applyAlignment="1">
      <alignment horizontal="center"/>
    </xf>
    <xf numFmtId="0" fontId="7" fillId="0" borderId="30" xfId="27" applyNumberFormat="1" applyFont="1" applyFill="1" applyBorder="1"/>
    <xf numFmtId="0" fontId="7" fillId="0" borderId="26" xfId="27" applyNumberFormat="1" applyFont="1" applyFill="1" applyBorder="1"/>
    <xf numFmtId="0" fontId="7" fillId="0" borderId="28" xfId="27" applyNumberFormat="1" applyFont="1" applyFill="1" applyBorder="1"/>
    <xf numFmtId="3" fontId="7" fillId="0" borderId="26" xfId="27" applyNumberFormat="1" applyFont="1" applyFill="1" applyBorder="1" applyAlignment="1"/>
    <xf numFmtId="168" fontId="7" fillId="0" borderId="30" xfId="50" applyFont="1" applyFill="1" applyBorder="1" applyAlignment="1"/>
    <xf numFmtId="168" fontId="7" fillId="0" borderId="0" xfId="50" applyFont="1" applyFill="1" applyBorder="1" applyAlignment="1"/>
    <xf numFmtId="0" fontId="7" fillId="0" borderId="0" xfId="8" applyNumberFormat="1" applyFont="1" applyFill="1" applyBorder="1" applyAlignment="1"/>
    <xf numFmtId="166" fontId="7" fillId="9" borderId="0" xfId="10" applyNumberFormat="1" applyFont="1" applyFill="1" applyBorder="1" applyAlignment="1"/>
    <xf numFmtId="164" fontId="7" fillId="0" borderId="26" xfId="8" applyNumberFormat="1" applyFont="1" applyFill="1" applyBorder="1" applyAlignment="1"/>
    <xf numFmtId="164" fontId="7" fillId="9" borderId="0" xfId="8" applyNumberFormat="1" applyFont="1" applyFill="1" applyBorder="1" applyAlignment="1"/>
    <xf numFmtId="164" fontId="7" fillId="9" borderId="30" xfId="8" applyNumberFormat="1" applyFont="1" applyFill="1" applyBorder="1" applyAlignment="1"/>
    <xf numFmtId="168" fontId="7" fillId="9" borderId="0" xfId="50" applyFont="1" applyFill="1"/>
    <xf numFmtId="168" fontId="7" fillId="9" borderId="0" xfId="50" applyFont="1" applyFill="1" applyBorder="1" applyAlignment="1"/>
    <xf numFmtId="0" fontId="7" fillId="9" borderId="0" xfId="8" applyNumberFormat="1" applyFont="1" applyFill="1" applyBorder="1" applyAlignment="1">
      <alignment horizontal="left"/>
    </xf>
    <xf numFmtId="43" fontId="7" fillId="0" borderId="26" xfId="8" applyFont="1" applyFill="1" applyBorder="1" applyAlignment="1"/>
    <xf numFmtId="168" fontId="7" fillId="9" borderId="0" xfId="27" applyFont="1" applyFill="1" applyBorder="1" applyAlignment="1"/>
    <xf numFmtId="168" fontId="7" fillId="9" borderId="0" xfId="27" applyFont="1" applyFill="1" applyBorder="1" applyAlignment="1">
      <alignment horizontal="left"/>
    </xf>
    <xf numFmtId="166" fontId="13" fillId="9" borderId="0" xfId="10" applyNumberFormat="1" applyFont="1" applyFill="1" applyBorder="1" applyAlignment="1"/>
    <xf numFmtId="164" fontId="13" fillId="9" borderId="0" xfId="8" applyNumberFormat="1" applyFont="1" applyFill="1" applyBorder="1" applyAlignment="1"/>
    <xf numFmtId="168" fontId="7" fillId="0" borderId="30" xfId="27" applyFont="1" applyFill="1" applyBorder="1" applyAlignment="1"/>
    <xf numFmtId="168" fontId="7" fillId="0" borderId="31" xfId="27" applyFont="1" applyFill="1" applyBorder="1" applyAlignment="1"/>
    <xf numFmtId="168" fontId="7" fillId="0" borderId="12" xfId="27" applyFont="1" applyFill="1" applyBorder="1" applyAlignment="1"/>
    <xf numFmtId="168" fontId="7" fillId="9" borderId="12" xfId="27" applyFont="1" applyFill="1" applyBorder="1" applyAlignment="1"/>
    <xf numFmtId="168" fontId="7" fillId="0" borderId="24" xfId="27" applyFont="1" applyFill="1" applyBorder="1" applyAlignment="1"/>
    <xf numFmtId="164" fontId="7" fillId="0" borderId="24" xfId="8" applyNumberFormat="1" applyFont="1" applyFill="1" applyBorder="1" applyAlignment="1"/>
    <xf numFmtId="164" fontId="7" fillId="9" borderId="12" xfId="8" applyNumberFormat="1" applyFont="1" applyFill="1" applyBorder="1" applyAlignment="1"/>
    <xf numFmtId="164" fontId="78" fillId="9" borderId="31" xfId="8" applyNumberFormat="1" applyFont="1" applyFill="1" applyBorder="1" applyAlignment="1"/>
    <xf numFmtId="164" fontId="78" fillId="0" borderId="24" xfId="8" applyNumberFormat="1" applyFont="1" applyFill="1" applyBorder="1" applyAlignment="1"/>
    <xf numFmtId="1" fontId="7" fillId="0" borderId="0" xfId="8" applyNumberFormat="1" applyFont="1" applyFill="1" applyBorder="1" applyAlignment="1">
      <alignment horizontal="center"/>
    </xf>
    <xf numFmtId="168" fontId="7" fillId="0" borderId="1" xfId="27" applyFont="1" applyFill="1" applyBorder="1" applyAlignment="1"/>
    <xf numFmtId="168" fontId="7" fillId="0" borderId="0" xfId="27" applyFont="1" applyFill="1" applyBorder="1" applyAlignment="1">
      <alignment horizontal="center" vertical="top"/>
    </xf>
    <xf numFmtId="168" fontId="13" fillId="0" borderId="0" xfId="27" applyFont="1" applyFill="1" applyBorder="1" applyAlignment="1"/>
    <xf numFmtId="168" fontId="7" fillId="0" borderId="0" xfId="35" applyFont="1" applyFill="1" applyAlignment="1"/>
    <xf numFmtId="168" fontId="9" fillId="0" borderId="0" xfId="27" applyFont="1" applyFill="1" applyBorder="1" applyAlignment="1"/>
    <xf numFmtId="0" fontId="7" fillId="0" borderId="0" xfId="62" applyFont="1" applyBorder="1" applyAlignment="1">
      <alignment horizontal="left"/>
    </xf>
    <xf numFmtId="0" fontId="8" fillId="0" borderId="4" xfId="62" applyFont="1" applyBorder="1" applyAlignment="1">
      <alignment horizontal="center"/>
    </xf>
    <xf numFmtId="0" fontId="8" fillId="0" borderId="3" xfId="62" applyFont="1" applyBorder="1" applyAlignment="1">
      <alignment horizontal="center"/>
    </xf>
    <xf numFmtId="0" fontId="6" fillId="0" borderId="0" xfId="27" applyNumberFormat="1" applyFont="1" applyFill="1" applyBorder="1" applyAlignment="1" applyProtection="1">
      <alignment horizontal="center"/>
      <protection locked="0"/>
    </xf>
    <xf numFmtId="0" fontId="6" fillId="0" borderId="0" xfId="27" applyNumberFormat="1" applyFont="1" applyAlignment="1" applyProtection="1">
      <alignment horizontal="center"/>
      <protection locked="0"/>
    </xf>
    <xf numFmtId="0" fontId="7" fillId="0" borderId="0" xfId="8" applyNumberFormat="1" applyFont="1" applyFill="1" applyBorder="1" applyAlignment="1">
      <alignment horizontal="center"/>
    </xf>
    <xf numFmtId="0" fontId="7" fillId="0" borderId="0" xfId="51" applyNumberFormat="1" applyFont="1" applyAlignment="1" applyProtection="1">
      <alignment horizontal="center"/>
      <protection locked="0"/>
    </xf>
    <xf numFmtId="0" fontId="7" fillId="0" borderId="0" xfId="8" applyNumberFormat="1" applyFont="1" applyFill="1" applyBorder="1" applyAlignment="1" applyProtection="1">
      <alignment horizontal="center"/>
      <protection locked="0"/>
    </xf>
    <xf numFmtId="0" fontId="7" fillId="0" borderId="0" xfId="8" applyNumberFormat="1" applyFont="1" applyFill="1" applyAlignment="1">
      <alignment horizontal="center"/>
    </xf>
    <xf numFmtId="168" fontId="7" fillId="0" borderId="0" xfId="35" applyFont="1" applyFill="1"/>
    <xf numFmtId="168" fontId="7" fillId="0" borderId="0" xfId="35" applyFont="1" applyFill="1" applyAlignment="1">
      <alignment horizontal="center"/>
    </xf>
    <xf numFmtId="168" fontId="7" fillId="0" borderId="28" xfId="35" applyFont="1" applyFill="1" applyBorder="1"/>
    <xf numFmtId="168" fontId="7" fillId="0" borderId="32" xfId="35" applyFont="1" applyFill="1" applyBorder="1" applyAlignment="1">
      <alignment horizontal="center"/>
    </xf>
    <xf numFmtId="168" fontId="7" fillId="0" borderId="18" xfId="35" applyFont="1" applyFill="1" applyBorder="1"/>
    <xf numFmtId="168" fontId="7" fillId="0" borderId="29" xfId="35" applyFont="1" applyFill="1" applyBorder="1"/>
    <xf numFmtId="168" fontId="7" fillId="0" borderId="31" xfId="35" applyFont="1" applyFill="1" applyBorder="1" applyAlignment="1"/>
    <xf numFmtId="168" fontId="7" fillId="0" borderId="24" xfId="35" applyFont="1" applyFill="1" applyBorder="1" applyAlignment="1">
      <alignment horizontal="center"/>
    </xf>
    <xf numFmtId="168" fontId="7" fillId="0" borderId="12" xfId="35" applyFont="1" applyFill="1" applyBorder="1" applyAlignment="1"/>
    <xf numFmtId="168" fontId="7" fillId="0" borderId="25" xfId="35" applyFont="1" applyFill="1" applyBorder="1" applyAlignment="1"/>
    <xf numFmtId="168" fontId="7" fillId="0" borderId="32" xfId="35" applyFont="1" applyFill="1" applyBorder="1"/>
    <xf numFmtId="164" fontId="7" fillId="9" borderId="0" xfId="8" applyNumberFormat="1" applyFont="1" applyFill="1" applyBorder="1"/>
    <xf numFmtId="168" fontId="7" fillId="0" borderId="26" xfId="35" applyFont="1" applyFill="1" applyBorder="1"/>
    <xf numFmtId="168" fontId="7" fillId="0" borderId="22" xfId="35" applyFont="1" applyFill="1" applyBorder="1" applyAlignment="1">
      <alignment horizontal="center"/>
    </xf>
    <xf numFmtId="168" fontId="7" fillId="0" borderId="26" xfId="35" applyFont="1" applyFill="1" applyBorder="1" applyAlignment="1">
      <alignment horizontal="center"/>
    </xf>
    <xf numFmtId="168" fontId="7" fillId="0" borderId="0" xfId="35" applyFont="1" applyFill="1" applyBorder="1" applyAlignment="1">
      <alignment horizontal="center"/>
    </xf>
    <xf numFmtId="168" fontId="7" fillId="0" borderId="28" xfId="35" applyFont="1" applyFill="1" applyBorder="1" applyAlignment="1">
      <alignment horizontal="center"/>
    </xf>
    <xf numFmtId="168" fontId="7" fillId="0" borderId="30" xfId="35" applyFont="1" applyFill="1" applyBorder="1" applyAlignment="1">
      <alignment horizontal="center"/>
    </xf>
    <xf numFmtId="168" fontId="7" fillId="0" borderId="24" xfId="27" applyFont="1" applyFill="1" applyBorder="1" applyAlignment="1">
      <alignment horizontal="center"/>
    </xf>
    <xf numFmtId="164" fontId="7" fillId="9" borderId="26" xfId="8" applyNumberFormat="1" applyFont="1" applyFill="1" applyBorder="1"/>
    <xf numFmtId="43" fontId="7" fillId="9" borderId="29" xfId="8" applyNumberFormat="1" applyFont="1" applyFill="1" applyBorder="1"/>
    <xf numFmtId="164" fontId="7" fillId="9" borderId="32" xfId="8" applyNumberFormat="1" applyFont="1" applyFill="1" applyBorder="1" applyAlignment="1">
      <alignment horizontal="center"/>
    </xf>
    <xf numFmtId="164" fontId="7" fillId="9" borderId="27" xfId="8" applyNumberFormat="1" applyFont="1" applyFill="1" applyBorder="1" applyAlignment="1">
      <alignment horizontal="center"/>
    </xf>
    <xf numFmtId="164" fontId="7" fillId="9" borderId="26" xfId="8" applyNumberFormat="1" applyFont="1" applyFill="1" applyBorder="1" applyAlignment="1">
      <alignment horizontal="center"/>
    </xf>
    <xf numFmtId="168" fontId="7" fillId="9" borderId="26" xfId="50" applyFont="1" applyFill="1" applyBorder="1"/>
    <xf numFmtId="43" fontId="7" fillId="9" borderId="27" xfId="8" applyFont="1" applyFill="1" applyBorder="1"/>
    <xf numFmtId="168" fontId="7" fillId="9" borderId="26" xfId="50" applyFont="1" applyFill="1" applyBorder="1" applyAlignment="1"/>
    <xf numFmtId="43" fontId="7" fillId="9" borderId="26" xfId="8" applyFont="1" applyFill="1" applyBorder="1"/>
    <xf numFmtId="168" fontId="7" fillId="9" borderId="26" xfId="35" applyFont="1" applyFill="1" applyBorder="1"/>
    <xf numFmtId="168" fontId="7" fillId="9" borderId="0" xfId="35" applyFont="1" applyFill="1" applyBorder="1"/>
    <xf numFmtId="43" fontId="7" fillId="9" borderId="0" xfId="8" applyFont="1" applyFill="1" applyBorder="1"/>
    <xf numFmtId="43" fontId="7" fillId="9" borderId="26" xfId="8" applyFont="1" applyFill="1" applyBorder="1" applyAlignment="1">
      <alignment horizontal="center"/>
    </xf>
    <xf numFmtId="168" fontId="7" fillId="0" borderId="24" xfId="35" applyFont="1" applyFill="1" applyBorder="1"/>
    <xf numFmtId="168" fontId="7" fillId="0" borderId="12" xfId="35" applyFont="1" applyFill="1" applyBorder="1"/>
    <xf numFmtId="166" fontId="7" fillId="0" borderId="24" xfId="10" applyNumberFormat="1" applyFont="1" applyFill="1" applyBorder="1"/>
    <xf numFmtId="10" fontId="7" fillId="0" borderId="25" xfId="12" applyNumberFormat="1" applyFont="1" applyFill="1" applyBorder="1"/>
    <xf numFmtId="168" fontId="7" fillId="0" borderId="25" xfId="35" applyFont="1" applyFill="1" applyBorder="1"/>
    <xf numFmtId="43" fontId="7" fillId="0" borderId="0" xfId="8" applyNumberFormat="1" applyFont="1" applyFill="1"/>
    <xf numFmtId="172" fontId="7" fillId="0" borderId="0" xfId="8" applyNumberFormat="1" applyFont="1" applyFill="1"/>
    <xf numFmtId="168" fontId="7" fillId="0" borderId="0" xfId="35" applyNumberFormat="1" applyFont="1" applyFill="1" applyBorder="1" applyAlignment="1" applyProtection="1"/>
    <xf numFmtId="43" fontId="7" fillId="0" borderId="0" xfId="8" applyFont="1" applyFill="1" applyAlignment="1"/>
    <xf numFmtId="0" fontId="8" fillId="0" borderId="0" xfId="8" applyNumberFormat="1" applyFont="1" applyFill="1" applyBorder="1" applyAlignment="1">
      <alignment horizontal="left"/>
    </xf>
    <xf numFmtId="168" fontId="7" fillId="0" borderId="12" xfId="27" applyFont="1" applyFill="1" applyBorder="1" applyAlignment="1">
      <alignment horizontal="center"/>
    </xf>
    <xf numFmtId="168" fontId="7" fillId="0" borderId="0" xfId="27" applyFont="1" applyFill="1" applyAlignment="1">
      <alignment horizontal="center"/>
    </xf>
    <xf numFmtId="168" fontId="7" fillId="0" borderId="28" xfId="27" applyFont="1" applyFill="1" applyBorder="1" applyAlignment="1">
      <alignment horizontal="center"/>
    </xf>
    <xf numFmtId="168" fontId="7" fillId="0" borderId="32" xfId="27" applyFont="1" applyFill="1" applyBorder="1" applyAlignment="1">
      <alignment horizontal="center"/>
    </xf>
    <xf numFmtId="168" fontId="7" fillId="0" borderId="30" xfId="27" applyFont="1" applyFill="1" applyBorder="1" applyAlignment="1">
      <alignment horizontal="center"/>
    </xf>
    <xf numFmtId="168" fontId="7" fillId="0" borderId="26" xfId="27" applyFont="1" applyFill="1" applyBorder="1" applyAlignment="1">
      <alignment horizontal="center"/>
    </xf>
    <xf numFmtId="164" fontId="7" fillId="9" borderId="26" xfId="8" applyNumberFormat="1" applyFont="1" applyFill="1" applyBorder="1" applyAlignment="1"/>
    <xf numFmtId="168" fontId="7" fillId="0" borderId="31" xfId="27" applyFont="1" applyFill="1" applyBorder="1" applyAlignment="1">
      <alignment horizontal="center"/>
    </xf>
    <xf numFmtId="0" fontId="7" fillId="0" borderId="0" xfId="52" applyFont="1" applyFill="1"/>
    <xf numFmtId="164" fontId="7" fillId="0" borderId="0" xfId="52" applyNumberFormat="1" applyFont="1" applyFill="1"/>
    <xf numFmtId="0" fontId="7" fillId="0" borderId="0" xfId="8" applyNumberFormat="1" applyFont="1" applyFill="1" applyAlignment="1">
      <alignment horizontal="center" vertical="top"/>
    </xf>
    <xf numFmtId="0" fontId="7" fillId="0" borderId="0" xfId="35" applyNumberFormat="1" applyFont="1" applyFill="1" applyAlignment="1">
      <alignment horizontal="center" vertical="top"/>
    </xf>
    <xf numFmtId="168" fontId="7" fillId="0" borderId="0" xfId="27" applyFont="1"/>
    <xf numFmtId="0" fontId="7" fillId="0" borderId="0" xfId="5" applyFont="1" applyFill="1" applyAlignment="1">
      <alignment horizontal="left"/>
    </xf>
    <xf numFmtId="0" fontId="7" fillId="0" borderId="0" xfId="5" applyFont="1" applyFill="1"/>
    <xf numFmtId="0" fontId="7" fillId="0" borderId="0" xfId="3" applyFont="1" applyBorder="1" applyAlignment="1">
      <alignment horizontal="center"/>
    </xf>
    <xf numFmtId="0" fontId="7" fillId="0" borderId="0" xfId="5" applyFont="1" applyFill="1" applyAlignment="1">
      <alignment horizontal="center"/>
    </xf>
    <xf numFmtId="0" fontId="7" fillId="0" borderId="0" xfId="5" applyFont="1" applyAlignment="1">
      <alignment horizontal="center"/>
    </xf>
    <xf numFmtId="0" fontId="7" fillId="0" borderId="0" xfId="5" applyFont="1" applyAlignment="1">
      <alignment horizontal="left"/>
    </xf>
    <xf numFmtId="164" fontId="7" fillId="2" borderId="0" xfId="8" applyNumberFormat="1" applyFont="1" applyFill="1"/>
    <xf numFmtId="164" fontId="7" fillId="0" borderId="0" xfId="9" applyNumberFormat="1" applyFont="1"/>
    <xf numFmtId="164" fontId="7" fillId="0" borderId="0" xfId="10" applyNumberFormat="1" applyFont="1" applyFill="1"/>
    <xf numFmtId="0" fontId="1" fillId="0" borderId="0" xfId="51" applyNumberFormat="1" applyFont="1" applyAlignment="1" applyProtection="1">
      <alignment horizontal="center"/>
      <protection locked="0"/>
    </xf>
    <xf numFmtId="0" fontId="6" fillId="0" borderId="0" xfId="51" applyNumberFormat="1" applyFont="1" applyAlignment="1" applyProtection="1">
      <alignment horizontal="center"/>
      <protection locked="0"/>
    </xf>
    <xf numFmtId="168" fontId="6" fillId="0" borderId="0" xfId="27" applyFont="1" applyFill="1" applyBorder="1" applyAlignment="1">
      <alignment horizontal="center"/>
    </xf>
    <xf numFmtId="0" fontId="7" fillId="0" borderId="0" xfId="0" applyFont="1" applyFill="1" applyAlignment="1"/>
    <xf numFmtId="0" fontId="7" fillId="0" borderId="0" xfId="0" applyFont="1" applyFill="1" applyAlignment="1">
      <alignment horizontal="right"/>
    </xf>
    <xf numFmtId="0" fontId="8" fillId="0" borderId="0" xfId="0" applyFont="1" applyFill="1" applyAlignment="1"/>
    <xf numFmtId="0" fontId="7" fillId="0" borderId="0" xfId="28" applyNumberFormat="1" applyFont="1" applyFill="1" applyAlignment="1">
      <alignment horizontal="center"/>
    </xf>
    <xf numFmtId="166" fontId="7" fillId="0" borderId="0" xfId="10" applyNumberFormat="1" applyFont="1" applyFill="1" applyBorder="1"/>
    <xf numFmtId="0" fontId="7" fillId="0" borderId="28" xfId="0" applyFont="1" applyFill="1" applyBorder="1" applyAlignment="1">
      <alignment horizontal="center"/>
    </xf>
    <xf numFmtId="0" fontId="7" fillId="0" borderId="18" xfId="0" applyFont="1" applyFill="1" applyBorder="1" applyAlignment="1">
      <alignment horizontal="center"/>
    </xf>
    <xf numFmtId="0" fontId="7" fillId="0" borderId="29" xfId="0" applyFont="1" applyFill="1" applyBorder="1" applyAlignment="1">
      <alignment horizontal="center"/>
    </xf>
    <xf numFmtId="0" fontId="7" fillId="0" borderId="30" xfId="0" applyFont="1" applyFill="1" applyBorder="1"/>
    <xf numFmtId="168" fontId="7" fillId="0" borderId="27" xfId="27" applyFont="1" applyFill="1" applyBorder="1" applyAlignment="1"/>
    <xf numFmtId="0" fontId="7" fillId="0" borderId="30" xfId="0" applyFont="1" applyFill="1" applyBorder="1" applyAlignment="1">
      <alignment horizontal="center"/>
    </xf>
    <xf numFmtId="0" fontId="7" fillId="0" borderId="27" xfId="0" applyFont="1" applyFill="1" applyBorder="1" applyAlignment="1">
      <alignment horizontal="center"/>
    </xf>
    <xf numFmtId="168" fontId="7" fillId="0" borderId="0" xfId="27" applyFont="1" applyFill="1" applyBorder="1" applyAlignment="1">
      <alignment horizontal="center" wrapText="1"/>
    </xf>
    <xf numFmtId="168" fontId="7" fillId="0" borderId="27" xfId="27" applyFont="1" applyFill="1" applyBorder="1" applyAlignment="1">
      <alignment horizontal="center"/>
    </xf>
    <xf numFmtId="0" fontId="7" fillId="0" borderId="27" xfId="0" applyFont="1" applyFill="1" applyBorder="1" applyAlignment="1">
      <alignment horizontal="center" wrapText="1"/>
    </xf>
    <xf numFmtId="172" fontId="7" fillId="0" borderId="0" xfId="8" applyNumberFormat="1" applyFont="1" applyFill="1" applyBorder="1"/>
    <xf numFmtId="164" fontId="7" fillId="0" borderId="27" xfId="48" applyNumberFormat="1" applyFont="1" applyFill="1" applyBorder="1"/>
    <xf numFmtId="43" fontId="7" fillId="0" borderId="0" xfId="8" applyFont="1" applyFill="1" applyBorder="1"/>
    <xf numFmtId="43" fontId="7" fillId="0" borderId="0" xfId="8" applyFont="1" applyFill="1" applyBorder="1" applyAlignment="1">
      <alignment horizontal="center"/>
    </xf>
    <xf numFmtId="181" fontId="7" fillId="0" borderId="0" xfId="8" applyNumberFormat="1" applyFont="1" applyFill="1" applyBorder="1" applyAlignment="1"/>
    <xf numFmtId="0" fontId="7" fillId="9" borderId="30" xfId="0" applyFont="1" applyFill="1" applyBorder="1"/>
    <xf numFmtId="43" fontId="7" fillId="0" borderId="27" xfId="8" applyFont="1" applyFill="1" applyBorder="1"/>
    <xf numFmtId="0" fontId="7" fillId="9" borderId="26" xfId="0" applyFont="1" applyFill="1" applyBorder="1"/>
    <xf numFmtId="0" fontId="7" fillId="9" borderId="0" xfId="0" applyFont="1" applyFill="1" applyBorder="1"/>
    <xf numFmtId="0" fontId="7" fillId="0" borderId="24" xfId="0" applyFont="1" applyFill="1" applyBorder="1"/>
    <xf numFmtId="164" fontId="7" fillId="0" borderId="12" xfId="8" applyNumberFormat="1" applyFont="1" applyFill="1" applyBorder="1"/>
    <xf numFmtId="43" fontId="7" fillId="0" borderId="12" xfId="8" applyFont="1" applyFill="1" applyBorder="1"/>
    <xf numFmtId="164" fontId="7" fillId="0" borderId="25" xfId="8" applyNumberFormat="1" applyFont="1" applyFill="1" applyBorder="1"/>
    <xf numFmtId="10" fontId="7" fillId="0" borderId="0" xfId="12" applyNumberFormat="1" applyFont="1" applyFill="1" applyBorder="1"/>
    <xf numFmtId="0" fontId="1" fillId="0" borderId="0" xfId="0" applyFont="1" applyFill="1" applyAlignment="1">
      <alignment horizontal="center"/>
    </xf>
    <xf numFmtId="0" fontId="7" fillId="0" borderId="0" xfId="62" applyFont="1"/>
    <xf numFmtId="0" fontId="7" fillId="0" borderId="0" xfId="62" applyFont="1" applyAlignment="1">
      <alignment horizontal="center"/>
    </xf>
    <xf numFmtId="0" fontId="7" fillId="0" borderId="0" xfId="62" applyFont="1" applyAlignment="1">
      <alignment horizontal="left"/>
    </xf>
    <xf numFmtId="164" fontId="7" fillId="0" borderId="0" xfId="1" applyNumberFormat="1" applyFont="1" applyFill="1"/>
    <xf numFmtId="165" fontId="7" fillId="0" borderId="0" xfId="2" applyNumberFormat="1" applyFont="1" applyAlignment="1">
      <alignment horizontal="right"/>
    </xf>
    <xf numFmtId="164" fontId="25" fillId="2" borderId="0" xfId="48" applyNumberFormat="1" applyFont="1" applyFill="1"/>
    <xf numFmtId="0" fontId="81" fillId="0" borderId="0" xfId="25" applyNumberFormat="1" applyFont="1" applyFill="1" applyAlignment="1">
      <alignment horizontal="center"/>
    </xf>
    <xf numFmtId="168" fontId="7" fillId="0" borderId="0" xfId="25" applyFont="1" applyFill="1" applyAlignment="1"/>
    <xf numFmtId="0" fontId="7" fillId="0" borderId="0" xfId="26" applyFont="1" applyFill="1"/>
    <xf numFmtId="0" fontId="7" fillId="0" borderId="0" xfId="25" applyNumberFormat="1" applyFont="1" applyFill="1" applyAlignment="1">
      <alignment horizontal="center"/>
    </xf>
    <xf numFmtId="0" fontId="7" fillId="0" borderId="0" xfId="26" applyFont="1" applyFill="1" applyAlignment="1">
      <alignment horizontal="center"/>
    </xf>
    <xf numFmtId="168" fontId="7" fillId="0" borderId="0" xfId="25" applyFont="1" applyFill="1" applyAlignment="1">
      <alignment horizontal="right"/>
    </xf>
    <xf numFmtId="0" fontId="8" fillId="0" borderId="0" xfId="26" applyFont="1" applyFill="1" applyAlignment="1">
      <alignment horizontal="centerContinuous"/>
    </xf>
    <xf numFmtId="0" fontId="7" fillId="0" borderId="0" xfId="56" applyNumberFormat="1" applyFont="1" applyFill="1" applyAlignment="1">
      <alignment horizontal="center"/>
    </xf>
    <xf numFmtId="0" fontId="8" fillId="0" borderId="0" xfId="26" applyFont="1" applyAlignment="1">
      <alignment horizontal="center" wrapText="1"/>
    </xf>
    <xf numFmtId="168" fontId="7" fillId="0" borderId="0" xfId="56" applyFont="1" applyFill="1" applyAlignment="1"/>
    <xf numFmtId="0" fontId="7" fillId="0" borderId="0" xfId="56" applyNumberFormat="1" applyFont="1" applyFill="1" applyAlignment="1">
      <alignment horizontal="center" wrapText="1"/>
    </xf>
    <xf numFmtId="0" fontId="8" fillId="0" borderId="0" xfId="26" applyFont="1" applyFill="1" applyAlignment="1">
      <alignment horizontal="center" wrapText="1"/>
    </xf>
    <xf numFmtId="168" fontId="8" fillId="0" borderId="0" xfId="56" applyFont="1" applyFill="1" applyAlignment="1">
      <alignment horizontal="center" wrapText="1"/>
    </xf>
    <xf numFmtId="168" fontId="7" fillId="0" borderId="0" xfId="56" applyFont="1" applyFill="1" applyAlignment="1">
      <alignment wrapText="1"/>
    </xf>
    <xf numFmtId="0" fontId="8" fillId="0" borderId="0" xfId="26" applyFont="1" applyFill="1" applyAlignment="1">
      <alignment horizontal="center"/>
    </xf>
    <xf numFmtId="168" fontId="81" fillId="0" borderId="0" xfId="56" applyFont="1" applyFill="1" applyAlignment="1"/>
    <xf numFmtId="0" fontId="7" fillId="0" borderId="0" xfId="57" applyFont="1" applyFill="1" applyAlignment="1">
      <alignment horizontal="left" wrapText="1"/>
    </xf>
    <xf numFmtId="37" fontId="7" fillId="0" borderId="0" xfId="8" applyNumberFormat="1" applyFont="1" applyFill="1" applyAlignment="1">
      <alignment horizontal="center"/>
    </xf>
    <xf numFmtId="3" fontId="7" fillId="0" borderId="0" xfId="31" applyNumberFormat="1" applyFont="1" applyFill="1" applyAlignment="1">
      <alignment horizontal="left" wrapText="1"/>
    </xf>
    <xf numFmtId="3" fontId="7" fillId="0" borderId="0" xfId="31" applyNumberFormat="1" applyFont="1" applyFill="1" applyAlignment="1">
      <alignment wrapText="1"/>
    </xf>
    <xf numFmtId="168" fontId="81" fillId="0" borderId="0" xfId="25" applyFont="1" applyFill="1" applyAlignment="1"/>
    <xf numFmtId="0" fontId="7" fillId="0" borderId="0" xfId="26" quotePrefix="1" applyFont="1" applyFill="1" applyAlignment="1">
      <alignment horizontal="left"/>
    </xf>
    <xf numFmtId="41" fontId="7" fillId="9" borderId="0" xfId="26" applyNumberFormat="1" applyFont="1" applyFill="1"/>
    <xf numFmtId="164" fontId="7" fillId="9" borderId="0" xfId="8" applyNumberFormat="1" applyFont="1" applyFill="1"/>
    <xf numFmtId="164" fontId="7" fillId="0" borderId="20" xfId="8" applyNumberFormat="1" applyFont="1" applyFill="1" applyBorder="1"/>
    <xf numFmtId="164" fontId="7" fillId="0" borderId="19" xfId="8" applyNumberFormat="1" applyFont="1" applyFill="1" applyBorder="1"/>
    <xf numFmtId="37" fontId="7" fillId="0" borderId="0" xfId="26" applyNumberFormat="1" applyFont="1" applyFill="1"/>
    <xf numFmtId="168" fontId="7" fillId="0" borderId="0" xfId="32" applyFont="1" applyFill="1" applyAlignment="1"/>
    <xf numFmtId="0" fontId="8" fillId="0" borderId="0" xfId="26" applyFont="1" applyFill="1" applyAlignment="1">
      <alignment horizontal="centerContinuous" wrapText="1"/>
    </xf>
    <xf numFmtId="0" fontId="8" fillId="0" borderId="0" xfId="29" applyFont="1" applyFill="1" applyBorder="1" applyAlignment="1">
      <alignment horizontal="center" wrapText="1"/>
    </xf>
    <xf numFmtId="168" fontId="8" fillId="0" borderId="0" xfId="25" applyFont="1" applyFill="1" applyAlignment="1">
      <alignment horizontal="center"/>
    </xf>
    <xf numFmtId="168" fontId="8" fillId="0" borderId="0" xfId="25" quotePrefix="1" applyFont="1" applyFill="1" applyAlignment="1">
      <alignment horizontal="center"/>
    </xf>
    <xf numFmtId="0" fontId="7" fillId="0" borderId="0" xfId="30" applyFont="1" applyFill="1" applyAlignment="1">
      <alignment horizontal="left" wrapText="1"/>
    </xf>
    <xf numFmtId="37" fontId="7" fillId="0" borderId="0" xfId="8" applyNumberFormat="1" applyFont="1" applyFill="1" applyAlignment="1">
      <alignment horizontal="center" wrapText="1"/>
    </xf>
    <xf numFmtId="0" fontId="7" fillId="0" borderId="0" xfId="29" applyFont="1" applyFill="1" applyBorder="1" applyAlignment="1">
      <alignment horizontal="center" wrapText="1"/>
    </xf>
    <xf numFmtId="3" fontId="7" fillId="0" borderId="0" xfId="31" applyNumberFormat="1" applyFont="1" applyFill="1" applyAlignment="1">
      <alignment horizontal="center" wrapText="1"/>
    </xf>
    <xf numFmtId="3" fontId="7" fillId="0" borderId="0" xfId="31" applyNumberFormat="1" applyFont="1" applyAlignment="1">
      <alignment wrapText="1"/>
    </xf>
    <xf numFmtId="0" fontId="7" fillId="0" borderId="0" xfId="26" applyFont="1" applyFill="1" applyAlignment="1">
      <alignment horizontal="center" wrapText="1"/>
    </xf>
    <xf numFmtId="41" fontId="13" fillId="10" borderId="0" xfId="26" applyNumberFormat="1" applyFont="1" applyFill="1"/>
    <xf numFmtId="164" fontId="7" fillId="9" borderId="0" xfId="26" applyNumberFormat="1" applyFont="1" applyFill="1"/>
    <xf numFmtId="43" fontId="7" fillId="0" borderId="19" xfId="8" applyFont="1" applyFill="1" applyBorder="1"/>
    <xf numFmtId="168" fontId="7" fillId="0" borderId="0" xfId="25" applyFont="1" applyFill="1" applyAlignment="1">
      <alignment horizontal="center"/>
    </xf>
    <xf numFmtId="0" fontId="78" fillId="0" borderId="0" xfId="25" applyNumberFormat="1" applyFont="1" applyFill="1" applyAlignment="1">
      <alignment horizontal="center"/>
    </xf>
    <xf numFmtId="168" fontId="78" fillId="0" borderId="0" xfId="25" applyFont="1" applyFill="1" applyAlignment="1">
      <alignment horizontal="center"/>
    </xf>
    <xf numFmtId="44" fontId="78" fillId="0" borderId="0" xfId="25" applyNumberFormat="1" applyFont="1" applyFill="1" applyBorder="1" applyAlignment="1"/>
    <xf numFmtId="168" fontId="7" fillId="0" borderId="0" xfId="25" applyFont="1" applyFill="1" applyAlignment="1">
      <alignment vertical="center" wrapText="1"/>
    </xf>
    <xf numFmtId="168" fontId="7" fillId="0" borderId="0" xfId="25" applyFont="1" applyFill="1" applyAlignment="1">
      <alignment horizontal="left" vertical="center"/>
    </xf>
    <xf numFmtId="168" fontId="7" fillId="0" borderId="0" xfId="25" applyFont="1" applyFill="1" applyAlignment="1">
      <alignment horizontal="left" vertical="center" wrapText="1"/>
    </xf>
    <xf numFmtId="0" fontId="7" fillId="0" borderId="0" xfId="25" applyNumberFormat="1" applyFont="1" applyAlignment="1">
      <alignment horizontal="center"/>
    </xf>
    <xf numFmtId="168" fontId="7" fillId="0" borderId="0" xfId="25" applyFont="1"/>
    <xf numFmtId="0" fontId="6" fillId="0" borderId="0" xfId="26" applyFont="1" applyFill="1" applyAlignment="1">
      <alignment horizontal="center"/>
    </xf>
    <xf numFmtId="0" fontId="1" fillId="0" borderId="0" xfId="26" applyFont="1" applyFill="1" applyAlignment="1">
      <alignment horizontal="center"/>
    </xf>
    <xf numFmtId="41" fontId="7" fillId="0" borderId="0" xfId="26" applyNumberFormat="1" applyFont="1" applyFill="1"/>
    <xf numFmtId="0" fontId="7" fillId="0" borderId="0" xfId="25" applyNumberFormat="1" applyFont="1" applyFill="1" applyAlignment="1">
      <alignment horizontal="center" wrapText="1"/>
    </xf>
    <xf numFmtId="168" fontId="8" fillId="0" borderId="0" xfId="25" applyFont="1" applyFill="1" applyAlignment="1">
      <alignment horizontal="center" wrapText="1"/>
    </xf>
    <xf numFmtId="168" fontId="7" fillId="0" borderId="0" xfId="25" applyFont="1" applyFill="1" applyAlignment="1">
      <alignment wrapText="1"/>
    </xf>
    <xf numFmtId="0" fontId="7" fillId="0" borderId="0" xfId="26" applyFont="1" applyFill="1" applyAlignment="1">
      <alignment horizontal="right"/>
    </xf>
    <xf numFmtId="43" fontId="7" fillId="0" borderId="0" xfId="26" applyNumberFormat="1" applyFont="1" applyFill="1" applyAlignment="1">
      <alignment horizontal="center"/>
    </xf>
    <xf numFmtId="0" fontId="81" fillId="0" borderId="0" xfId="56" applyNumberFormat="1" applyFont="1" applyFill="1" applyAlignment="1">
      <alignment horizontal="center"/>
    </xf>
    <xf numFmtId="0" fontId="8" fillId="0" borderId="0" xfId="26" quotePrefix="1" applyFont="1" applyFill="1" applyAlignment="1">
      <alignment horizontal="left"/>
    </xf>
    <xf numFmtId="0" fontId="7" fillId="9" borderId="0" xfId="26" quotePrefix="1" applyFont="1" applyFill="1" applyAlignment="1">
      <alignment horizontal="left"/>
    </xf>
    <xf numFmtId="0" fontId="7" fillId="0" borderId="0" xfId="26" quotePrefix="1" applyFont="1" applyFill="1" applyAlignment="1">
      <alignment horizontal="center"/>
    </xf>
    <xf numFmtId="0" fontId="7" fillId="9" borderId="0" xfId="26" quotePrefix="1" applyFont="1" applyFill="1" applyAlignment="1">
      <alignment horizontal="center"/>
    </xf>
    <xf numFmtId="164" fontId="7" fillId="9" borderId="0" xfId="48" applyNumberFormat="1" applyFont="1" applyFill="1" applyAlignment="1"/>
    <xf numFmtId="10" fontId="7" fillId="9" borderId="0" xfId="47" applyNumberFormat="1" applyFont="1" applyFill="1" applyAlignment="1"/>
    <xf numFmtId="168" fontId="7" fillId="9" borderId="0" xfId="35" applyFont="1" applyFill="1" applyAlignment="1"/>
    <xf numFmtId="166" fontId="7" fillId="0" borderId="0" xfId="10" quotePrefix="1" applyNumberFormat="1" applyFont="1" applyFill="1" applyAlignment="1">
      <alignment horizontal="left"/>
    </xf>
    <xf numFmtId="164" fontId="7" fillId="9" borderId="0" xfId="8" quotePrefix="1" applyNumberFormat="1" applyFont="1" applyFill="1" applyAlignment="1">
      <alignment horizontal="left"/>
    </xf>
    <xf numFmtId="166" fontId="7" fillId="9" borderId="0" xfId="46" quotePrefix="1" applyNumberFormat="1" applyFont="1" applyFill="1" applyAlignment="1">
      <alignment horizontal="center"/>
    </xf>
    <xf numFmtId="168" fontId="7" fillId="9" borderId="0" xfId="58" applyFont="1" applyFill="1" applyAlignment="1"/>
    <xf numFmtId="166" fontId="7" fillId="0" borderId="0" xfId="60" quotePrefix="1" applyNumberFormat="1" applyFont="1" applyFill="1" applyAlignment="1">
      <alignment horizontal="left"/>
    </xf>
    <xf numFmtId="166" fontId="7" fillId="9" borderId="0" xfId="59" quotePrefix="1" applyNumberFormat="1" applyFont="1" applyFill="1" applyAlignment="1">
      <alignment horizontal="center"/>
    </xf>
    <xf numFmtId="0" fontId="8" fillId="0" borderId="0" xfId="26" quotePrefix="1" applyFont="1" applyFill="1" applyAlignment="1">
      <alignment horizontal="center"/>
    </xf>
    <xf numFmtId="39" fontId="7" fillId="9" borderId="0" xfId="8" quotePrefix="1" applyNumberFormat="1" applyFont="1" applyFill="1" applyAlignment="1">
      <alignment horizontal="left"/>
    </xf>
    <xf numFmtId="164" fontId="7" fillId="0" borderId="0" xfId="8" quotePrefix="1" applyNumberFormat="1" applyFont="1" applyFill="1" applyAlignment="1">
      <alignment horizontal="left"/>
    </xf>
    <xf numFmtId="164" fontId="7" fillId="9" borderId="0" xfId="48" quotePrefix="1" applyNumberFormat="1" applyFont="1" applyFill="1" applyAlignment="1">
      <alignment horizontal="left"/>
    </xf>
    <xf numFmtId="168" fontId="7" fillId="0" borderId="0" xfId="35" applyFont="1" applyAlignment="1"/>
    <xf numFmtId="168" fontId="8" fillId="0" borderId="0" xfId="35" applyFont="1" applyAlignment="1"/>
    <xf numFmtId="0" fontId="25" fillId="0" borderId="0" xfId="34" applyFont="1" applyFill="1" applyAlignment="1">
      <alignment horizontal="center"/>
    </xf>
    <xf numFmtId="0" fontId="40" fillId="0" borderId="0" xfId="34" applyFont="1" applyFill="1" applyAlignment="1">
      <alignment horizontal="center"/>
    </xf>
    <xf numFmtId="164" fontId="7" fillId="0" borderId="0" xfId="48" applyNumberFormat="1" applyFont="1" applyAlignment="1"/>
    <xf numFmtId="168" fontId="7" fillId="0" borderId="0" xfId="58" applyFont="1" applyAlignment="1"/>
    <xf numFmtId="0" fontId="25" fillId="0" borderId="0" xfId="34" applyFont="1" applyFill="1"/>
    <xf numFmtId="0" fontId="8" fillId="0" borderId="0" xfId="5" applyFont="1" applyFill="1"/>
    <xf numFmtId="0" fontId="8" fillId="0" borderId="0" xfId="26" applyFont="1" applyAlignment="1">
      <alignment horizontal="center"/>
    </xf>
    <xf numFmtId="0" fontId="7" fillId="0" borderId="0" xfId="0" applyFont="1" applyAlignment="1">
      <alignment horizontal="center" wrapText="1"/>
    </xf>
    <xf numFmtId="1" fontId="7" fillId="0" borderId="12" xfId="0" applyNumberFormat="1" applyFont="1" applyBorder="1" applyAlignment="1">
      <alignment horizontal="center"/>
    </xf>
    <xf numFmtId="0" fontId="7" fillId="0" borderId="12" xfId="0" applyFont="1" applyBorder="1"/>
    <xf numFmtId="0" fontId="8" fillId="0" borderId="0" xfId="149" applyFont="1" applyAlignment="1">
      <alignment horizontal="center"/>
    </xf>
    <xf numFmtId="0" fontId="7" fillId="0" borderId="0" xfId="48" applyNumberFormat="1" applyFont="1" applyAlignment="1">
      <alignment horizontal="left"/>
    </xf>
    <xf numFmtId="1" fontId="7" fillId="0" borderId="0" xfId="149" applyNumberFormat="1" applyFont="1" applyAlignment="1">
      <alignment horizontal="center"/>
    </xf>
    <xf numFmtId="164" fontId="7" fillId="0" borderId="12" xfId="149" applyNumberFormat="1" applyFont="1" applyBorder="1" applyAlignment="1" applyProtection="1">
      <alignment horizontal="center"/>
      <protection locked="0"/>
    </xf>
    <xf numFmtId="183" fontId="7" fillId="0" borderId="0" xfId="149" applyNumberFormat="1" applyFont="1" applyAlignment="1">
      <alignment horizontal="left"/>
    </xf>
    <xf numFmtId="184" fontId="7" fillId="0" borderId="0" xfId="149" applyNumberFormat="1" applyFont="1" applyAlignment="1">
      <alignment horizontal="center"/>
    </xf>
    <xf numFmtId="166" fontId="7" fillId="9" borderId="0" xfId="46" applyNumberFormat="1" applyFont="1" applyFill="1"/>
    <xf numFmtId="166" fontId="7" fillId="0" borderId="0" xfId="0" applyNumberFormat="1" applyFont="1" applyProtection="1">
      <protection locked="0"/>
    </xf>
    <xf numFmtId="184" fontId="7" fillId="0" borderId="0" xfId="0" applyNumberFormat="1" applyFont="1" applyAlignment="1">
      <alignment horizontal="center"/>
    </xf>
    <xf numFmtId="0" fontId="7" fillId="0" borderId="0" xfId="149" applyFont="1" applyAlignment="1">
      <alignment horizontal="left"/>
    </xf>
    <xf numFmtId="164" fontId="7" fillId="0" borderId="0" xfId="48" applyNumberFormat="1" applyFont="1"/>
    <xf numFmtId="166" fontId="7" fillId="0" borderId="20" xfId="46" applyNumberFormat="1" applyFont="1" applyBorder="1" applyProtection="1">
      <protection locked="0"/>
    </xf>
    <xf numFmtId="10" fontId="7" fillId="0" borderId="0" xfId="47" applyNumberFormat="1" applyFont="1"/>
    <xf numFmtId="180" fontId="7" fillId="0" borderId="0" xfId="0" applyNumberFormat="1" applyFont="1"/>
    <xf numFmtId="164" fontId="7" fillId="0" borderId="0" xfId="48" quotePrefix="1" applyNumberFormat="1" applyFont="1" applyAlignment="1">
      <alignment horizontal="left"/>
    </xf>
    <xf numFmtId="185" fontId="7" fillId="0" borderId="0" xfId="46" applyNumberFormat="1" applyFont="1"/>
    <xf numFmtId="166" fontId="7" fillId="0" borderId="0" xfId="46" applyNumberFormat="1" applyFont="1"/>
    <xf numFmtId="169" fontId="7" fillId="0" borderId="0" xfId="48" applyNumberFormat="1" applyFont="1"/>
    <xf numFmtId="164" fontId="7" fillId="0" borderId="0" xfId="48" applyNumberFormat="1" applyFont="1" applyProtection="1">
      <protection locked="0"/>
    </xf>
    <xf numFmtId="166" fontId="7" fillId="0" borderId="0" xfId="46" applyNumberFormat="1" applyFont="1" applyProtection="1">
      <protection locked="0"/>
    </xf>
    <xf numFmtId="185" fontId="7" fillId="0" borderId="20" xfId="46" applyNumberFormat="1" applyFont="1" applyBorder="1" applyProtection="1">
      <protection locked="0"/>
    </xf>
    <xf numFmtId="3" fontId="7" fillId="0" borderId="0" xfId="0" applyNumberFormat="1" applyFont="1" applyFill="1"/>
    <xf numFmtId="180" fontId="7" fillId="0" borderId="0" xfId="0" applyNumberFormat="1" applyFont="1" applyFill="1"/>
    <xf numFmtId="164" fontId="13" fillId="0" borderId="0" xfId="48" applyNumberFormat="1" applyFont="1"/>
    <xf numFmtId="0" fontId="25" fillId="0" borderId="0" xfId="150" applyFont="1" applyAlignment="1">
      <alignment horizontal="center"/>
    </xf>
    <xf numFmtId="43" fontId="25" fillId="0" borderId="0" xfId="8" applyFont="1" applyAlignment="1">
      <alignment horizontal="center"/>
    </xf>
    <xf numFmtId="0" fontId="25" fillId="0" borderId="0" xfId="150" applyFont="1"/>
    <xf numFmtId="10" fontId="25" fillId="0" borderId="0" xfId="12" applyNumberFormat="1" applyFont="1" applyAlignment="1">
      <alignment horizontal="center"/>
    </xf>
    <xf numFmtId="0" fontId="40" fillId="0" borderId="0" xfId="150" applyFont="1" applyAlignment="1">
      <alignment horizontal="center" vertical="center"/>
    </xf>
    <xf numFmtId="10" fontId="25" fillId="0" borderId="0" xfId="12" applyNumberFormat="1" applyFont="1" applyAlignment="1">
      <alignment horizontal="center" vertical="center"/>
    </xf>
    <xf numFmtId="0" fontId="25" fillId="0" borderId="0" xfId="150" applyFont="1" applyAlignment="1">
      <alignment horizontal="left"/>
    </xf>
    <xf numFmtId="0" fontId="40" fillId="0" borderId="0" xfId="150" applyFont="1" applyAlignment="1">
      <alignment horizontal="left" vertical="center"/>
    </xf>
    <xf numFmtId="169" fontId="40" fillId="0" borderId="0" xfId="8" applyNumberFormat="1" applyFont="1" applyAlignment="1">
      <alignment horizontal="center"/>
    </xf>
    <xf numFmtId="0" fontId="25" fillId="0" borderId="0" xfId="150" applyFont="1" applyAlignment="1">
      <alignment horizontal="left" indent="1"/>
    </xf>
    <xf numFmtId="0" fontId="7" fillId="0" borderId="0" xfId="150" applyFont="1" applyAlignment="1">
      <alignment horizontal="left" indent="1"/>
    </xf>
    <xf numFmtId="0" fontId="7" fillId="0" borderId="0" xfId="150" applyFont="1" applyFill="1" applyAlignment="1">
      <alignment horizontal="left" indent="1"/>
    </xf>
    <xf numFmtId="0" fontId="8" fillId="0" borderId="0" xfId="150" applyFont="1" applyFill="1" applyAlignment="1">
      <alignment horizontal="left" indent="1"/>
    </xf>
    <xf numFmtId="0" fontId="25" fillId="0" borderId="0" xfId="0" applyFont="1" applyFill="1" applyAlignment="1">
      <alignment horizontal="left" wrapText="1"/>
    </xf>
    <xf numFmtId="164" fontId="25" fillId="0" borderId="18" xfId="163" applyNumberFormat="1" applyFont="1" applyFill="1" applyBorder="1"/>
    <xf numFmtId="164" fontId="7" fillId="0" borderId="12" xfId="149" applyNumberFormat="1" applyFont="1" applyFill="1" applyBorder="1" applyAlignment="1" applyProtection="1">
      <alignment horizontal="center"/>
      <protection locked="0"/>
    </xf>
    <xf numFmtId="10" fontId="7" fillId="0" borderId="0" xfId="47" applyNumberFormat="1" applyFont="1" applyFill="1"/>
    <xf numFmtId="3" fontId="7" fillId="0" borderId="5" xfId="0" applyNumberFormat="1" applyFont="1" applyFill="1" applyBorder="1" applyAlignment="1">
      <alignment horizontal="right"/>
    </xf>
    <xf numFmtId="0" fontId="25" fillId="0" borderId="0" xfId="0" applyFont="1" applyAlignment="1">
      <alignment horizontal="center" vertical="center" wrapText="1"/>
    </xf>
    <xf numFmtId="0" fontId="25" fillId="0" borderId="0" xfId="0" applyFont="1" applyAlignment="1">
      <alignment horizontal="center"/>
    </xf>
    <xf numFmtId="164" fontId="14" fillId="0" borderId="0" xfId="48" quotePrefix="1" applyNumberFormat="1" applyFont="1" applyFill="1" applyAlignment="1">
      <alignment horizontal="right"/>
    </xf>
    <xf numFmtId="164" fontId="14" fillId="0" borderId="12" xfId="48" quotePrefix="1" applyNumberFormat="1" applyFont="1" applyFill="1" applyBorder="1" applyAlignment="1">
      <alignment horizontal="right"/>
    </xf>
    <xf numFmtId="10" fontId="7" fillId="0" borderId="0" xfId="47" applyNumberFormat="1" applyFont="1" applyAlignment="1">
      <alignment horizontal="center" vertical="center" wrapText="1"/>
    </xf>
    <xf numFmtId="168" fontId="7" fillId="0" borderId="32" xfId="35" applyFont="1" applyBorder="1"/>
    <xf numFmtId="168" fontId="7" fillId="0" borderId="0" xfId="35" applyFont="1"/>
    <xf numFmtId="10" fontId="25" fillId="0" borderId="0" xfId="12" applyNumberFormat="1" applyFont="1" applyFill="1" applyAlignment="1">
      <alignment horizontal="center"/>
    </xf>
    <xf numFmtId="0" fontId="7" fillId="0" borderId="0" xfId="20" applyFont="1" applyAlignment="1">
      <alignment wrapText="1"/>
    </xf>
    <xf numFmtId="41" fontId="7" fillId="0" borderId="0" xfId="7" applyNumberFormat="1" applyFont="1" applyFill="1" applyBorder="1" applyAlignment="1">
      <alignment wrapText="1"/>
    </xf>
    <xf numFmtId="41" fontId="7" fillId="0" borderId="0" xfId="7" applyNumberFormat="1" applyFont="1" applyBorder="1" applyAlignment="1">
      <alignment horizontal="center" wrapText="1"/>
    </xf>
    <xf numFmtId="49" fontId="7" fillId="0" borderId="0" xfId="7" applyNumberFormat="1" applyFont="1" applyFill="1" applyBorder="1" applyAlignment="1">
      <alignment horizontal="left" wrapText="1"/>
    </xf>
    <xf numFmtId="41" fontId="3" fillId="0" borderId="0" xfId="7" applyNumberFormat="1" applyFont="1" applyFill="1" applyBorder="1" applyAlignment="1">
      <alignment wrapText="1"/>
    </xf>
    <xf numFmtId="0" fontId="7" fillId="0" borderId="0" xfId="7" applyFont="1" applyFill="1" applyBorder="1" applyAlignment="1">
      <alignment wrapText="1"/>
    </xf>
    <xf numFmtId="42" fontId="7" fillId="0" borderId="0" xfId="7" applyNumberFormat="1" applyFont="1" applyFill="1" applyBorder="1" applyAlignment="1">
      <alignment wrapText="1"/>
    </xf>
    <xf numFmtId="0" fontId="7" fillId="0" borderId="0" xfId="0" applyFont="1" applyFill="1" applyBorder="1" applyAlignment="1">
      <alignment horizontal="center"/>
    </xf>
    <xf numFmtId="164" fontId="25" fillId="9" borderId="12" xfId="48" applyNumberFormat="1" applyFont="1" applyFill="1" applyBorder="1"/>
    <xf numFmtId="188" fontId="25" fillId="0" borderId="1" xfId="48" applyNumberFormat="1" applyFont="1" applyFill="1" applyBorder="1" applyAlignment="1">
      <alignment horizontal="center"/>
    </xf>
    <xf numFmtId="0" fontId="2" fillId="0" borderId="4" xfId="0" applyFont="1" applyFill="1" applyBorder="1" applyAlignment="1">
      <alignment horizontal="center" wrapText="1"/>
    </xf>
    <xf numFmtId="0" fontId="8" fillId="0" borderId="0" xfId="26" quotePrefix="1" applyFont="1" applyFill="1" applyBorder="1" applyAlignment="1">
      <alignment horizontal="left" wrapText="1"/>
    </xf>
    <xf numFmtId="164" fontId="25" fillId="9" borderId="0" xfId="48" applyNumberFormat="1" applyFont="1" applyFill="1" applyBorder="1" applyAlignment="1">
      <alignment horizontal="center"/>
    </xf>
    <xf numFmtId="164" fontId="25" fillId="9" borderId="12" xfId="48" applyNumberFormat="1" applyFont="1" applyFill="1" applyBorder="1" applyAlignment="1">
      <alignment horizontal="center"/>
    </xf>
    <xf numFmtId="0" fontId="8" fillId="0" borderId="0" xfId="0" applyFont="1" applyFill="1" applyBorder="1"/>
    <xf numFmtId="0" fontId="25" fillId="9" borderId="0" xfId="0" applyFont="1" applyFill="1" applyBorder="1"/>
    <xf numFmtId="166" fontId="25" fillId="0" borderId="0" xfId="6" applyNumberFormat="1" applyFont="1" applyFill="1" applyBorder="1"/>
    <xf numFmtId="0" fontId="7" fillId="0" borderId="8" xfId="0" applyFont="1" applyFill="1" applyBorder="1" applyAlignment="1">
      <alignment horizontal="center"/>
    </xf>
    <xf numFmtId="164" fontId="7" fillId="0" borderId="0" xfId="8" applyNumberFormat="1" applyFont="1" applyFill="1" applyAlignment="1">
      <alignment horizontal="center"/>
    </xf>
    <xf numFmtId="164" fontId="7" fillId="0" borderId="0" xfId="8" applyNumberFormat="1" applyFont="1" applyFill="1" applyAlignment="1">
      <alignment horizontal="center" wrapText="1"/>
    </xf>
    <xf numFmtId="0" fontId="25" fillId="0" borderId="0" xfId="0" applyFont="1" applyAlignment="1">
      <alignment horizontal="center" vertical="center" wrapText="1"/>
    </xf>
    <xf numFmtId="0" fontId="25" fillId="0" borderId="12" xfId="0" applyFont="1" applyBorder="1" applyAlignment="1">
      <alignment horizontal="center" wrapText="1"/>
    </xf>
    <xf numFmtId="0" fontId="25" fillId="0" borderId="0" xfId="0" applyFont="1" applyAlignment="1">
      <alignment horizontal="center"/>
    </xf>
    <xf numFmtId="0" fontId="2" fillId="3" borderId="4" xfId="0" applyFont="1" applyFill="1" applyBorder="1" applyAlignment="1">
      <alignment horizontal="center" wrapText="1"/>
    </xf>
    <xf numFmtId="0" fontId="25" fillId="0" borderId="0" xfId="0" applyFont="1" applyAlignment="1">
      <alignment wrapText="1"/>
    </xf>
    <xf numFmtId="37" fontId="0" fillId="2" borderId="0" xfId="0" applyNumberFormat="1" applyFill="1" applyAlignment="1">
      <alignment horizontal="left" wrapText="1"/>
    </xf>
    <xf numFmtId="0" fontId="0" fillId="2" borderId="0" xfId="0" applyFill="1" applyAlignment="1">
      <alignment horizontal="left" vertical="center" wrapText="1"/>
    </xf>
    <xf numFmtId="0" fontId="7" fillId="2" borderId="0" xfId="5" applyFill="1" applyAlignment="1">
      <alignment horizontal="left"/>
    </xf>
    <xf numFmtId="164" fontId="25" fillId="9" borderId="0" xfId="48" quotePrefix="1" applyNumberFormat="1" applyFont="1" applyFill="1" applyAlignment="1">
      <alignment vertical="center" wrapText="1"/>
    </xf>
    <xf numFmtId="0" fontId="25" fillId="0" borderId="0" xfId="152" applyAlignment="1">
      <alignment horizontal="center"/>
    </xf>
    <xf numFmtId="0" fontId="25" fillId="0" borderId="0" xfId="152"/>
    <xf numFmtId="10" fontId="7" fillId="0" borderId="8" xfId="47" applyNumberFormat="1" applyFont="1" applyBorder="1" applyAlignment="1">
      <alignment horizontal="left"/>
    </xf>
    <xf numFmtId="164" fontId="7" fillId="9" borderId="0" xfId="48" applyNumberFormat="1" applyFont="1" applyFill="1" applyAlignment="1">
      <alignment vertical="center" wrapText="1"/>
    </xf>
    <xf numFmtId="0" fontId="82" fillId="0" borderId="6" xfId="0" applyFont="1" applyBorder="1" applyAlignment="1">
      <alignment horizontal="left" wrapText="1"/>
    </xf>
    <xf numFmtId="0" fontId="82" fillId="0" borderId="6" xfId="0" applyFont="1" applyBorder="1"/>
    <xf numFmtId="0" fontId="82" fillId="0" borderId="1" xfId="0" applyFont="1" applyBorder="1"/>
    <xf numFmtId="0" fontId="82" fillId="0" borderId="8" xfId="0" applyFont="1" applyBorder="1"/>
    <xf numFmtId="164" fontId="7" fillId="9" borderId="0" xfId="48" applyNumberFormat="1" applyFont="1" applyFill="1" applyBorder="1"/>
    <xf numFmtId="0" fontId="82" fillId="0" borderId="0" xfId="0" applyFont="1" applyBorder="1"/>
    <xf numFmtId="0" fontId="82" fillId="0" borderId="0" xfId="0" applyFont="1" applyBorder="1" applyAlignment="1">
      <alignment horizontal="left" wrapText="1"/>
    </xf>
    <xf numFmtId="0" fontId="2" fillId="3" borderId="4" xfId="0" applyFont="1" applyFill="1" applyBorder="1" applyAlignment="1">
      <alignment horizontal="center" wrapText="1"/>
    </xf>
    <xf numFmtId="0" fontId="2" fillId="0" borderId="0" xfId="0" applyFont="1" applyFill="1" applyBorder="1" applyAlignment="1">
      <alignment horizontal="center" wrapText="1"/>
    </xf>
    <xf numFmtId="0" fontId="7" fillId="0" borderId="0" xfId="62"/>
    <xf numFmtId="0" fontId="7" fillId="0" borderId="0" xfId="62" applyAlignment="1">
      <alignment horizontal="center"/>
    </xf>
    <xf numFmtId="164" fontId="7" fillId="0" borderId="0" xfId="1" applyNumberFormat="1"/>
    <xf numFmtId="0" fontId="7" fillId="0" borderId="0" xfId="62" applyAlignment="1">
      <alignment horizontal="left"/>
    </xf>
    <xf numFmtId="164" fontId="7" fillId="0" borderId="0" xfId="1" applyNumberFormat="1" applyFill="1"/>
    <xf numFmtId="165" fontId="7" fillId="0" borderId="0" xfId="2" applyNumberFormat="1"/>
    <xf numFmtId="0" fontId="83" fillId="0" borderId="0" xfId="62" applyFont="1"/>
    <xf numFmtId="0" fontId="7" fillId="0" borderId="0" xfId="62" applyAlignment="1">
      <alignment wrapText="1"/>
    </xf>
    <xf numFmtId="0" fontId="82" fillId="0" borderId="2" xfId="62" applyFont="1" applyBorder="1"/>
    <xf numFmtId="0" fontId="82" fillId="0" borderId="3" xfId="62" applyFont="1" applyBorder="1" applyAlignment="1">
      <alignment horizontal="center"/>
    </xf>
    <xf numFmtId="0" fontId="84" fillId="0" borderId="2" xfId="62" applyFont="1" applyBorder="1" applyAlignment="1">
      <alignment horizontal="centerContinuous"/>
    </xf>
    <xf numFmtId="0" fontId="84" fillId="0" borderId="4" xfId="62" applyFont="1" applyBorder="1" applyAlignment="1">
      <alignment horizontal="centerContinuous"/>
    </xf>
    <xf numFmtId="0" fontId="84" fillId="0" borderId="3" xfId="62" applyFont="1" applyBorder="1" applyAlignment="1">
      <alignment horizontal="centerContinuous"/>
    </xf>
    <xf numFmtId="0" fontId="84" fillId="0" borderId="2" xfId="0" applyFont="1" applyBorder="1" applyAlignment="1">
      <alignment horizontal="centerContinuous" wrapText="1"/>
    </xf>
    <xf numFmtId="0" fontId="84" fillId="0" borderId="4" xfId="0" applyFont="1" applyBorder="1" applyAlignment="1">
      <alignment horizontal="centerContinuous"/>
    </xf>
    <xf numFmtId="0" fontId="84" fillId="0" borderId="3" xfId="0" applyFont="1" applyBorder="1" applyAlignment="1">
      <alignment horizontal="centerContinuous"/>
    </xf>
    <xf numFmtId="0" fontId="82" fillId="0" borderId="4" xfId="62" applyFont="1" applyBorder="1"/>
    <xf numFmtId="0" fontId="82" fillId="0" borderId="3" xfId="62" applyFont="1" applyBorder="1"/>
    <xf numFmtId="0" fontId="7" fillId="0" borderId="0" xfId="3" applyAlignment="1">
      <alignment horizontal="left" vertical="center" wrapText="1"/>
    </xf>
    <xf numFmtId="0" fontId="82" fillId="0" borderId="5" xfId="62" applyFont="1" applyBorder="1"/>
    <xf numFmtId="0" fontId="82" fillId="0" borderId="6" xfId="62" applyFont="1" applyBorder="1" applyAlignment="1">
      <alignment horizontal="center"/>
    </xf>
    <xf numFmtId="0" fontId="82" fillId="2" borderId="5" xfId="62" applyFont="1" applyFill="1" applyBorder="1" applyAlignment="1">
      <alignment horizontal="center"/>
    </xf>
    <xf numFmtId="0" fontId="7" fillId="0" borderId="6" xfId="62" applyBorder="1" applyAlignment="1">
      <alignment horizontal="center"/>
    </xf>
    <xf numFmtId="0" fontId="84" fillId="2" borderId="5" xfId="62" applyFont="1" applyFill="1" applyBorder="1" applyAlignment="1">
      <alignment horizontal="center"/>
    </xf>
    <xf numFmtId="0" fontId="84" fillId="0" borderId="0" xfId="62" applyFont="1" applyAlignment="1">
      <alignment horizontal="center"/>
    </xf>
    <xf numFmtId="0" fontId="84" fillId="0" borderId="6" xfId="62" applyFont="1" applyBorder="1" applyAlignment="1">
      <alignment horizontal="center"/>
    </xf>
    <xf numFmtId="0" fontId="84" fillId="2" borderId="5" xfId="0" applyFont="1" applyFill="1" applyBorder="1" applyAlignment="1">
      <alignment horizontal="center"/>
    </xf>
    <xf numFmtId="0" fontId="84" fillId="0" borderId="0" xfId="0" applyFont="1" applyAlignment="1">
      <alignment horizontal="center"/>
    </xf>
    <xf numFmtId="0" fontId="84" fillId="0" borderId="6" xfId="0" applyFont="1" applyBorder="1" applyAlignment="1">
      <alignment horizontal="center"/>
    </xf>
    <xf numFmtId="0" fontId="82" fillId="0" borderId="0" xfId="62" applyFont="1"/>
    <xf numFmtId="0" fontId="82" fillId="0" borderId="6" xfId="62" applyFont="1" applyBorder="1"/>
    <xf numFmtId="0" fontId="82" fillId="0" borderId="0" xfId="62" applyFont="1" applyAlignment="1">
      <alignment horizontal="center"/>
    </xf>
    <xf numFmtId="164" fontId="82" fillId="0" borderId="6" xfId="1" applyNumberFormat="1" applyFont="1" applyBorder="1" applyAlignment="1">
      <alignment horizontal="center"/>
    </xf>
    <xf numFmtId="0" fontId="82" fillId="2" borderId="5" xfId="0" applyFont="1" applyFill="1" applyBorder="1" applyAlignment="1">
      <alignment horizontal="center"/>
    </xf>
    <xf numFmtId="0" fontId="82" fillId="0" borderId="0" xfId="0" applyFont="1" applyAlignment="1">
      <alignment horizontal="center"/>
    </xf>
    <xf numFmtId="0" fontId="82" fillId="0" borderId="6" xfId="0" applyFont="1" applyBorder="1" applyAlignment="1">
      <alignment horizontal="center"/>
    </xf>
    <xf numFmtId="43" fontId="82" fillId="0" borderId="0" xfId="62" applyNumberFormat="1" applyFont="1"/>
    <xf numFmtId="164" fontId="82" fillId="0" borderId="6" xfId="1" applyNumberFormat="1" applyFont="1" applyBorder="1"/>
    <xf numFmtId="0" fontId="82" fillId="0" borderId="0" xfId="0" applyFont="1"/>
    <xf numFmtId="0" fontId="82" fillId="0" borderId="6" xfId="62" applyFont="1" applyBorder="1" applyAlignment="1">
      <alignment horizontal="center" wrapText="1"/>
    </xf>
    <xf numFmtId="165" fontId="82" fillId="0" borderId="0" xfId="145" applyNumberFormat="1" applyFont="1" applyBorder="1"/>
    <xf numFmtId="165" fontId="82" fillId="0" borderId="6" xfId="145" applyNumberFormat="1" applyFont="1" applyBorder="1"/>
    <xf numFmtId="0" fontId="7" fillId="0" borderId="0" xfId="3" applyAlignment="1">
      <alignment wrapText="1"/>
    </xf>
    <xf numFmtId="164" fontId="82" fillId="2" borderId="5" xfId="1" applyNumberFormat="1" applyFont="1" applyFill="1" applyBorder="1"/>
    <xf numFmtId="164" fontId="85" fillId="0" borderId="0" xfId="1" applyNumberFormat="1" applyFont="1" applyBorder="1"/>
    <xf numFmtId="164" fontId="85" fillId="0" borderId="6" xfId="1" applyNumberFormat="1" applyFont="1" applyBorder="1"/>
    <xf numFmtId="164" fontId="86" fillId="2" borderId="5" xfId="1" applyNumberFormat="1" applyFont="1" applyFill="1" applyBorder="1"/>
    <xf numFmtId="164" fontId="82" fillId="0" borderId="0" xfId="1" applyNumberFormat="1" applyFont="1" applyBorder="1"/>
    <xf numFmtId="164" fontId="82" fillId="2" borderId="5" xfId="4" applyNumberFormat="1" applyFont="1" applyFill="1" applyBorder="1"/>
    <xf numFmtId="0" fontId="82" fillId="0" borderId="0" xfId="3" applyFont="1" applyAlignment="1">
      <alignment wrapText="1"/>
    </xf>
    <xf numFmtId="164" fontId="82" fillId="0" borderId="5" xfId="1" applyNumberFormat="1" applyFont="1" applyBorder="1"/>
    <xf numFmtId="43" fontId="82" fillId="2" borderId="5" xfId="1" applyFont="1" applyFill="1" applyBorder="1"/>
    <xf numFmtId="43" fontId="82" fillId="0" borderId="0" xfId="1" applyFont="1" applyFill="1" applyBorder="1"/>
    <xf numFmtId="43" fontId="82" fillId="0" borderId="6" xfId="1" applyFont="1" applyFill="1" applyBorder="1"/>
    <xf numFmtId="164" fontId="82" fillId="0" borderId="0" xfId="1" applyNumberFormat="1" applyFont="1" applyFill="1" applyBorder="1"/>
    <xf numFmtId="164" fontId="82" fillId="0" borderId="6" xfId="1" applyNumberFormat="1" applyFont="1" applyFill="1" applyBorder="1"/>
    <xf numFmtId="0" fontId="82" fillId="0" borderId="7" xfId="62" applyFont="1" applyBorder="1"/>
    <xf numFmtId="0" fontId="82" fillId="0" borderId="8" xfId="62" applyFont="1" applyBorder="1" applyAlignment="1">
      <alignment horizontal="center"/>
    </xf>
    <xf numFmtId="164" fontId="82" fillId="0" borderId="7" xfId="1" applyNumberFormat="1" applyFont="1" applyBorder="1"/>
    <xf numFmtId="164" fontId="82" fillId="0" borderId="1" xfId="1" applyNumberFormat="1" applyFont="1" applyBorder="1"/>
    <xf numFmtId="164" fontId="82" fillId="0" borderId="8" xfId="1" applyNumberFormat="1" applyFont="1" applyBorder="1"/>
    <xf numFmtId="0" fontId="82" fillId="0" borderId="1" xfId="62" applyFont="1" applyBorder="1"/>
    <xf numFmtId="0" fontId="82" fillId="0" borderId="8" xfId="62" applyFont="1" applyBorder="1"/>
    <xf numFmtId="0" fontId="84" fillId="0" borderId="9" xfId="62" applyFont="1" applyBorder="1" applyAlignment="1">
      <alignment horizontal="center"/>
    </xf>
    <xf numFmtId="0" fontId="84" fillId="0" borderId="4" xfId="62" applyFont="1" applyBorder="1" applyAlignment="1">
      <alignment horizontal="center"/>
    </xf>
    <xf numFmtId="164" fontId="84" fillId="0" borderId="3" xfId="1" applyNumberFormat="1" applyFont="1" applyBorder="1" applyAlignment="1">
      <alignment horizontal="center"/>
    </xf>
    <xf numFmtId="0" fontId="84" fillId="0" borderId="2" xfId="62" applyFont="1" applyBorder="1" applyAlignment="1">
      <alignment horizontal="center"/>
    </xf>
    <xf numFmtId="0" fontId="84" fillId="0" borderId="3" xfId="62" applyFont="1" applyBorder="1" applyAlignment="1">
      <alignment horizontal="center"/>
    </xf>
    <xf numFmtId="0" fontId="82" fillId="0" borderId="10" xfId="62" applyFont="1" applyBorder="1" applyAlignment="1">
      <alignment horizontal="center"/>
    </xf>
    <xf numFmtId="164" fontId="82" fillId="0" borderId="0" xfId="62" applyNumberFormat="1" applyFont="1"/>
    <xf numFmtId="166" fontId="82" fillId="0" borderId="10" xfId="6" applyNumberFormat="1" applyFont="1" applyBorder="1"/>
    <xf numFmtId="166" fontId="82" fillId="0" borderId="6" xfId="62" applyNumberFormat="1" applyFont="1" applyBorder="1"/>
    <xf numFmtId="166" fontId="82" fillId="0" borderId="0" xfId="62" applyNumberFormat="1" applyFont="1"/>
    <xf numFmtId="164" fontId="82" fillId="0" borderId="5" xfId="62" applyNumberFormat="1" applyFont="1" applyBorder="1"/>
    <xf numFmtId="164" fontId="7" fillId="0" borderId="0" xfId="62" applyNumberFormat="1"/>
    <xf numFmtId="164" fontId="82" fillId="0" borderId="6" xfId="4" applyNumberFormat="1" applyFont="1" applyBorder="1"/>
    <xf numFmtId="166" fontId="7" fillId="0" borderId="0" xfId="62" applyNumberFormat="1"/>
    <xf numFmtId="164" fontId="82" fillId="0" borderId="0" xfId="157" applyNumberFormat="1" applyFont="1" applyBorder="1"/>
    <xf numFmtId="164" fontId="82" fillId="0" borderId="6" xfId="157" applyNumberFormat="1" applyFont="1" applyBorder="1"/>
    <xf numFmtId="43" fontId="82" fillId="0" borderId="0" xfId="157" applyFont="1" applyBorder="1"/>
    <xf numFmtId="164" fontId="82" fillId="0" borderId="6" xfId="4" applyNumberFormat="1" applyFont="1" applyFill="1" applyBorder="1"/>
    <xf numFmtId="166" fontId="82" fillId="0" borderId="10" xfId="6" applyNumberFormat="1" applyFont="1" applyFill="1" applyBorder="1"/>
    <xf numFmtId="164" fontId="84" fillId="0" borderId="10" xfId="62" applyNumberFormat="1" applyFont="1" applyBorder="1"/>
    <xf numFmtId="164" fontId="84" fillId="0" borderId="0" xfId="62" applyNumberFormat="1" applyFont="1"/>
    <xf numFmtId="164" fontId="84" fillId="0" borderId="6" xfId="1" applyNumberFormat="1" applyFont="1" applyBorder="1"/>
    <xf numFmtId="164" fontId="84" fillId="0" borderId="11" xfId="62" applyNumberFormat="1" applyFont="1" applyBorder="1"/>
    <xf numFmtId="164" fontId="84" fillId="0" borderId="1" xfId="62" applyNumberFormat="1" applyFont="1" applyBorder="1"/>
    <xf numFmtId="164" fontId="84" fillId="0" borderId="8" xfId="1" applyNumberFormat="1" applyFont="1" applyBorder="1"/>
    <xf numFmtId="166" fontId="82" fillId="0" borderId="11" xfId="6" applyNumberFormat="1" applyFont="1" applyBorder="1"/>
    <xf numFmtId="166" fontId="82" fillId="0" borderId="1" xfId="62" applyNumberFormat="1" applyFont="1" applyBorder="1"/>
    <xf numFmtId="164" fontId="82" fillId="0" borderId="0" xfId="1" applyNumberFormat="1" applyFont="1"/>
    <xf numFmtId="166" fontId="82" fillId="0" borderId="0" xfId="6" applyNumberFormat="1" applyFont="1"/>
    <xf numFmtId="43" fontId="7" fillId="0" borderId="0" xfId="62" applyNumberFormat="1"/>
    <xf numFmtId="164" fontId="7" fillId="0" borderId="0" xfId="1" applyNumberFormat="1" applyFill="1" applyBorder="1"/>
    <xf numFmtId="0" fontId="2" fillId="0" borderId="5" xfId="0" applyFont="1" applyFill="1" applyBorder="1" applyAlignment="1">
      <alignment horizontal="center" wrapText="1"/>
    </xf>
    <xf numFmtId="10" fontId="14" fillId="0" borderId="0" xfId="47" applyNumberFormat="1" applyFont="1" applyFill="1" applyAlignment="1">
      <alignment horizontal="right"/>
    </xf>
    <xf numFmtId="168" fontId="13" fillId="0" borderId="0" xfId="0" applyNumberFormat="1" applyFont="1"/>
    <xf numFmtId="168" fontId="7" fillId="9" borderId="0" xfId="50" applyFont="1" applyFill="1" applyBorder="1" applyAlignment="1">
      <alignment wrapText="1"/>
    </xf>
    <xf numFmtId="0" fontId="2" fillId="3" borderId="4" xfId="0" applyFont="1" applyFill="1" applyBorder="1" applyAlignment="1">
      <alignment horizontal="center" wrapText="1"/>
    </xf>
    <xf numFmtId="164" fontId="7" fillId="0" borderId="12" xfId="7" applyNumberFormat="1" applyFont="1" applyBorder="1" applyAlignment="1">
      <alignment horizontal="right"/>
    </xf>
    <xf numFmtId="41" fontId="7" fillId="9" borderId="22" xfId="0" applyNumberFormat="1" applyFont="1" applyFill="1" applyBorder="1" applyAlignment="1">
      <alignment vertical="top"/>
    </xf>
    <xf numFmtId="164" fontId="7" fillId="0" borderId="0" xfId="7" applyNumberFormat="1" applyFont="1" applyBorder="1"/>
    <xf numFmtId="0" fontId="7" fillId="0" borderId="0" xfId="7" applyFont="1" applyBorder="1"/>
    <xf numFmtId="43" fontId="7" fillId="9" borderId="0" xfId="48" applyFont="1" applyFill="1" applyBorder="1"/>
    <xf numFmtId="10" fontId="7" fillId="0" borderId="0" xfId="47" applyNumberFormat="1" applyFont="1" applyBorder="1" applyAlignment="1">
      <alignment horizontal="center"/>
    </xf>
    <xf numFmtId="1" fontId="7" fillId="0" borderId="0" xfId="7" applyNumberFormat="1" applyBorder="1"/>
    <xf numFmtId="9" fontId="7" fillId="0" borderId="0" xfId="48" applyNumberFormat="1" applyFont="1" applyBorder="1" applyAlignment="1">
      <alignment horizontal="center"/>
    </xf>
    <xf numFmtId="164" fontId="7" fillId="0" borderId="0" xfId="48" applyNumberFormat="1" applyFont="1" applyBorder="1"/>
    <xf numFmtId="0" fontId="25" fillId="0" borderId="0" xfId="0" applyFont="1" applyBorder="1" applyAlignment="1">
      <alignment horizontal="right"/>
    </xf>
    <xf numFmtId="10" fontId="7" fillId="0" borderId="0" xfId="47" applyNumberFormat="1" applyFont="1" applyBorder="1" applyAlignment="1">
      <alignment horizontal="right"/>
    </xf>
    <xf numFmtId="164" fontId="7" fillId="0" borderId="0" xfId="7" applyNumberFormat="1" applyFont="1" applyBorder="1" applyAlignment="1">
      <alignment horizontal="right"/>
    </xf>
    <xf numFmtId="0" fontId="25" fillId="0" borderId="6" xfId="0" applyFont="1" applyBorder="1" applyAlignment="1">
      <alignment wrapText="1"/>
    </xf>
    <xf numFmtId="0" fontId="2" fillId="3" borderId="4" xfId="0" applyFont="1" applyFill="1" applyBorder="1" applyAlignment="1">
      <alignment horizontal="center" wrapText="1"/>
    </xf>
    <xf numFmtId="0" fontId="3" fillId="0" borderId="0" xfId="0" applyFont="1" applyAlignment="1">
      <alignment horizontal="center" wrapText="1"/>
    </xf>
    <xf numFmtId="0" fontId="7" fillId="0" borderId="0" xfId="0" applyFont="1" applyFill="1" applyBorder="1" applyAlignment="1">
      <alignment horizontal="center"/>
    </xf>
    <xf numFmtId="43" fontId="7" fillId="0" borderId="0" xfId="0" applyNumberFormat="1" applyFont="1" applyFill="1"/>
    <xf numFmtId="10" fontId="25" fillId="0" borderId="0" xfId="47" applyNumberFormat="1" applyFont="1" applyFill="1" applyBorder="1" applyAlignment="1">
      <alignment horizontal="center"/>
    </xf>
    <xf numFmtId="0" fontId="6" fillId="0" borderId="0" xfId="0" applyFont="1" applyAlignment="1">
      <alignment horizontal="center"/>
    </xf>
    <xf numFmtId="3" fontId="14" fillId="0" borderId="18" xfId="0" applyNumberFormat="1" applyFont="1" applyBorder="1"/>
    <xf numFmtId="166" fontId="14" fillId="0" borderId="0" xfId="10" applyNumberFormat="1" applyFont="1" applyFill="1" applyBorder="1"/>
    <xf numFmtId="168" fontId="89" fillId="0" borderId="0" xfId="27" applyFont="1"/>
    <xf numFmtId="0" fontId="14" fillId="0" borderId="0" xfId="0" applyFont="1" applyAlignment="1">
      <alignment horizontal="center"/>
    </xf>
    <xf numFmtId="0" fontId="90" fillId="0" borderId="0" xfId="0" applyFont="1" applyAlignment="1">
      <alignment horizontal="right"/>
    </xf>
    <xf numFmtId="3" fontId="14" fillId="0" borderId="0" xfId="0" applyNumberFormat="1" applyFont="1" applyBorder="1" applyAlignment="1">
      <alignment horizontal="center"/>
    </xf>
    <xf numFmtId="3" fontId="14" fillId="0" borderId="0" xfId="0" applyNumberFormat="1" applyFont="1" applyBorder="1"/>
    <xf numFmtId="0" fontId="14" fillId="0" borderId="0" xfId="0" applyFont="1" applyBorder="1" applyAlignment="1">
      <alignment horizontal="center"/>
    </xf>
    <xf numFmtId="166" fontId="14" fillId="2" borderId="0" xfId="10" applyNumberFormat="1" applyFont="1" applyFill="1" applyBorder="1"/>
    <xf numFmtId="166" fontId="14" fillId="0" borderId="0" xfId="0" applyNumberFormat="1" applyFont="1" applyFill="1" applyBorder="1" applyAlignment="1"/>
    <xf numFmtId="166" fontId="14" fillId="2" borderId="20" xfId="10" applyNumberFormat="1" applyFont="1" applyFill="1" applyBorder="1"/>
    <xf numFmtId="0" fontId="14" fillId="0" borderId="0" xfId="0" applyFont="1" applyAlignment="1">
      <alignment horizontal="center"/>
    </xf>
    <xf numFmtId="0" fontId="6" fillId="0" borderId="0" xfId="0" applyFont="1" applyBorder="1"/>
    <xf numFmtId="164" fontId="14" fillId="0" borderId="0" xfId="0" applyNumberFormat="1" applyFont="1" applyBorder="1"/>
    <xf numFmtId="167" fontId="14" fillId="0" borderId="0" xfId="0" applyNumberFormat="1" applyFont="1" applyBorder="1"/>
    <xf numFmtId="0" fontId="0" fillId="0" borderId="0" xfId="0" applyBorder="1"/>
    <xf numFmtId="0" fontId="88" fillId="0" borderId="0" xfId="0" applyFont="1" applyBorder="1" applyAlignment="1">
      <alignment horizontal="right"/>
    </xf>
    <xf numFmtId="0" fontId="14" fillId="0" borderId="0" xfId="0" applyFont="1" applyAlignment="1">
      <alignment horizontal="center"/>
    </xf>
    <xf numFmtId="0" fontId="91" fillId="0" borderId="0" xfId="0" applyFont="1" applyFill="1"/>
    <xf numFmtId="0" fontId="13" fillId="0" borderId="0" xfId="0" applyFont="1" applyAlignment="1">
      <alignment horizontal="center" vertical="center" wrapText="1"/>
    </xf>
    <xf numFmtId="0" fontId="90" fillId="0" borderId="0" xfId="0" applyFont="1"/>
    <xf numFmtId="0" fontId="9" fillId="0" borderId="0" xfId="0" applyFont="1"/>
    <xf numFmtId="0" fontId="14" fillId="0" borderId="0" xfId="0" applyFont="1" applyAlignment="1">
      <alignment horizontal="center"/>
    </xf>
    <xf numFmtId="0" fontId="2" fillId="3" borderId="4" xfId="0" applyFont="1" applyFill="1" applyBorder="1" applyAlignment="1">
      <alignment horizontal="center" wrapText="1"/>
    </xf>
    <xf numFmtId="0" fontId="13" fillId="0" borderId="0" xfId="0" applyFont="1" applyBorder="1" applyAlignment="1"/>
    <xf numFmtId="41" fontId="9" fillId="0" borderId="0" xfId="7" applyNumberFormat="1" applyFont="1" applyFill="1" applyBorder="1"/>
    <xf numFmtId="164" fontId="7" fillId="0" borderId="5" xfId="8" applyNumberFormat="1" applyFont="1" applyFill="1" applyBorder="1"/>
    <xf numFmtId="164" fontId="7" fillId="0" borderId="0" xfId="0" applyNumberFormat="1" applyFont="1" applyFill="1" applyBorder="1"/>
    <xf numFmtId="164" fontId="7" fillId="0" borderId="7" xfId="1" applyNumberFormat="1" applyFont="1" applyFill="1" applyBorder="1"/>
    <xf numFmtId="164" fontId="7" fillId="0" borderId="1" xfId="0" applyNumberFormat="1" applyFont="1" applyFill="1" applyBorder="1"/>
    <xf numFmtId="164" fontId="7" fillId="0" borderId="1" xfId="8" applyNumberFormat="1" applyFont="1" applyFill="1" applyBorder="1"/>
    <xf numFmtId="0" fontId="9" fillId="0" borderId="0" xfId="0" applyFont="1" applyBorder="1" applyAlignment="1">
      <alignment horizontal="center"/>
    </xf>
    <xf numFmtId="0" fontId="9" fillId="0" borderId="0" xfId="0" applyFont="1" applyFill="1" applyBorder="1" applyAlignment="1">
      <alignment horizontal="center"/>
    </xf>
    <xf numFmtId="0" fontId="13" fillId="0" borderId="0" xfId="20" applyFont="1"/>
    <xf numFmtId="168" fontId="13" fillId="0" borderId="0" xfId="27" applyFont="1" applyFill="1" applyBorder="1" applyAlignment="1">
      <alignment horizontal="center"/>
    </xf>
    <xf numFmtId="10" fontId="13" fillId="0" borderId="0" xfId="12" applyNumberFormat="1" applyFont="1" applyAlignment="1">
      <alignment horizontal="center" vertical="center"/>
    </xf>
    <xf numFmtId="43" fontId="7" fillId="9" borderId="30" xfId="8" applyFont="1" applyFill="1" applyBorder="1" applyAlignment="1">
      <alignment horizontal="center"/>
    </xf>
    <xf numFmtId="166" fontId="7" fillId="9" borderId="0" xfId="46" applyNumberFormat="1" applyFont="1" applyFill="1" applyProtection="1">
      <protection locked="0"/>
    </xf>
    <xf numFmtId="164" fontId="7" fillId="9" borderId="0" xfId="48" applyNumberFormat="1" applyFont="1" applyFill="1" applyProtection="1">
      <protection locked="0"/>
    </xf>
    <xf numFmtId="43" fontId="13" fillId="0" borderId="0" xfId="0" applyNumberFormat="1" applyFont="1"/>
    <xf numFmtId="10" fontId="13" fillId="0" borderId="0" xfId="47" applyNumberFormat="1" applyFont="1"/>
    <xf numFmtId="3" fontId="7" fillId="0" borderId="0" xfId="0" applyNumberFormat="1" applyFont="1" applyFill="1" applyAlignment="1">
      <alignment horizontal="center"/>
    </xf>
    <xf numFmtId="3" fontId="7" fillId="0" borderId="5" xfId="0" applyNumberFormat="1" applyFont="1" applyFill="1" applyBorder="1" applyAlignment="1">
      <alignment horizontal="center"/>
    </xf>
    <xf numFmtId="43" fontId="7" fillId="0" borderId="5" xfId="48" applyFont="1" applyFill="1" applyBorder="1" applyAlignment="1">
      <alignment horizontal="center"/>
    </xf>
    <xf numFmtId="164" fontId="7" fillId="0" borderId="7" xfId="8" applyNumberFormat="1" applyFont="1" applyFill="1" applyBorder="1" applyAlignment="1">
      <alignment horizontal="right"/>
    </xf>
    <xf numFmtId="3" fontId="8" fillId="0" borderId="0" xfId="0" applyNumberFormat="1" applyFont="1" applyFill="1" applyAlignment="1">
      <alignment horizontal="center"/>
    </xf>
    <xf numFmtId="0" fontId="8" fillId="0" borderId="0" xfId="0" applyFont="1" applyFill="1" applyAlignment="1">
      <alignment horizontal="center"/>
    </xf>
    <xf numFmtId="3" fontId="7" fillId="0" borderId="1" xfId="0" applyNumberFormat="1" applyFont="1" applyFill="1" applyBorder="1" applyAlignment="1">
      <alignment horizontal="center"/>
    </xf>
    <xf numFmtId="3" fontId="7" fillId="9" borderId="5" xfId="0" applyNumberFormat="1" applyFont="1" applyFill="1" applyBorder="1" applyAlignment="1">
      <alignment horizontal="center"/>
    </xf>
    <xf numFmtId="3" fontId="7" fillId="9" borderId="1" xfId="0" applyNumberFormat="1" applyFont="1" applyFill="1" applyBorder="1" applyAlignment="1">
      <alignment horizontal="center"/>
    </xf>
    <xf numFmtId="3" fontId="7" fillId="9" borderId="7" xfId="8" applyNumberFormat="1" applyFont="1" applyFill="1" applyBorder="1" applyAlignment="1">
      <alignment horizontal="center"/>
    </xf>
    <xf numFmtId="164" fontId="7" fillId="0" borderId="7" xfId="0" applyNumberFormat="1" applyFont="1" applyFill="1" applyBorder="1" applyAlignment="1">
      <alignment horizontal="center"/>
    </xf>
    <xf numFmtId="164" fontId="7" fillId="0" borderId="1" xfId="0" applyNumberFormat="1" applyFont="1" applyFill="1" applyBorder="1" applyAlignment="1">
      <alignment horizontal="center"/>
    </xf>
    <xf numFmtId="164" fontId="7" fillId="9" borderId="7" xfId="48" applyNumberFormat="1" applyFont="1" applyFill="1" applyBorder="1"/>
    <xf numFmtId="164" fontId="7" fillId="9" borderId="1" xfId="48" applyNumberFormat="1" applyFont="1" applyFill="1" applyBorder="1"/>
    <xf numFmtId="164" fontId="7" fillId="9" borderId="5" xfId="1" applyNumberFormat="1" applyFont="1" applyFill="1" applyBorder="1"/>
    <xf numFmtId="164" fontId="7" fillId="9" borderId="7" xfId="1" applyNumberFormat="1" applyFont="1" applyFill="1" applyBorder="1"/>
    <xf numFmtId="166" fontId="25" fillId="9" borderId="0" xfId="60" applyNumberFormat="1" applyFont="1" applyFill="1"/>
    <xf numFmtId="3" fontId="7" fillId="9" borderId="0" xfId="0" applyNumberFormat="1" applyFont="1" applyFill="1" applyAlignment="1">
      <alignment horizontal="center"/>
    </xf>
    <xf numFmtId="0" fontId="7" fillId="0" borderId="0" xfId="0" applyFont="1" applyAlignment="1">
      <alignment horizontal="center"/>
    </xf>
    <xf numFmtId="0" fontId="45" fillId="0" borderId="0" xfId="0" applyFont="1" applyAlignment="1">
      <alignment horizontal="center"/>
    </xf>
    <xf numFmtId="0" fontId="1" fillId="0" borderId="0" xfId="0" applyFont="1" applyAlignment="1">
      <alignment horizontal="center"/>
    </xf>
    <xf numFmtId="10" fontId="25" fillId="0" borderId="0" xfId="47" applyNumberFormat="1" applyFont="1" applyAlignment="1">
      <alignment horizontal="center"/>
    </xf>
    <xf numFmtId="172" fontId="7" fillId="0" borderId="0" xfId="8" applyNumberFormat="1" applyFont="1"/>
    <xf numFmtId="169" fontId="8" fillId="0" borderId="0" xfId="8" applyNumberFormat="1" applyFont="1" applyAlignment="1">
      <alignment horizontal="center"/>
    </xf>
    <xf numFmtId="10" fontId="7" fillId="0" borderId="0" xfId="12" applyNumberFormat="1" applyFont="1" applyAlignment="1">
      <alignment horizontal="center"/>
    </xf>
    <xf numFmtId="10" fontId="7" fillId="0" borderId="0" xfId="47" applyNumberFormat="1" applyFont="1" applyAlignment="1">
      <alignment horizontal="center"/>
    </xf>
    <xf numFmtId="0" fontId="14" fillId="0" borderId="0" xfId="0" applyFont="1" applyAlignment="1">
      <alignment horizontal="center"/>
    </xf>
    <xf numFmtId="164" fontId="7" fillId="9" borderId="1" xfId="8" applyNumberFormat="1" applyFont="1" applyFill="1" applyBorder="1" applyAlignment="1">
      <alignment horizontal="center"/>
    </xf>
    <xf numFmtId="164" fontId="7" fillId="0" borderId="0" xfId="1" applyNumberFormat="1" applyFont="1" applyFill="1" applyBorder="1"/>
    <xf numFmtId="42" fontId="25" fillId="0" borderId="0" xfId="152" applyNumberFormat="1" applyFont="1"/>
    <xf numFmtId="0" fontId="7" fillId="2" borderId="23" xfId="14" applyFill="1" applyBorder="1" applyAlignment="1">
      <alignment horizontal="left"/>
    </xf>
    <xf numFmtId="0" fontId="25" fillId="9" borderId="21" xfId="14" applyFont="1" applyFill="1" applyBorder="1" applyAlignment="1">
      <alignment vertical="top"/>
    </xf>
    <xf numFmtId="0" fontId="25" fillId="9" borderId="21" xfId="14" applyFont="1" applyFill="1" applyBorder="1" applyAlignment="1">
      <alignment horizontal="left" vertical="top"/>
    </xf>
    <xf numFmtId="0" fontId="7" fillId="0" borderId="0" xfId="0" applyFont="1" applyAlignment="1">
      <alignment horizontal="centerContinuous"/>
    </xf>
    <xf numFmtId="0" fontId="7" fillId="0" borderId="6" xfId="0" applyFont="1" applyBorder="1" applyAlignment="1">
      <alignment horizontal="centerContinuous"/>
    </xf>
    <xf numFmtId="10" fontId="14" fillId="0" borderId="19" xfId="12" applyNumberFormat="1" applyFont="1" applyBorder="1" applyAlignment="1"/>
    <xf numFmtId="10" fontId="14" fillId="0" borderId="19" xfId="47" applyNumberFormat="1" applyFont="1" applyBorder="1" applyAlignment="1"/>
    <xf numFmtId="10" fontId="14" fillId="0" borderId="19" xfId="12" applyNumberFormat="1" applyFont="1" applyFill="1" applyBorder="1" applyAlignment="1"/>
    <xf numFmtId="10" fontId="25" fillId="0" borderId="0" xfId="145" applyNumberFormat="1" applyFont="1"/>
    <xf numFmtId="10" fontId="7" fillId="0" borderId="0" xfId="145" applyNumberFormat="1" applyFont="1"/>
    <xf numFmtId="10" fontId="25" fillId="2" borderId="0" xfId="0" applyNumberFormat="1" applyFont="1" applyFill="1" applyAlignment="1">
      <alignment horizontal="center" wrapText="1"/>
    </xf>
    <xf numFmtId="10" fontId="7" fillId="0" borderId="0" xfId="2" applyNumberFormat="1" applyFont="1" applyFill="1"/>
    <xf numFmtId="166" fontId="7" fillId="0" borderId="0" xfId="46" applyNumberFormat="1" applyFont="1" applyAlignment="1">
      <alignment horizontal="center"/>
    </xf>
    <xf numFmtId="10" fontId="7" fillId="0" borderId="0" xfId="2" applyNumberFormat="1" applyFont="1" applyAlignment="1">
      <alignment horizontal="right"/>
    </xf>
    <xf numFmtId="10" fontId="82" fillId="0" borderId="5" xfId="62" applyNumberFormat="1" applyFont="1" applyBorder="1"/>
    <xf numFmtId="10" fontId="82" fillId="0" borderId="5" xfId="145" applyNumberFormat="1" applyFont="1" applyBorder="1"/>
    <xf numFmtId="10" fontId="82" fillId="0" borderId="5" xfId="0" applyNumberFormat="1" applyFont="1" applyBorder="1"/>
    <xf numFmtId="164" fontId="7" fillId="0" borderId="5" xfId="48" applyNumberFormat="1" applyFont="1" applyFill="1" applyBorder="1" applyAlignment="1">
      <alignment horizontal="right"/>
    </xf>
    <xf numFmtId="168" fontId="14" fillId="0" borderId="0" xfId="19" applyFont="1" applyFill="1" applyAlignment="1" applyProtection="1">
      <alignment horizontal="left" vertical="top" wrapText="1"/>
      <protection locked="0"/>
    </xf>
    <xf numFmtId="0" fontId="14" fillId="0" borderId="0" xfId="0" applyFont="1" applyAlignment="1">
      <alignment horizontal="left" vertical="top" wrapText="1"/>
    </xf>
    <xf numFmtId="168" fontId="14" fillId="0" borderId="0" xfId="19" applyFont="1" applyAlignment="1" applyProtection="1">
      <alignment horizontal="left" wrapText="1"/>
      <protection locked="0"/>
    </xf>
    <xf numFmtId="0" fontId="14" fillId="0" borderId="0" xfId="0" applyFont="1" applyAlignment="1">
      <alignment vertical="top" wrapText="1"/>
    </xf>
    <xf numFmtId="0" fontId="46" fillId="0" borderId="0" xfId="0" applyFont="1" applyAlignment="1">
      <alignment vertical="top" wrapText="1"/>
    </xf>
    <xf numFmtId="168" fontId="14" fillId="0" borderId="0" xfId="19" applyFont="1" applyAlignment="1" applyProtection="1">
      <alignment horizontal="left" vertical="top" wrapText="1"/>
      <protection locked="0"/>
    </xf>
    <xf numFmtId="0" fontId="40" fillId="0" borderId="28" xfId="0" applyFont="1" applyBorder="1" applyAlignment="1">
      <alignment horizontal="center" vertical="center"/>
    </xf>
    <xf numFmtId="0" fontId="40" fillId="0" borderId="18" xfId="0" applyFont="1" applyBorder="1" applyAlignment="1">
      <alignment horizontal="center" vertical="center"/>
    </xf>
    <xf numFmtId="0" fontId="40" fillId="0" borderId="29" xfId="0" applyFont="1" applyBorder="1" applyAlignment="1">
      <alignment horizontal="center" vertical="center"/>
    </xf>
    <xf numFmtId="0" fontId="40" fillId="0" borderId="21"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45" fillId="0" borderId="0" xfId="0" applyFont="1" applyAlignment="1">
      <alignment horizontal="center"/>
    </xf>
    <xf numFmtId="0" fontId="40" fillId="0" borderId="12" xfId="0" applyFont="1" applyBorder="1" applyAlignment="1">
      <alignment horizontal="center" vertical="center"/>
    </xf>
    <xf numFmtId="0" fontId="25" fillId="0" borderId="0" xfId="0" applyFont="1" applyFill="1" applyAlignment="1">
      <alignment horizontal="left" vertical="top" wrapText="1"/>
    </xf>
    <xf numFmtId="0" fontId="25" fillId="0" borderId="0" xfId="0" applyFont="1" applyAlignment="1">
      <alignment horizontal="left" vertical="top" wrapText="1"/>
    </xf>
    <xf numFmtId="0" fontId="25" fillId="0" borderId="0" xfId="0" applyFont="1" applyAlignment="1">
      <alignment horizontal="left" vertical="top"/>
    </xf>
    <xf numFmtId="0" fontId="40" fillId="0" borderId="0" xfId="14" applyFont="1" applyAlignment="1">
      <alignment horizontal="left" vertical="top" wrapText="1"/>
    </xf>
    <xf numFmtId="0" fontId="8" fillId="0" borderId="0" xfId="14" applyFont="1" applyAlignment="1">
      <alignment horizontal="left" vertical="top" wrapText="1"/>
    </xf>
    <xf numFmtId="0" fontId="6" fillId="0" borderId="0" xfId="14" applyFont="1" applyAlignment="1">
      <alignment horizontal="center"/>
    </xf>
    <xf numFmtId="0" fontId="6" fillId="0" borderId="0" xfId="17" applyFont="1" applyAlignment="1">
      <alignment horizontal="center"/>
    </xf>
    <xf numFmtId="15" fontId="8" fillId="9" borderId="0" xfId="17" quotePrefix="1" applyNumberFormat="1" applyFont="1" applyFill="1" applyAlignment="1">
      <alignment horizontal="center"/>
    </xf>
    <xf numFmtId="0" fontId="7" fillId="0" borderId="0" xfId="14" applyAlignment="1">
      <alignment horizontal="left" vertical="top" wrapText="1"/>
    </xf>
    <xf numFmtId="0" fontId="58" fillId="12" borderId="0" xfId="0" applyFont="1" applyFill="1" applyAlignment="1">
      <alignment horizontal="center"/>
    </xf>
    <xf numFmtId="0" fontId="56" fillId="12" borderId="0" xfId="0" applyFont="1" applyFill="1" applyAlignment="1">
      <alignment horizontal="left"/>
    </xf>
    <xf numFmtId="0" fontId="56" fillId="12" borderId="12" xfId="0" applyFont="1" applyFill="1" applyBorder="1" applyAlignment="1">
      <alignment horizontal="left"/>
    </xf>
    <xf numFmtId="0" fontId="40" fillId="0" borderId="0" xfId="0" applyFont="1" applyAlignment="1">
      <alignment horizontal="left" vertical="center" indent="1"/>
    </xf>
    <xf numFmtId="0" fontId="40" fillId="0" borderId="12" xfId="0" applyFont="1" applyBorder="1" applyAlignment="1">
      <alignment horizontal="left" vertical="center" indent="1"/>
    </xf>
    <xf numFmtId="0" fontId="46" fillId="0" borderId="21" xfId="0" applyFont="1" applyBorder="1" applyAlignment="1">
      <alignment horizontal="center"/>
    </xf>
    <xf numFmtId="0" fontId="46" fillId="0" borderId="20" xfId="0" applyFont="1" applyBorder="1" applyAlignment="1">
      <alignment horizontal="center"/>
    </xf>
    <xf numFmtId="0" fontId="46" fillId="0" borderId="23" xfId="0" applyFont="1" applyBorder="1" applyAlignment="1">
      <alignment horizontal="center"/>
    </xf>
    <xf numFmtId="0" fontId="40" fillId="0" borderId="0" xfId="0" applyFont="1" applyAlignment="1">
      <alignment horizontal="left" vertical="center" wrapText="1"/>
    </xf>
    <xf numFmtId="0" fontId="40" fillId="0" borderId="12" xfId="0" applyFont="1" applyBorder="1" applyAlignment="1">
      <alignment horizontal="left"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40" fillId="0" borderId="0" xfId="0" applyFont="1" applyAlignment="1">
      <alignment horizontal="center" vertical="center"/>
    </xf>
    <xf numFmtId="0" fontId="40" fillId="0" borderId="0" xfId="0" applyFont="1" applyAlignment="1">
      <alignment horizontal="left" vertical="center"/>
    </xf>
    <xf numFmtId="0" fontId="40" fillId="0" borderId="12" xfId="0" applyFont="1" applyBorder="1" applyAlignment="1">
      <alignment horizontal="left" vertical="center"/>
    </xf>
    <xf numFmtId="0" fontId="7" fillId="0" borderId="0" xfId="0" applyFont="1" applyAlignment="1">
      <alignment horizontal="left" vertical="top" wrapText="1"/>
    </xf>
    <xf numFmtId="0" fontId="25" fillId="0" borderId="0" xfId="0" applyFont="1" applyAlignment="1">
      <alignment horizontal="left" vertical="center" wrapText="1" indent="1"/>
    </xf>
    <xf numFmtId="0" fontId="25" fillId="0" borderId="12" xfId="0" applyFont="1" applyBorder="1" applyAlignment="1">
      <alignment horizontal="left" vertical="center" wrapText="1" indent="1"/>
    </xf>
    <xf numFmtId="0" fontId="7" fillId="0" borderId="0" xfId="152" applyFont="1" applyAlignment="1">
      <alignment horizontal="left" vertical="top" wrapText="1"/>
    </xf>
    <xf numFmtId="0" fontId="25" fillId="0" borderId="0" xfId="152" applyFont="1" applyAlignment="1">
      <alignment horizontal="left" vertical="top" wrapText="1"/>
    </xf>
    <xf numFmtId="0" fontId="59" fillId="12" borderId="21" xfId="0" applyFont="1" applyFill="1" applyBorder="1" applyAlignment="1">
      <alignment horizontal="center"/>
    </xf>
    <xf numFmtId="0" fontId="59" fillId="12" borderId="20" xfId="0" applyFont="1" applyFill="1" applyBorder="1" applyAlignment="1">
      <alignment horizontal="center"/>
    </xf>
    <xf numFmtId="0" fontId="59" fillId="12" borderId="23" xfId="0" applyFont="1" applyFill="1" applyBorder="1" applyAlignment="1">
      <alignment horizontal="center"/>
    </xf>
    <xf numFmtId="0" fontId="45" fillId="0" borderId="21" xfId="0" applyFont="1" applyBorder="1" applyAlignment="1">
      <alignment horizontal="center"/>
    </xf>
    <xf numFmtId="0" fontId="45" fillId="0" borderId="20" xfId="0" applyFont="1" applyBorder="1" applyAlignment="1">
      <alignment horizontal="center"/>
    </xf>
    <xf numFmtId="0" fontId="45" fillId="0" borderId="23" xfId="0" applyFont="1" applyBorder="1" applyAlignment="1">
      <alignment horizontal="center"/>
    </xf>
    <xf numFmtId="0" fontId="1" fillId="0" borderId="0" xfId="0" applyFont="1" applyAlignment="1">
      <alignment horizontal="center"/>
    </xf>
    <xf numFmtId="0" fontId="6" fillId="0" borderId="0" xfId="0" applyFont="1" applyAlignment="1">
      <alignment horizontal="center"/>
    </xf>
    <xf numFmtId="0" fontId="23" fillId="0" borderId="0" xfId="0" applyFont="1" applyAlignment="1">
      <alignment horizontal="center"/>
    </xf>
    <xf numFmtId="0" fontId="7" fillId="0" borderId="0" xfId="0" applyFont="1" applyAlignment="1">
      <alignment horizontal="center"/>
    </xf>
    <xf numFmtId="0" fontId="14" fillId="0" borderId="0" xfId="0" applyFont="1" applyAlignment="1">
      <alignment horizontal="center"/>
    </xf>
    <xf numFmtId="0" fontId="25" fillId="0" borderId="0" xfId="162" applyFont="1" applyAlignment="1">
      <alignment horizontal="left" vertical="top" wrapText="1"/>
    </xf>
    <xf numFmtId="0" fontId="0" fillId="0" borderId="0" xfId="0" applyAlignment="1"/>
    <xf numFmtId="0" fontId="10" fillId="0" borderId="0" xfId="0" applyFont="1" applyAlignment="1">
      <alignment horizontal="center"/>
    </xf>
    <xf numFmtId="0" fontId="46" fillId="0" borderId="0" xfId="0" applyFont="1" applyAlignment="1"/>
    <xf numFmtId="0" fontId="7" fillId="0" borderId="0" xfId="0" applyFont="1" applyFill="1" applyBorder="1" applyAlignment="1">
      <alignment horizontal="center" wrapText="1"/>
    </xf>
    <xf numFmtId="0" fontId="7" fillId="0" borderId="6" xfId="0" applyFont="1" applyFill="1" applyBorder="1" applyAlignment="1">
      <alignment horizontal="center" wrapText="1"/>
    </xf>
    <xf numFmtId="0" fontId="8" fillId="0" borderId="0" xfId="0" applyFont="1" applyFill="1" applyBorder="1" applyAlignment="1">
      <alignment horizontal="center" wrapText="1"/>
    </xf>
    <xf numFmtId="164" fontId="7" fillId="0" borderId="1" xfId="0" applyNumberFormat="1" applyFont="1" applyFill="1" applyBorder="1" applyAlignment="1">
      <alignment horizontal="center" wrapText="1"/>
    </xf>
    <xf numFmtId="0" fontId="7" fillId="0" borderId="1" xfId="0" applyFont="1" applyFill="1" applyBorder="1" applyAlignment="1">
      <alignment horizontal="center" wrapText="1"/>
    </xf>
    <xf numFmtId="0" fontId="7" fillId="0" borderId="8" xfId="0" applyFont="1" applyFill="1" applyBorder="1" applyAlignment="1">
      <alignment horizontal="center" wrapText="1"/>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wrapText="1"/>
    </xf>
    <xf numFmtId="0" fontId="7" fillId="0" borderId="4" xfId="0" applyFont="1" applyBorder="1" applyAlignment="1">
      <alignment horizontal="center" wrapText="1"/>
    </xf>
    <xf numFmtId="0" fontId="2" fillId="0" borderId="0" xfId="0" applyFont="1" applyFill="1" applyBorder="1" applyAlignment="1">
      <alignment horizontal="center" wrapText="1"/>
    </xf>
    <xf numFmtId="3" fontId="7" fillId="0" borderId="0" xfId="0" applyNumberFormat="1" applyFont="1" applyBorder="1" applyAlignment="1">
      <alignment horizontal="left" wrapText="1"/>
    </xf>
    <xf numFmtId="0" fontId="25" fillId="0" borderId="0" xfId="0" applyFont="1" applyBorder="1" applyAlignment="1">
      <alignment wrapText="1"/>
    </xf>
    <xf numFmtId="0" fontId="7" fillId="0" borderId="3" xfId="0" applyFont="1" applyBorder="1" applyAlignment="1">
      <alignment horizontal="center" wrapText="1"/>
    </xf>
    <xf numFmtId="0" fontId="7" fillId="0" borderId="1" xfId="0" applyFont="1" applyBorder="1" applyAlignment="1">
      <alignment horizontal="left" vertical="top" wrapText="1"/>
    </xf>
    <xf numFmtId="0" fontId="25" fillId="0" borderId="1" xfId="0" applyFont="1" applyBorder="1" applyAlignment="1">
      <alignment horizontal="left" wrapText="1"/>
    </xf>
    <xf numFmtId="0" fontId="7" fillId="0" borderId="0" xfId="0" applyFont="1" applyAlignment="1">
      <alignment horizontal="center" wrapText="1"/>
    </xf>
    <xf numFmtId="0" fontId="7" fillId="0" borderId="6" xfId="0" applyFont="1" applyBorder="1" applyAlignment="1">
      <alignment horizontal="center" wrapText="1"/>
    </xf>
    <xf numFmtId="0" fontId="7" fillId="0" borderId="1" xfId="0" applyFont="1" applyBorder="1" applyAlignment="1" applyProtection="1">
      <alignment horizontal="left"/>
      <protection locked="0"/>
    </xf>
    <xf numFmtId="0" fontId="7" fillId="0" borderId="8" xfId="0" applyFont="1" applyBorder="1" applyAlignment="1" applyProtection="1">
      <alignment horizontal="left"/>
      <protection locked="0"/>
    </xf>
    <xf numFmtId="164" fontId="7" fillId="0" borderId="1" xfId="1" applyNumberFormat="1" applyFont="1" applyFill="1" applyBorder="1" applyAlignment="1">
      <alignment horizontal="center" wrapText="1"/>
    </xf>
    <xf numFmtId="164" fontId="7" fillId="0" borderId="8" xfId="1" applyNumberFormat="1" applyFont="1" applyFill="1" applyBorder="1" applyAlignment="1">
      <alignment horizontal="center" wrapText="1"/>
    </xf>
    <xf numFmtId="0" fontId="7" fillId="0" borderId="1" xfId="0" applyFont="1" applyBorder="1" applyAlignment="1">
      <alignment horizontal="left" wrapText="1"/>
    </xf>
    <xf numFmtId="0" fontId="7" fillId="0" borderId="8" xfId="0" applyFont="1" applyBorder="1" applyAlignment="1">
      <alignment horizontal="left" wrapText="1"/>
    </xf>
    <xf numFmtId="0" fontId="2" fillId="3" borderId="3" xfId="0" applyFont="1" applyFill="1" applyBorder="1" applyAlignment="1">
      <alignment horizontal="center" wrapText="1"/>
    </xf>
    <xf numFmtId="0" fontId="8" fillId="0" borderId="6" xfId="0" applyFont="1" applyFill="1" applyBorder="1" applyAlignment="1">
      <alignment horizontal="center" wrapText="1"/>
    </xf>
    <xf numFmtId="0" fontId="2" fillId="4" borderId="2" xfId="0" applyFont="1" applyFill="1" applyBorder="1" applyAlignment="1">
      <alignment horizontal="center"/>
    </xf>
    <xf numFmtId="0" fontId="2" fillId="4" borderId="4" xfId="0" applyFont="1" applyFill="1" applyBorder="1" applyAlignment="1">
      <alignment horizontal="center"/>
    </xf>
    <xf numFmtId="0" fontId="2" fillId="4" borderId="3" xfId="0" applyFont="1" applyFill="1" applyBorder="1" applyAlignment="1">
      <alignment horizontal="center"/>
    </xf>
    <xf numFmtId="164" fontId="8" fillId="0" borderId="7" xfId="1" applyNumberFormat="1" applyFont="1" applyFill="1" applyBorder="1" applyAlignment="1">
      <alignment horizontal="center"/>
    </xf>
    <xf numFmtId="164" fontId="7" fillId="0" borderId="1" xfId="1" applyNumberFormat="1" applyFont="1" applyFill="1" applyBorder="1" applyAlignment="1">
      <alignment horizontal="center"/>
    </xf>
    <xf numFmtId="164" fontId="8" fillId="0" borderId="1" xfId="1" applyNumberFormat="1" applyFont="1" applyFill="1" applyBorder="1" applyAlignment="1">
      <alignment horizontal="center"/>
    </xf>
    <xf numFmtId="0" fontId="3" fillId="3" borderId="4" xfId="0" applyFont="1" applyFill="1" applyBorder="1" applyAlignment="1">
      <alignment horizontal="center" wrapText="1"/>
    </xf>
    <xf numFmtId="0" fontId="3" fillId="3" borderId="3" xfId="0" applyFont="1" applyFill="1" applyBorder="1" applyAlignment="1">
      <alignment horizontal="center" wrapText="1"/>
    </xf>
    <xf numFmtId="0" fontId="8" fillId="0" borderId="1" xfId="0" applyFont="1" applyFill="1" applyBorder="1" applyAlignment="1">
      <alignment horizontal="center" wrapText="1"/>
    </xf>
    <xf numFmtId="0" fontId="25" fillId="0" borderId="0" xfId="0" applyFont="1" applyFill="1" applyAlignment="1">
      <alignment horizontal="center" vertical="center" wrapText="1"/>
    </xf>
    <xf numFmtId="0" fontId="25" fillId="0" borderId="6" xfId="0" applyFont="1" applyFill="1" applyBorder="1" applyAlignment="1">
      <alignment horizontal="center" vertical="center" wrapText="1"/>
    </xf>
    <xf numFmtId="0" fontId="7" fillId="0" borderId="0" xfId="31" applyFont="1" applyFill="1" applyAlignment="1">
      <alignment horizontal="left" vertical="top" wrapText="1"/>
    </xf>
    <xf numFmtId="0" fontId="12" fillId="4" borderId="2" xfId="0" applyFont="1" applyFill="1" applyBorder="1" applyAlignment="1">
      <alignment horizontal="left"/>
    </xf>
    <xf numFmtId="0" fontId="12" fillId="4" borderId="4" xfId="0" applyFont="1" applyFill="1" applyBorder="1" applyAlignment="1">
      <alignment horizontal="left"/>
    </xf>
    <xf numFmtId="2" fontId="8" fillId="0" borderId="5" xfId="0" applyNumberFormat="1" applyFont="1" applyFill="1" applyBorder="1" applyAlignment="1">
      <alignment horizontal="center"/>
    </xf>
    <xf numFmtId="2" fontId="7" fillId="0" borderId="0" xfId="0" applyNumberFormat="1" applyFont="1" applyFill="1" applyBorder="1" applyAlignment="1">
      <alignment horizontal="center"/>
    </xf>
    <xf numFmtId="2" fontId="8" fillId="0" borderId="0" xfId="0" applyNumberFormat="1" applyFont="1" applyFill="1" applyBorder="1" applyAlignment="1">
      <alignment horizontal="center"/>
    </xf>
    <xf numFmtId="0" fontId="7" fillId="0" borderId="0" xfId="0" applyFont="1" applyFill="1" applyBorder="1" applyAlignment="1">
      <alignment horizontal="center"/>
    </xf>
    <xf numFmtId="0" fontId="25" fillId="0" borderId="4" xfId="0" applyFont="1" applyBorder="1" applyAlignment="1">
      <alignment wrapText="1"/>
    </xf>
    <xf numFmtId="0" fontId="25" fillId="0" borderId="3" xfId="0" applyFont="1" applyBorder="1" applyAlignment="1">
      <alignment wrapText="1"/>
    </xf>
    <xf numFmtId="0" fontId="7" fillId="0" borderId="0" xfId="0" applyFont="1" applyAlignment="1">
      <alignment wrapText="1"/>
    </xf>
    <xf numFmtId="0" fontId="39" fillId="0" borderId="0" xfId="0" applyFont="1" applyAlignment="1">
      <alignment wrapText="1"/>
    </xf>
    <xf numFmtId="0" fontId="39" fillId="0" borderId="6" xfId="0" applyFont="1" applyBorder="1" applyAlignment="1">
      <alignment wrapText="1"/>
    </xf>
    <xf numFmtId="164" fontId="8" fillId="0" borderId="5" xfId="1" applyNumberFormat="1" applyFont="1" applyFill="1" applyBorder="1" applyAlignment="1">
      <alignment horizontal="center"/>
    </xf>
    <xf numFmtId="164" fontId="7" fillId="0" borderId="0" xfId="1" applyNumberFormat="1" applyFont="1" applyFill="1" applyBorder="1" applyAlignment="1">
      <alignment horizontal="center"/>
    </xf>
    <xf numFmtId="164" fontId="8" fillId="0" borderId="0" xfId="1" applyNumberFormat="1" applyFont="1" applyFill="1" applyBorder="1" applyAlignment="1">
      <alignment horizontal="center"/>
    </xf>
    <xf numFmtId="0" fontId="25" fillId="0" borderId="4" xfId="0" applyFont="1" applyBorder="1" applyAlignment="1">
      <alignment horizontal="center"/>
    </xf>
    <xf numFmtId="0" fontId="82" fillId="0" borderId="0" xfId="0" applyFont="1" applyBorder="1" applyAlignment="1">
      <alignment horizontal="left" wrapText="1"/>
    </xf>
    <xf numFmtId="0" fontId="82" fillId="0" borderId="6" xfId="0" applyFont="1" applyBorder="1" applyAlignment="1">
      <alignment horizontal="left" wrapText="1"/>
    </xf>
    <xf numFmtId="0" fontId="25" fillId="7" borderId="0" xfId="0" applyFont="1" applyFill="1" applyAlignment="1">
      <alignment horizontal="left" vertical="top" wrapText="1"/>
    </xf>
    <xf numFmtId="0" fontId="25" fillId="7" borderId="0" xfId="0" applyFont="1" applyFill="1" applyAlignment="1">
      <alignment horizontal="left" vertical="center" wrapText="1"/>
    </xf>
    <xf numFmtId="0" fontId="7" fillId="7" borderId="0" xfId="0" applyFont="1" applyFill="1" applyAlignment="1">
      <alignment horizontal="left" vertical="top" wrapText="1"/>
    </xf>
    <xf numFmtId="0" fontId="25" fillId="7" borderId="1" xfId="0" applyFont="1" applyFill="1" applyBorder="1" applyAlignment="1">
      <alignment horizontal="left" vertical="center" wrapText="1"/>
    </xf>
    <xf numFmtId="0" fontId="1" fillId="0" borderId="0" xfId="20" applyFont="1" applyAlignment="1">
      <alignment horizontal="center"/>
    </xf>
    <xf numFmtId="0" fontId="32" fillId="0" borderId="0" xfId="20" applyFont="1" applyAlignment="1"/>
    <xf numFmtId="0" fontId="1" fillId="0" borderId="0" xfId="33" applyFont="1" applyAlignment="1">
      <alignment horizontal="center"/>
    </xf>
    <xf numFmtId="0" fontId="32" fillId="0" borderId="0" xfId="33" applyFont="1"/>
    <xf numFmtId="168" fontId="7" fillId="0" borderId="0" xfId="27" applyFont="1" applyFill="1" applyBorder="1" applyAlignment="1">
      <alignment horizontal="left"/>
    </xf>
    <xf numFmtId="168" fontId="7" fillId="0" borderId="0" xfId="35" applyFont="1" applyAlignment="1">
      <alignment horizontal="left" vertical="center" wrapText="1"/>
    </xf>
    <xf numFmtId="168" fontId="7" fillId="0" borderId="0" xfId="27" applyFont="1" applyFill="1" applyBorder="1" applyAlignment="1">
      <alignment horizontal="left" vertical="top" wrapText="1"/>
    </xf>
    <xf numFmtId="168" fontId="7" fillId="0" borderId="0" xfId="27" applyFont="1" applyFill="1" applyBorder="1" applyAlignment="1">
      <alignment horizontal="left" wrapText="1"/>
    </xf>
    <xf numFmtId="168" fontId="7" fillId="0" borderId="0" xfId="27" applyFont="1" applyAlignment="1">
      <alignment horizontal="left" vertical="top" wrapText="1"/>
    </xf>
    <xf numFmtId="168" fontId="7" fillId="0" borderId="28" xfId="35" applyFont="1" applyFill="1" applyBorder="1" applyAlignment="1">
      <alignment horizontal="center"/>
    </xf>
    <xf numFmtId="168" fontId="7" fillId="0" borderId="29" xfId="35" applyFont="1" applyFill="1" applyBorder="1" applyAlignment="1">
      <alignment horizontal="center"/>
    </xf>
    <xf numFmtId="168" fontId="7" fillId="0" borderId="31" xfId="35" applyFont="1" applyFill="1" applyBorder="1" applyAlignment="1">
      <alignment horizontal="center"/>
    </xf>
    <xf numFmtId="168" fontId="7" fillId="0" borderId="25" xfId="35" applyFont="1" applyFill="1" applyBorder="1" applyAlignment="1">
      <alignment horizontal="center"/>
    </xf>
    <xf numFmtId="168" fontId="8" fillId="0" borderId="28" xfId="27" applyFont="1" applyBorder="1" applyAlignment="1">
      <alignment horizontal="center"/>
    </xf>
    <xf numFmtId="168" fontId="8" fillId="0" borderId="31" xfId="27" applyFont="1" applyBorder="1" applyAlignment="1">
      <alignment horizontal="center"/>
    </xf>
    <xf numFmtId="168" fontId="8" fillId="0" borderId="32" xfId="27" applyFont="1" applyBorder="1" applyAlignment="1">
      <alignment horizontal="center" wrapText="1"/>
    </xf>
    <xf numFmtId="168" fontId="8" fillId="0" borderId="24" xfId="27" applyFont="1" applyBorder="1" applyAlignment="1">
      <alignment horizontal="center" wrapText="1"/>
    </xf>
    <xf numFmtId="168" fontId="7" fillId="0" borderId="0" xfId="35" applyFont="1" applyAlignment="1">
      <alignment horizontal="left" vertical="top" wrapText="1"/>
    </xf>
    <xf numFmtId="0" fontId="2" fillId="0" borderId="1" xfId="62" applyFont="1" applyBorder="1" applyAlignment="1">
      <alignment wrapText="1"/>
    </xf>
    <xf numFmtId="0" fontId="7" fillId="0" borderId="1" xfId="62" applyBorder="1" applyAlignment="1">
      <alignment wrapText="1"/>
    </xf>
    <xf numFmtId="0" fontId="84" fillId="0" borderId="2" xfId="62" applyFont="1" applyBorder="1" applyAlignment="1">
      <alignment horizontal="center"/>
    </xf>
    <xf numFmtId="0" fontId="84" fillId="0" borderId="4" xfId="62" applyFont="1" applyBorder="1" applyAlignment="1">
      <alignment horizontal="center"/>
    </xf>
    <xf numFmtId="0" fontId="84" fillId="0" borderId="3" xfId="62" applyFont="1" applyBorder="1" applyAlignment="1">
      <alignment horizontal="center"/>
    </xf>
    <xf numFmtId="0" fontId="86" fillId="0" borderId="5" xfId="5" applyFont="1" applyBorder="1" applyAlignment="1">
      <alignment horizontal="left" wrapText="1"/>
    </xf>
    <xf numFmtId="0" fontId="86" fillId="0" borderId="6" xfId="5" applyFont="1" applyBorder="1" applyAlignment="1">
      <alignment horizontal="left" wrapText="1"/>
    </xf>
    <xf numFmtId="0" fontId="25" fillId="0" borderId="0" xfId="0" applyFont="1" applyAlignment="1">
      <alignment horizontal="center"/>
    </xf>
    <xf numFmtId="0" fontId="46" fillId="0" borderId="0" xfId="0" applyFont="1" applyAlignment="1">
      <alignment horizontal="center"/>
    </xf>
    <xf numFmtId="0" fontId="78" fillId="0" borderId="0" xfId="31" applyNumberFormat="1" applyFont="1" applyFill="1" applyAlignment="1">
      <alignment horizontal="left" vertical="top" wrapText="1"/>
    </xf>
    <xf numFmtId="0" fontId="8" fillId="8" borderId="21" xfId="26" applyFont="1" applyFill="1" applyBorder="1" applyAlignment="1">
      <alignment horizontal="center"/>
    </xf>
    <xf numFmtId="0" fontId="8" fillId="8" borderId="20" xfId="26" applyFont="1" applyFill="1" applyBorder="1" applyAlignment="1">
      <alignment horizontal="center"/>
    </xf>
    <xf numFmtId="0" fontId="8" fillId="8" borderId="23" xfId="26" applyFont="1" applyFill="1" applyBorder="1" applyAlignment="1">
      <alignment horizontal="center"/>
    </xf>
    <xf numFmtId="168" fontId="8" fillId="8" borderId="21" xfId="56" applyFont="1" applyFill="1" applyBorder="1" applyAlignment="1">
      <alignment horizontal="center"/>
    </xf>
    <xf numFmtId="0" fontId="25" fillId="0" borderId="20" xfId="0" applyFont="1" applyBorder="1" applyAlignment="1">
      <alignment horizontal="center"/>
    </xf>
    <xf numFmtId="168" fontId="8" fillId="0" borderId="0" xfId="25" applyFont="1" applyFill="1" applyAlignment="1">
      <alignment horizontal="center"/>
    </xf>
    <xf numFmtId="168" fontId="7" fillId="0" borderId="0" xfId="25" applyFont="1" applyAlignment="1">
      <alignment horizontal="left" vertical="center" wrapText="1"/>
    </xf>
    <xf numFmtId="168" fontId="7" fillId="0" borderId="0" xfId="25" applyFont="1" applyFill="1" applyAlignment="1">
      <alignment horizontal="left" vertical="center" wrapText="1"/>
    </xf>
    <xf numFmtId="0" fontId="25" fillId="0" borderId="23" xfId="0" applyFont="1" applyBorder="1" applyAlignment="1"/>
    <xf numFmtId="0" fontId="25" fillId="0" borderId="23" xfId="0" applyFont="1" applyBorder="1" applyAlignment="1">
      <alignment horizontal="center"/>
    </xf>
    <xf numFmtId="0" fontId="8" fillId="8" borderId="14" xfId="26" applyFont="1" applyFill="1" applyBorder="1" applyAlignment="1">
      <alignment horizontal="center"/>
    </xf>
    <xf numFmtId="0" fontId="39" fillId="0" borderId="15" xfId="0" applyFont="1" applyBorder="1" applyAlignment="1">
      <alignment horizontal="center"/>
    </xf>
    <xf numFmtId="0" fontId="39" fillId="0" borderId="16" xfId="0" applyFont="1" applyBorder="1" applyAlignment="1"/>
    <xf numFmtId="0" fontId="8" fillId="8" borderId="15" xfId="26" applyFont="1" applyFill="1" applyBorder="1" applyAlignment="1">
      <alignment horizontal="center"/>
    </xf>
    <xf numFmtId="0" fontId="8" fillId="8" borderId="16" xfId="26" applyFont="1" applyFill="1" applyBorder="1" applyAlignment="1">
      <alignment horizontal="center"/>
    </xf>
    <xf numFmtId="0" fontId="39" fillId="0" borderId="15" xfId="0" applyFont="1" applyBorder="1" applyAlignment="1"/>
    <xf numFmtId="168" fontId="23" fillId="0" borderId="0" xfId="35" applyFont="1" applyFill="1" applyAlignment="1">
      <alignment horizontal="center"/>
    </xf>
    <xf numFmtId="0" fontId="8" fillId="0" borderId="0" xfId="5" applyFont="1" applyFill="1" applyAlignment="1">
      <alignment horizontal="center"/>
    </xf>
    <xf numFmtId="168" fontId="6" fillId="0" borderId="0" xfId="35" applyFont="1" applyFill="1" applyAlignment="1">
      <alignment horizontal="center"/>
    </xf>
  </cellXfs>
  <cellStyles count="167">
    <cellStyle name="Comma" xfId="48" builtinId="3"/>
    <cellStyle name="Comma [0] 3 2" xfId="40" xr:uid="{EC5EA9AE-B745-47C8-AFE6-56FBEE149A5C}"/>
    <cellStyle name="Comma [0] 3 2 2" xfId="43" xr:uid="{36FED332-A54D-4C01-AB73-D6D936DA350F}"/>
    <cellStyle name="Comma 10 10 2" xfId="164" xr:uid="{45CE10CE-CEBD-4B0E-AE29-0605C9B20A44}"/>
    <cellStyle name="Comma 10 11" xfId="8" xr:uid="{00000000-0005-0000-0000-000000000000}"/>
    <cellStyle name="Comma 11 5" xfId="18" xr:uid="{00000000-0005-0000-0000-000001000000}"/>
    <cellStyle name="Comma 12 3" xfId="37" xr:uid="{793204FC-3948-4602-94EC-98AD7FF36119}"/>
    <cellStyle name="Comma 12 3 3" xfId="45" xr:uid="{08107E8A-72FB-4847-8156-800256E9A81A}"/>
    <cellStyle name="Comma 13" xfId="143" xr:uid="{93391D93-C156-44D1-8940-46A6DABCF3C8}"/>
    <cellStyle name="Comma 13 2" xfId="39" xr:uid="{5CEED328-A282-48CB-8341-E0C6B014E7B0}"/>
    <cellStyle name="Comma 2" xfId="9" xr:uid="{00000000-0005-0000-0000-000002000000}"/>
    <cellStyle name="Comma 2 10" xfId="11" xr:uid="{00000000-0005-0000-0000-000003000000}"/>
    <cellStyle name="Comma 202" xfId="68" xr:uid="{3A4AACEB-BD8C-4DDE-BDDF-B85B03D58B55}"/>
    <cellStyle name="Comma 204 2" xfId="66" xr:uid="{4C192BCA-A7DB-4F43-A404-AE981DDBFC69}"/>
    <cellStyle name="Comma 23" xfId="16" xr:uid="{00000000-0005-0000-0000-000004000000}"/>
    <cellStyle name="Comma 250" xfId="24" xr:uid="{00000000-0005-0000-0000-000005000000}"/>
    <cellStyle name="Comma 3" xfId="151" xr:uid="{90CEACF5-94F4-4ECF-9781-6DF475E855B4}"/>
    <cellStyle name="Comma 3 2 2 2" xfId="158" xr:uid="{EE23BE1E-9729-4E6B-A2AA-2534FE145031}"/>
    <cellStyle name="Comma 4" xfId="1" xr:uid="{00000000-0005-0000-0000-000006000000}"/>
    <cellStyle name="Comma 4 2 2" xfId="4" xr:uid="{00000000-0005-0000-0000-000007000000}"/>
    <cellStyle name="Comma 4 3" xfId="157" xr:uid="{FC5B0B23-5940-4432-A824-189BA1EF5D39}"/>
    <cellStyle name="Comma 5" xfId="163" xr:uid="{0B639AE9-9FDC-40EC-9AD3-A2F49053E4AE}"/>
    <cellStyle name="Comma 94" xfId="91" xr:uid="{31F9AFAC-5C0D-43D5-BA41-0B1249F04827}"/>
    <cellStyle name="Currency" xfId="46" builtinId="4"/>
    <cellStyle name="Currency 102 2" xfId="64" xr:uid="{B2027717-BECC-4B82-B03D-AE282B997F39}"/>
    <cellStyle name="Currency 114" xfId="22" xr:uid="{00000000-0005-0000-0000-000008000000}"/>
    <cellStyle name="Currency 115 2" xfId="59" xr:uid="{248496BE-8401-41B1-97C1-33F262328C1D}"/>
    <cellStyle name="Currency 2" xfId="10" xr:uid="{00000000-0005-0000-0000-000009000000}"/>
    <cellStyle name="Currency 2 10" xfId="60" xr:uid="{B8E7765C-F23D-40BB-AEAE-1418B11CDBC9}"/>
    <cellStyle name="Currency 3" xfId="6" xr:uid="{00000000-0005-0000-0000-00000A000000}"/>
    <cellStyle name="Currency 3 2" xfId="156" xr:uid="{D5AAA10A-972D-442A-83E2-4358336805D5}"/>
    <cellStyle name="Normal" xfId="0" builtinId="0"/>
    <cellStyle name="Normal - Style1 5" xfId="62" xr:uid="{B4A35AC0-40A5-4B53-92FB-8EF9644159A7}"/>
    <cellStyle name="Normal 10" xfId="162" xr:uid="{37167B43-408C-4F66-A733-8AA92A9D554E}"/>
    <cellStyle name="Normal 10 2" xfId="14" xr:uid="{00000000-0005-0000-0000-00000C000000}"/>
    <cellStyle name="Normal 10 2 2" xfId="17" xr:uid="{00000000-0005-0000-0000-00000D000000}"/>
    <cellStyle name="Normal 10 2 2 2 2 2 2" xfId="148" xr:uid="{64FC8B2C-8BA9-4388-94BF-7ED4AB14C17C}"/>
    <cellStyle name="Normal 10 3" xfId="35" xr:uid="{7EE115DD-BC38-4A41-A835-2AD5997A445A}"/>
    <cellStyle name="Normal 10 3 7" xfId="58" xr:uid="{8946D956-3B3F-4C11-AFA5-77B0D2298F3B}"/>
    <cellStyle name="Normal 11" xfId="154" xr:uid="{7BDDC2A8-6AA1-458E-A8E5-41AE8AB44F53}"/>
    <cellStyle name="Normal 12 2" xfId="34" xr:uid="{B1EA86CD-76E8-421C-8A01-BA953F82EBAC}"/>
    <cellStyle name="Normal 12 2 2 2" xfId="44" xr:uid="{A13903E3-6D80-4FD0-AB69-10F6BB18A7DC}"/>
    <cellStyle name="Normal 12 2 3" xfId="42" xr:uid="{3F66D6ED-5287-4072-AC52-B4E08CD80373}"/>
    <cellStyle name="Normal 13 2" xfId="38" xr:uid="{6EBB980F-74AF-4023-9F9F-9BF1F5EC05C9}"/>
    <cellStyle name="Normal 150 2" xfId="63" xr:uid="{A74945D3-B01D-49BA-988C-8485FB78EA18}"/>
    <cellStyle name="Normal 151 2" xfId="61" xr:uid="{9D80449F-4C35-486C-9B2A-35E59CB0C760}"/>
    <cellStyle name="Normal 154" xfId="49" xr:uid="{9B612339-0E2D-4D29-BD23-05CC0422BA07}"/>
    <cellStyle name="Normal 155" xfId="71" xr:uid="{390F1241-90F4-49F6-8F6C-2B6AB0838E2D}"/>
    <cellStyle name="Normal 157" xfId="74" xr:uid="{899FBCA5-625A-4AA8-B731-99115FF5D05D}"/>
    <cellStyle name="Normal 158" xfId="75" xr:uid="{12880B0A-FC40-4F05-9AEB-EFF13EF69132}"/>
    <cellStyle name="Normal 159" xfId="76" xr:uid="{27DD747B-411F-409D-8453-BCE830254AA9}"/>
    <cellStyle name="Normal 16 2" xfId="41" xr:uid="{D920D4DF-0ABE-43AB-9547-A69509A4DC36}"/>
    <cellStyle name="Normal 160" xfId="77" xr:uid="{CAB0A9B9-8108-4517-9F5F-95145B04B534}"/>
    <cellStyle name="Normal 161" xfId="78" xr:uid="{43AFCAFB-50F2-4B68-9B5A-441D2C556792}"/>
    <cellStyle name="Normal 173" xfId="73" xr:uid="{9CC58BCA-FAC5-42CC-8383-F42F76BBDB73}"/>
    <cellStyle name="Normal 2" xfId="5" xr:uid="{00000000-0005-0000-0000-00000E000000}"/>
    <cellStyle name="Normal 2 10" xfId="7" xr:uid="{00000000-0005-0000-0000-00000F000000}"/>
    <cellStyle name="Normal 2 10 2 2 2" xfId="144" xr:uid="{7060F6CD-1E22-4BE3-B8DF-6910592428C0}"/>
    <cellStyle name="Normal 2 2" xfId="55" xr:uid="{B08F26E5-48BE-4E7E-BFEE-6F0CFAFD4D8E}"/>
    <cellStyle name="Normal 2 3" xfId="165" xr:uid="{908803EF-7002-4679-996F-188B00F9C07B}"/>
    <cellStyle name="Normal 216" xfId="92" xr:uid="{9F107082-F9AE-4C0B-8494-B7B880DB02FE}"/>
    <cellStyle name="Normal 218" xfId="67" xr:uid="{6D9A54FF-1202-4662-BBAB-03E0D6D8ADFB}"/>
    <cellStyle name="Normal 227" xfId="146" xr:uid="{8ABAE285-02EE-47D4-85A8-9A5FC4D7C841}"/>
    <cellStyle name="Normal 253" xfId="21" xr:uid="{00000000-0005-0000-0000-000010000000}"/>
    <cellStyle name="Normal 254" xfId="23" xr:uid="{00000000-0005-0000-0000-000011000000}"/>
    <cellStyle name="Normal 255" xfId="70" xr:uid="{14072940-B50F-4616-A634-7D19051FE473}"/>
    <cellStyle name="Normal 258" xfId="79" xr:uid="{3FE87C1C-30E6-4FA8-9CE5-8727E334092E}"/>
    <cellStyle name="Normal 259" xfId="80" xr:uid="{0A373C13-BA6A-4804-A34B-679780A15ED0}"/>
    <cellStyle name="Normal 260" xfId="81" xr:uid="{10F1F00F-3F2D-4AA5-B335-72282A580444}"/>
    <cellStyle name="Normal 261" xfId="82" xr:uid="{A13605FD-045E-4E59-8358-87A66942A29C}"/>
    <cellStyle name="Normal 262" xfId="83" xr:uid="{09C0D646-19AA-4F3F-B7F3-8466443868F6}"/>
    <cellStyle name="Normal 263" xfId="84" xr:uid="{01375633-9C12-4F19-9743-5812728FA639}"/>
    <cellStyle name="Normal 264" xfId="85" xr:uid="{93DFA91D-E425-4EA7-B74F-457387F8F982}"/>
    <cellStyle name="Normal 265" xfId="86" xr:uid="{B418CDD6-1965-48EB-B375-9711027D00A3}"/>
    <cellStyle name="Normal 266" xfId="87" xr:uid="{040EDF12-9CC1-4510-B791-81B31EF72532}"/>
    <cellStyle name="Normal 267" xfId="88" xr:uid="{6229370D-0D3D-4130-AE3C-0FED6DE8D352}"/>
    <cellStyle name="Normal 268" xfId="89" xr:uid="{31EC1CB6-8363-480E-8F47-83B25A2260E6}"/>
    <cellStyle name="Normal 269" xfId="90" xr:uid="{3C1FF2B1-8188-4C21-A3AD-B24667970E98}"/>
    <cellStyle name="Normal 270" xfId="94" xr:uid="{4674BE3A-1929-47D6-8202-444E0B8C4ED8}"/>
    <cellStyle name="Normal 272" xfId="95" xr:uid="{0251185D-FAE1-4BC9-811A-734C0FC51A37}"/>
    <cellStyle name="Normal 273" xfId="72" xr:uid="{9306007C-9FFB-473D-94E7-36F287FACBC0}"/>
    <cellStyle name="Normal 274" xfId="96" xr:uid="{62826214-A792-472C-BDAA-5EE78EA7181A}"/>
    <cellStyle name="Normal 275" xfId="97" xr:uid="{91312869-EC08-4742-8915-40C945846CAA}"/>
    <cellStyle name="Normal 276" xfId="98" xr:uid="{794849A4-40A7-43F3-B1A2-A7AD33E772DA}"/>
    <cellStyle name="Normal 277" xfId="99" xr:uid="{908A0A4D-B974-4D9E-97AB-53CC8095C046}"/>
    <cellStyle name="Normal 278" xfId="100" xr:uid="{FB7DE139-5411-4B7E-9E9D-FD8784E57852}"/>
    <cellStyle name="Normal 279" xfId="101" xr:uid="{236BF631-03D4-4A21-976A-564FC2BD0166}"/>
    <cellStyle name="Normal 280" xfId="102" xr:uid="{229DB3EE-ECDC-4F46-9F57-228341195044}"/>
    <cellStyle name="Normal 281" xfId="103" xr:uid="{F46FAFF1-94C5-4E5D-8AAB-89E389307965}"/>
    <cellStyle name="Normal 282" xfId="104" xr:uid="{57BD1F48-322C-435E-8802-8A02F11C3E79}"/>
    <cellStyle name="Normal 283" xfId="107" xr:uid="{616826B4-0D16-4404-8086-BA3D901B983C}"/>
    <cellStyle name="Normal 284" xfId="105" xr:uid="{216F5F47-276E-420F-B867-9CCE9B13F9D8}"/>
    <cellStyle name="Normal 285" xfId="106" xr:uid="{AFD8D45A-D5C7-4DD1-B879-67C296A9740C}"/>
    <cellStyle name="Normal 286" xfId="108" xr:uid="{04AA2DC1-2032-461B-8FA7-AB535F99E3B3}"/>
    <cellStyle name="Normal 291" xfId="109" xr:uid="{DEEAB593-2D83-4E79-ACF9-264CA16A475C}"/>
    <cellStyle name="Normal 292" xfId="110" xr:uid="{F08DDA87-DCCD-464F-9B50-EB3B2397B385}"/>
    <cellStyle name="Normal 293" xfId="112" xr:uid="{976E8FB2-7632-43EF-BAFD-64F5BD8B3F12}"/>
    <cellStyle name="Normal 294" xfId="113" xr:uid="{DADF31EB-EE3D-482F-B9BA-74CBCCFD6A87}"/>
    <cellStyle name="Normal 295" xfId="114" xr:uid="{95324DB3-E9FB-474A-8848-1AC8D1D34B12}"/>
    <cellStyle name="Normal 296" xfId="115" xr:uid="{729E9B7B-72B3-489F-98C1-20E4D0436547}"/>
    <cellStyle name="Normal 297" xfId="116" xr:uid="{A4D57C30-85F9-48B8-A892-5FCA5B56A17E}"/>
    <cellStyle name="Normal 298" xfId="118" xr:uid="{81E99399-8607-4120-A761-97048B23BAB1}"/>
    <cellStyle name="Normal 3" xfId="20" xr:uid="{00000000-0005-0000-0000-000012000000}"/>
    <cellStyle name="Normal 3 2" xfId="33" xr:uid="{99F8AE8C-05F2-490A-A25C-6008C9A4EA1B}"/>
    <cellStyle name="Normal 3 3" xfId="54" xr:uid="{A9628838-9A52-4CCC-A869-45E6B0DC1BAA}"/>
    <cellStyle name="Normal 3_Attach O, GG, Support -New Method 2-14-11" xfId="31" xr:uid="{A98F5369-1071-44F5-B789-FF6BABDA384D}"/>
    <cellStyle name="Normal 301" xfId="121" xr:uid="{32D8D07B-82DF-4A28-82A6-E58685CD6928}"/>
    <cellStyle name="Normal 302" xfId="117" xr:uid="{8B3DB0C9-5915-401F-92CA-EF94B1B9B584}"/>
    <cellStyle name="Normal 303" xfId="119" xr:uid="{84635B33-FE6C-4A30-9E77-AAC4D635B959}"/>
    <cellStyle name="Normal 304" xfId="120" xr:uid="{9E328DBD-AB3C-41ED-9A43-39D57D8DE382}"/>
    <cellStyle name="Normal 307" xfId="122" xr:uid="{F46299DD-AE97-4091-AC80-13BB3B54002D}"/>
    <cellStyle name="Normal 308" xfId="123" xr:uid="{E9F1F483-0856-4253-B03A-1B982BC4A617}"/>
    <cellStyle name="Normal 310" xfId="124" xr:uid="{080AE531-2674-4F18-9447-9E86FB15F246}"/>
    <cellStyle name="Normal 311" xfId="125" xr:uid="{9B1963BF-C6A9-4A69-BACE-FB358018EC6A}"/>
    <cellStyle name="Normal 312" xfId="126" xr:uid="{E6427BD9-E68D-497C-80B0-734546ED8C01}"/>
    <cellStyle name="Normal 313" xfId="127" xr:uid="{49329C41-069E-42A5-9EA7-0015A56B68C9}"/>
    <cellStyle name="Normal 314" xfId="128" xr:uid="{8B3A6F2C-FF29-4994-998E-54BD6B136B7F}"/>
    <cellStyle name="Normal 315" xfId="129" xr:uid="{EAD5F534-D7F5-4A33-A4CA-E3918BFB3FD1}"/>
    <cellStyle name="Normal 316" xfId="130" xr:uid="{DCB78C98-8D74-49D9-9C82-CBD30620BF98}"/>
    <cellStyle name="Normal 318" xfId="131" xr:uid="{2F283C00-AFCB-4758-867E-3FC125EC31F7}"/>
    <cellStyle name="Normal 319" xfId="132" xr:uid="{608D6B30-CB30-4BDD-BF98-6A4E01C84CE2}"/>
    <cellStyle name="Normal 322" xfId="133" xr:uid="{EBF88B40-87B2-474F-BF40-D948DB72CB3A}"/>
    <cellStyle name="Normal 323" xfId="134" xr:uid="{170BC3FC-342F-40EB-B22E-825049BB6BE4}"/>
    <cellStyle name="Normal 324" xfId="135" xr:uid="{604C0C84-ECE2-4150-80E5-1F286F4A598C}"/>
    <cellStyle name="Normal 325" xfId="136" xr:uid="{8F225383-70F0-428D-BD7D-EF8516E05291}"/>
    <cellStyle name="Normal 326" xfId="137" xr:uid="{4E8E114E-F856-4368-8249-92CF726557B5}"/>
    <cellStyle name="Normal 327" xfId="138" xr:uid="{8F28B5EF-A267-48A6-8FEC-1BEDE9E3E88C}"/>
    <cellStyle name="Normal 328" xfId="139" xr:uid="{009DA125-3F8C-4267-B832-0F2406EDD65A}"/>
    <cellStyle name="Normal 329" xfId="140" xr:uid="{E9B2805A-F3F8-47A5-AB63-210D9137369F}"/>
    <cellStyle name="Normal 330" xfId="141" xr:uid="{FA0BC58C-0DF1-4064-9ECF-4B7AF54B4405}"/>
    <cellStyle name="Normal 332" xfId="111" xr:uid="{19C67990-A026-4BCC-A7FD-FDD2E3EE3AA6}"/>
    <cellStyle name="Normal 4" xfId="25" xr:uid="{B697ADF7-9665-47A6-A433-57C5A4664A4C}"/>
    <cellStyle name="Normal 4 22 2" xfId="56" xr:uid="{F9CE5AA6-8F32-4710-BE7E-7C7AB769A92B}"/>
    <cellStyle name="Normal 5" xfId="30" xr:uid="{ABEF3B4C-7566-4705-A3E6-4EE55CD213A7}"/>
    <cellStyle name="Normal 5 10" xfId="57" xr:uid="{0A548DCF-D9FB-4463-8728-E09F8AEC0420}"/>
    <cellStyle name="Normal 5 60" xfId="152" xr:uid="{B016BD67-61A2-4FBD-9ECB-7C4C20EC1C71}"/>
    <cellStyle name="Normal 6" xfId="142" xr:uid="{D256F818-538F-4052-9CF8-E4428465FBAC}"/>
    <cellStyle name="Normal 6 12" xfId="159" xr:uid="{1EE0B7CF-DE9B-4AEE-84DD-9490C72D8CAB}"/>
    <cellStyle name="Normal 7" xfId="27" xr:uid="{D5B5E0E3-DC2B-44D9-8A11-A6C8C1AD539A}"/>
    <cellStyle name="Normal 8" xfId="147" xr:uid="{56776621-D035-4D92-8F56-61856F74D484}"/>
    <cellStyle name="Normal 8 2" xfId="160" xr:uid="{422D86E0-F105-486B-AB4F-CEED0C6DC207}"/>
    <cellStyle name="Normal 9" xfId="155" xr:uid="{880F2C80-EE04-4EAB-ACEC-B8A30062EA2F}"/>
    <cellStyle name="Normal 9 2" xfId="161" xr:uid="{3096AFC6-0A11-4C93-AE4B-F1F1F0620EFD}"/>
    <cellStyle name="Normal_1995 FCWS" xfId="13" xr:uid="{00000000-0005-0000-0000-000013000000}"/>
    <cellStyle name="Normal_21 Exh B" xfId="29" xr:uid="{E637EC89-4F75-46C0-8A30-734C3B82DD3C}"/>
    <cellStyle name="Normal_A" xfId="149" xr:uid="{8AE7C0E9-7D53-49DE-8C4E-839574C0B585}"/>
    <cellStyle name="Normal_ATC Projected 2008 Monthly Plant Balances for Attachment O 2 (2)" xfId="32" xr:uid="{5128B2CE-F3BA-485E-96A3-83A8E94DF1A1}"/>
    <cellStyle name="Normal_Attachment GG Example 8 26 09" xfId="51" xr:uid="{EEE6A2A1-B928-41C0-96E8-909E360409DE}"/>
    <cellStyle name="Normal_Attachment GG Template ER11-28 11-18-10" xfId="50" xr:uid="{585443FF-1015-471D-BADF-E86BA0A38E8A}"/>
    <cellStyle name="Normal_Attachment O Support - 2004 True-up" xfId="52" xr:uid="{D3CCB4BA-1A55-4757-BBF4-8EA6755AD0EA}"/>
    <cellStyle name="Normal_Attachment Os for 2002 True-up" xfId="28" xr:uid="{59FE44BD-152E-40FC-A9EF-F4260F38E47C}"/>
    <cellStyle name="Normal_FN1 Ratebase Draft SPP template (6-11-04) v2" xfId="19" xr:uid="{00000000-0005-0000-0000-000014000000}"/>
    <cellStyle name="Normal_interest calc Book1" xfId="53" xr:uid="{09A44AD0-5449-4A62-859C-2E66FEB484AA}"/>
    <cellStyle name="Normal_Red Line and Clean Copy 5-5-2010 populated attachment 9 and supplement (2)" xfId="150" xr:uid="{784F00CF-1F83-494E-ABA6-3995AD6C9434}"/>
    <cellStyle name="Normal_Schedule O Info for Mike" xfId="26" xr:uid="{D429D4BE-27AC-4EE5-B08E-4DF2596DF515}"/>
    <cellStyle name="Normal_TrAILCo attach 6 &amp; 7 and Appendix A" xfId="3" xr:uid="{00000000-0005-0000-0000-000015000000}"/>
    <cellStyle name="Percent" xfId="47" builtinId="5"/>
    <cellStyle name="Percent 10" xfId="145" xr:uid="{48A8448C-DDC7-474B-B1EE-49D4EC2AE1E4}"/>
    <cellStyle name="Percent 109" xfId="69" xr:uid="{9B409385-2AB3-4193-80CE-6A71A999EC08}"/>
    <cellStyle name="Percent 110 2" xfId="65" xr:uid="{BBBA8DF2-D622-4B90-AEF1-180A911E59CB}"/>
    <cellStyle name="Percent 2" xfId="12" xr:uid="{00000000-0005-0000-0000-000018000000}"/>
    <cellStyle name="Percent 2 10" xfId="153" xr:uid="{F0088B70-972B-4855-AED6-0FCB95D50778}"/>
    <cellStyle name="Percent 2 2" xfId="166" xr:uid="{295553A1-45C5-4BB2-A404-C580CECD3A50}"/>
    <cellStyle name="Percent 24" xfId="15" xr:uid="{00000000-0005-0000-0000-000019000000}"/>
    <cellStyle name="Percent 3 2" xfId="2" xr:uid="{00000000-0005-0000-0000-00001A000000}"/>
    <cellStyle name="Percent 38" xfId="93" xr:uid="{2E8E0232-E2B5-4A2E-BDF3-C7F154FDB518}"/>
    <cellStyle name="Percent 9 2 2" xfId="36"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63" Type="http://schemas.openxmlformats.org/officeDocument/2006/relationships/externalLink" Target="externalLinks/externalLink38.xml"/><Relationship Id="rId84" Type="http://schemas.openxmlformats.org/officeDocument/2006/relationships/externalLink" Target="externalLinks/externalLink59.xml"/><Relationship Id="rId138" Type="http://schemas.openxmlformats.org/officeDocument/2006/relationships/externalLink" Target="externalLinks/externalLink113.xml"/><Relationship Id="rId159" Type="http://schemas.openxmlformats.org/officeDocument/2006/relationships/externalLink" Target="externalLinks/externalLink134.xml"/><Relationship Id="rId170" Type="http://schemas.openxmlformats.org/officeDocument/2006/relationships/externalLink" Target="externalLinks/externalLink145.xml"/><Relationship Id="rId191" Type="http://schemas.openxmlformats.org/officeDocument/2006/relationships/theme" Target="theme/theme1.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53" Type="http://schemas.openxmlformats.org/officeDocument/2006/relationships/externalLink" Target="externalLinks/externalLink28.xml"/><Relationship Id="rId74" Type="http://schemas.openxmlformats.org/officeDocument/2006/relationships/externalLink" Target="externalLinks/externalLink49.xml"/><Relationship Id="rId128" Type="http://schemas.openxmlformats.org/officeDocument/2006/relationships/externalLink" Target="externalLinks/externalLink103.xml"/><Relationship Id="rId149" Type="http://schemas.openxmlformats.org/officeDocument/2006/relationships/externalLink" Target="externalLinks/externalLink124.xml"/><Relationship Id="rId5" Type="http://schemas.openxmlformats.org/officeDocument/2006/relationships/worksheet" Target="worksheets/sheet5.xml"/><Relationship Id="rId95" Type="http://schemas.openxmlformats.org/officeDocument/2006/relationships/externalLink" Target="externalLinks/externalLink70.xml"/><Relationship Id="rId160" Type="http://schemas.openxmlformats.org/officeDocument/2006/relationships/externalLink" Target="externalLinks/externalLink135.xml"/><Relationship Id="rId181" Type="http://schemas.openxmlformats.org/officeDocument/2006/relationships/externalLink" Target="externalLinks/externalLink156.xml"/><Relationship Id="rId22" Type="http://schemas.openxmlformats.org/officeDocument/2006/relationships/worksheet" Target="worksheets/sheet22.xml"/><Relationship Id="rId43" Type="http://schemas.openxmlformats.org/officeDocument/2006/relationships/externalLink" Target="externalLinks/externalLink18.xml"/><Relationship Id="rId64" Type="http://schemas.openxmlformats.org/officeDocument/2006/relationships/externalLink" Target="externalLinks/externalLink39.xml"/><Relationship Id="rId118" Type="http://schemas.openxmlformats.org/officeDocument/2006/relationships/externalLink" Target="externalLinks/externalLink93.xml"/><Relationship Id="rId139" Type="http://schemas.openxmlformats.org/officeDocument/2006/relationships/externalLink" Target="externalLinks/externalLink114.xml"/><Relationship Id="rId85" Type="http://schemas.openxmlformats.org/officeDocument/2006/relationships/externalLink" Target="externalLinks/externalLink60.xml"/><Relationship Id="rId150" Type="http://schemas.openxmlformats.org/officeDocument/2006/relationships/externalLink" Target="externalLinks/externalLink125.xml"/><Relationship Id="rId171" Type="http://schemas.openxmlformats.org/officeDocument/2006/relationships/externalLink" Target="externalLinks/externalLink146.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externalLink" Target="externalLinks/externalLink8.xml"/><Relationship Id="rId108" Type="http://schemas.openxmlformats.org/officeDocument/2006/relationships/externalLink" Target="externalLinks/externalLink83.xml"/><Relationship Id="rId129" Type="http://schemas.openxmlformats.org/officeDocument/2006/relationships/externalLink" Target="externalLinks/externalLink104.xml"/><Relationship Id="rId54" Type="http://schemas.openxmlformats.org/officeDocument/2006/relationships/externalLink" Target="externalLinks/externalLink29.xml"/><Relationship Id="rId75" Type="http://schemas.openxmlformats.org/officeDocument/2006/relationships/externalLink" Target="externalLinks/externalLink50.xml"/><Relationship Id="rId96" Type="http://schemas.openxmlformats.org/officeDocument/2006/relationships/externalLink" Target="externalLinks/externalLink71.xml"/><Relationship Id="rId140" Type="http://schemas.openxmlformats.org/officeDocument/2006/relationships/externalLink" Target="externalLinks/externalLink115.xml"/><Relationship Id="rId161" Type="http://schemas.openxmlformats.org/officeDocument/2006/relationships/externalLink" Target="externalLinks/externalLink136.xml"/><Relationship Id="rId182" Type="http://schemas.openxmlformats.org/officeDocument/2006/relationships/externalLink" Target="externalLinks/externalLink15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5" Type="http://schemas.openxmlformats.org/officeDocument/2006/relationships/externalLink" Target="externalLinks/externalLink40.xml"/><Relationship Id="rId86" Type="http://schemas.openxmlformats.org/officeDocument/2006/relationships/externalLink" Target="externalLinks/externalLink61.xml"/><Relationship Id="rId130" Type="http://schemas.openxmlformats.org/officeDocument/2006/relationships/externalLink" Target="externalLinks/externalLink105.xml"/><Relationship Id="rId151" Type="http://schemas.openxmlformats.org/officeDocument/2006/relationships/externalLink" Target="externalLinks/externalLink126.xml"/><Relationship Id="rId172" Type="http://schemas.openxmlformats.org/officeDocument/2006/relationships/externalLink" Target="externalLinks/externalLink147.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externalLink" Target="externalLinks/externalLink100.xml"/><Relationship Id="rId141" Type="http://schemas.openxmlformats.org/officeDocument/2006/relationships/externalLink" Target="externalLinks/externalLink116.xml"/><Relationship Id="rId146" Type="http://schemas.openxmlformats.org/officeDocument/2006/relationships/externalLink" Target="externalLinks/externalLink121.xml"/><Relationship Id="rId167" Type="http://schemas.openxmlformats.org/officeDocument/2006/relationships/externalLink" Target="externalLinks/externalLink142.xml"/><Relationship Id="rId188" Type="http://schemas.openxmlformats.org/officeDocument/2006/relationships/externalLink" Target="externalLinks/externalLink163.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162" Type="http://schemas.openxmlformats.org/officeDocument/2006/relationships/externalLink" Target="externalLinks/externalLink137.xml"/><Relationship Id="rId183" Type="http://schemas.openxmlformats.org/officeDocument/2006/relationships/externalLink" Target="externalLinks/externalLink158.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131" Type="http://schemas.openxmlformats.org/officeDocument/2006/relationships/externalLink" Target="externalLinks/externalLink106.xml"/><Relationship Id="rId136" Type="http://schemas.openxmlformats.org/officeDocument/2006/relationships/externalLink" Target="externalLinks/externalLink111.xml"/><Relationship Id="rId157" Type="http://schemas.openxmlformats.org/officeDocument/2006/relationships/externalLink" Target="externalLinks/externalLink132.xml"/><Relationship Id="rId178" Type="http://schemas.openxmlformats.org/officeDocument/2006/relationships/externalLink" Target="externalLinks/externalLink153.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52" Type="http://schemas.openxmlformats.org/officeDocument/2006/relationships/externalLink" Target="externalLinks/externalLink127.xml"/><Relationship Id="rId173" Type="http://schemas.openxmlformats.org/officeDocument/2006/relationships/externalLink" Target="externalLinks/externalLink148.xml"/><Relationship Id="rId194"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externalLink" Target="externalLinks/externalLink101.xml"/><Relationship Id="rId147" Type="http://schemas.openxmlformats.org/officeDocument/2006/relationships/externalLink" Target="externalLinks/externalLink122.xml"/><Relationship Id="rId168" Type="http://schemas.openxmlformats.org/officeDocument/2006/relationships/externalLink" Target="externalLinks/externalLink143.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142" Type="http://schemas.openxmlformats.org/officeDocument/2006/relationships/externalLink" Target="externalLinks/externalLink117.xml"/><Relationship Id="rId163" Type="http://schemas.openxmlformats.org/officeDocument/2006/relationships/externalLink" Target="externalLinks/externalLink138.xml"/><Relationship Id="rId184" Type="http://schemas.openxmlformats.org/officeDocument/2006/relationships/externalLink" Target="externalLinks/externalLink159.xml"/><Relationship Id="rId189" Type="http://schemas.openxmlformats.org/officeDocument/2006/relationships/externalLink" Target="externalLinks/externalLink16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137" Type="http://schemas.openxmlformats.org/officeDocument/2006/relationships/externalLink" Target="externalLinks/externalLink112.xml"/><Relationship Id="rId158" Type="http://schemas.openxmlformats.org/officeDocument/2006/relationships/externalLink" Target="externalLinks/externalLink133.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32" Type="http://schemas.openxmlformats.org/officeDocument/2006/relationships/externalLink" Target="externalLinks/externalLink107.xml"/><Relationship Id="rId153" Type="http://schemas.openxmlformats.org/officeDocument/2006/relationships/externalLink" Target="externalLinks/externalLink128.xml"/><Relationship Id="rId174" Type="http://schemas.openxmlformats.org/officeDocument/2006/relationships/externalLink" Target="externalLinks/externalLink149.xml"/><Relationship Id="rId179" Type="http://schemas.openxmlformats.org/officeDocument/2006/relationships/externalLink" Target="externalLinks/externalLink154.xml"/><Relationship Id="rId195" Type="http://schemas.openxmlformats.org/officeDocument/2006/relationships/calcChain" Target="calcChain.xml"/><Relationship Id="rId190" Type="http://schemas.openxmlformats.org/officeDocument/2006/relationships/externalLink" Target="externalLinks/externalLink165.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externalLink" Target="externalLinks/externalLink10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143" Type="http://schemas.openxmlformats.org/officeDocument/2006/relationships/externalLink" Target="externalLinks/externalLink118.xml"/><Relationship Id="rId148" Type="http://schemas.openxmlformats.org/officeDocument/2006/relationships/externalLink" Target="externalLinks/externalLink123.xml"/><Relationship Id="rId164" Type="http://schemas.openxmlformats.org/officeDocument/2006/relationships/externalLink" Target="externalLinks/externalLink139.xml"/><Relationship Id="rId169" Type="http://schemas.openxmlformats.org/officeDocument/2006/relationships/externalLink" Target="externalLinks/externalLink144.xml"/><Relationship Id="rId185"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5.xml"/><Relationship Id="rId26" Type="http://schemas.openxmlformats.org/officeDocument/2006/relationships/externalLink" Target="externalLinks/externalLink1.xml"/><Relationship Id="rId47" Type="http://schemas.openxmlformats.org/officeDocument/2006/relationships/externalLink" Target="externalLinks/externalLink22.xml"/><Relationship Id="rId68" Type="http://schemas.openxmlformats.org/officeDocument/2006/relationships/externalLink" Target="externalLinks/externalLink43.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33" Type="http://schemas.openxmlformats.org/officeDocument/2006/relationships/externalLink" Target="externalLinks/externalLink108.xml"/><Relationship Id="rId154" Type="http://schemas.openxmlformats.org/officeDocument/2006/relationships/externalLink" Target="externalLinks/externalLink129.xml"/><Relationship Id="rId175" Type="http://schemas.openxmlformats.org/officeDocument/2006/relationships/externalLink" Target="externalLinks/externalLink150.xml"/><Relationship Id="rId16" Type="http://schemas.openxmlformats.org/officeDocument/2006/relationships/worksheet" Target="worksheets/sheet16.xml"/><Relationship Id="rId37" Type="http://schemas.openxmlformats.org/officeDocument/2006/relationships/externalLink" Target="externalLinks/externalLink12.xml"/><Relationship Id="rId58" Type="http://schemas.openxmlformats.org/officeDocument/2006/relationships/externalLink" Target="externalLinks/externalLink33.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44" Type="http://schemas.openxmlformats.org/officeDocument/2006/relationships/externalLink" Target="externalLinks/externalLink119.xml"/><Relationship Id="rId90" Type="http://schemas.openxmlformats.org/officeDocument/2006/relationships/externalLink" Target="externalLinks/externalLink65.xml"/><Relationship Id="rId165" Type="http://schemas.openxmlformats.org/officeDocument/2006/relationships/externalLink" Target="externalLinks/externalLink140.xml"/><Relationship Id="rId186" Type="http://schemas.openxmlformats.org/officeDocument/2006/relationships/externalLink" Target="externalLinks/externalLink161.xml"/><Relationship Id="rId27" Type="http://schemas.openxmlformats.org/officeDocument/2006/relationships/externalLink" Target="externalLinks/externalLink2.xml"/><Relationship Id="rId48" Type="http://schemas.openxmlformats.org/officeDocument/2006/relationships/externalLink" Target="externalLinks/externalLink23.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34" Type="http://schemas.openxmlformats.org/officeDocument/2006/relationships/externalLink" Target="externalLinks/externalLink109.xml"/><Relationship Id="rId80" Type="http://schemas.openxmlformats.org/officeDocument/2006/relationships/externalLink" Target="externalLinks/externalLink55.xml"/><Relationship Id="rId155" Type="http://schemas.openxmlformats.org/officeDocument/2006/relationships/externalLink" Target="externalLinks/externalLink130.xml"/><Relationship Id="rId176" Type="http://schemas.openxmlformats.org/officeDocument/2006/relationships/externalLink" Target="externalLinks/externalLink151.xml"/><Relationship Id="rId17" Type="http://schemas.openxmlformats.org/officeDocument/2006/relationships/worksheet" Target="worksheets/sheet17.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24" Type="http://schemas.openxmlformats.org/officeDocument/2006/relationships/externalLink" Target="externalLinks/externalLink99.xml"/><Relationship Id="rId70" Type="http://schemas.openxmlformats.org/officeDocument/2006/relationships/externalLink" Target="externalLinks/externalLink45.xml"/><Relationship Id="rId91" Type="http://schemas.openxmlformats.org/officeDocument/2006/relationships/externalLink" Target="externalLinks/externalLink66.xml"/><Relationship Id="rId145" Type="http://schemas.openxmlformats.org/officeDocument/2006/relationships/externalLink" Target="externalLinks/externalLink120.xml"/><Relationship Id="rId166" Type="http://schemas.openxmlformats.org/officeDocument/2006/relationships/externalLink" Target="externalLinks/externalLink141.xml"/><Relationship Id="rId187" Type="http://schemas.openxmlformats.org/officeDocument/2006/relationships/externalLink" Target="externalLinks/externalLink162.xml"/><Relationship Id="rId1" Type="http://schemas.openxmlformats.org/officeDocument/2006/relationships/worksheet" Target="worksheets/sheet1.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60" Type="http://schemas.openxmlformats.org/officeDocument/2006/relationships/externalLink" Target="externalLinks/externalLink35.xml"/><Relationship Id="rId81" Type="http://schemas.openxmlformats.org/officeDocument/2006/relationships/externalLink" Target="externalLinks/externalLink56.xml"/><Relationship Id="rId135" Type="http://schemas.openxmlformats.org/officeDocument/2006/relationships/externalLink" Target="externalLinks/externalLink110.xml"/><Relationship Id="rId156" Type="http://schemas.openxmlformats.org/officeDocument/2006/relationships/externalLink" Target="externalLinks/externalLink131.xml"/><Relationship Id="rId177" Type="http://schemas.openxmlformats.org/officeDocument/2006/relationships/externalLink" Target="externalLinks/externalLink152.xml"/><Relationship Id="rId18" Type="http://schemas.openxmlformats.org/officeDocument/2006/relationships/worksheet" Target="worksheets/sheet18.xml"/><Relationship Id="rId39" Type="http://schemas.openxmlformats.org/officeDocument/2006/relationships/externalLink" Target="externalLinks/externalLink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268145</xdr:colOff>
      <xdr:row>36</xdr:row>
      <xdr:rowOff>160881</xdr:rowOff>
    </xdr:from>
    <xdr:to>
      <xdr:col>15</xdr:col>
      <xdr:colOff>952502</xdr:colOff>
      <xdr:row>71</xdr:row>
      <xdr:rowOff>142281</xdr:rowOff>
    </xdr:to>
    <xdr:pic>
      <xdr:nvPicPr>
        <xdr:cNvPr id="2" name="Picture 1">
          <a:extLst>
            <a:ext uri="{FF2B5EF4-FFF2-40B4-BE49-F238E27FC236}">
              <a16:creationId xmlns:a16="http://schemas.microsoft.com/office/drawing/2014/main" id="{689A93FC-3E61-4330-8A10-6B15D2102682}"/>
            </a:ext>
          </a:extLst>
        </xdr:cNvPr>
        <xdr:cNvPicPr>
          <a:picLocks noChangeAspect="1"/>
        </xdr:cNvPicPr>
      </xdr:nvPicPr>
      <xdr:blipFill>
        <a:blip xmlns:r="http://schemas.openxmlformats.org/officeDocument/2006/relationships" r:embed="rId1"/>
        <a:stretch>
          <a:fillRect/>
        </a:stretch>
      </xdr:blipFill>
      <xdr:spPr>
        <a:xfrm>
          <a:off x="268145" y="6578229"/>
          <a:ext cx="12200948" cy="5706022"/>
        </a:xfrm>
        <a:prstGeom prst="rect">
          <a:avLst/>
        </a:prstGeom>
      </xdr:spPr>
    </xdr:pic>
    <xdr:clientData/>
  </xdr:twoCellAnchor>
  <xdr:twoCellAnchor editAs="oneCell">
    <xdr:from>
      <xdr:col>0</xdr:col>
      <xdr:colOff>255058</xdr:colOff>
      <xdr:row>74</xdr:row>
      <xdr:rowOff>28863</xdr:rowOff>
    </xdr:from>
    <xdr:to>
      <xdr:col>15</xdr:col>
      <xdr:colOff>742701</xdr:colOff>
      <xdr:row>113</xdr:row>
      <xdr:rowOff>162197</xdr:rowOff>
    </xdr:to>
    <xdr:pic>
      <xdr:nvPicPr>
        <xdr:cNvPr id="3" name="Picture 2">
          <a:extLst>
            <a:ext uri="{FF2B5EF4-FFF2-40B4-BE49-F238E27FC236}">
              <a16:creationId xmlns:a16="http://schemas.microsoft.com/office/drawing/2014/main" id="{D85902DC-AECE-427C-A817-75FE7CABDAA6}"/>
            </a:ext>
          </a:extLst>
        </xdr:cNvPr>
        <xdr:cNvPicPr>
          <a:picLocks noChangeAspect="1"/>
        </xdr:cNvPicPr>
      </xdr:nvPicPr>
      <xdr:blipFill>
        <a:blip xmlns:r="http://schemas.openxmlformats.org/officeDocument/2006/relationships" r:embed="rId2"/>
        <a:stretch>
          <a:fillRect/>
        </a:stretch>
      </xdr:blipFill>
      <xdr:spPr>
        <a:xfrm>
          <a:off x="255058" y="12661515"/>
          <a:ext cx="12004234" cy="6512197"/>
        </a:xfrm>
        <a:prstGeom prst="rect">
          <a:avLst/>
        </a:prstGeom>
      </xdr:spPr>
    </xdr:pic>
    <xdr:clientData/>
  </xdr:twoCellAnchor>
  <xdr:twoCellAnchor editAs="oneCell">
    <xdr:from>
      <xdr:col>0</xdr:col>
      <xdr:colOff>1063915</xdr:colOff>
      <xdr:row>113</xdr:row>
      <xdr:rowOff>153940</xdr:rowOff>
    </xdr:from>
    <xdr:to>
      <xdr:col>15</xdr:col>
      <xdr:colOff>779810</xdr:colOff>
      <xdr:row>141</xdr:row>
      <xdr:rowOff>95214</xdr:rowOff>
    </xdr:to>
    <xdr:pic>
      <xdr:nvPicPr>
        <xdr:cNvPr id="7" name="Picture 6">
          <a:extLst>
            <a:ext uri="{FF2B5EF4-FFF2-40B4-BE49-F238E27FC236}">
              <a16:creationId xmlns:a16="http://schemas.microsoft.com/office/drawing/2014/main" id="{BA3235CF-1A06-49D6-8218-F71770A50621}"/>
            </a:ext>
          </a:extLst>
        </xdr:cNvPr>
        <xdr:cNvPicPr>
          <a:picLocks noChangeAspect="1"/>
        </xdr:cNvPicPr>
      </xdr:nvPicPr>
      <xdr:blipFill>
        <a:blip xmlns:r="http://schemas.openxmlformats.org/officeDocument/2006/relationships" r:embed="rId3"/>
        <a:stretch>
          <a:fillRect/>
        </a:stretch>
      </xdr:blipFill>
      <xdr:spPr>
        <a:xfrm>
          <a:off x="1063915" y="19165455"/>
          <a:ext cx="11232486" cy="45209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10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smallk/LOCALS~1/Temp/notesA188F6/DOCUME~1/x0560fs/LOCALS~1/Temp/notes61BBD3/Pepco%2012-31-07%20TBBS%20adjust%20for%20MD%20rate%20change%20updated%20KRS.xls?9BF7F6CA" TargetMode="External"/><Relationship Id="rId1" Type="http://schemas.openxmlformats.org/officeDocument/2006/relationships/externalLinkPath" Target="file:///\\9BF7F6CA\Pepco%2012-31-07%20TBBS%20adjust%20for%20MD%20rate%20change%20updated%20KR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10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e50781/LOCALS~1/Temp/Domino%20Web%20Access/3-12-07%20KCK%20-%20For%20Next%20Rate%20Case.xls?1B239EF4" TargetMode="External"/><Relationship Id="rId1" Type="http://schemas.openxmlformats.org/officeDocument/2006/relationships/externalLinkPath" Target="file:///\\1B239EF4\3-12-07%20KCK%20-%20For%20Next%20Rate%20Cas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JJanocha/JJanocha/NJ%20Restructuring/2000%20Rates/Rate%20Design/2000%20Rat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G304/CorpModel/Download/eda_cwip.xls" TargetMode="External"/></Relationships>
</file>

<file path=xl/externalLinks/_rels/externalLink11.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corptaxnorth/tax/accrual/2006/ACE/December/Worksheet%20in%20Basis%20(1).xls?B25CD5F0" TargetMode="External"/><Relationship Id="rId1" Type="http://schemas.openxmlformats.org/officeDocument/2006/relationships/externalLinkPath" Target="file:///\\B25CD5F0\Worksheet%20in%20Basis%2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Interest%20Computatio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7/Accounting/March%20Q1/DTE%20YTD%20MARCH%202007%20FIT%20ANALYSI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11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0/PHI%20Consolidated/Q3/PHI%20Consol%20Current-Defd%20Exp%202010-09%20-%20Working%20Copy.xls?53E56A85" TargetMode="External"/><Relationship Id="rId1" Type="http://schemas.openxmlformats.org/officeDocument/2006/relationships/externalLinkPath" Target="file:///\\53E56A85\PHI%20Consol%20Current-Defd%20Exp%202010-09%20-%20Working%20Copy.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0/PHI%20Consolidated/Q3/PHI%20Consol%20Current-Defd%20Exp%202010-09%20-%20Working%20Copy.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0\PHI%20Consolidated\Q3\PHI%20Consol%20Current-Defd%20Exp%202010-09%20-%20Working%20Copy.xls" TargetMode="External"/></Relationships>
</file>

<file path=xl/externalLinks/_rels/externalLink11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2004/Companies/Detroit%20Edison/Forecast/Nuclear%20Fuel/Fuel%20Depr%20without%20bonus.xls?48F92CE1" TargetMode="External"/><Relationship Id="rId1" Type="http://schemas.openxmlformats.org/officeDocument/2006/relationships/externalLinkPath" Target="file:///\\48F92CE1\Fuel%20Depr%20without%20bonu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12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Income%20Tax%20Compliance/Tax%20Year%202009/Federal/Tax%20Return%20(and%20Workpapers)/Power%20Delivery/Pepco/2009%20Depreciation/CPI/CPI%20Rates%202009.XLS?6369E26E" TargetMode="External"/><Relationship Id="rId1" Type="http://schemas.openxmlformats.org/officeDocument/2006/relationships/externalLinkPath" Target="file:///\\6369E26E\CPI%20Rates%2020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ervices/Finance/0848_tax_dept/Income%20Tax%20Compliance/Tax%20Year%202009/Federal/Tax%20Return%20(and%20Workpapers)/Power%20Delivery/Pepco/2009%20Depreciation/CPI/CPI%20Rates%2020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Z:\Services\Finance\0848_tax_dept\Income%20Tax%20Compliance\Tax%20Year%202009\Federal\Tax%20Return%20(and%20Workpapers)\Power%20Delivery\Pepco\2009%20Depreciation\CPI\CPI%20Rates%202009.XLS" TargetMode="External"/></Relationships>
</file>

<file path=xl/externalLinks/_rels/externalLink12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8/Power%20Delivery/PEPCO/Q3/Uploads,%20Journal%20Entries/July%20Close/July%202008%20Provision.xls?BC826F12" TargetMode="External"/><Relationship Id="rId1" Type="http://schemas.openxmlformats.org/officeDocument/2006/relationships/externalLinkPath" Target="file:///\\BC826F12\July%202008%20Provision.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12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12/Power%20Delivery/Pepco/Q3/September/Pepco%202012%20September%20Close%202.xlsx?BBC108DE" TargetMode="External"/><Relationship Id="rId1" Type="http://schemas.openxmlformats.org/officeDocument/2006/relationships/externalLinkPath" Target="file:///\\BBC108DE\Pepco%202012%20September%20Close%20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ervices/Finance/0848_tax_dept/Tax%20Accounting,%20Provisions,%20and%20Reserves/Provisions/2012/Power%20Delivery/Pepco/Q3/September/Pepco%202012%20September%20Close%20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Z:\Services\Finance\0848_tax_dept\Tax%20Accounting,%20Provisions,%20and%20Reserves\Provisions\2012\Power%20Delivery\Pepco\Q3\September\Pepco%202012%20September%20Close%20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12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Local%20Settings/Temp/wz5907/Expense%20by%20Cost%20Center%20Group%20Reg%20Ind%205-9%202008%20with%20Group%20TDBU%20PC's.xls?4EFF3E33" TargetMode="External"/><Relationship Id="rId1" Type="http://schemas.openxmlformats.org/officeDocument/2006/relationships/externalLinkPath" Target="file:///\\4EFF3E33\Expense%20by%20Cost%20Center%20Group%20Reg%20Ind%205-9%202008%20with%20Group%20TDBU%20PC's.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Regulatory/Pepco/Operating%20&amp;%20Nonoperating%20Reclass%20Entries/RPT50MON%2008%20Qrtly%20FERC%20Budget.xls?A518C0B0" TargetMode="External"/><Relationship Id="rId1" Type="http://schemas.openxmlformats.org/officeDocument/2006/relationships/externalLinkPath" Target="file:///\\A518C0B0\RPT50MON%2008%20Qrtly%20FERC%20Budget.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Financial%20Reports/Rpts2000/1200/UNSEC/DECO10QB.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tax%20returns/2004%20Tax%20Returns/Federal/NVP/NVP%20standalone%2004.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NN05/FRED/PLTST99/FINAL/PLTSTDEC.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13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Accounting%20Operations/Asset%20Management/AM%20Group%20Documents/TKrysinski/DECo%20Balancing/AQA%20Uploads/2006/Sep06/NN05/FRED/PLTST99/FINAL/PLTSTDEC.XLS?B61EEDFB" TargetMode="External"/><Relationship Id="rId1" Type="http://schemas.openxmlformats.org/officeDocument/2006/relationships/externalLinkPath" Target="file:///\\B61EEDFB\PLTST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14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Nstar/Pools/Summary%20Query%20other%20cos%20-%20full%20lists.xls?C611666F" TargetMode="External"/><Relationship Id="rId1" Type="http://schemas.openxmlformats.org/officeDocument/2006/relationships/externalLinkPath" Target="file:///\\C611666F\Summary%20Query%20other%20cos%20-%20full%20list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14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MARS001/LOCALS~1/Temp/notes335BF6/MEC%20EMPLOYEE%20HEADCOUNT%202006-2009%20updated.xls?9E87FC48" TargetMode="External"/><Relationship Id="rId1" Type="http://schemas.openxmlformats.org/officeDocument/2006/relationships/externalLinkPath" Target="file:///\\9E87FC48\MEC%20EMPLOYEE%20HEADCOUNT%202006-2009%20update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09/Nov%2023609.xls?FB608249" TargetMode="External"/><Relationship Id="rId1" Type="http://schemas.openxmlformats.org/officeDocument/2006/relationships/externalLinkPath" Target="file:///\\FB608249\Nov%2023609.xls" TargetMode="External"/></Relationships>
</file>

<file path=xl/externalLinks/_rels/externalLink150.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mangai/Local%20Settings/Temporary%20Internet%20Files/OLK184/Appleton%20Papers%202000-2001_Additional%201040%20exclusions.xls?B0309344" TargetMode="External"/><Relationship Id="rId1" Type="http://schemas.openxmlformats.org/officeDocument/2006/relationships/externalLinkPath" Target="file:///\\B0309344\Appleton%20Papers%202000-2001_Additional%201040%20exclusion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15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OCUME~1/WHOHOL~1/LOCALS~1/Temp/notes3C72B0/2006%20Plant%20Statement.XLS?A0AE31EE" TargetMode="External"/><Relationship Id="rId1" Type="http://schemas.openxmlformats.org/officeDocument/2006/relationships/externalLinkPath" Target="file:///\\A0AE31EE\2006%20Plant%20Statement.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15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udrey.cobb/AppData/Local/Microsoft/Windows/INetCache/Content.Outlook/04H3ZT9M/A6849424.XLSX?98CBAAB7" TargetMode="External"/><Relationship Id="rId1" Type="http://schemas.openxmlformats.org/officeDocument/2006/relationships/externalLinkPath" Target="file:///\\98CBAAB7\A6849424.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DIR/Desktop/Synforms_4.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rogram%20Files/Exchange/MP%20Adds%202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es/Finance/LMK%20Files%202-25-05/2005%20Budget/2005%20PES%20Budget%201-01-05%20FINAL%2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PHI_Shared_Services/G038/MDDETAIL/PROPTAX.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yeh001/My%20Documents/Agouron/Ready%20for%20Review/Executive%20Summary/california%20Agouron%20Supermodel@10%25.xls?8A131E94" TargetMode="External"/><Relationship Id="rId1" Type="http://schemas.openxmlformats.org/officeDocument/2006/relationships/externalLinkPath" Target="file:///\\8A131E94\california%20Agouron%20Supermodel@10%2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CLIENTS/Clients/STR/Indirect%20Cost/Conectiv/Contractors/2000%20Orders%20with%20vendor.xls?4547D181" TargetMode="External"/><Relationship Id="rId1" Type="http://schemas.openxmlformats.org/officeDocument/2006/relationships/externalLinkPath" Target="file:///\\4547D181\2000%20Orders%20with%20vend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depraccrDec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D4/Services/Finance/0848_tax_dept/TOTIT/Close/Entity%20Sub-Group/PEPCO/Monthly%20Recon/2009/Nov%2023609.xls?A467B9B2" TargetMode="External"/><Relationship Id="rId1" Type="http://schemas.openxmlformats.org/officeDocument/2006/relationships/externalLinkPath" Target="file:///\\A467B9B2\Nov%20236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2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ang.Li/Local%20Settings/Temporary%20Internet%20Files/OLK35/NQ04_M04.xls?71576FF5" TargetMode="External"/><Relationship Id="rId1" Type="http://schemas.openxmlformats.org/officeDocument/2006/relationships/externalLinkPath" Target="file:///\\71576FF5\NQ04_M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3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OTIT/Close/Entity%20Sub-Group/PEPCO/Monthly%20Recon/2010/Sept%2023610.xls?8B24E830" TargetMode="External"/><Relationship Id="rId1" Type="http://schemas.openxmlformats.org/officeDocument/2006/relationships/externalLinkPath" Target="file:///\\8B24E830\Sept%20236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FERC%20Workpapers/Fas109%203rd%20Qtr08.xls?55871008" TargetMode="External"/><Relationship Id="rId1" Type="http://schemas.openxmlformats.org/officeDocument/2006/relationships/externalLinkPath" Target="file:///\\55871008\Fas109%203rd%20Qtr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hang/LOCALS~1/Temp/notesC66157/2011%20Q4%20SAP%20Cash%20Payment%20Dat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NJ%20Restructuring/2002%20Budget%20and%20Rates/2002%20High%20Level%20Budget/2002-2006%20TUB%20Forecast%20.xls?DE536C80" TargetMode="External"/><Relationship Id="rId1" Type="http://schemas.openxmlformats.org/officeDocument/2006/relationships/externalLinkPath" Target="file:///\\DE536C80\2002-2006%20TUB%20Forecast%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ACC/TAXCOMM/Corptax/2004/04%20April/APR04%20SPP%20accrual%20&amp;%20regulatory%20workpaper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20SPPC%202001%20Remove%20Capital%20Direct%20Costs.xls?F3A05B3B" TargetMode="External"/><Relationship Id="rId1" Type="http://schemas.openxmlformats.org/officeDocument/2006/relationships/externalLinkPath" Target="file:///\\F3A05B3B\3)%20SPPC%202001%20Remove%20Capital%20Direct%20Cost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youlee/Local%20Settings/Temp/3)NPC%20%20Adjustment%20%202001%20Direct%20Capital%20Costs%20Removed%20.xls?F3A05B3B" TargetMode="External"/><Relationship Id="rId1" Type="http://schemas.openxmlformats.org/officeDocument/2006/relationships/externalLinkPath" Target="file:///\\F3A05B3B\3)NPC%20%20Adjustment%20%202001%20Direct%20Capital%20Costs%20Removed%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smallk/LOCALS~1/Temp/notesA188F6/2002True-up%20for%20Sep15th-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IDD%20#5 - Alliant - IPL_7.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ocumentum\Viewed\IDD%20#5 - Alliant - IPL_7.xlsx" TargetMode="External"/></Relationships>
</file>

<file path=xl/externalLinks/_rels/externalLink5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irectoryStructure/Activities/Accounting/Fuel/Fuel_NUCLEAR/2002/1202/nuclear_journal_December.xls?16DDDA2C" TargetMode="External"/><Relationship Id="rId1" Type="http://schemas.openxmlformats.org/officeDocument/2006/relationships/externalLinkPath" Target="file:///\\16DDDA2C\nuclear_journal_Decembe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4tr/Monthly%20Balances%20for%20Cap%20Int%20excluded%20routine%20job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MARS001/My%20Documents/Clients/Accounting%20Method/AES/2002%20Indirect%20Cost%20Study%20-%20Calculation.xls?3753F029" TargetMode="External"/><Relationship Id="rId1" Type="http://schemas.openxmlformats.org/officeDocument/2006/relationships/externalLinkPath" Target="file:///\\3753F029\2002%20Indirect%20Cost%20Study%20-%20Calculatio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ntum/Viewed/2008%20New%20Method%20263A%20Calculatio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MARS001/LOCALS~1/Temp/notes335BF6/WBS%20by%20Profit%20Center%20CE%20Summary.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DOCUME~1/kfjeldal/LOCALS~1/Temp/notes8160F2/2002-2006%20TUB%20Forecast%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6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1/kfjeldal/LOCALS~1/Temp/notes8160F2/2003-2007%20TUB%20Forecast%20Deferral%20Case%20v080102.xls?52E8FADC" TargetMode="External"/><Relationship Id="rId1" Type="http://schemas.openxmlformats.org/officeDocument/2006/relationships/externalLinkPath" Target="file:///\\52E8FADC\2003-2007%20TUB%20Forecast%20Deferral%20Case%20v0801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6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s%20and%20Settings/kellevans/My%20Documents/Clients/STR/Indirect%20Cost/Alliant%20Energy/Dept%20Analysis/AandGAnalysis%201999.xls?ABBA7E23" TargetMode="External"/><Relationship Id="rId1" Type="http://schemas.openxmlformats.org/officeDocument/2006/relationships/externalLinkPath" Target="file:///\\ABBA7E23\AandGAnalysis%201999.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992_g038/DC%20DETAIL%202006/Annual%20Ratios%20for%20Rev%20Req/2006%20Rent%20Revenue/Rent%20Revenue%20Analysis%202006.xls?1CB1F367" TargetMode="External"/><Relationship Id="rId1" Type="http://schemas.openxmlformats.org/officeDocument/2006/relationships/externalLinkPath" Target="file:///\\1CB1F367\Rent%20Revenue%20Analysis%2020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hared/NewJerseyDeferrals/1999%20Deferrals/oct99/OctoberTariff(Ol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TEMP/Res_Alloc_MBS_Replacement_Projec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Services/Finance/0865/06tr/cap%20int%202006/Cut-In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TBBS\10K%20Footnote%20Support\2009\10K%20Support%20GL%20Lookup%20-%20Updated%20with%202009%20Acct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82.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Users/antgallo/AppData/Local/Temp/wz13d3/2008%20Casualty%20Calc%20and%20memos/ACE%202008%20Summary.xls?2ECB9176" TargetMode="External"/><Relationship Id="rId1" Type="http://schemas.openxmlformats.org/officeDocument/2006/relationships/externalLinkPath" Target="file:///\\2ECB9176\ACE%202008%20Summar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FERC%20Deferred%20Rollforward/Q2%202009%20Deferred%20Rollforwar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86.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Documentum/Viewed/DTE%202%20Go%20Live/2007/March%202007/March%20FIT%20R3%20expense%20validation%20-%20%20by%20transaction%20type.xls?573D08F3" TargetMode="External"/><Relationship Id="rId1" Type="http://schemas.openxmlformats.org/officeDocument/2006/relationships/externalLinkPath" Target="file:///\\573D08F3\March%20FIT%20R3%20expense%20validation%20-%20%20by%20transaction%20typ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39005/003/Templates%20to%20Compare/Formula%20December%202017%20True-up%20with%20Interes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Regulatory/Pepco/Operating%20&amp;%20Nonoperating%20Reclass%20Entries/RPT50MON%2008%20Qrtly%20FERC%20Budget.xls?8A099B0B" TargetMode="External"/><Relationship Id="rId1" Type="http://schemas.openxmlformats.org/officeDocument/2006/relationships/externalLinkPath" Target="file:///\\8A099B0B\RPT50MON%2008%20Qrtly%20FERC%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WINDOWS/TEMP/Unit%20Data%20Upload/Templates/Hyp.%20Retrieve%20v3.5%20%20-%20May%20%20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My%20Documents/SANALYT/CONS_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ervices/Finance/0991/205%20Filing%20Regulatory%20Lag/ACE%20and%20DPL/Settlement/JI%20Settlement%20Offer%2004302021/nvision/NPC/NVPWR_BALANCE_SHEET_(2001-12-3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98.xml.rels><?xml version="1.0" encoding="UTF-8" standalone="yes"?>
<Relationships xmlns="http://schemas.openxmlformats.org/package/2006/relationships"><Relationship Id="rId2" Type="http://schemas.microsoft.com/office/2019/04/relationships/externalLinkLongPath" Target="/Services/Finance/0991/205%20Filing%20Regulatory%20Lag/ACE%20and%20DPL/Settlement/JI%20Settlement%20Offer%2004302021/Services/Finance/0848_tax_dept/Tax%20Accounting,%20Provisions,%20and%20Reserves/Provisions/2009/PHI%20Consolidated/Q1/Rollforwards,%20Acct%20Recs,%20ETR/PHI%20Consol%20Current-Def'd%20Exp%202009-03%20-%20WORKING.xls?6B33C6D5" TargetMode="External"/><Relationship Id="rId1" Type="http://schemas.openxmlformats.org/officeDocument/2006/relationships/externalLinkPath" Target="file:///\\6B33C6D5\PHI%20Consol%20Current-Def'd%20Exp%202009-03%20-%20WORKING.xls" TargetMode="External"/></Relationships>
</file>

<file path=xl/externalLinks/_rels/externalLink99.xml.rels><?xml version="1.0" encoding="UTF-8" standalone="yes"?>
<Relationships xmlns="http://schemas.openxmlformats.org/package/2006/relationships"><Relationship Id="rId2" Type="http://schemas.microsoft.com/office/2019/04/relationships/externalLinkLongPath" Target="/Services/Finance/0848_tax_dept/Tax%20Accounting,%20Provisions,%20and%20Reserves/Provisions/2009/PHI%20Consolidated/Q1/Rollforwards,%20Acct%20Recs,%20ETR/PHI%20Consol%20Current-Def'd%20Exp%202009-03%20-%20WORKING.xls?26A26807" TargetMode="External"/><Relationship Id="rId1" Type="http://schemas.openxmlformats.org/officeDocument/2006/relationships/externalLinkPath" Target="file:///\\26A26807\PHI%20Consol%20Current-Def'd%20Exp%202009-03%20-%20WORK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 val="Gross_Rec:QRE's"/>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v>0</v>
          </cell>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v>0</v>
          </cell>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I104" t="str">
            <v xml:space="preserve"> </v>
          </cell>
          <cell r="J104" t="str">
            <v xml:space="preserve"> </v>
          </cell>
          <cell r="K104" t="str">
            <v xml:space="preserve"> </v>
          </cell>
          <cell r="L104" t="str">
            <v xml:space="preserve"> </v>
          </cell>
          <cell r="M104" t="str">
            <v xml:space="preserve"> </v>
          </cell>
          <cell r="N104" t="str">
            <v xml:space="preserve"> </v>
          </cell>
        </row>
        <row r="108">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sheetData sheetId="9"/>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row>
        <row r="252">
          <cell r="C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row>
        <row r="253">
          <cell r="C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row>
        <row r="254">
          <cell r="C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row>
        <row r="278">
          <cell r="C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row>
        <row r="279">
          <cell r="C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row>
        <row r="280">
          <cell r="C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V416"/>
  <sheetViews>
    <sheetView tabSelected="1" view="pageBreakPreview" zoomScale="80" zoomScaleNormal="70" zoomScaleSheetLayoutView="80" workbookViewId="0"/>
  </sheetViews>
  <sheetFormatPr defaultColWidth="9.1796875" defaultRowHeight="15.5"/>
  <cols>
    <col min="1" max="1" width="7.453125" style="21" customWidth="1"/>
    <col min="2" max="2" width="5.7265625" style="26" customWidth="1"/>
    <col min="3" max="3" width="64" style="26" customWidth="1"/>
    <col min="4" max="4" width="35.81640625" style="26" customWidth="1"/>
    <col min="5" max="5" width="25.7265625" style="15" customWidth="1"/>
    <col min="6" max="6" width="65.7265625" style="11" customWidth="1"/>
    <col min="7" max="7" width="2.7265625" style="11" customWidth="1"/>
    <col min="8" max="8" width="26.7265625" style="11" customWidth="1"/>
    <col min="9" max="9" width="3.26953125" style="16" customWidth="1"/>
    <col min="10" max="10" width="11.453125" style="11" bestFit="1" customWidth="1"/>
    <col min="11" max="11" width="12" style="11" bestFit="1" customWidth="1"/>
    <col min="12" max="12" width="15" style="11" bestFit="1" customWidth="1"/>
    <col min="13" max="16384" width="9.1796875" style="11"/>
  </cols>
  <sheetData>
    <row r="1" spans="1:12" ht="30">
      <c r="A1" s="1" t="s">
        <v>83</v>
      </c>
      <c r="C1" s="26" t="s">
        <v>83</v>
      </c>
      <c r="F1" s="268"/>
      <c r="H1" s="1652"/>
      <c r="I1" s="53"/>
    </row>
    <row r="2" spans="1:12" ht="28">
      <c r="A2" s="1"/>
      <c r="D2" s="112" t="s">
        <v>1385</v>
      </c>
      <c r="F2" s="113"/>
      <c r="H2" s="1647"/>
      <c r="I2" s="269"/>
    </row>
    <row r="3" spans="1:12" s="117" customFormat="1" ht="25.5" customHeight="1" thickBot="1">
      <c r="A3" s="114"/>
      <c r="B3" s="115"/>
      <c r="C3" s="115"/>
      <c r="D3" s="115"/>
      <c r="E3" s="116"/>
    </row>
    <row r="4" spans="1:12" ht="27.75" customHeight="1" thickBot="1">
      <c r="A4" s="118" t="s">
        <v>1383</v>
      </c>
      <c r="B4" s="119"/>
      <c r="C4" s="119"/>
      <c r="D4" s="119"/>
      <c r="E4" s="120"/>
      <c r="F4" s="121"/>
      <c r="H4" s="142"/>
      <c r="I4" s="116"/>
    </row>
    <row r="5" spans="1:12" s="82" customFormat="1" ht="42" customHeight="1" thickBot="1">
      <c r="A5" s="122" t="s">
        <v>254</v>
      </c>
      <c r="B5" s="123"/>
      <c r="C5" s="124"/>
      <c r="D5" s="124"/>
      <c r="E5" s="125" t="s">
        <v>255</v>
      </c>
      <c r="F5" s="126" t="s">
        <v>256</v>
      </c>
      <c r="G5" s="127"/>
      <c r="H5" s="128" t="s">
        <v>1971</v>
      </c>
      <c r="I5" s="277"/>
    </row>
    <row r="6" spans="1:12" s="135" customFormat="1" ht="23.25" customHeight="1">
      <c r="A6" s="129" t="s">
        <v>257</v>
      </c>
      <c r="B6" s="130"/>
      <c r="C6" s="131"/>
      <c r="D6" s="131"/>
      <c r="E6" s="132"/>
      <c r="F6" s="133"/>
      <c r="G6" s="134"/>
      <c r="H6" s="133"/>
      <c r="I6" s="133"/>
    </row>
    <row r="7" spans="1:12" s="305" customFormat="1">
      <c r="A7" s="136" t="s">
        <v>258</v>
      </c>
      <c r="B7" s="137"/>
      <c r="C7" s="138"/>
      <c r="D7" s="138"/>
      <c r="E7" s="699"/>
      <c r="F7" s="139"/>
      <c r="G7" s="139"/>
      <c r="H7" s="68"/>
      <c r="I7" s="140"/>
    </row>
    <row r="8" spans="1:12" s="305" customFormat="1">
      <c r="A8" s="38"/>
      <c r="B8" s="332"/>
      <c r="C8" s="332"/>
      <c r="D8" s="332"/>
      <c r="E8" s="700"/>
      <c r="F8" s="310"/>
      <c r="G8" s="310"/>
      <c r="H8" s="140"/>
      <c r="I8" s="140"/>
    </row>
    <row r="9" spans="1:12" s="698" customFormat="1" ht="18" customHeight="1">
      <c r="A9" s="22"/>
      <c r="B9" s="698" t="s">
        <v>259</v>
      </c>
      <c r="D9" s="323"/>
      <c r="E9" s="70"/>
      <c r="F9" s="306"/>
      <c r="G9" s="306"/>
      <c r="H9" s="306"/>
      <c r="I9" s="31"/>
    </row>
    <row r="10" spans="1:12" s="698" customFormat="1">
      <c r="A10" s="1651">
        <v>1</v>
      </c>
      <c r="B10" s="1651"/>
      <c r="C10" s="698" t="s">
        <v>1955</v>
      </c>
      <c r="D10" s="141"/>
      <c r="E10" s="693"/>
      <c r="F10" s="335" t="s">
        <v>260</v>
      </c>
      <c r="G10" s="323"/>
      <c r="H10" s="143">
        <v>4243271</v>
      </c>
      <c r="I10" s="278"/>
      <c r="K10" s="1659"/>
    </row>
    <row r="11" spans="1:12" s="698" customFormat="1">
      <c r="A11" s="1651" t="s">
        <v>1965</v>
      </c>
      <c r="B11" s="1651"/>
      <c r="C11" s="698" t="s">
        <v>1956</v>
      </c>
      <c r="D11" s="323"/>
      <c r="E11" s="693"/>
      <c r="F11" s="335" t="s">
        <v>1951</v>
      </c>
      <c r="H11" s="730">
        <v>3398138</v>
      </c>
      <c r="I11" s="305"/>
      <c r="K11" s="1715"/>
    </row>
    <row r="12" spans="1:12" s="698" customFormat="1">
      <c r="A12" s="1651" t="s">
        <v>1966</v>
      </c>
      <c r="B12" s="1651"/>
      <c r="C12" s="698" t="s">
        <v>1957</v>
      </c>
      <c r="D12" s="310"/>
      <c r="E12" s="693"/>
      <c r="F12" s="335" t="s">
        <v>1951</v>
      </c>
      <c r="G12" s="323"/>
      <c r="H12" s="730">
        <v>994119</v>
      </c>
      <c r="I12" s="278"/>
      <c r="K12" s="1715"/>
    </row>
    <row r="13" spans="1:12" s="314" customFormat="1">
      <c r="A13" s="1651" t="s">
        <v>1967</v>
      </c>
      <c r="B13" s="1651"/>
      <c r="C13" s="698" t="s">
        <v>1958</v>
      </c>
      <c r="D13" s="310"/>
      <c r="E13" s="1655"/>
      <c r="F13" s="1654" t="s">
        <v>1952</v>
      </c>
      <c r="G13" s="25"/>
      <c r="H13" s="1658">
        <f>SUM(H10:H12)</f>
        <v>8635528</v>
      </c>
      <c r="I13" s="1657"/>
      <c r="K13" s="1715"/>
      <c r="L13" s="698"/>
    </row>
    <row r="14" spans="1:12" s="698" customFormat="1">
      <c r="A14" s="1651">
        <v>2</v>
      </c>
      <c r="B14" s="1651"/>
      <c r="C14" s="698" t="s">
        <v>1959</v>
      </c>
      <c r="D14" s="324"/>
      <c r="E14" s="1653"/>
      <c r="F14" s="335" t="s">
        <v>262</v>
      </c>
      <c r="G14" s="25"/>
      <c r="H14" s="143">
        <v>39233449</v>
      </c>
      <c r="I14" s="322"/>
      <c r="K14" s="1715"/>
    </row>
    <row r="15" spans="1:12" s="698" customFormat="1">
      <c r="A15" s="1651" t="s">
        <v>1968</v>
      </c>
      <c r="B15" s="1651"/>
      <c r="C15" s="698" t="s">
        <v>1960</v>
      </c>
      <c r="D15" s="323"/>
      <c r="E15" s="70"/>
      <c r="F15" s="335" t="s">
        <v>1951</v>
      </c>
      <c r="G15" s="323"/>
      <c r="H15" s="731">
        <v>11899303</v>
      </c>
      <c r="I15" s="31"/>
      <c r="K15" s="1715"/>
    </row>
    <row r="16" spans="1:12" s="698" customFormat="1">
      <c r="A16" s="1651" t="s">
        <v>1969</v>
      </c>
      <c r="C16" s="698" t="s">
        <v>1961</v>
      </c>
      <c r="D16" s="323"/>
      <c r="E16" s="70"/>
      <c r="F16" s="335" t="s">
        <v>1951</v>
      </c>
      <c r="G16" s="323"/>
      <c r="H16" s="731">
        <v>28335109</v>
      </c>
      <c r="I16" s="31"/>
      <c r="K16" s="1715"/>
    </row>
    <row r="17" spans="1:11" s="698" customFormat="1">
      <c r="A17" s="1651" t="s">
        <v>1970</v>
      </c>
      <c r="B17" s="1651"/>
      <c r="C17" s="698" t="s">
        <v>261</v>
      </c>
      <c r="D17" s="323"/>
      <c r="E17" s="70"/>
      <c r="F17" s="698" t="s">
        <v>1953</v>
      </c>
      <c r="G17" s="323"/>
      <c r="H17" s="1658">
        <f>SUM(H14:H16)</f>
        <v>79467861</v>
      </c>
      <c r="I17" s="31"/>
      <c r="K17" s="1715"/>
    </row>
    <row r="18" spans="1:11" s="698" customFormat="1">
      <c r="A18" s="1651">
        <v>3</v>
      </c>
      <c r="B18" s="1651"/>
      <c r="C18" s="698" t="s">
        <v>1962</v>
      </c>
      <c r="D18" s="323"/>
      <c r="E18" s="70"/>
      <c r="F18" s="698" t="s">
        <v>263</v>
      </c>
      <c r="G18" s="323"/>
      <c r="H18" s="1656">
        <v>2802680</v>
      </c>
      <c r="I18" s="31"/>
      <c r="K18" s="1715"/>
    </row>
    <row r="19" spans="1:11" s="698" customFormat="1">
      <c r="A19" s="1651" t="s">
        <v>670</v>
      </c>
      <c r="B19" s="1651"/>
      <c r="C19" s="698" t="s">
        <v>1963</v>
      </c>
      <c r="D19" s="323"/>
      <c r="E19" s="70"/>
      <c r="F19" s="335" t="s">
        <v>1951</v>
      </c>
      <c r="G19" s="323"/>
      <c r="H19" s="730">
        <v>6809238</v>
      </c>
      <c r="I19" s="31"/>
      <c r="K19" s="1715"/>
    </row>
    <row r="20" spans="1:11" s="698" customFormat="1">
      <c r="A20" s="1651" t="s">
        <v>671</v>
      </c>
      <c r="B20" s="1651"/>
      <c r="C20" s="698" t="s">
        <v>1964</v>
      </c>
      <c r="D20" s="323"/>
      <c r="E20" s="70"/>
      <c r="F20" s="335" t="s">
        <v>1951</v>
      </c>
      <c r="G20" s="323"/>
      <c r="H20" s="730">
        <v>10811631</v>
      </c>
      <c r="I20" s="31"/>
      <c r="K20" s="1715"/>
    </row>
    <row r="21" spans="1:11" s="698" customFormat="1">
      <c r="A21" s="325"/>
      <c r="B21" s="325"/>
      <c r="C21" s="34"/>
      <c r="D21" s="323"/>
      <c r="E21" s="70"/>
      <c r="F21" s="335"/>
      <c r="G21" s="323"/>
      <c r="H21" s="306"/>
      <c r="I21" s="31"/>
      <c r="K21" s="1659"/>
    </row>
    <row r="22" spans="1:11" s="698" customFormat="1">
      <c r="A22" s="1651">
        <v>4</v>
      </c>
      <c r="B22" s="1651"/>
      <c r="C22" s="151" t="s">
        <v>42</v>
      </c>
      <c r="D22" s="1648"/>
      <c r="E22" s="145"/>
      <c r="F22" s="1648" t="s">
        <v>1954</v>
      </c>
      <c r="G22" s="151"/>
      <c r="H22" s="1648">
        <f>H17-H18-H19-H20</f>
        <v>59044312</v>
      </c>
      <c r="I22" s="335"/>
      <c r="K22" s="1715"/>
    </row>
    <row r="23" spans="1:11" s="698" customFormat="1">
      <c r="A23" s="325"/>
      <c r="B23" s="325"/>
      <c r="C23" s="34"/>
      <c r="D23" s="323"/>
      <c r="E23" s="70"/>
      <c r="F23" s="323"/>
      <c r="G23" s="323"/>
      <c r="H23" s="306"/>
      <c r="I23" s="31"/>
      <c r="K23" s="1659"/>
    </row>
    <row r="24" spans="1:11" s="698" customFormat="1" ht="16" thickBot="1">
      <c r="A24" s="325">
        <v>5</v>
      </c>
      <c r="B24" s="146" t="s">
        <v>244</v>
      </c>
      <c r="C24" s="146"/>
      <c r="D24" s="147"/>
      <c r="E24" s="177"/>
      <c r="F24" s="148" t="s">
        <v>776</v>
      </c>
      <c r="G24" s="149"/>
      <c r="H24" s="1724">
        <f>+H13/H22</f>
        <v>0.14625503638690887</v>
      </c>
      <c r="I24" s="275"/>
      <c r="K24" s="1715"/>
    </row>
    <row r="25" spans="1:11" s="698" customFormat="1" ht="16" thickTop="1">
      <c r="A25" s="325"/>
      <c r="B25" s="325"/>
      <c r="C25" s="321"/>
      <c r="D25" s="308"/>
      <c r="E25" s="70"/>
      <c r="F25" s="323"/>
      <c r="G25" s="323"/>
      <c r="H25" s="150"/>
      <c r="I25" s="280"/>
    </row>
    <row r="26" spans="1:11" s="698" customFormat="1">
      <c r="A26" s="693"/>
      <c r="B26" s="321" t="s">
        <v>52</v>
      </c>
      <c r="C26" s="323"/>
      <c r="E26" s="693"/>
      <c r="I26" s="305"/>
    </row>
    <row r="27" spans="1:11" s="698" customFormat="1">
      <c r="A27" s="22">
        <v>6</v>
      </c>
      <c r="C27" s="310" t="s">
        <v>142</v>
      </c>
      <c r="D27" s="323"/>
      <c r="E27" s="187" t="str">
        <f>"(Note "&amp;B$342&amp;")"</f>
        <v>(Note B)</v>
      </c>
      <c r="F27" s="310" t="s">
        <v>752</v>
      </c>
      <c r="H27" s="278">
        <f>'9A - Gross Plant &amp; ARO'!K24</f>
        <v>5023684058.0884619</v>
      </c>
      <c r="I27" s="278"/>
      <c r="K27" s="1670"/>
    </row>
    <row r="28" spans="1:11" s="698" customFormat="1">
      <c r="A28" s="22" t="s">
        <v>774</v>
      </c>
      <c r="B28" s="22"/>
      <c r="C28" s="321" t="s">
        <v>728</v>
      </c>
      <c r="D28" s="308"/>
      <c r="E28" s="693"/>
      <c r="F28" s="31" t="s">
        <v>775</v>
      </c>
      <c r="H28" s="749">
        <f>+'10 - Merger Costs'!C103</f>
        <v>0</v>
      </c>
      <c r="I28" s="278"/>
      <c r="K28" s="1670"/>
    </row>
    <row r="29" spans="1:11" s="698" customFormat="1">
      <c r="A29" s="22">
        <v>7</v>
      </c>
      <c r="C29" s="310" t="s">
        <v>264</v>
      </c>
      <c r="D29" s="323"/>
      <c r="E29" s="187"/>
      <c r="F29" s="328" t="str">
        <f>"(Line "&amp;A$62&amp;" - "&amp;A$63&amp;")"</f>
        <v>(Line 24 - 24a)</v>
      </c>
      <c r="H29" s="31">
        <f>H62-H63</f>
        <v>167509566.28972787</v>
      </c>
      <c r="I29" s="31"/>
      <c r="K29" s="1670"/>
    </row>
    <row r="30" spans="1:11" s="698" customFormat="1">
      <c r="A30" s="22">
        <v>8</v>
      </c>
      <c r="C30" s="311" t="s">
        <v>265</v>
      </c>
      <c r="D30" s="44"/>
      <c r="E30" s="152"/>
      <c r="F30" s="47" t="str">
        <f>"(Line "&amp;A27&amp;" - "&amp;A28&amp;" +"&amp;A29&amp;")"</f>
        <v>(Line 6 - 6a +7)</v>
      </c>
      <c r="G30" s="151"/>
      <c r="H30" s="43">
        <f>+H27-H28+H29</f>
        <v>5191193624.37819</v>
      </c>
      <c r="I30" s="322"/>
      <c r="K30" s="1670"/>
    </row>
    <row r="31" spans="1:11" s="698" customFormat="1">
      <c r="A31" s="142"/>
      <c r="C31" s="310"/>
      <c r="D31" s="323"/>
      <c r="E31" s="693"/>
      <c r="F31" s="310"/>
      <c r="H31" s="31"/>
      <c r="I31" s="31"/>
    </row>
    <row r="32" spans="1:11" s="698" customFormat="1">
      <c r="A32" s="22">
        <f>+A30+1</f>
        <v>9</v>
      </c>
      <c r="C32" s="310" t="s">
        <v>143</v>
      </c>
      <c r="D32" s="323"/>
      <c r="E32" s="693"/>
      <c r="F32" s="310" t="s">
        <v>821</v>
      </c>
      <c r="H32" s="278">
        <f>+'9A - Gross Plant &amp; ARO'!C64</f>
        <v>1284593561.3638868</v>
      </c>
      <c r="I32" s="278"/>
      <c r="K32" s="1670"/>
    </row>
    <row r="33" spans="1:11" s="698" customFormat="1">
      <c r="A33" s="22" t="s">
        <v>816</v>
      </c>
      <c r="B33" s="305"/>
      <c r="C33" s="321" t="s">
        <v>728</v>
      </c>
      <c r="D33" s="308"/>
      <c r="E33" s="693"/>
      <c r="F33" s="31" t="s">
        <v>819</v>
      </c>
      <c r="H33" s="749">
        <f>+'10 - Merger Costs'!C51</f>
        <v>0</v>
      </c>
      <c r="I33" s="278"/>
      <c r="K33" s="1670"/>
    </row>
    <row r="34" spans="1:11" s="698" customFormat="1">
      <c r="A34" s="22">
        <f>+A32+1</f>
        <v>10</v>
      </c>
      <c r="C34" s="310" t="s">
        <v>144</v>
      </c>
      <c r="D34" s="323"/>
      <c r="E34" s="187" t="str">
        <f>"(Note "&amp;B$341&amp;")"</f>
        <v>(Note A)</v>
      </c>
      <c r="F34" s="31" t="s">
        <v>822</v>
      </c>
      <c r="H34" s="749">
        <f>+'9 - Rate Base'!I24</f>
        <v>23578052.430403925</v>
      </c>
      <c r="I34" s="278"/>
      <c r="K34" s="1670"/>
    </row>
    <row r="35" spans="1:11" s="698" customFormat="1">
      <c r="A35" s="22" t="s">
        <v>817</v>
      </c>
      <c r="B35" s="305"/>
      <c r="C35" s="321" t="s">
        <v>728</v>
      </c>
      <c r="D35" s="308"/>
      <c r="E35" s="693"/>
      <c r="F35" s="31" t="s">
        <v>846</v>
      </c>
      <c r="H35" s="749">
        <f>+'9 - Rate Base'!I25</f>
        <v>0</v>
      </c>
      <c r="I35" s="278"/>
      <c r="K35" s="1670"/>
    </row>
    <row r="36" spans="1:11" s="698" customFormat="1">
      <c r="A36" s="22">
        <f>+A34+1</f>
        <v>11</v>
      </c>
      <c r="C36" s="310" t="s">
        <v>266</v>
      </c>
      <c r="D36" s="323"/>
      <c r="E36" s="187" t="str">
        <f>"(Note "&amp;B$341&amp;")"</f>
        <v>(Note A)</v>
      </c>
      <c r="F36" s="31" t="s">
        <v>823</v>
      </c>
      <c r="H36" s="736">
        <f>+'9 - Rate Base'!J24</f>
        <v>25707039.580407921</v>
      </c>
      <c r="I36" s="31"/>
      <c r="K36" s="1670"/>
    </row>
    <row r="37" spans="1:11" s="698" customFormat="1">
      <c r="A37" s="22" t="s">
        <v>826</v>
      </c>
      <c r="B37" s="305"/>
      <c r="C37" s="321" t="s">
        <v>728</v>
      </c>
      <c r="D37" s="308"/>
      <c r="E37" s="693"/>
      <c r="F37" s="31" t="s">
        <v>824</v>
      </c>
      <c r="H37" s="736">
        <f>+'9 - Rate Base'!J25</f>
        <v>0</v>
      </c>
      <c r="I37" s="31"/>
      <c r="K37" s="1670"/>
    </row>
    <row r="38" spans="1:11" s="698" customFormat="1">
      <c r="A38" s="22">
        <f>+A36+1</f>
        <v>12</v>
      </c>
      <c r="B38" s="323"/>
      <c r="C38" s="332" t="s">
        <v>268</v>
      </c>
      <c r="D38" s="323"/>
      <c r="E38" s="187" t="str">
        <f>"(Note "&amp;B$341&amp;")"</f>
        <v>(Note A)</v>
      </c>
      <c r="F38" s="31" t="s">
        <v>825</v>
      </c>
      <c r="H38" s="736">
        <f>+'9 - Rate Base'!H24</f>
        <v>64747447.615049765</v>
      </c>
      <c r="I38" s="31"/>
      <c r="K38" s="1670"/>
    </row>
    <row r="39" spans="1:11" s="698" customFormat="1">
      <c r="A39" s="22" t="s">
        <v>827</v>
      </c>
      <c r="B39" s="305"/>
      <c r="C39" s="321" t="s">
        <v>728</v>
      </c>
      <c r="D39" s="308"/>
      <c r="E39" s="693"/>
      <c r="F39" s="31" t="s">
        <v>845</v>
      </c>
      <c r="H39" s="736">
        <f>+'9 - Rate Base'!H25</f>
        <v>0</v>
      </c>
      <c r="I39" s="31"/>
      <c r="K39" s="1670"/>
    </row>
    <row r="40" spans="1:11" s="698" customFormat="1">
      <c r="A40" s="22">
        <v>13</v>
      </c>
      <c r="B40" s="323"/>
      <c r="C40" s="311" t="s">
        <v>269</v>
      </c>
      <c r="D40" s="44"/>
      <c r="E40" s="152"/>
      <c r="F40" s="47" t="str">
        <f>"(Line "&amp;A32&amp;" - "&amp;A33&amp;" + "&amp;A34&amp;" - "&amp;A35&amp;" + "&amp;A36&amp;" - "&amp;A37&amp;" + "&amp;A38&amp;" - "&amp;A39&amp;")"</f>
        <v>(Line 9 - 9a + 10 - 10a + 11 - 11a + 12 - 12a)</v>
      </c>
      <c r="G40" s="151"/>
      <c r="H40" s="732">
        <f>H32-H33+H34-H35+H36-H37+H38-H39</f>
        <v>1398626100.9897485</v>
      </c>
      <c r="I40" s="322"/>
      <c r="K40" s="1670"/>
    </row>
    <row r="41" spans="1:11" s="698" customFormat="1" ht="17.25" customHeight="1">
      <c r="A41" s="693"/>
      <c r="B41" s="323"/>
      <c r="C41" s="332"/>
      <c r="D41" s="323"/>
      <c r="E41" s="693"/>
      <c r="F41" s="306"/>
      <c r="H41" s="272"/>
      <c r="I41" s="154"/>
    </row>
    <row r="42" spans="1:11" s="698" customFormat="1">
      <c r="A42" s="325">
        <v>14</v>
      </c>
      <c r="C42" s="151" t="s">
        <v>270</v>
      </c>
      <c r="D42" s="151"/>
      <c r="E42" s="152"/>
      <c r="F42" s="47" t="s">
        <v>778</v>
      </c>
      <c r="G42" s="151"/>
      <c r="H42" s="733">
        <f>+H30-H40</f>
        <v>3792567523.3884416</v>
      </c>
      <c r="I42" s="322"/>
      <c r="K42" s="1670"/>
    </row>
    <row r="43" spans="1:11" s="698" customFormat="1">
      <c r="A43" s="693"/>
      <c r="E43" s="693"/>
      <c r="I43" s="305"/>
    </row>
    <row r="44" spans="1:11" s="698" customFormat="1">
      <c r="A44" s="22">
        <v>15</v>
      </c>
      <c r="C44" s="698" t="s">
        <v>271</v>
      </c>
      <c r="E44" s="693"/>
      <c r="F44" s="328" t="s">
        <v>779</v>
      </c>
      <c r="H44" s="335">
        <f>+H70-H68</f>
        <v>1931202868.9603996</v>
      </c>
      <c r="I44" s="154"/>
      <c r="K44" s="1670"/>
    </row>
    <row r="45" spans="1:11" s="698" customFormat="1" ht="16" thickBot="1">
      <c r="A45" s="325">
        <v>16</v>
      </c>
      <c r="B45" s="63" t="s">
        <v>217</v>
      </c>
      <c r="C45" s="63"/>
      <c r="D45" s="63"/>
      <c r="E45" s="153"/>
      <c r="F45" s="148" t="s">
        <v>780</v>
      </c>
      <c r="G45" s="63"/>
      <c r="H45" s="1725">
        <f>+H44/(H30)</f>
        <v>0.37201518739184425</v>
      </c>
      <c r="I45" s="275"/>
      <c r="K45" s="1670"/>
    </row>
    <row r="46" spans="1:11" s="698" customFormat="1" ht="16" thickTop="1">
      <c r="A46" s="693"/>
      <c r="B46" s="323"/>
      <c r="C46" s="323"/>
      <c r="D46" s="323"/>
      <c r="E46" s="693"/>
      <c r="I46" s="305"/>
    </row>
    <row r="47" spans="1:11" s="698" customFormat="1">
      <c r="A47" s="22">
        <v>17</v>
      </c>
      <c r="B47" s="325"/>
      <c r="C47" s="321" t="s">
        <v>272</v>
      </c>
      <c r="D47" s="308"/>
      <c r="E47" s="70"/>
      <c r="F47" s="328" t="s">
        <v>781</v>
      </c>
      <c r="G47" s="323"/>
      <c r="H47" s="154">
        <f>+H89-H68</f>
        <v>1432546736.4147367</v>
      </c>
      <c r="I47" s="154"/>
      <c r="K47" s="1670"/>
    </row>
    <row r="48" spans="1:11" s="698" customFormat="1" ht="16" thickBot="1">
      <c r="A48" s="325">
        <v>18</v>
      </c>
      <c r="B48" s="63" t="s">
        <v>273</v>
      </c>
      <c r="C48" s="63"/>
      <c r="D48" s="63"/>
      <c r="E48" s="153"/>
      <c r="F48" s="148" t="s">
        <v>782</v>
      </c>
      <c r="G48" s="63"/>
      <c r="H48" s="1726">
        <f>+H47/H42</f>
        <v>0.37772478079304922</v>
      </c>
      <c r="I48" s="275"/>
      <c r="K48" s="1670"/>
    </row>
    <row r="49" spans="1:12" s="698" customFormat="1" ht="16" thickTop="1">
      <c r="A49" s="325"/>
      <c r="B49" s="314"/>
      <c r="C49" s="314"/>
      <c r="D49" s="314"/>
      <c r="E49" s="693"/>
      <c r="F49" s="324"/>
      <c r="G49" s="314"/>
      <c r="H49" s="275"/>
      <c r="I49" s="275"/>
    </row>
    <row r="50" spans="1:12" s="698" customFormat="1">
      <c r="A50" s="326"/>
      <c r="B50" s="325"/>
      <c r="C50" s="321"/>
      <c r="D50" s="308"/>
      <c r="E50" s="70"/>
      <c r="F50" s="323"/>
      <c r="G50" s="323"/>
      <c r="H50" s="150"/>
      <c r="I50" s="280"/>
    </row>
    <row r="51" spans="1:12" s="305" customFormat="1">
      <c r="A51" s="155" t="s">
        <v>274</v>
      </c>
      <c r="B51" s="156"/>
      <c r="C51" s="138"/>
      <c r="D51" s="138"/>
      <c r="E51" s="456"/>
      <c r="F51" s="139"/>
      <c r="G51" s="139"/>
      <c r="H51" s="68"/>
      <c r="I51" s="140"/>
    </row>
    <row r="52" spans="1:12" s="305" customFormat="1">
      <c r="A52" s="157"/>
      <c r="B52" s="158"/>
      <c r="C52" s="332"/>
      <c r="D52" s="332"/>
      <c r="E52" s="693"/>
      <c r="F52" s="310"/>
      <c r="G52" s="310"/>
      <c r="H52" s="140"/>
      <c r="I52" s="140"/>
    </row>
    <row r="53" spans="1:12" s="698" customFormat="1">
      <c r="A53" s="693"/>
      <c r="B53" s="321" t="s">
        <v>53</v>
      </c>
      <c r="C53" s="323"/>
      <c r="D53" s="323"/>
      <c r="E53" s="70"/>
      <c r="F53" s="31"/>
      <c r="G53" s="22"/>
      <c r="H53" s="306"/>
      <c r="I53" s="31"/>
    </row>
    <row r="54" spans="1:12" s="698" customFormat="1">
      <c r="A54" s="22">
        <v>19</v>
      </c>
      <c r="B54" s="325"/>
      <c r="C54" s="34" t="s">
        <v>275</v>
      </c>
      <c r="D54" s="323"/>
      <c r="E54" s="187" t="str">
        <f>"(Note "&amp;B$342&amp;")"</f>
        <v>(Note B)</v>
      </c>
      <c r="F54" s="31" t="s">
        <v>840</v>
      </c>
      <c r="G54" s="323"/>
      <c r="H54" s="278">
        <f>+'9 - Rate Base'!C24</f>
        <v>1858953079.6881201</v>
      </c>
      <c r="I54" s="278"/>
      <c r="K54" s="1670"/>
    </row>
    <row r="55" spans="1:12" s="698" customFormat="1">
      <c r="A55" s="22" t="s">
        <v>828</v>
      </c>
      <c r="B55" s="305"/>
      <c r="C55" s="321" t="s">
        <v>728</v>
      </c>
      <c r="D55" s="308"/>
      <c r="E55" s="693"/>
      <c r="F55" s="31" t="s">
        <v>829</v>
      </c>
      <c r="G55" s="323"/>
      <c r="H55" s="736">
        <f>+'9 - Rate Base'!C25</f>
        <v>0</v>
      </c>
      <c r="I55" s="31"/>
      <c r="K55" s="1670"/>
    </row>
    <row r="56" spans="1:12" s="698" customFormat="1">
      <c r="A56" s="22">
        <v>20</v>
      </c>
      <c r="B56" s="22"/>
      <c r="C56" s="321" t="s">
        <v>767</v>
      </c>
      <c r="D56" s="308"/>
      <c r="E56" s="70"/>
      <c r="F56" s="38"/>
      <c r="G56" s="323"/>
      <c r="H56" s="734">
        <v>0</v>
      </c>
      <c r="I56" s="260"/>
      <c r="K56" s="1670"/>
    </row>
    <row r="57" spans="1:12" s="698" customFormat="1">
      <c r="A57" s="22">
        <v>21</v>
      </c>
      <c r="B57" s="22"/>
      <c r="C57" s="196" t="s">
        <v>767</v>
      </c>
      <c r="D57" s="337"/>
      <c r="E57" s="159"/>
      <c r="F57" s="78"/>
      <c r="G57" s="327"/>
      <c r="H57" s="735">
        <v>0</v>
      </c>
      <c r="I57" s="260"/>
      <c r="K57" s="1670"/>
    </row>
    <row r="58" spans="1:12" s="698" customFormat="1">
      <c r="A58" s="22">
        <v>22</v>
      </c>
      <c r="B58" s="325"/>
      <c r="C58" s="34" t="s">
        <v>277</v>
      </c>
      <c r="D58" s="323"/>
      <c r="E58" s="187"/>
      <c r="F58" s="47" t="str">
        <f>"(Line "&amp;A54&amp;" -"&amp;A55&amp;")"</f>
        <v>(Line 19 -19a)</v>
      </c>
      <c r="G58" s="323"/>
      <c r="H58" s="736">
        <f>H54-H55+H56+H57</f>
        <v>1858953079.6881201</v>
      </c>
      <c r="I58" s="31"/>
      <c r="K58" s="1670"/>
    </row>
    <row r="59" spans="1:12" s="305" customFormat="1">
      <c r="A59" s="22"/>
      <c r="B59" s="22"/>
      <c r="C59" s="321"/>
      <c r="D59" s="308"/>
      <c r="E59" s="693"/>
      <c r="F59" s="31"/>
      <c r="G59" s="308"/>
      <c r="H59" s="736"/>
      <c r="I59" s="31"/>
      <c r="K59" s="1670"/>
      <c r="L59" s="698"/>
    </row>
    <row r="60" spans="1:12" s="698" customFormat="1">
      <c r="A60" s="22">
        <v>23</v>
      </c>
      <c r="B60" s="325"/>
      <c r="C60" s="34" t="s">
        <v>145</v>
      </c>
      <c r="D60" s="323"/>
      <c r="E60" s="693"/>
      <c r="F60" s="31" t="s">
        <v>841</v>
      </c>
      <c r="G60" s="323"/>
      <c r="H60" s="736">
        <f>+'9 - Rate Base'!D24</f>
        <v>326489075.10506916</v>
      </c>
      <c r="I60" s="31"/>
      <c r="K60" s="1670"/>
    </row>
    <row r="61" spans="1:12" s="698" customFormat="1">
      <c r="A61" s="22" t="s">
        <v>830</v>
      </c>
      <c r="B61" s="22"/>
      <c r="C61" s="321" t="s">
        <v>728</v>
      </c>
      <c r="D61" s="308"/>
      <c r="E61" s="693"/>
      <c r="F61" s="31" t="s">
        <v>831</v>
      </c>
      <c r="G61" s="323"/>
      <c r="H61" s="736">
        <f>+'9 - Rate Base'!D25</f>
        <v>0</v>
      </c>
      <c r="I61" s="31"/>
      <c r="K61" s="1670"/>
    </row>
    <row r="62" spans="1:12" s="698" customFormat="1">
      <c r="A62" s="22">
        <v>24</v>
      </c>
      <c r="B62" s="325"/>
      <c r="C62" s="34" t="s">
        <v>278</v>
      </c>
      <c r="D62" s="323"/>
      <c r="E62" s="187" t="str">
        <f>"(Notes "&amp;B$341&amp;" &amp; "&amp;B$342&amp;")"</f>
        <v>(Notes A &amp; B)</v>
      </c>
      <c r="F62" s="322" t="s">
        <v>842</v>
      </c>
      <c r="G62" s="323"/>
      <c r="H62" s="734">
        <f>+'9 - Rate Base'!E24</f>
        <v>167509566.28972787</v>
      </c>
      <c r="I62" s="322"/>
      <c r="K62" s="1670"/>
    </row>
    <row r="63" spans="1:12" s="698" customFormat="1">
      <c r="A63" s="22" t="s">
        <v>832</v>
      </c>
      <c r="B63" s="22"/>
      <c r="C63" s="321" t="s">
        <v>728</v>
      </c>
      <c r="D63" s="308"/>
      <c r="E63" s="693"/>
      <c r="F63" s="307" t="s">
        <v>833</v>
      </c>
      <c r="G63" s="323"/>
      <c r="H63" s="736">
        <f>+'9 - Rate Base'!E25</f>
        <v>0</v>
      </c>
      <c r="I63" s="31"/>
      <c r="K63" s="1670"/>
    </row>
    <row r="64" spans="1:12" s="698" customFormat="1">
      <c r="A64" s="22">
        <v>25</v>
      </c>
      <c r="B64" s="325"/>
      <c r="C64" s="144" t="s">
        <v>279</v>
      </c>
      <c r="D64" s="44"/>
      <c r="E64" s="152"/>
      <c r="F64" s="47" t="str">
        <f>"(Line "&amp;A60&amp;" -"&amp;A61&amp;" + "&amp;A62&amp;" - "&amp;A63&amp;")"</f>
        <v>(Line 23 -23a + 24 - 24a)</v>
      </c>
      <c r="G64" s="44"/>
      <c r="H64" s="733">
        <f>H60-H61+H62-H63</f>
        <v>493998641.39479703</v>
      </c>
      <c r="I64" s="322"/>
      <c r="K64" s="1670"/>
    </row>
    <row r="65" spans="1:12" s="698" customFormat="1">
      <c r="A65" s="22">
        <v>26</v>
      </c>
      <c r="B65" s="325"/>
      <c r="C65" s="639" t="s">
        <v>280</v>
      </c>
      <c r="D65" s="321"/>
      <c r="E65" s="70"/>
      <c r="F65" s="328" t="str">
        <f>"(Line "&amp;A$24&amp;")"</f>
        <v>(Line 5)</v>
      </c>
      <c r="G65" s="160"/>
      <c r="H65" s="192">
        <f>+H24</f>
        <v>0.14625503638690887</v>
      </c>
      <c r="I65" s="281"/>
      <c r="K65" s="1670"/>
    </row>
    <row r="66" spans="1:12" s="698" customFormat="1">
      <c r="A66" s="22">
        <v>27</v>
      </c>
      <c r="C66" s="42" t="s">
        <v>281</v>
      </c>
      <c r="D66" s="311"/>
      <c r="E66" s="145"/>
      <c r="F66" s="324" t="str">
        <f>"(Line "&amp;A64&amp;" * "&amp;A65&amp;")"</f>
        <v>(Line 25 * 26)</v>
      </c>
      <c r="G66" s="151"/>
      <c r="H66" s="733">
        <f>+H65*H64</f>
        <v>72249789.27227959</v>
      </c>
      <c r="I66" s="322"/>
      <c r="K66" s="1670"/>
    </row>
    <row r="67" spans="1:12" s="698" customFormat="1">
      <c r="A67" s="142"/>
      <c r="C67" s="321"/>
      <c r="D67" s="305"/>
      <c r="E67" s="159"/>
      <c r="H67" s="738"/>
      <c r="I67" s="322"/>
    </row>
    <row r="68" spans="1:12" s="698" customFormat="1">
      <c r="A68" s="22">
        <v>28</v>
      </c>
      <c r="B68" s="325"/>
      <c r="C68" s="42" t="s">
        <v>282</v>
      </c>
      <c r="D68" s="161"/>
      <c r="E68" s="187" t="str">
        <f>"(Note "&amp;B$347&amp;")"</f>
        <v>(Note C)</v>
      </c>
      <c r="F68" s="43" t="s">
        <v>753</v>
      </c>
      <c r="G68" s="44"/>
      <c r="H68" s="732">
        <f>+'9 - Rate Base'!D47</f>
        <v>418120.92307692306</v>
      </c>
      <c r="I68" s="322"/>
      <c r="K68" s="1670"/>
    </row>
    <row r="69" spans="1:12" s="698" customFormat="1">
      <c r="A69" s="142"/>
      <c r="C69" s="321"/>
      <c r="D69" s="305"/>
      <c r="E69" s="693"/>
      <c r="H69" s="738"/>
      <c r="I69" s="322"/>
    </row>
    <row r="70" spans="1:12" s="82" customFormat="1" ht="16" thickBot="1">
      <c r="A70" s="22">
        <v>29</v>
      </c>
      <c r="B70" s="63" t="s">
        <v>283</v>
      </c>
      <c r="C70" s="63"/>
      <c r="D70" s="63"/>
      <c r="E70" s="153"/>
      <c r="F70" s="148" t="str">
        <f>"(Line "&amp;A58&amp;" + "&amp;A66&amp;" + "&amp;A68&amp;")"</f>
        <v>(Line 22 + 27 + 28)</v>
      </c>
      <c r="G70" s="63"/>
      <c r="H70" s="739">
        <f>SUM(H58,H66,H68)</f>
        <v>1931620989.8834765</v>
      </c>
      <c r="I70" s="195"/>
      <c r="K70" s="1670"/>
      <c r="L70" s="698"/>
    </row>
    <row r="71" spans="1:12" s="698" customFormat="1" ht="16" thickTop="1">
      <c r="A71" s="142"/>
      <c r="E71" s="693"/>
      <c r="H71" s="272"/>
      <c r="I71" s="305"/>
    </row>
    <row r="72" spans="1:12" s="698" customFormat="1">
      <c r="A72" s="22"/>
      <c r="B72" s="321" t="s">
        <v>70</v>
      </c>
      <c r="C72" s="321"/>
      <c r="D72" s="31"/>
      <c r="E72" s="70"/>
      <c r="F72" s="306"/>
      <c r="G72" s="74"/>
      <c r="H72" s="740"/>
      <c r="I72" s="31"/>
    </row>
    <row r="73" spans="1:12" s="698" customFormat="1">
      <c r="A73" s="142"/>
      <c r="B73" s="308"/>
      <c r="C73" s="308"/>
      <c r="D73" s="308"/>
      <c r="E73" s="693"/>
      <c r="F73" s="306"/>
      <c r="G73" s="306"/>
      <c r="H73" s="740"/>
      <c r="I73" s="31"/>
    </row>
    <row r="74" spans="1:12" s="698" customFormat="1">
      <c r="A74" s="22">
        <v>30</v>
      </c>
      <c r="B74" s="325"/>
      <c r="C74" s="34" t="s">
        <v>284</v>
      </c>
      <c r="D74" s="323"/>
      <c r="E74" s="187" t="str">
        <f>"(Note "&amp;B$342&amp;")"</f>
        <v>(Note B)</v>
      </c>
      <c r="F74" s="31" t="s">
        <v>837</v>
      </c>
      <c r="G74" s="323"/>
      <c r="H74" s="736">
        <f>+'9 - Rate Base'!F24</f>
        <v>469831739.5953846</v>
      </c>
      <c r="I74" s="31"/>
      <c r="K74" s="1670"/>
    </row>
    <row r="75" spans="1:12" s="698" customFormat="1">
      <c r="A75" s="22" t="s">
        <v>834</v>
      </c>
      <c r="B75" s="305"/>
      <c r="C75" s="196" t="s">
        <v>728</v>
      </c>
      <c r="D75" s="337"/>
      <c r="E75" s="159"/>
      <c r="F75" s="307" t="s">
        <v>838</v>
      </c>
      <c r="G75" s="327"/>
      <c r="H75" s="735">
        <f>+'9 - Rate Base'!F25</f>
        <v>0</v>
      </c>
      <c r="I75" s="322"/>
      <c r="K75" s="1670"/>
    </row>
    <row r="76" spans="1:12" s="698" customFormat="1">
      <c r="A76" s="22" t="s">
        <v>835</v>
      </c>
      <c r="B76" s="305"/>
      <c r="C76" s="321" t="s">
        <v>836</v>
      </c>
      <c r="D76" s="308"/>
      <c r="E76" s="693"/>
      <c r="F76" s="31" t="str">
        <f>"(Line "&amp;A74&amp;" - "&amp;A75&amp;")"</f>
        <v>(Line 30 - 30a)</v>
      </c>
      <c r="G76" s="323"/>
      <c r="H76" s="736">
        <f>+H74-H75</f>
        <v>469831739.5953846</v>
      </c>
      <c r="I76" s="31"/>
      <c r="K76" s="1670"/>
    </row>
    <row r="77" spans="1:12" s="305" customFormat="1">
      <c r="A77" s="22"/>
      <c r="B77" s="22"/>
      <c r="C77" s="308"/>
      <c r="D77" s="321"/>
      <c r="E77" s="693"/>
      <c r="F77" s="31"/>
      <c r="G77" s="308"/>
      <c r="H77" s="736"/>
      <c r="I77" s="31"/>
      <c r="K77" s="1670"/>
      <c r="L77" s="698"/>
    </row>
    <row r="78" spans="1:12" s="698" customFormat="1">
      <c r="A78" s="22">
        <v>31</v>
      </c>
      <c r="B78" s="325"/>
      <c r="C78" s="34" t="s">
        <v>149</v>
      </c>
      <c r="D78" s="323"/>
      <c r="E78" s="693"/>
      <c r="F78" s="31" t="s">
        <v>843</v>
      </c>
      <c r="G78" s="323"/>
      <c r="H78" s="736">
        <f>+'9 - Rate Base'!G24</f>
        <v>83050539.78362307</v>
      </c>
      <c r="I78" s="31"/>
      <c r="K78" s="1670"/>
    </row>
    <row r="79" spans="1:12" s="698" customFormat="1">
      <c r="A79" s="22" t="s">
        <v>839</v>
      </c>
      <c r="B79" s="22"/>
      <c r="C79" s="321" t="s">
        <v>728</v>
      </c>
      <c r="D79" s="308"/>
      <c r="E79" s="693"/>
      <c r="F79" s="31" t="s">
        <v>844</v>
      </c>
      <c r="G79" s="323"/>
      <c r="H79" s="736">
        <f>+'9 - Rate Base'!G25</f>
        <v>0</v>
      </c>
      <c r="I79" s="31"/>
      <c r="K79" s="1670"/>
    </row>
    <row r="80" spans="1:12" s="698" customFormat="1">
      <c r="A80" s="22">
        <v>32</v>
      </c>
      <c r="B80" s="325"/>
      <c r="C80" s="34" t="s">
        <v>144</v>
      </c>
      <c r="D80" s="323"/>
      <c r="E80" s="693"/>
      <c r="F80" s="324" t="str">
        <f>"(Line "&amp;A$34&amp;" - "&amp;A$35&amp;")"</f>
        <v>(Line 10 - 10a)</v>
      </c>
      <c r="G80" s="323"/>
      <c r="H80" s="736">
        <f>+H34-H35</f>
        <v>23578052.430403925</v>
      </c>
      <c r="I80" s="31"/>
      <c r="K80" s="1670"/>
    </row>
    <row r="81" spans="1:11" s="698" customFormat="1">
      <c r="A81" s="22">
        <v>33</v>
      </c>
      <c r="B81" s="325"/>
      <c r="C81" s="34" t="s">
        <v>266</v>
      </c>
      <c r="D81" s="323"/>
      <c r="E81" s="187"/>
      <c r="F81" s="324" t="str">
        <f>"(Line "&amp;A$36&amp;" - "&amp;A$37&amp;")"</f>
        <v>(Line 11 - 11a)</v>
      </c>
      <c r="G81" s="323"/>
      <c r="H81" s="736">
        <f>+H36-H37</f>
        <v>25707039.580407921</v>
      </c>
      <c r="I81" s="31"/>
      <c r="K81" s="1670"/>
    </row>
    <row r="82" spans="1:11" s="698" customFormat="1">
      <c r="A82" s="22">
        <v>34</v>
      </c>
      <c r="B82" s="325"/>
      <c r="C82" s="331" t="s">
        <v>285</v>
      </c>
      <c r="D82" s="327"/>
      <c r="E82" s="172"/>
      <c r="F82" s="328" t="str">
        <f>"(Line "&amp;A$38&amp;" - "&amp;A$39&amp;")"</f>
        <v>(Line 12 - 12a)</v>
      </c>
      <c r="G82" s="323"/>
      <c r="H82" s="735">
        <f>+H38-H39</f>
        <v>64747447.615049765</v>
      </c>
      <c r="I82" s="322"/>
      <c r="K82" s="1670"/>
    </row>
    <row r="83" spans="1:11" s="698" customFormat="1">
      <c r="A83" s="22">
        <v>35</v>
      </c>
      <c r="B83" s="325"/>
      <c r="C83" s="164" t="s">
        <v>269</v>
      </c>
      <c r="D83" s="25"/>
      <c r="E83" s="70"/>
      <c r="F83" s="47" t="str">
        <f>"(Line "&amp;A78&amp;" - "&amp;A79&amp;" + "&amp;A80&amp;" + "&amp;A81&amp;" + "&amp;A82&amp;")"</f>
        <v>(Line 31 - 31a + 32 + 33 + 34)</v>
      </c>
      <c r="G83" s="324"/>
      <c r="H83" s="324">
        <f>H78-H79+H80+H81+H82</f>
        <v>197083079.40948468</v>
      </c>
      <c r="I83" s="322"/>
      <c r="K83" s="1670"/>
    </row>
    <row r="84" spans="1:11" s="698" customFormat="1">
      <c r="A84" s="22">
        <v>36</v>
      </c>
      <c r="B84" s="325"/>
      <c r="C84" s="640" t="s">
        <v>280</v>
      </c>
      <c r="D84" s="25"/>
      <c r="E84" s="70"/>
      <c r="F84" s="328" t="str">
        <f>"(Line "&amp;A$24&amp;")"</f>
        <v>(Line 5)</v>
      </c>
      <c r="G84" s="324"/>
      <c r="H84" s="742">
        <f>+H24</f>
        <v>0.14625503638690887</v>
      </c>
      <c r="I84" s="282"/>
      <c r="K84" s="1670"/>
    </row>
    <row r="85" spans="1:11" s="698" customFormat="1">
      <c r="A85" s="22">
        <v>37</v>
      </c>
      <c r="C85" s="144" t="s">
        <v>286</v>
      </c>
      <c r="D85" s="151"/>
      <c r="E85" s="152"/>
      <c r="F85" s="324" t="str">
        <f>"(Line "&amp;A83&amp;" * "&amp;A84&amp;")"</f>
        <v>(Line 35 * 36)</v>
      </c>
      <c r="G85" s="151"/>
      <c r="H85" s="47">
        <f>+H84*H83</f>
        <v>28824392.950278234</v>
      </c>
      <c r="I85" s="322"/>
      <c r="K85" s="1670"/>
    </row>
    <row r="86" spans="1:11" s="698" customFormat="1">
      <c r="A86" s="142"/>
      <c r="E86" s="693"/>
      <c r="I86" s="305"/>
    </row>
    <row r="87" spans="1:11" s="698" customFormat="1" ht="16" thickBot="1">
      <c r="A87" s="22">
        <v>38</v>
      </c>
      <c r="B87" s="63" t="s">
        <v>287</v>
      </c>
      <c r="C87" s="63"/>
      <c r="D87" s="63"/>
      <c r="E87" s="153"/>
      <c r="F87" s="148" t="str">
        <f>"(Line "&amp;A76&amp;" + "&amp;A85&amp;")"</f>
        <v>(Line 30b + 37)</v>
      </c>
      <c r="G87" s="63"/>
      <c r="H87" s="162">
        <f>+H85+H76</f>
        <v>498656132.54566282</v>
      </c>
      <c r="I87" s="195"/>
      <c r="K87" s="1670"/>
    </row>
    <row r="88" spans="1:11" s="698" customFormat="1" ht="16" thickTop="1">
      <c r="A88" s="142"/>
      <c r="E88" s="693"/>
      <c r="I88" s="305"/>
    </row>
    <row r="89" spans="1:11" s="698" customFormat="1" ht="16" thickBot="1">
      <c r="A89" s="22">
        <v>39</v>
      </c>
      <c r="B89" s="63" t="s">
        <v>288</v>
      </c>
      <c r="C89" s="63"/>
      <c r="D89" s="63"/>
      <c r="E89" s="153"/>
      <c r="F89" s="148" t="str">
        <f>"(Line "&amp;A70&amp;" - "&amp;A87&amp;")"</f>
        <v>(Line 29 - 38)</v>
      </c>
      <c r="G89" s="63"/>
      <c r="H89" s="162">
        <f>+H70-H87</f>
        <v>1432964857.3378136</v>
      </c>
      <c r="I89" s="195"/>
      <c r="K89" s="1670"/>
    </row>
    <row r="90" spans="1:11" s="698" customFormat="1" ht="16" thickTop="1">
      <c r="A90" s="693"/>
      <c r="E90" s="693"/>
      <c r="I90" s="305"/>
    </row>
    <row r="91" spans="1:11" s="698" customFormat="1">
      <c r="A91" s="155" t="s">
        <v>289</v>
      </c>
      <c r="B91" s="138"/>
      <c r="C91" s="138"/>
      <c r="D91" s="138"/>
      <c r="E91" s="456"/>
      <c r="F91" s="139"/>
      <c r="G91" s="139"/>
      <c r="H91" s="19"/>
      <c r="I91" s="305"/>
    </row>
    <row r="92" spans="1:11" s="698" customFormat="1">
      <c r="A92" s="511"/>
      <c r="B92" s="166"/>
      <c r="C92" s="166"/>
      <c r="D92" s="166"/>
      <c r="E92" s="693"/>
      <c r="I92" s="305"/>
    </row>
    <row r="93" spans="1:11" s="698" customFormat="1">
      <c r="A93" s="142"/>
      <c r="B93" s="312" t="s">
        <v>854</v>
      </c>
      <c r="C93" s="262"/>
      <c r="D93" s="305"/>
      <c r="E93" s="53"/>
      <c r="F93" s="305"/>
      <c r="G93" s="262"/>
      <c r="H93" s="306"/>
      <c r="I93" s="305"/>
    </row>
    <row r="94" spans="1:11" s="698" customFormat="1">
      <c r="A94" s="142" t="s">
        <v>855</v>
      </c>
      <c r="B94" s="312"/>
      <c r="C94" s="323" t="s">
        <v>856</v>
      </c>
      <c r="D94" s="698" t="str">
        <f>'1A - ADIT Summary'!D187</f>
        <v>True-up Adjustment</v>
      </c>
      <c r="E94" s="187" t="str">
        <f>"(Note "&amp;B372&amp;")"</f>
        <v>(Note V)</v>
      </c>
      <c r="F94" s="324" t="str">
        <f>"Attachment 1A - ADIT Summary, Line "&amp;'1A - ADIT Summary'!B40&amp;""</f>
        <v>Attachment 1A - ADIT Summary, Line 24</v>
      </c>
      <c r="G94" s="262"/>
      <c r="H94" s="1482">
        <f>IF('1A - ADIT Summary'!$D$187="True-Up Adjustment", '1A - ADIT Summary'!R40,'1A - ADIT Summary'!L40)</f>
        <v>4082893.2266720794</v>
      </c>
      <c r="I94" s="305"/>
      <c r="K94" s="1670"/>
    </row>
    <row r="95" spans="1:11" s="698" customFormat="1">
      <c r="A95" s="142" t="s">
        <v>857</v>
      </c>
      <c r="B95" s="312"/>
      <c r="C95" s="323" t="s">
        <v>858</v>
      </c>
      <c r="D95" s="698" t="str">
        <f>D94</f>
        <v>True-up Adjustment</v>
      </c>
      <c r="E95" s="187" t="str">
        <f>"(Note "&amp;B372&amp;")"</f>
        <v>(Note V)</v>
      </c>
      <c r="F95" s="324" t="str">
        <f>"Attachment 1A - ADIT Summary, Line "&amp;'1A - ADIT Summary'!B75&amp;""</f>
        <v>Attachment 1A - ADIT Summary, Line 48</v>
      </c>
      <c r="G95" s="262"/>
      <c r="H95" s="1482">
        <f>IF('1A - ADIT Summary'!$D$187="True-Up Adjustment", '1A - ADIT Summary'!R75,'1A - ADIT Summary'!L75)</f>
        <v>0</v>
      </c>
      <c r="I95" s="305"/>
      <c r="K95" s="1670"/>
    </row>
    <row r="96" spans="1:11" s="698" customFormat="1">
      <c r="A96" s="142" t="s">
        <v>859</v>
      </c>
      <c r="B96" s="312"/>
      <c r="C96" s="323" t="s">
        <v>1118</v>
      </c>
      <c r="D96" s="698" t="str">
        <f>D95</f>
        <v>True-up Adjustment</v>
      </c>
      <c r="E96" s="187" t="str">
        <f>"(Note "&amp;B372&amp;")"</f>
        <v>(Note V)</v>
      </c>
      <c r="F96" s="324" t="str">
        <f>"Attachment 1A - ADIT Summary, Line "&amp;'1A - ADIT Summary'!B110&amp;""</f>
        <v>Attachment 1A - ADIT Summary, Line 72</v>
      </c>
      <c r="G96" s="262"/>
      <c r="H96" s="1482">
        <f>IF('1A - ADIT Summary'!$D$187="True-Up Adjustment", '1A - ADIT Summary'!R110,'1A - ADIT Summary'!L110)</f>
        <v>-301398073.48504156</v>
      </c>
      <c r="I96" s="305"/>
      <c r="K96" s="1670"/>
    </row>
    <row r="97" spans="1:11" s="698" customFormat="1">
      <c r="A97" s="142" t="s">
        <v>860</v>
      </c>
      <c r="B97" s="312"/>
      <c r="C97" s="323" t="s">
        <v>861</v>
      </c>
      <c r="D97" s="698" t="str">
        <f>D96</f>
        <v>True-up Adjustment</v>
      </c>
      <c r="E97" s="187" t="str">
        <f>"(Note "&amp;B372&amp;")"</f>
        <v>(Note V)</v>
      </c>
      <c r="F97" s="324" t="str">
        <f>"Attachment 1A - ADIT Summary, Line "&amp;'1A - ADIT Summary'!B145&amp;""</f>
        <v>Attachment 1A - ADIT Summary, Line 96</v>
      </c>
      <c r="G97" s="262"/>
      <c r="H97" s="1482">
        <f>IF('1A - ADIT Summary'!$D$187="True-Up Adjustment", '1A - ADIT Summary'!R145,'1A - ADIT Summary'!L145)</f>
        <v>-7462945.0373088708</v>
      </c>
      <c r="I97" s="305"/>
      <c r="K97" s="1670"/>
    </row>
    <row r="98" spans="1:11" s="698" customFormat="1">
      <c r="A98" s="142" t="s">
        <v>1119</v>
      </c>
      <c r="B98" s="305"/>
      <c r="C98" s="309" t="s">
        <v>862</v>
      </c>
      <c r="D98" s="698" t="str">
        <f>D97</f>
        <v>True-up Adjustment</v>
      </c>
      <c r="E98" s="172" t="str">
        <f>"(Note "&amp;B369&amp;")"</f>
        <v>(Note U)</v>
      </c>
      <c r="F98" s="328" t="str">
        <f>"Attachment 1A - ADIT Summary, Line "&amp;'1A - ADIT Summary'!B180&amp;""</f>
        <v>Attachment 1A - ADIT Summary, Line 120</v>
      </c>
      <c r="G98" s="308"/>
      <c r="H98" s="1483">
        <f>IF('1A - ADIT Summary'!$D$187="True-Up Adjustment", '1A - ADIT Summary'!R180,'1A - ADIT Summary'!L180)</f>
        <v>-430033.85331539065</v>
      </c>
      <c r="I98" s="305"/>
      <c r="K98" s="1670"/>
    </row>
    <row r="99" spans="1:11" s="698" customFormat="1">
      <c r="A99" s="142" t="s">
        <v>1120</v>
      </c>
      <c r="B99" s="305"/>
      <c r="C99" s="313" t="s">
        <v>293</v>
      </c>
      <c r="D99" s="311"/>
      <c r="E99" s="152"/>
      <c r="F99" s="324" t="str">
        <f>"(Line "&amp;A94&amp;" + "&amp;A95&amp;" + "&amp;A96&amp;" + "&amp;A97&amp;" + "&amp;A98&amp;")"</f>
        <v>(Line 40a + 40b + 40c + 40d + 40e)</v>
      </c>
      <c r="G99" s="311"/>
      <c r="H99" s="743">
        <f>SUM(H94:H98)</f>
        <v>-305208159.14899379</v>
      </c>
      <c r="I99" s="305"/>
      <c r="K99" s="1670"/>
    </row>
    <row r="100" spans="1:11" s="698" customFormat="1">
      <c r="A100" s="142"/>
      <c r="B100" s="305"/>
      <c r="C100" s="312"/>
      <c r="D100" s="310"/>
      <c r="E100" s="693"/>
      <c r="F100" s="310"/>
      <c r="G100" s="314"/>
      <c r="H100" s="743"/>
      <c r="I100" s="305"/>
    </row>
    <row r="101" spans="1:11" s="698" customFormat="1">
      <c r="A101" s="22"/>
      <c r="B101" s="305" t="s">
        <v>1438</v>
      </c>
      <c r="C101" s="312"/>
      <c r="D101" s="310"/>
      <c r="E101" s="693"/>
      <c r="F101" s="322"/>
      <c r="G101" s="310"/>
      <c r="H101" s="743"/>
      <c r="I101" s="305"/>
    </row>
    <row r="102" spans="1:11" s="698" customFormat="1">
      <c r="A102" s="22" t="s">
        <v>1121</v>
      </c>
      <c r="B102" s="305"/>
      <c r="C102" s="312" t="s">
        <v>1122</v>
      </c>
      <c r="D102" s="310" t="str">
        <f>D94</f>
        <v>True-up Adjustment</v>
      </c>
      <c r="E102" s="187" t="str">
        <f>"(Note "&amp;B382&amp;")"</f>
        <v>(Note W)</v>
      </c>
      <c r="F102" s="324" t="str">
        <f>"Attachment 1D - ADIT Rate Base Adjustment, Line "&amp;'1D - ADIT Rate Base Adjustment'!B123&amp;""</f>
        <v>Attachment 1D - ADIT Rate Base Adjustment, Line 76</v>
      </c>
      <c r="G102" s="310"/>
      <c r="H102" s="736">
        <f>IF('1D - ADIT Rate Base Adjustment'!D249="True-Up Adjustment",'1D - ADIT Rate Base Adjustment'!N123,'1D - ADIT Rate Base Adjustment'!H123)</f>
        <v>-62687669.198292039</v>
      </c>
      <c r="I102" s="305"/>
      <c r="K102" s="1670"/>
    </row>
    <row r="103" spans="1:11" s="698" customFormat="1">
      <c r="A103" s="22" t="s">
        <v>1123</v>
      </c>
      <c r="B103" s="305"/>
      <c r="C103" s="316" t="s">
        <v>1124</v>
      </c>
      <c r="D103" s="317" t="str">
        <f>D95</f>
        <v>True-up Adjustment</v>
      </c>
      <c r="E103" s="172" t="str">
        <f>"(Note "&amp;B382&amp;")"</f>
        <v>(Note W)</v>
      </c>
      <c r="F103" s="328" t="str">
        <f>"Attachment 1D - ADIT Rate Base Adjustment, Line "&amp;'1D - ADIT Rate Base Adjustment'!B242&amp;""</f>
        <v>Attachment 1D - ADIT Rate Base Adjustment, Line 152</v>
      </c>
      <c r="G103" s="317"/>
      <c r="H103" s="735">
        <f>IF('1D - ADIT Rate Base Adjustment'!D249="True-Up Adjustment",'1D - ADIT Rate Base Adjustment'!N242,'1D - ADIT Rate Base Adjustment'!H242)</f>
        <v>0</v>
      </c>
      <c r="I103" s="305"/>
      <c r="K103" s="1670"/>
    </row>
    <row r="104" spans="1:11" s="698" customFormat="1">
      <c r="A104" s="22">
        <v>42</v>
      </c>
      <c r="B104" s="305"/>
      <c r="C104" s="312" t="s">
        <v>1125</v>
      </c>
      <c r="D104" s="310"/>
      <c r="E104" s="693"/>
      <c r="F104" s="324" t="str">
        <f>"(Line "&amp;A102&amp;" + "&amp;A103&amp;")"</f>
        <v>(Line 41a + 41b)</v>
      </c>
      <c r="G104" s="310"/>
      <c r="H104" s="743">
        <f>H102+H103</f>
        <v>-62687669.198292039</v>
      </c>
      <c r="I104" s="305"/>
      <c r="K104" s="1670"/>
    </row>
    <row r="105" spans="1:11" s="698" customFormat="1">
      <c r="A105" s="22"/>
      <c r="B105" s="305"/>
      <c r="C105" s="312"/>
      <c r="D105" s="310"/>
      <c r="E105" s="693"/>
      <c r="F105" s="307"/>
      <c r="G105" s="310"/>
      <c r="H105" s="743"/>
      <c r="I105" s="305"/>
    </row>
    <row r="106" spans="1:11" s="698" customFormat="1">
      <c r="A106" s="22">
        <v>43</v>
      </c>
      <c r="B106" s="305"/>
      <c r="C106" s="313" t="s">
        <v>1126</v>
      </c>
      <c r="D106" s="311"/>
      <c r="E106" s="152"/>
      <c r="F106" s="324" t="str">
        <f>"(Line "&amp;A99&amp;" + "&amp;A104&amp;")"</f>
        <v>(Line 40f + 42)</v>
      </c>
      <c r="G106" s="311"/>
      <c r="H106" s="744">
        <f>H99+H104</f>
        <v>-367895828.34728581</v>
      </c>
      <c r="I106" s="305"/>
      <c r="K106" s="1670"/>
    </row>
    <row r="107" spans="1:11" s="698" customFormat="1">
      <c r="A107" s="165"/>
      <c r="B107" s="166"/>
      <c r="C107" s="166"/>
      <c r="D107" s="166"/>
      <c r="E107" s="693"/>
      <c r="H107" s="272"/>
      <c r="I107" s="305"/>
    </row>
    <row r="108" spans="1:11" s="698" customFormat="1">
      <c r="A108" s="22" t="s">
        <v>294</v>
      </c>
      <c r="B108" s="312" t="s">
        <v>295</v>
      </c>
      <c r="C108" s="323"/>
      <c r="D108" s="310"/>
      <c r="E108" s="187" t="s">
        <v>296</v>
      </c>
      <c r="F108" s="322" t="s">
        <v>849</v>
      </c>
      <c r="G108" s="310"/>
      <c r="H108" s="743">
        <f>+'9 - Rate Base'!C47</f>
        <v>0</v>
      </c>
      <c r="I108" s="315"/>
      <c r="K108" s="1670"/>
    </row>
    <row r="109" spans="1:11" s="698" customFormat="1" ht="15" customHeight="1">
      <c r="A109" s="22"/>
      <c r="C109" s="323"/>
      <c r="D109" s="310"/>
      <c r="E109" s="187"/>
      <c r="F109" s="322"/>
      <c r="G109" s="314"/>
      <c r="H109" s="743"/>
      <c r="I109" s="315"/>
    </row>
    <row r="110" spans="1:11" s="698" customFormat="1">
      <c r="A110" s="22" t="s">
        <v>297</v>
      </c>
      <c r="B110" s="167" t="s">
        <v>298</v>
      </c>
      <c r="C110" s="718"/>
      <c r="D110" s="167"/>
      <c r="E110" s="167"/>
      <c r="F110" s="270" t="s">
        <v>754</v>
      </c>
      <c r="G110" s="314"/>
      <c r="H110" s="743">
        <f>+'9 - Rate Base'!I47</f>
        <v>0</v>
      </c>
      <c r="I110" s="315"/>
      <c r="K110" s="1670"/>
    </row>
    <row r="111" spans="1:11" s="698" customFormat="1">
      <c r="C111" s="718" t="s">
        <v>83</v>
      </c>
      <c r="D111" s="167"/>
      <c r="E111" s="167"/>
      <c r="F111" s="167"/>
      <c r="G111" s="314"/>
      <c r="H111" s="743"/>
      <c r="I111" s="315"/>
    </row>
    <row r="112" spans="1:11" s="305" customFormat="1">
      <c r="A112" s="22"/>
      <c r="B112" s="305" t="s">
        <v>300</v>
      </c>
      <c r="C112" s="312"/>
      <c r="D112" s="310"/>
      <c r="E112" s="693"/>
      <c r="F112" s="322"/>
      <c r="G112" s="310"/>
      <c r="H112" s="743"/>
      <c r="I112" s="315"/>
    </row>
    <row r="113" spans="1:12" s="698" customFormat="1">
      <c r="A113" s="142">
        <v>44</v>
      </c>
      <c r="B113" s="305"/>
      <c r="C113" s="312" t="s">
        <v>992</v>
      </c>
      <c r="D113" s="310"/>
      <c r="E113" s="693" t="s">
        <v>292</v>
      </c>
      <c r="F113" s="270" t="s">
        <v>299</v>
      </c>
      <c r="G113" s="314"/>
      <c r="H113" s="743">
        <f>+'5 - Cost Support 1'!AC137</f>
        <v>-5114534.7016272787</v>
      </c>
      <c r="I113" s="315"/>
      <c r="K113" s="1670"/>
    </row>
    <row r="114" spans="1:12" s="698" customFormat="1">
      <c r="A114" s="22"/>
      <c r="B114" s="168"/>
      <c r="C114" s="308"/>
      <c r="D114" s="308"/>
      <c r="E114" s="693"/>
      <c r="F114" s="315"/>
      <c r="G114" s="518"/>
      <c r="H114" s="272"/>
      <c r="I114" s="305"/>
    </row>
    <row r="115" spans="1:12" s="698" customFormat="1">
      <c r="A115" s="22"/>
      <c r="B115" s="23" t="s">
        <v>108</v>
      </c>
      <c r="C115" s="23"/>
      <c r="D115" s="308"/>
      <c r="E115" s="693"/>
      <c r="F115" s="701"/>
      <c r="G115" s="702"/>
      <c r="H115" s="272"/>
      <c r="I115" s="305"/>
    </row>
    <row r="116" spans="1:12" s="698" customFormat="1">
      <c r="A116" s="22">
        <v>45</v>
      </c>
      <c r="B116" s="182"/>
      <c r="C116" s="316" t="s">
        <v>110</v>
      </c>
      <c r="D116" s="163"/>
      <c r="E116" s="172" t="str">
        <f>"(Note "&amp;B$341&amp;")"</f>
        <v>(Note A)</v>
      </c>
      <c r="F116" s="316" t="s">
        <v>755</v>
      </c>
      <c r="G116" s="703"/>
      <c r="H116" s="743">
        <f>+'9 - Rate Base'!G47</f>
        <v>21086016.993204676</v>
      </c>
      <c r="I116" s="315"/>
      <c r="K116" s="1670"/>
    </row>
    <row r="117" spans="1:12" s="698" customFormat="1">
      <c r="A117" s="325">
        <v>46</v>
      </c>
      <c r="B117" s="168"/>
      <c r="C117" s="305" t="s">
        <v>301</v>
      </c>
      <c r="D117" s="44"/>
      <c r="E117" s="152"/>
      <c r="F117" s="322" t="s">
        <v>785</v>
      </c>
      <c r="G117" s="517"/>
      <c r="H117" s="745">
        <f>+H116</f>
        <v>21086016.993204676</v>
      </c>
      <c r="I117" s="315"/>
      <c r="K117" s="1670"/>
    </row>
    <row r="118" spans="1:12" s="698" customFormat="1">
      <c r="A118" s="22"/>
      <c r="B118" s="168"/>
      <c r="C118" s="308"/>
      <c r="D118" s="323"/>
      <c r="E118" s="693"/>
      <c r="F118" s="518"/>
      <c r="G118" s="518"/>
      <c r="I118" s="305"/>
    </row>
    <row r="119" spans="1:12" s="698" customFormat="1">
      <c r="A119" s="325"/>
      <c r="B119" s="168"/>
      <c r="C119" s="23"/>
      <c r="D119" s="323"/>
      <c r="E119" s="693"/>
      <c r="F119" s="702"/>
      <c r="G119" s="702"/>
      <c r="H119" s="169"/>
      <c r="I119" s="283"/>
    </row>
    <row r="120" spans="1:12" s="698" customFormat="1">
      <c r="A120" s="22"/>
      <c r="B120" s="23" t="s">
        <v>55</v>
      </c>
      <c r="C120" s="305"/>
      <c r="D120" s="305"/>
      <c r="E120" s="536"/>
      <c r="F120" s="703"/>
      <c r="G120" s="702"/>
      <c r="H120" s="169"/>
      <c r="I120" s="283"/>
    </row>
    <row r="121" spans="1:12" s="698" customFormat="1">
      <c r="A121" s="142">
        <v>47</v>
      </c>
      <c r="B121" s="305"/>
      <c r="C121" s="305" t="s">
        <v>302</v>
      </c>
      <c r="D121" s="308"/>
      <c r="E121" s="187" t="str">
        <f>"(Note "&amp;B$341&amp;")"</f>
        <v>(Note A)</v>
      </c>
      <c r="F121" s="23" t="s">
        <v>756</v>
      </c>
      <c r="H121" s="747">
        <f>+'9 - Rate Base'!F47</f>
        <v>0</v>
      </c>
      <c r="I121" s="87"/>
      <c r="K121" s="1670"/>
    </row>
    <row r="122" spans="1:12" s="305" customFormat="1">
      <c r="A122" s="22">
        <v>48</v>
      </c>
      <c r="B122" s="168"/>
      <c r="C122" s="316" t="s">
        <v>280</v>
      </c>
      <c r="D122" s="78"/>
      <c r="E122" s="159"/>
      <c r="F122" s="328" t="str">
        <f>"(Line "&amp;A$24&amp;")"</f>
        <v>(Line 5)</v>
      </c>
      <c r="G122" s="340"/>
      <c r="H122" s="75">
        <f>+H24</f>
        <v>0.14625503638690887</v>
      </c>
      <c r="I122" s="75"/>
      <c r="K122" s="1670"/>
      <c r="L122" s="698"/>
    </row>
    <row r="123" spans="1:12" s="698" customFormat="1">
      <c r="A123" s="22">
        <v>49</v>
      </c>
      <c r="B123" s="168"/>
      <c r="C123" s="23" t="s">
        <v>303</v>
      </c>
      <c r="D123" s="308"/>
      <c r="E123" s="693"/>
      <c r="F123" s="324" t="str">
        <f>"(Line "&amp;A121&amp;" * "&amp;A122&amp;")"</f>
        <v>(Line 47 * 48)</v>
      </c>
      <c r="G123" s="702"/>
      <c r="H123" s="745">
        <f>+H121*H122</f>
        <v>0</v>
      </c>
      <c r="I123" s="315"/>
      <c r="K123" s="1670"/>
    </row>
    <row r="124" spans="1:12" s="698" customFormat="1">
      <c r="A124" s="22">
        <v>50</v>
      </c>
      <c r="B124" s="168"/>
      <c r="C124" s="23" t="s">
        <v>304</v>
      </c>
      <c r="D124" s="308"/>
      <c r="E124" s="172" t="s">
        <v>1127</v>
      </c>
      <c r="F124" s="316" t="s">
        <v>1098</v>
      </c>
      <c r="G124" s="702"/>
      <c r="H124" s="747">
        <f>+'9 - Rate Base'!E47</f>
        <v>7850018.9681083262</v>
      </c>
      <c r="I124" s="87"/>
      <c r="K124" s="1670"/>
    </row>
    <row r="125" spans="1:12" s="698" customFormat="1" ht="18" customHeight="1">
      <c r="A125" s="22">
        <v>51</v>
      </c>
      <c r="B125" s="168"/>
      <c r="C125" s="311" t="s">
        <v>305</v>
      </c>
      <c r="D125" s="44"/>
      <c r="E125" s="152"/>
      <c r="F125" s="324" t="str">
        <f>"(Line "&amp;A123&amp;" + "&amp;A124&amp;")"</f>
        <v>(Line 49 + 50)</v>
      </c>
      <c r="G125" s="517"/>
      <c r="H125" s="746">
        <f>SUM(H123:H124)</f>
        <v>7850018.9681083262</v>
      </c>
      <c r="I125" s="195"/>
      <c r="K125" s="1670"/>
    </row>
    <row r="126" spans="1:12" s="698" customFormat="1">
      <c r="A126" s="22"/>
      <c r="B126" s="168"/>
      <c r="C126" s="23"/>
      <c r="D126" s="323"/>
      <c r="E126" s="693"/>
      <c r="F126" s="702"/>
      <c r="G126" s="702"/>
      <c r="H126" s="272"/>
      <c r="I126" s="305"/>
    </row>
    <row r="127" spans="1:12" s="698" customFormat="1">
      <c r="A127" s="22"/>
      <c r="B127" s="23" t="s">
        <v>306</v>
      </c>
      <c r="C127" s="305"/>
      <c r="D127" s="323"/>
      <c r="E127" s="693"/>
      <c r="F127" s="702"/>
      <c r="G127" s="702"/>
      <c r="H127" s="272"/>
      <c r="I127" s="305"/>
    </row>
    <row r="128" spans="1:12" s="698" customFormat="1">
      <c r="A128" s="22">
        <v>52</v>
      </c>
      <c r="B128" s="168"/>
      <c r="C128" s="23" t="s">
        <v>307</v>
      </c>
      <c r="D128" s="21"/>
      <c r="E128" s="693"/>
      <c r="F128" s="324" t="str">
        <f>"(Line "&amp;A$179&amp;")"</f>
        <v>(Line 85)</v>
      </c>
      <c r="G128" s="702"/>
      <c r="H128" s="747">
        <f>+H179</f>
        <v>37977526.53629303</v>
      </c>
      <c r="I128" s="87"/>
      <c r="K128" s="1670"/>
    </row>
    <row r="129" spans="1:12" s="698" customFormat="1">
      <c r="A129" s="22">
        <v>53</v>
      </c>
      <c r="B129" s="168"/>
      <c r="C129" s="40" t="s">
        <v>308</v>
      </c>
      <c r="D129" s="21"/>
      <c r="E129" s="693"/>
      <c r="F129" s="330" t="s">
        <v>309</v>
      </c>
      <c r="H129" s="704">
        <v>0.125</v>
      </c>
      <c r="I129" s="705"/>
      <c r="K129" s="1670"/>
    </row>
    <row r="130" spans="1:12" s="82" customFormat="1">
      <c r="A130" s="22">
        <v>54</v>
      </c>
      <c r="B130" s="168"/>
      <c r="C130" s="313" t="s">
        <v>310</v>
      </c>
      <c r="D130" s="46"/>
      <c r="E130" s="152"/>
      <c r="F130" s="324" t="str">
        <f>"(Line "&amp;A128&amp;" * "&amp;A129&amp;")"</f>
        <v>(Line 52 * 53)</v>
      </c>
      <c r="G130" s="151"/>
      <c r="H130" s="745">
        <f>+H128*H129</f>
        <v>4747190.8170366287</v>
      </c>
      <c r="I130" s="315"/>
      <c r="K130" s="1670"/>
      <c r="L130" s="698"/>
    </row>
    <row r="131" spans="1:12" s="82" customFormat="1">
      <c r="A131" s="22"/>
      <c r="B131" s="168"/>
      <c r="C131" s="312"/>
      <c r="D131" s="30"/>
      <c r="E131" s="693"/>
      <c r="F131" s="324"/>
      <c r="G131" s="314"/>
      <c r="H131" s="748"/>
      <c r="I131" s="315"/>
    </row>
    <row r="132" spans="1:12" s="82" customFormat="1">
      <c r="A132" s="698"/>
      <c r="B132" s="312" t="s">
        <v>115</v>
      </c>
      <c r="C132" s="698"/>
      <c r="D132" s="30"/>
      <c r="E132" s="698"/>
      <c r="F132" s="324"/>
      <c r="G132" s="314"/>
      <c r="H132" s="748"/>
      <c r="I132" s="315"/>
    </row>
    <row r="133" spans="1:12" s="698" customFormat="1">
      <c r="A133" s="22">
        <v>55</v>
      </c>
      <c r="C133" s="698" t="s">
        <v>311</v>
      </c>
      <c r="E133" s="187" t="str">
        <f>"(Note "&amp;B$358&amp;")"</f>
        <v>(Note N)</v>
      </c>
      <c r="F133" s="698" t="s">
        <v>312</v>
      </c>
      <c r="H133" s="749">
        <f>+'5 - Cost Support 1'!G160</f>
        <v>0</v>
      </c>
      <c r="I133" s="305"/>
      <c r="K133" s="1670"/>
    </row>
    <row r="134" spans="1:12" s="698" customFormat="1">
      <c r="A134" s="693">
        <v>56</v>
      </c>
      <c r="C134" s="171" t="s">
        <v>313</v>
      </c>
      <c r="D134" s="171"/>
      <c r="E134" s="172" t="str">
        <f>+E133</f>
        <v>(Note N)</v>
      </c>
      <c r="F134" s="317" t="str">
        <f>+F133</f>
        <v>From PJM</v>
      </c>
      <c r="H134" s="750">
        <f>+'5 - Cost Support 1'!G165</f>
        <v>0</v>
      </c>
      <c r="I134" s="310"/>
      <c r="K134" s="1670"/>
    </row>
    <row r="135" spans="1:12" s="698" customFormat="1">
      <c r="A135" s="693">
        <v>57</v>
      </c>
      <c r="C135" s="698" t="s">
        <v>314</v>
      </c>
      <c r="E135" s="693"/>
      <c r="F135" s="324" t="str">
        <f>"(Line "&amp;A133&amp;" - "&amp;A134&amp;")"</f>
        <v>(Line 55 - 56)</v>
      </c>
      <c r="H135" s="272">
        <f>+H133-H134</f>
        <v>0</v>
      </c>
      <c r="I135" s="305"/>
      <c r="K135" s="1670"/>
    </row>
    <row r="136" spans="1:12" s="698" customFormat="1">
      <c r="A136" s="693"/>
      <c r="E136" s="693"/>
      <c r="H136" s="272"/>
      <c r="I136" s="305"/>
    </row>
    <row r="137" spans="1:12" s="698" customFormat="1" ht="16" thickBot="1">
      <c r="A137" s="693">
        <v>58</v>
      </c>
      <c r="B137" s="63" t="s">
        <v>315</v>
      </c>
      <c r="C137" s="63"/>
      <c r="D137" s="63"/>
      <c r="E137" s="153"/>
      <c r="F137" s="162" t="str">
        <f>"(Line "&amp;A106&amp;" + "&amp;A108&amp;" + "&amp;A110&amp;" + "&amp;A113&amp;" + "&amp;A117&amp;" + "&amp;A125&amp;" + "&amp;A130&amp;" - "&amp;A135&amp;")"</f>
        <v>(Line 43 + 43a + 43b + 44 + 46 + 51 + 54 - 57)</v>
      </c>
      <c r="G137" s="173"/>
      <c r="H137" s="739">
        <f>SUM(H106,H108,H110,H113,H117,H125,H130)-H135</f>
        <v>-339327136.27056348</v>
      </c>
      <c r="I137" s="195"/>
      <c r="K137" s="1670"/>
    </row>
    <row r="138" spans="1:12" s="698" customFormat="1" ht="16" thickTop="1">
      <c r="A138" s="693"/>
      <c r="E138" s="693"/>
      <c r="H138" s="272"/>
      <c r="I138" s="305"/>
    </row>
    <row r="139" spans="1:12" s="698" customFormat="1" ht="16" thickBot="1">
      <c r="A139" s="325">
        <v>59</v>
      </c>
      <c r="B139" s="63" t="s">
        <v>316</v>
      </c>
      <c r="C139" s="63"/>
      <c r="D139" s="63"/>
      <c r="E139" s="153"/>
      <c r="F139" s="148" t="str">
        <f>"(Line "&amp;A89&amp;" + "&amp;A137&amp;")"</f>
        <v>(Line 39 + 58)</v>
      </c>
      <c r="G139" s="63"/>
      <c r="H139" s="739">
        <f>+H89+H137</f>
        <v>1093637721.0672503</v>
      </c>
      <c r="I139" s="195"/>
      <c r="K139" s="1670"/>
    </row>
    <row r="140" spans="1:12" s="698" customFormat="1" ht="16" thickTop="1">
      <c r="A140" s="21"/>
      <c r="E140" s="693"/>
      <c r="I140" s="305"/>
    </row>
    <row r="141" spans="1:12" s="305" customFormat="1">
      <c r="A141" s="706" t="s">
        <v>317</v>
      </c>
      <c r="B141" s="707"/>
      <c r="C141" s="708"/>
      <c r="D141" s="67"/>
      <c r="E141" s="456"/>
      <c r="F141" s="19"/>
      <c r="G141" s="19"/>
      <c r="H141" s="68"/>
      <c r="I141" s="140"/>
    </row>
    <row r="142" spans="1:12" s="305" customFormat="1">
      <c r="A142" s="308"/>
      <c r="B142" s="308"/>
      <c r="C142" s="308"/>
      <c r="D142" s="308"/>
      <c r="E142" s="693"/>
      <c r="H142" s="140"/>
      <c r="I142" s="140"/>
    </row>
    <row r="143" spans="1:12" s="698" customFormat="1">
      <c r="A143" s="325"/>
      <c r="B143" s="321" t="s">
        <v>146</v>
      </c>
      <c r="C143" s="323"/>
      <c r="D143" s="306"/>
      <c r="E143" s="70"/>
      <c r="G143" s="306"/>
      <c r="H143" s="306"/>
      <c r="I143" s="31"/>
    </row>
    <row r="144" spans="1:12" s="698" customFormat="1">
      <c r="A144" s="325">
        <v>60</v>
      </c>
      <c r="B144" s="325"/>
      <c r="C144" s="321" t="s">
        <v>146</v>
      </c>
      <c r="D144" s="308"/>
      <c r="E144" s="693"/>
      <c r="F144" s="31" t="s">
        <v>993</v>
      </c>
      <c r="G144" s="22"/>
      <c r="H144" s="736">
        <f>+'11A - O&amp;M'!G40</f>
        <v>24375480</v>
      </c>
      <c r="I144" s="31"/>
      <c r="K144" s="1670"/>
    </row>
    <row r="145" spans="1:11" s="698" customFormat="1">
      <c r="A145" s="325">
        <v>61</v>
      </c>
      <c r="B145" s="325"/>
      <c r="C145" s="321" t="s">
        <v>318</v>
      </c>
      <c r="D145" s="308"/>
      <c r="E145" s="693"/>
      <c r="F145" s="31" t="s">
        <v>299</v>
      </c>
      <c r="G145" s="22"/>
      <c r="H145" s="736">
        <f>'5 - Cost Support 1'!G174</f>
        <v>0</v>
      </c>
      <c r="I145" s="31"/>
      <c r="K145" s="1670"/>
    </row>
    <row r="146" spans="1:11" s="698" customFormat="1">
      <c r="A146" s="325">
        <v>62</v>
      </c>
      <c r="B146" s="325"/>
      <c r="C146" s="321" t="s">
        <v>319</v>
      </c>
      <c r="D146" s="308"/>
      <c r="E146" s="693"/>
      <c r="F146" s="31" t="s">
        <v>299</v>
      </c>
      <c r="G146" s="22"/>
      <c r="H146" s="736">
        <f>'5 - Cost Support 1'!J175</f>
        <v>0</v>
      </c>
      <c r="I146" s="31"/>
      <c r="K146" s="1670"/>
    </row>
    <row r="147" spans="1:11" s="698" customFormat="1">
      <c r="A147" s="22">
        <v>63</v>
      </c>
      <c r="B147" s="325"/>
      <c r="C147" s="321" t="s">
        <v>320</v>
      </c>
      <c r="D147" s="308"/>
      <c r="E147" s="693"/>
      <c r="F147" s="31" t="s">
        <v>321</v>
      </c>
      <c r="G147" s="308"/>
      <c r="H147" s="731">
        <v>0</v>
      </c>
      <c r="I147" s="31"/>
      <c r="K147" s="1670"/>
    </row>
    <row r="148" spans="1:11" s="698" customFormat="1">
      <c r="A148" s="22" t="s">
        <v>725</v>
      </c>
      <c r="B148" s="22"/>
      <c r="C148" s="321" t="s">
        <v>726</v>
      </c>
      <c r="D148" s="308"/>
      <c r="E148" s="693"/>
      <c r="F148" s="31" t="s">
        <v>865</v>
      </c>
      <c r="G148" s="308"/>
      <c r="H148" s="736">
        <f>+'10 - Merger Costs'!G7</f>
        <v>0</v>
      </c>
      <c r="I148" s="31"/>
      <c r="K148" s="1670"/>
    </row>
    <row r="149" spans="1:11" s="698" customFormat="1">
      <c r="A149" s="22">
        <v>64</v>
      </c>
      <c r="B149" s="22"/>
      <c r="C149" s="321" t="s">
        <v>322</v>
      </c>
      <c r="D149" s="308"/>
      <c r="E149" s="187" t="str">
        <f>"(Note "&amp;B$361&amp;")"</f>
        <v>(Note O)</v>
      </c>
      <c r="F149" s="31" t="s">
        <v>323</v>
      </c>
      <c r="G149" s="308"/>
      <c r="H149" s="731">
        <v>0</v>
      </c>
      <c r="I149" s="31"/>
      <c r="K149" s="1670"/>
    </row>
    <row r="150" spans="1:11" s="698" customFormat="1">
      <c r="A150" s="22">
        <v>65</v>
      </c>
      <c r="B150" s="325"/>
      <c r="C150" s="321" t="s">
        <v>324</v>
      </c>
      <c r="D150" s="31"/>
      <c r="E150" s="172" t="str">
        <f>"(Note "&amp;B$341&amp;")"</f>
        <v>(Note A)</v>
      </c>
      <c r="F150" s="307" t="s">
        <v>325</v>
      </c>
      <c r="G150" s="308"/>
      <c r="H150" s="737">
        <v>0</v>
      </c>
      <c r="I150" s="322"/>
      <c r="K150" s="1670"/>
    </row>
    <row r="151" spans="1:11" s="698" customFormat="1">
      <c r="A151" s="22">
        <v>66</v>
      </c>
      <c r="B151" s="308"/>
      <c r="C151" s="42" t="s">
        <v>146</v>
      </c>
      <c r="D151" s="41"/>
      <c r="E151" s="152"/>
      <c r="F151" s="322" t="str">
        <f>"(Lines "&amp;A144&amp;" - "&amp;A145&amp;" + "&amp;A146&amp;" - "&amp;A147&amp;" - "&amp;A148&amp;" + "&amp;A149&amp;" + "&amp;A150&amp;")"</f>
        <v>(Lines 60 - 61 + 62 - 63 - 63a + 64 + 65)</v>
      </c>
      <c r="G151" s="311"/>
      <c r="H151" s="732">
        <f>+H144-H145+H146-H147-H148+H149+H150</f>
        <v>24375480</v>
      </c>
      <c r="I151" s="322"/>
      <c r="K151" s="1670"/>
    </row>
    <row r="152" spans="1:11" s="698" customFormat="1">
      <c r="A152" s="22"/>
      <c r="B152" s="22"/>
      <c r="C152" s="321"/>
      <c r="D152" s="308"/>
      <c r="E152" s="70"/>
      <c r="F152" s="308"/>
      <c r="G152" s="308"/>
      <c r="H152" s="740"/>
      <c r="I152" s="280"/>
    </row>
    <row r="153" spans="1:11" s="698" customFormat="1">
      <c r="A153" s="22"/>
      <c r="B153" s="321" t="s">
        <v>56</v>
      </c>
      <c r="C153" s="308"/>
      <c r="D153" s="308"/>
      <c r="E153" s="70"/>
      <c r="F153" s="308"/>
      <c r="G153" s="308"/>
      <c r="H153" s="740"/>
      <c r="I153" s="280"/>
    </row>
    <row r="154" spans="1:11" s="698" customFormat="1">
      <c r="A154" s="22">
        <v>67</v>
      </c>
      <c r="B154" s="22"/>
      <c r="C154" s="321" t="s">
        <v>326</v>
      </c>
      <c r="D154" s="308"/>
      <c r="E154" s="187" t="str">
        <f>"(Note "&amp;B$341&amp;")"</f>
        <v>(Note A)</v>
      </c>
      <c r="F154" s="306" t="s">
        <v>267</v>
      </c>
      <c r="G154" s="308"/>
      <c r="H154" s="731">
        <v>0</v>
      </c>
      <c r="I154" s="31"/>
      <c r="K154" s="1670"/>
    </row>
    <row r="155" spans="1:11" s="698" customFormat="1">
      <c r="A155" s="22">
        <v>68</v>
      </c>
      <c r="B155" s="22"/>
      <c r="C155" s="321" t="s">
        <v>147</v>
      </c>
      <c r="D155" s="308"/>
      <c r="E155" s="693"/>
      <c r="F155" s="31" t="s">
        <v>994</v>
      </c>
      <c r="G155" s="308"/>
      <c r="H155" s="736">
        <f>+'11B - A&amp;G'!E24</f>
        <v>99916175</v>
      </c>
      <c r="I155" s="31"/>
      <c r="K155" s="1670"/>
    </row>
    <row r="156" spans="1:11" s="698" customFormat="1">
      <c r="A156" s="22" t="s">
        <v>327</v>
      </c>
      <c r="B156" s="22"/>
      <c r="C156" s="321" t="s">
        <v>328</v>
      </c>
      <c r="D156" s="308"/>
      <c r="E156" s="187" t="s">
        <v>329</v>
      </c>
      <c r="F156" s="31" t="s">
        <v>299</v>
      </c>
      <c r="G156" s="174"/>
      <c r="H156" s="736">
        <f>+'5 - Cost Support 1'!I259</f>
        <v>-869192</v>
      </c>
      <c r="I156" s="31"/>
      <c r="K156" s="1670"/>
    </row>
    <row r="157" spans="1:11" s="698" customFormat="1">
      <c r="A157" s="22" t="s">
        <v>727</v>
      </c>
      <c r="B157" s="22"/>
      <c r="C157" s="321" t="s">
        <v>728</v>
      </c>
      <c r="D157" s="308"/>
      <c r="E157" s="693"/>
      <c r="F157" s="31" t="s">
        <v>866</v>
      </c>
      <c r="G157" s="308"/>
      <c r="H157" s="736">
        <f>+'10 - Merger Costs'!C8</f>
        <v>0</v>
      </c>
      <c r="I157" s="31"/>
      <c r="K157" s="1670"/>
    </row>
    <row r="158" spans="1:11" s="698" customFormat="1">
      <c r="A158" s="22" t="s">
        <v>1116</v>
      </c>
      <c r="B158" s="22"/>
      <c r="C158" s="321" t="s">
        <v>1117</v>
      </c>
      <c r="D158" s="308"/>
      <c r="E158" s="693"/>
      <c r="F158" s="31" t="s">
        <v>299</v>
      </c>
      <c r="G158" s="308"/>
      <c r="H158" s="736">
        <f>'5 - Cost Support 1'!I242+'5 - Cost Support 1'!J242+'5 - Cost Support 1'!K242+'5 - Cost Support 1'!L242+'5 - Cost Support 1'!M242+'5 - Cost Support 1'!N242+'5 - Cost Support 1'!O242+'5 - Cost Support 1'!P242</f>
        <v>1078545.1462559998</v>
      </c>
      <c r="I158" s="31"/>
      <c r="K158" s="1670"/>
    </row>
    <row r="159" spans="1:11" s="698" customFormat="1">
      <c r="A159" s="22">
        <v>69</v>
      </c>
      <c r="B159" s="22"/>
      <c r="C159" s="321" t="s">
        <v>330</v>
      </c>
      <c r="D159" s="31"/>
      <c r="E159" s="693"/>
      <c r="F159" s="321" t="s">
        <v>331</v>
      </c>
      <c r="G159" s="323"/>
      <c r="H159" s="736">
        <f>+'11B - A&amp;G'!E14</f>
        <v>692197</v>
      </c>
      <c r="I159" s="31"/>
      <c r="K159" s="1670"/>
    </row>
    <row r="160" spans="1:11" s="698" customFormat="1">
      <c r="A160" s="22">
        <v>70</v>
      </c>
      <c r="B160" s="22"/>
      <c r="C160" s="321" t="s">
        <v>332</v>
      </c>
      <c r="D160" s="31"/>
      <c r="E160" s="187" t="str">
        <f>"(Note "&amp;B$349&amp;")"</f>
        <v>(Note E)</v>
      </c>
      <c r="F160" s="321" t="s">
        <v>65</v>
      </c>
      <c r="G160" s="323"/>
      <c r="H160" s="736">
        <f>+'11B - A&amp;G'!E18</f>
        <v>2095257</v>
      </c>
      <c r="I160" s="31"/>
      <c r="K160" s="1670"/>
    </row>
    <row r="161" spans="1:11" s="698" customFormat="1">
      <c r="A161" s="22">
        <v>71</v>
      </c>
      <c r="B161" s="22"/>
      <c r="C161" s="321" t="s">
        <v>333</v>
      </c>
      <c r="D161" s="31"/>
      <c r="E161" s="693"/>
      <c r="F161" s="321" t="s">
        <v>334</v>
      </c>
      <c r="G161" s="323"/>
      <c r="H161" s="736">
        <f>+'11B - A&amp;G'!E20</f>
        <v>586529</v>
      </c>
      <c r="I161" s="31"/>
      <c r="K161" s="1670"/>
    </row>
    <row r="162" spans="1:11" s="698" customFormat="1">
      <c r="A162" s="22">
        <v>72</v>
      </c>
      <c r="B162" s="22"/>
      <c r="C162" s="321" t="s">
        <v>335</v>
      </c>
      <c r="D162" s="31"/>
      <c r="E162" s="693"/>
      <c r="F162" s="321" t="s">
        <v>336</v>
      </c>
      <c r="G162" s="323"/>
      <c r="H162" s="731">
        <v>6310247</v>
      </c>
      <c r="I162" s="31"/>
      <c r="K162" s="142"/>
    </row>
    <row r="163" spans="1:11" s="698" customFormat="1">
      <c r="A163" s="22">
        <v>73</v>
      </c>
      <c r="B163" s="22"/>
      <c r="C163" s="321" t="s">
        <v>337</v>
      </c>
      <c r="E163" s="187" t="str">
        <f>"(Note "&amp;B$348&amp;")"</f>
        <v>(Note D)</v>
      </c>
      <c r="F163" s="307" t="s">
        <v>338</v>
      </c>
      <c r="G163" s="308"/>
      <c r="H163" s="736">
        <v>0</v>
      </c>
      <c r="I163" s="31"/>
      <c r="K163" s="1659"/>
    </row>
    <row r="164" spans="1:11" s="698" customFormat="1">
      <c r="A164" s="22">
        <v>74</v>
      </c>
      <c r="B164" s="22"/>
      <c r="C164" s="42" t="s">
        <v>339</v>
      </c>
      <c r="D164" s="41"/>
      <c r="E164" s="145"/>
      <c r="F164" s="324" t="str">
        <f>"(Lines "&amp;A154&amp;" + "&amp;A155&amp;") -  Sum ("&amp;A157&amp;" to "&amp;A163&amp;")"</f>
        <v>(Lines 67 + 68) -  Sum (68b to 73)</v>
      </c>
      <c r="G164" s="44"/>
      <c r="H164" s="733">
        <f>H154+H155-SUM(H157:H163)</f>
        <v>89153399.853744</v>
      </c>
      <c r="I164" s="322"/>
      <c r="K164" s="1670"/>
    </row>
    <row r="165" spans="1:11" s="698" customFormat="1">
      <c r="A165" s="22">
        <v>75</v>
      </c>
      <c r="B165" s="22"/>
      <c r="C165" s="23" t="s">
        <v>280</v>
      </c>
      <c r="D165" s="40"/>
      <c r="E165" s="693"/>
      <c r="F165" s="337" t="s">
        <v>784</v>
      </c>
      <c r="G165" s="702"/>
      <c r="H165" s="751">
        <f>+H24</f>
        <v>0.14625503638690887</v>
      </c>
      <c r="I165" s="283"/>
      <c r="K165" s="1670"/>
    </row>
    <row r="166" spans="1:11" s="698" customFormat="1">
      <c r="A166" s="22">
        <v>76</v>
      </c>
      <c r="B166" s="22"/>
      <c r="C166" s="42" t="s">
        <v>340</v>
      </c>
      <c r="D166" s="41"/>
      <c r="E166" s="145"/>
      <c r="F166" s="324" t="s">
        <v>790</v>
      </c>
      <c r="G166" s="44"/>
      <c r="H166" s="733">
        <f>+H165*H164</f>
        <v>13039133.739625964</v>
      </c>
      <c r="I166" s="322"/>
      <c r="K166" s="1670"/>
    </row>
    <row r="167" spans="1:11" s="698" customFormat="1">
      <c r="A167" s="22"/>
      <c r="B167" s="22"/>
      <c r="C167" s="309"/>
      <c r="D167" s="332"/>
      <c r="E167" s="70"/>
      <c r="F167" s="25"/>
      <c r="G167" s="25"/>
      <c r="H167" s="324"/>
      <c r="I167" s="322"/>
    </row>
    <row r="168" spans="1:11" s="698" customFormat="1">
      <c r="A168" s="22"/>
      <c r="B168" s="321" t="s">
        <v>62</v>
      </c>
      <c r="C168" s="305"/>
      <c r="D168" s="332"/>
      <c r="E168" s="70"/>
      <c r="F168" s="25"/>
      <c r="G168" s="25"/>
      <c r="H168" s="324"/>
      <c r="I168" s="322"/>
    </row>
    <row r="169" spans="1:11" s="698" customFormat="1">
      <c r="A169" s="22">
        <v>77</v>
      </c>
      <c r="B169" s="168"/>
      <c r="C169" s="23" t="s">
        <v>63</v>
      </c>
      <c r="D169" s="175"/>
      <c r="E169" s="187" t="str">
        <f>"(Note "&amp;B$351&amp;")"</f>
        <v>(Note G)</v>
      </c>
      <c r="F169" s="23" t="s">
        <v>65</v>
      </c>
      <c r="G169" s="305"/>
      <c r="H169" s="747">
        <f>+'11B - A&amp;G'!J18</f>
        <v>305405</v>
      </c>
      <c r="I169" s="87"/>
      <c r="K169" s="1670"/>
    </row>
    <row r="170" spans="1:11" s="698" customFormat="1">
      <c r="A170" s="325">
        <v>78</v>
      </c>
      <c r="B170" s="168"/>
      <c r="C170" s="316" t="s">
        <v>341</v>
      </c>
      <c r="D170" s="176"/>
      <c r="E170" s="172" t="str">
        <f>"(Note "&amp;B$355&amp;")"</f>
        <v>(Note K)</v>
      </c>
      <c r="F170" s="316" t="s">
        <v>334</v>
      </c>
      <c r="G170" s="305"/>
      <c r="H170" s="752">
        <f>'5 - Cost Support 1'!H60</f>
        <v>0</v>
      </c>
      <c r="I170" s="315"/>
      <c r="K170" s="1670"/>
    </row>
    <row r="171" spans="1:11" s="698" customFormat="1">
      <c r="A171" s="325">
        <v>79</v>
      </c>
      <c r="B171" s="168"/>
      <c r="C171" s="23" t="s">
        <v>342</v>
      </c>
      <c r="D171" s="308"/>
      <c r="E171" s="536"/>
      <c r="F171" s="324" t="s">
        <v>792</v>
      </c>
      <c r="G171" s="305"/>
      <c r="H171" s="747">
        <f>+H170+H169</f>
        <v>305405</v>
      </c>
      <c r="I171" s="87"/>
      <c r="K171" s="1670"/>
    </row>
    <row r="172" spans="1:11" s="698" customFormat="1">
      <c r="A172" s="22"/>
      <c r="B172" s="168"/>
      <c r="C172" s="23"/>
      <c r="D172" s="308"/>
      <c r="E172" s="536"/>
      <c r="F172" s="23"/>
      <c r="G172" s="305"/>
      <c r="H172" s="753"/>
      <c r="I172" s="703"/>
    </row>
    <row r="173" spans="1:11" s="698" customFormat="1">
      <c r="A173" s="325">
        <v>80</v>
      </c>
      <c r="B173" s="168"/>
      <c r="C173" s="23" t="s">
        <v>343</v>
      </c>
      <c r="D173" s="308"/>
      <c r="E173" s="693"/>
      <c r="F173" s="23" t="s">
        <v>331</v>
      </c>
      <c r="G173" s="305"/>
      <c r="H173" s="747">
        <f>H159</f>
        <v>692197</v>
      </c>
      <c r="I173" s="87"/>
      <c r="K173" s="1670"/>
    </row>
    <row r="174" spans="1:11" s="698" customFormat="1" ht="16" thickBot="1">
      <c r="A174" s="325">
        <v>81</v>
      </c>
      <c r="B174" s="168"/>
      <c r="C174" s="23" t="s">
        <v>341</v>
      </c>
      <c r="D174" s="308"/>
      <c r="E174" s="187" t="str">
        <f>"(Note "&amp;B$350&amp;")"</f>
        <v>(Note F)</v>
      </c>
      <c r="F174" s="316" t="s">
        <v>334</v>
      </c>
      <c r="G174" s="305"/>
      <c r="H174" s="747">
        <f>+'5 - Cost Support 1'!H73</f>
        <v>0</v>
      </c>
      <c r="I174" s="87"/>
      <c r="K174" s="1670"/>
    </row>
    <row r="175" spans="1:11" s="698" customFormat="1">
      <c r="A175" s="22">
        <v>82</v>
      </c>
      <c r="B175" s="168"/>
      <c r="C175" s="313" t="s">
        <v>42</v>
      </c>
      <c r="D175" s="41"/>
      <c r="E175" s="152"/>
      <c r="F175" s="324" t="s">
        <v>793</v>
      </c>
      <c r="G175" s="311"/>
      <c r="H175" s="754">
        <f>+H173+H174</f>
        <v>692197</v>
      </c>
      <c r="I175" s="315"/>
      <c r="K175" s="1670"/>
    </row>
    <row r="176" spans="1:11" s="698" customFormat="1">
      <c r="A176" s="325">
        <v>83</v>
      </c>
      <c r="B176" s="22"/>
      <c r="C176" s="40" t="s">
        <v>1491</v>
      </c>
      <c r="D176" s="40"/>
      <c r="E176" s="142"/>
      <c r="F176" s="197" t="s">
        <v>1492</v>
      </c>
      <c r="G176" s="703"/>
      <c r="H176" s="1625">
        <f>+H45</f>
        <v>0.37201518739184425</v>
      </c>
      <c r="I176" s="75"/>
      <c r="K176" s="1670"/>
    </row>
    <row r="177" spans="1:11" s="698" customFormat="1">
      <c r="A177" s="22">
        <v>84</v>
      </c>
      <c r="B177" s="22"/>
      <c r="C177" s="42" t="s">
        <v>344</v>
      </c>
      <c r="D177" s="41"/>
      <c r="E177" s="145"/>
      <c r="F177" s="324" t="s">
        <v>794</v>
      </c>
      <c r="G177" s="44"/>
      <c r="H177" s="744">
        <f>+H176*H175</f>
        <v>257507.79666707243</v>
      </c>
      <c r="I177" s="315"/>
      <c r="K177" s="1670"/>
    </row>
    <row r="178" spans="1:11" s="698" customFormat="1">
      <c r="A178" s="325"/>
      <c r="B178" s="325"/>
      <c r="C178" s="321"/>
      <c r="D178" s="308"/>
      <c r="E178" s="70"/>
      <c r="F178" s="323"/>
      <c r="G178" s="323"/>
      <c r="H178" s="738"/>
      <c r="I178" s="322"/>
    </row>
    <row r="179" spans="1:11" s="698" customFormat="1" ht="16" thickBot="1">
      <c r="A179" s="325">
        <v>85</v>
      </c>
      <c r="B179" s="325"/>
      <c r="C179" s="146" t="s">
        <v>345</v>
      </c>
      <c r="D179" s="147"/>
      <c r="E179" s="177"/>
      <c r="F179" s="148" t="s">
        <v>795</v>
      </c>
      <c r="G179" s="149"/>
      <c r="H179" s="755">
        <f>+H151+H166+H171+H177</f>
        <v>37977526.53629303</v>
      </c>
      <c r="I179" s="322"/>
      <c r="K179" s="1670"/>
    </row>
    <row r="180" spans="1:11" s="698" customFormat="1" ht="16" thickTop="1">
      <c r="A180" s="325"/>
      <c r="B180" s="325"/>
      <c r="C180" s="309"/>
      <c r="D180" s="332"/>
      <c r="E180" s="70"/>
      <c r="F180" s="324"/>
      <c r="G180" s="25"/>
      <c r="H180" s="738"/>
      <c r="I180" s="322"/>
    </row>
    <row r="181" spans="1:11" s="698" customFormat="1">
      <c r="A181" s="326"/>
      <c r="B181" s="325"/>
      <c r="C181" s="321"/>
      <c r="D181" s="308"/>
      <c r="E181" s="70"/>
      <c r="F181" s="323"/>
      <c r="G181" s="323"/>
      <c r="H181" s="740"/>
      <c r="I181" s="280"/>
    </row>
    <row r="182" spans="1:11" s="698" customFormat="1">
      <c r="A182" s="706" t="s">
        <v>346</v>
      </c>
      <c r="B182" s="707"/>
      <c r="C182" s="708"/>
      <c r="D182" s="67"/>
      <c r="E182" s="456"/>
      <c r="F182" s="19"/>
      <c r="G182" s="19"/>
      <c r="H182" s="756"/>
      <c r="I182" s="140"/>
    </row>
    <row r="183" spans="1:11" s="698" customFormat="1">
      <c r="A183" s="321"/>
      <c r="B183" s="325"/>
      <c r="C183" s="321"/>
      <c r="D183" s="308"/>
      <c r="E183" s="70"/>
      <c r="F183" s="323"/>
      <c r="G183" s="323"/>
      <c r="H183" s="740"/>
      <c r="I183" s="280"/>
    </row>
    <row r="184" spans="1:11" s="698" customFormat="1">
      <c r="A184" s="693"/>
      <c r="B184" s="326" t="s">
        <v>57</v>
      </c>
      <c r="D184" s="323"/>
      <c r="E184" s="693"/>
      <c r="F184" s="53"/>
      <c r="G184" s="53"/>
      <c r="H184" s="757"/>
      <c r="I184" s="709"/>
    </row>
    <row r="185" spans="1:11" s="698" customFormat="1">
      <c r="A185" s="325">
        <v>86</v>
      </c>
      <c r="B185" s="160"/>
      <c r="C185" s="23" t="s">
        <v>347</v>
      </c>
      <c r="D185" s="323"/>
      <c r="E185" s="693"/>
      <c r="F185" s="40" t="s">
        <v>1493</v>
      </c>
      <c r="H185" s="747">
        <f>+'5 - Cost Support 1'!I249</f>
        <v>54143783</v>
      </c>
      <c r="I185" s="87"/>
      <c r="K185" s="1670"/>
    </row>
    <row r="186" spans="1:11" s="698" customFormat="1">
      <c r="A186" s="325"/>
      <c r="B186" s="160"/>
      <c r="C186" s="23"/>
      <c r="D186" s="323"/>
      <c r="E186" s="693"/>
      <c r="F186" s="23"/>
      <c r="H186" s="747"/>
      <c r="I186" s="87"/>
    </row>
    <row r="187" spans="1:11" s="698" customFormat="1">
      <c r="A187" s="557" t="s">
        <v>1389</v>
      </c>
      <c r="B187" s="557"/>
      <c r="C187" s="167" t="s">
        <v>1390</v>
      </c>
      <c r="D187" s="167"/>
      <c r="E187" s="557"/>
      <c r="F187" s="270" t="s">
        <v>299</v>
      </c>
      <c r="H187" s="747">
        <f>+'5 - Cost Support 1'!E214</f>
        <v>0</v>
      </c>
      <c r="I187" s="87"/>
      <c r="K187" s="1670"/>
    </row>
    <row r="188" spans="1:11" s="698" customFormat="1">
      <c r="A188" s="325"/>
      <c r="B188" s="160"/>
      <c r="C188" s="23"/>
      <c r="D188" s="323"/>
      <c r="E188" s="693"/>
      <c r="F188" s="23"/>
      <c r="H188" s="747"/>
      <c r="I188" s="87"/>
    </row>
    <row r="189" spans="1:11" s="698" customFormat="1">
      <c r="A189" s="325">
        <v>87</v>
      </c>
      <c r="B189" s="160"/>
      <c r="C189" s="312" t="s">
        <v>148</v>
      </c>
      <c r="D189" s="25"/>
      <c r="E189" s="693"/>
      <c r="F189" s="40" t="s">
        <v>1494</v>
      </c>
      <c r="H189" s="747">
        <f>+'5 - Cost Support 1'!G250</f>
        <v>13209263</v>
      </c>
      <c r="I189" s="87"/>
      <c r="K189" s="1670"/>
    </row>
    <row r="190" spans="1:11" s="698" customFormat="1">
      <c r="A190" s="325" t="s">
        <v>771</v>
      </c>
      <c r="B190" s="168"/>
      <c r="C190" s="321" t="s">
        <v>728</v>
      </c>
      <c r="D190" s="308"/>
      <c r="E190" s="693"/>
      <c r="F190" s="312" t="s">
        <v>850</v>
      </c>
      <c r="H190" s="743">
        <f>+'10 - Merger Costs'!C14</f>
        <v>0</v>
      </c>
      <c r="I190" s="315"/>
      <c r="K190" s="1670"/>
    </row>
    <row r="191" spans="1:11" s="698" customFormat="1">
      <c r="A191" s="325">
        <v>88</v>
      </c>
      <c r="B191" s="160"/>
      <c r="C191" s="312" t="s">
        <v>348</v>
      </c>
      <c r="D191" s="25"/>
      <c r="E191" s="187" t="str">
        <f>"(Note "&amp;B$341&amp;")"</f>
        <v>(Note A)</v>
      </c>
      <c r="F191" s="312" t="s">
        <v>851</v>
      </c>
      <c r="H191" s="743">
        <f>+'5 - Cost Support 1'!G251</f>
        <v>9187922</v>
      </c>
      <c r="I191" s="315"/>
      <c r="K191" s="1670"/>
    </row>
    <row r="192" spans="1:11" s="698" customFormat="1">
      <c r="A192" s="325" t="s">
        <v>772</v>
      </c>
      <c r="B192" s="168"/>
      <c r="C192" s="196" t="s">
        <v>728</v>
      </c>
      <c r="D192" s="337"/>
      <c r="E192" s="172"/>
      <c r="F192" s="316" t="s">
        <v>963</v>
      </c>
      <c r="G192" s="171"/>
      <c r="H192" s="752">
        <f>+'10 - Merger Costs'!C15</f>
        <v>0</v>
      </c>
      <c r="I192" s="315"/>
      <c r="K192" s="1670"/>
    </row>
    <row r="193" spans="1:12" s="698" customFormat="1">
      <c r="A193" s="325">
        <v>89</v>
      </c>
      <c r="B193" s="160"/>
      <c r="C193" s="329" t="s">
        <v>42</v>
      </c>
      <c r="D193" s="25"/>
      <c r="E193" s="693"/>
      <c r="F193" s="322" t="str">
        <f>"(Line "&amp;87&amp;" - "&amp;A190&amp;" + "&amp;88&amp;" - "&amp;A192&amp;")"</f>
        <v>(Line 87 - 87a + 88 - 88a)</v>
      </c>
      <c r="H193" s="744">
        <f>H189-H190+H191-H192</f>
        <v>22397185</v>
      </c>
      <c r="I193" s="315"/>
      <c r="K193" s="1670"/>
    </row>
    <row r="194" spans="1:12" s="698" customFormat="1">
      <c r="A194" s="325">
        <v>90</v>
      </c>
      <c r="B194" s="160"/>
      <c r="C194" s="637" t="s">
        <v>280</v>
      </c>
      <c r="D194" s="78"/>
      <c r="E194" s="159"/>
      <c r="F194" s="337" t="str">
        <f>"(Line "&amp;A$24&amp;")"</f>
        <v>(Line 5)</v>
      </c>
      <c r="G194" s="340"/>
      <c r="H194" s="758">
        <f>+H24</f>
        <v>0.14625503638690887</v>
      </c>
      <c r="I194" s="284"/>
      <c r="K194" s="1670"/>
    </row>
    <row r="195" spans="1:12" s="698" customFormat="1">
      <c r="A195" s="325">
        <v>91</v>
      </c>
      <c r="B195" s="160"/>
      <c r="C195" s="326" t="s">
        <v>349</v>
      </c>
      <c r="D195" s="323"/>
      <c r="E195" s="693"/>
      <c r="F195" s="324" t="str">
        <f>"(Line "&amp;A193&amp;" * "&amp;A194&amp;")"</f>
        <v>(Line 89 * 90)</v>
      </c>
      <c r="G195" s="702"/>
      <c r="H195" s="744">
        <f>+H193*H194</f>
        <v>3275701.1071393294</v>
      </c>
      <c r="I195" s="315"/>
      <c r="K195" s="1670"/>
    </row>
    <row r="196" spans="1:12" s="698" customFormat="1">
      <c r="A196" s="22"/>
      <c r="B196" s="168"/>
      <c r="C196" s="23"/>
      <c r="D196" s="308"/>
      <c r="E196" s="693"/>
      <c r="F196" s="23"/>
      <c r="G196" s="702"/>
      <c r="H196" s="710"/>
      <c r="I196" s="87"/>
    </row>
    <row r="197" spans="1:12" s="698" customFormat="1">
      <c r="A197" s="325">
        <v>92</v>
      </c>
      <c r="B197" s="168"/>
      <c r="C197" s="23" t="s">
        <v>350</v>
      </c>
      <c r="D197" s="308"/>
      <c r="E197" s="187" t="str">
        <f>"(Note "&amp;B$341&amp;")"</f>
        <v>(Note A)</v>
      </c>
      <c r="F197" s="23" t="s">
        <v>852</v>
      </c>
      <c r="H197" s="743">
        <f>+'5 - Cost Support 1'!I252</f>
        <v>5629722</v>
      </c>
      <c r="I197" s="87"/>
      <c r="K197" s="1670"/>
    </row>
    <row r="198" spans="1:12" s="698" customFormat="1">
      <c r="A198" s="22">
        <v>93</v>
      </c>
      <c r="B198" s="168"/>
      <c r="C198" s="316" t="s">
        <v>351</v>
      </c>
      <c r="D198" s="337"/>
      <c r="E198" s="172" t="str">
        <f>"(Note "&amp;B$341&amp;")"</f>
        <v>(Note A)</v>
      </c>
      <c r="F198" s="316" t="s">
        <v>853</v>
      </c>
      <c r="G198" s="171"/>
      <c r="H198" s="752">
        <f>+'5 - Cost Support 1'!I253</f>
        <v>11166521</v>
      </c>
      <c r="I198" s="315"/>
      <c r="K198" s="1670"/>
    </row>
    <row r="199" spans="1:12" s="698" customFormat="1">
      <c r="A199" s="22">
        <v>94</v>
      </c>
      <c r="B199" s="168"/>
      <c r="C199" s="23" t="s">
        <v>42</v>
      </c>
      <c r="D199" s="308"/>
      <c r="E199" s="693"/>
      <c r="F199" s="324" t="str">
        <f>"(Line "&amp;A197&amp;" + "&amp;A198&amp;")"</f>
        <v>(Line 92 + 93)</v>
      </c>
      <c r="H199" s="747">
        <f>+H198+H197</f>
        <v>16796243</v>
      </c>
      <c r="I199" s="87"/>
      <c r="K199" s="1670"/>
    </row>
    <row r="200" spans="1:12" s="698" customFormat="1">
      <c r="A200" s="325">
        <v>95</v>
      </c>
      <c r="B200" s="168"/>
      <c r="C200" s="637" t="s">
        <v>280</v>
      </c>
      <c r="D200" s="78"/>
      <c r="E200" s="159"/>
      <c r="F200" s="337" t="str">
        <f>"(Line "&amp;A$24&amp;")"</f>
        <v>(Line 5)</v>
      </c>
      <c r="G200" s="340"/>
      <c r="H200" s="758">
        <f>+H24</f>
        <v>0.14625503638690887</v>
      </c>
      <c r="I200" s="284"/>
      <c r="K200" s="1670"/>
    </row>
    <row r="201" spans="1:12" s="698" customFormat="1">
      <c r="A201" s="325">
        <v>96</v>
      </c>
      <c r="B201" s="168"/>
      <c r="C201" s="326" t="s">
        <v>352</v>
      </c>
      <c r="D201" s="308"/>
      <c r="E201" s="693"/>
      <c r="F201" s="324" t="str">
        <f>"(Line "&amp;A199&amp;" * "&amp;A200&amp;")"</f>
        <v>(Line 94 * 95)</v>
      </c>
      <c r="G201" s="702"/>
      <c r="H201" s="748">
        <f>+H200*H199</f>
        <v>2456535.1311283633</v>
      </c>
      <c r="I201" s="315"/>
      <c r="K201" s="1670"/>
    </row>
    <row r="202" spans="1:12" s="698" customFormat="1">
      <c r="A202" s="22"/>
      <c r="B202" s="168"/>
      <c r="D202" s="308"/>
      <c r="E202" s="693"/>
      <c r="F202" s="23"/>
      <c r="G202" s="702"/>
      <c r="H202" s="748"/>
      <c r="I202" s="315"/>
    </row>
    <row r="203" spans="1:12" s="698" customFormat="1">
      <c r="A203" s="178"/>
      <c r="B203" s="179"/>
      <c r="C203" s="23"/>
      <c r="D203" s="308"/>
      <c r="E203" s="693"/>
      <c r="F203" s="23"/>
      <c r="G203" s="702"/>
      <c r="H203" s="759"/>
      <c r="I203" s="283"/>
    </row>
    <row r="204" spans="1:12" s="82" customFormat="1" ht="16" thickBot="1">
      <c r="A204" s="325">
        <v>97</v>
      </c>
      <c r="B204" s="180" t="s">
        <v>353</v>
      </c>
      <c r="C204" s="180"/>
      <c r="D204" s="149"/>
      <c r="E204" s="153"/>
      <c r="F204" s="148" t="str">
        <f>"(Line "&amp;A185&amp;" + "&amp;A195&amp;" + "&amp;A201&amp;")"</f>
        <v>(Line 86 + 91 + 96)</v>
      </c>
      <c r="G204" s="181"/>
      <c r="H204" s="760">
        <f>+H185+H195+H201</f>
        <v>59876019.23826769</v>
      </c>
      <c r="I204" s="315"/>
      <c r="K204" s="1670"/>
      <c r="L204" s="698"/>
    </row>
    <row r="205" spans="1:12" s="698" customFormat="1" ht="16" thickTop="1">
      <c r="A205" s="21"/>
      <c r="B205" s="323"/>
      <c r="C205" s="323"/>
      <c r="D205" s="323"/>
      <c r="E205" s="693"/>
      <c r="H205" s="272"/>
      <c r="I205" s="305"/>
    </row>
    <row r="206" spans="1:12" s="698" customFormat="1">
      <c r="A206" s="706" t="s">
        <v>354</v>
      </c>
      <c r="B206" s="707"/>
      <c r="C206" s="708"/>
      <c r="D206" s="67"/>
      <c r="E206" s="537"/>
      <c r="F206" s="19"/>
      <c r="G206" s="19"/>
      <c r="H206" s="756"/>
      <c r="I206" s="140"/>
    </row>
    <row r="207" spans="1:12" s="698" customFormat="1">
      <c r="A207" s="165"/>
      <c r="B207" s="325"/>
      <c r="C207" s="321"/>
      <c r="D207" s="308"/>
      <c r="E207" s="70"/>
      <c r="F207" s="323"/>
      <c r="G207" s="323"/>
      <c r="H207" s="740"/>
      <c r="I207" s="280"/>
    </row>
    <row r="208" spans="1:12" s="698" customFormat="1">
      <c r="A208" s="22">
        <v>98</v>
      </c>
      <c r="B208" s="23" t="s">
        <v>355</v>
      </c>
      <c r="C208" s="182"/>
      <c r="D208" s="323"/>
      <c r="E208" s="187"/>
      <c r="F208" s="305" t="s">
        <v>356</v>
      </c>
      <c r="G208" s="305"/>
      <c r="H208" s="749">
        <f>+'2 - Other Tax'!G39</f>
        <v>12937075.68536674</v>
      </c>
      <c r="I208" s="183"/>
      <c r="K208" s="1670"/>
    </row>
    <row r="209" spans="1:11" s="698" customFormat="1">
      <c r="A209" s="142"/>
      <c r="B209" s="308"/>
      <c r="C209" s="323"/>
      <c r="D209" s="323"/>
      <c r="E209" s="693"/>
      <c r="F209" s="326"/>
      <c r="G209" s="305"/>
      <c r="H209" s="272"/>
      <c r="I209" s="305"/>
    </row>
    <row r="210" spans="1:11" s="698" customFormat="1" ht="16" thickBot="1">
      <c r="A210" s="22">
        <v>99</v>
      </c>
      <c r="B210" s="146" t="s">
        <v>357</v>
      </c>
      <c r="C210" s="146"/>
      <c r="D210" s="149"/>
      <c r="E210" s="153"/>
      <c r="F210" s="148" t="str">
        <f>"(Line "&amp;A208&amp;")"</f>
        <v>(Line 98)</v>
      </c>
      <c r="G210" s="63"/>
      <c r="H210" s="739">
        <f>+H208</f>
        <v>12937075.68536674</v>
      </c>
      <c r="I210" s="195"/>
      <c r="K210" s="1670"/>
    </row>
    <row r="211" spans="1:11" s="698" customFormat="1" ht="16" thickTop="1">
      <c r="A211" s="693"/>
      <c r="B211" s="323"/>
      <c r="C211" s="323"/>
      <c r="D211" s="323"/>
      <c r="E211" s="693"/>
      <c r="H211" s="272"/>
      <c r="I211" s="305"/>
    </row>
    <row r="212" spans="1:11" s="698" customFormat="1">
      <c r="A212" s="706" t="s">
        <v>358</v>
      </c>
      <c r="B212" s="707"/>
      <c r="C212" s="708"/>
      <c r="D212" s="67"/>
      <c r="E212" s="456"/>
      <c r="F212" s="19"/>
      <c r="G212" s="19"/>
      <c r="H212" s="68"/>
      <c r="I212" s="140"/>
    </row>
    <row r="213" spans="1:11" s="698" customFormat="1">
      <c r="A213" s="326"/>
      <c r="B213" s="325"/>
      <c r="C213" s="321"/>
      <c r="D213" s="308"/>
      <c r="E213" s="70"/>
      <c r="F213" s="323"/>
      <c r="G213" s="323"/>
      <c r="H213" s="150"/>
      <c r="I213" s="280"/>
    </row>
    <row r="214" spans="1:11" s="698" customFormat="1">
      <c r="A214" s="22"/>
      <c r="B214" s="324" t="s">
        <v>2</v>
      </c>
      <c r="C214" s="323"/>
      <c r="D214" s="25"/>
      <c r="E214" s="70"/>
      <c r="G214" s="324"/>
      <c r="I214" s="305"/>
    </row>
    <row r="215" spans="1:11" s="698" customFormat="1">
      <c r="A215" s="22">
        <v>100</v>
      </c>
      <c r="B215" s="324"/>
      <c r="C215" s="323" t="s">
        <v>2</v>
      </c>
      <c r="D215" s="25"/>
      <c r="E215" s="70"/>
      <c r="F215" s="324" t="s">
        <v>359</v>
      </c>
      <c r="G215" s="324"/>
      <c r="H215" s="730">
        <f>67211431+1310986+683065-519911</f>
        <v>68685571</v>
      </c>
      <c r="I215" s="322"/>
      <c r="K215" s="1659"/>
    </row>
    <row r="216" spans="1:11" s="698" customFormat="1">
      <c r="A216" s="22">
        <v>101</v>
      </c>
      <c r="B216" s="22"/>
      <c r="C216" s="184" t="s">
        <v>360</v>
      </c>
      <c r="D216" s="337"/>
      <c r="E216" s="538" t="s">
        <v>796</v>
      </c>
      <c r="F216" s="307" t="s">
        <v>361</v>
      </c>
      <c r="G216" s="328"/>
      <c r="H216" s="761">
        <v>0</v>
      </c>
      <c r="I216" s="315"/>
      <c r="K216" s="1659"/>
    </row>
    <row r="217" spans="1:11" s="698" customFormat="1">
      <c r="A217" s="325">
        <v>102</v>
      </c>
      <c r="B217" s="325"/>
      <c r="C217" s="324" t="s">
        <v>2</v>
      </c>
      <c r="D217" s="25"/>
      <c r="E217" s="693"/>
      <c r="F217" s="322" t="s">
        <v>362</v>
      </c>
      <c r="G217" s="324"/>
      <c r="H217" s="738">
        <f>+H215-H216</f>
        <v>68685571</v>
      </c>
      <c r="I217" s="322"/>
      <c r="K217" s="1659"/>
    </row>
    <row r="218" spans="1:11" s="698" customFormat="1">
      <c r="A218" s="325"/>
      <c r="B218" s="325"/>
      <c r="C218" s="306"/>
      <c r="D218" s="323"/>
      <c r="E218" s="693"/>
      <c r="F218" s="308"/>
      <c r="G218" s="306"/>
      <c r="H218" s="306"/>
      <c r="I218" s="31"/>
    </row>
    <row r="219" spans="1:11" s="698" customFormat="1">
      <c r="A219" s="325">
        <v>103</v>
      </c>
      <c r="B219" s="306" t="s">
        <v>363</v>
      </c>
      <c r="C219" s="323"/>
      <c r="D219" s="323"/>
      <c r="E219" s="70" t="s">
        <v>364</v>
      </c>
      <c r="F219" s="31" t="s">
        <v>365</v>
      </c>
      <c r="G219" s="306"/>
      <c r="H219" s="186">
        <v>0</v>
      </c>
      <c r="I219" s="285"/>
      <c r="K219" s="1659"/>
    </row>
    <row r="220" spans="1:11" s="698" customFormat="1">
      <c r="A220" s="325"/>
      <c r="B220" s="325"/>
      <c r="C220" s="34"/>
      <c r="D220" s="323"/>
      <c r="E220" s="70"/>
      <c r="F220" s="31"/>
      <c r="G220" s="306"/>
      <c r="H220" s="306"/>
      <c r="I220" s="31"/>
    </row>
    <row r="221" spans="1:11" s="698" customFormat="1">
      <c r="A221" s="325"/>
      <c r="B221" s="34" t="s">
        <v>366</v>
      </c>
      <c r="C221" s="323"/>
      <c r="D221" s="323"/>
      <c r="E221" s="70"/>
      <c r="F221" s="31"/>
      <c r="G221" s="306"/>
      <c r="H221" s="306"/>
      <c r="I221" s="31"/>
    </row>
    <row r="222" spans="1:11" s="698" customFormat="1">
      <c r="A222" s="325">
        <v>104</v>
      </c>
      <c r="B222" s="325"/>
      <c r="C222" s="306" t="s">
        <v>367</v>
      </c>
      <c r="D222" s="306"/>
      <c r="E222" s="187"/>
      <c r="F222" s="31" t="s">
        <v>368</v>
      </c>
      <c r="G222" s="306"/>
      <c r="H222" s="730">
        <v>1919311737.9061542</v>
      </c>
      <c r="I222" s="279"/>
      <c r="K222" s="1665"/>
    </row>
    <row r="223" spans="1:11" s="698" customFormat="1">
      <c r="A223" s="22">
        <v>105</v>
      </c>
      <c r="B223" s="22"/>
      <c r="C223" s="31" t="s">
        <v>369</v>
      </c>
      <c r="D223" s="31"/>
      <c r="E223" s="70" t="s">
        <v>182</v>
      </c>
      <c r="F223" s="332" t="str">
        <f>"(Line "&amp;A235&amp;")"</f>
        <v>(Line 114)</v>
      </c>
      <c r="G223" s="306"/>
      <c r="H223" s="736">
        <f>-H235</f>
        <v>0</v>
      </c>
      <c r="I223" s="31"/>
      <c r="K223" s="1665"/>
    </row>
    <row r="224" spans="1:11" s="698" customFormat="1">
      <c r="A224" s="325">
        <v>106</v>
      </c>
      <c r="B224" s="22"/>
      <c r="C224" s="322" t="s">
        <v>370</v>
      </c>
      <c r="D224" s="322"/>
      <c r="E224" s="70" t="s">
        <v>182</v>
      </c>
      <c r="F224" s="322" t="s">
        <v>371</v>
      </c>
      <c r="G224" s="324"/>
      <c r="H224" s="737">
        <v>2177779</v>
      </c>
      <c r="I224" s="322"/>
      <c r="K224" s="1665"/>
    </row>
    <row r="225" spans="1:11" s="698" customFormat="1">
      <c r="A225" s="693" t="s">
        <v>1099</v>
      </c>
      <c r="B225" s="693"/>
      <c r="C225" s="300" t="s">
        <v>1100</v>
      </c>
      <c r="D225" s="300"/>
      <c r="E225" s="301" t="s">
        <v>182</v>
      </c>
      <c r="F225" s="300" t="s">
        <v>1101</v>
      </c>
      <c r="G225" s="328"/>
      <c r="H225" s="741">
        <v>0</v>
      </c>
      <c r="I225" s="322"/>
      <c r="K225" s="1665"/>
    </row>
    <row r="226" spans="1:11" s="698" customFormat="1">
      <c r="A226" s="325">
        <v>107</v>
      </c>
      <c r="B226" s="22"/>
      <c r="C226" s="322" t="s">
        <v>366</v>
      </c>
      <c r="D226" s="322"/>
      <c r="E226" s="187" t="s">
        <v>1128</v>
      </c>
      <c r="F226" s="324" t="s">
        <v>1102</v>
      </c>
      <c r="G226" s="39"/>
      <c r="H226" s="740">
        <f>SUM(H222:H225)</f>
        <v>1921489516.9061542</v>
      </c>
      <c r="I226" s="31"/>
      <c r="K226" s="1665"/>
    </row>
    <row r="227" spans="1:11" s="698" customFormat="1">
      <c r="A227" s="325"/>
      <c r="B227" s="325"/>
      <c r="C227" s="34"/>
      <c r="D227" s="323"/>
      <c r="E227" s="70"/>
      <c r="F227" s="306"/>
      <c r="G227" s="323"/>
      <c r="H227" s="740"/>
      <c r="I227" s="31"/>
    </row>
    <row r="228" spans="1:11" s="698" customFormat="1">
      <c r="A228" s="325"/>
      <c r="B228" s="34" t="s">
        <v>3</v>
      </c>
      <c r="C228" s="323"/>
      <c r="D228" s="323"/>
      <c r="E228" s="70"/>
      <c r="F228" s="306"/>
      <c r="G228" s="323"/>
      <c r="H228" s="740"/>
      <c r="I228" s="31"/>
    </row>
    <row r="229" spans="1:11" s="698" customFormat="1">
      <c r="A229" s="325">
        <v>108</v>
      </c>
      <c r="B229" s="325"/>
      <c r="C229" s="34" t="s">
        <v>372</v>
      </c>
      <c r="D229" s="323"/>
      <c r="E229" s="187"/>
      <c r="F229" s="34" t="s">
        <v>373</v>
      </c>
      <c r="G229" s="323"/>
      <c r="H229" s="730">
        <v>1897999230.7692308</v>
      </c>
      <c r="I229" s="31"/>
      <c r="K229" s="1665"/>
    </row>
    <row r="230" spans="1:11" s="698" customFormat="1">
      <c r="A230" s="22">
        <v>109</v>
      </c>
      <c r="B230" s="325"/>
      <c r="C230" s="34" t="s">
        <v>374</v>
      </c>
      <c r="D230" s="323"/>
      <c r="E230" s="70" t="str">
        <f>+E224</f>
        <v>enter negative</v>
      </c>
      <c r="F230" s="321" t="s">
        <v>375</v>
      </c>
      <c r="G230" s="323"/>
      <c r="H230" s="730">
        <v>-4119769.2792307702</v>
      </c>
      <c r="I230" s="31"/>
      <c r="K230" s="1665"/>
    </row>
    <row r="231" spans="1:11" s="698" customFormat="1">
      <c r="A231" s="22">
        <v>110</v>
      </c>
      <c r="B231" s="325"/>
      <c r="C231" s="34" t="s">
        <v>376</v>
      </c>
      <c r="D231" s="323"/>
      <c r="E231" s="693" t="s">
        <v>377</v>
      </c>
      <c r="F231" s="309" t="s">
        <v>378</v>
      </c>
      <c r="G231" s="323"/>
      <c r="H231" s="731">
        <v>0</v>
      </c>
      <c r="I231" s="31"/>
      <c r="K231" s="1670"/>
    </row>
    <row r="232" spans="1:11" s="698" customFormat="1">
      <c r="A232" s="22">
        <v>111</v>
      </c>
      <c r="B232" s="22"/>
      <c r="C232" s="321" t="s">
        <v>379</v>
      </c>
      <c r="D232" s="308"/>
      <c r="E232" s="70" t="str">
        <f>IF(H232&gt;0,"enter positive","enter negative")</f>
        <v>enter positive</v>
      </c>
      <c r="F232" s="324" t="str">
        <f>"Attachment 1B - ADIT EOY, Line "&amp;'1B - ADIT EOY'!B22&amp;""</f>
        <v>Attachment 1B - ADIT EOY, Line 7</v>
      </c>
      <c r="G232" s="308"/>
      <c r="H232" s="736">
        <f>-'1B - ADIT EOY'!E22</f>
        <v>1141794.0557388079</v>
      </c>
      <c r="I232" s="31"/>
      <c r="K232" s="1670"/>
    </row>
    <row r="233" spans="1:11" s="698" customFormat="1">
      <c r="A233" s="22">
        <v>112</v>
      </c>
      <c r="B233" s="22"/>
      <c r="C233" s="305" t="s">
        <v>380</v>
      </c>
      <c r="D233" s="185" t="s">
        <v>796</v>
      </c>
      <c r="E233" s="301" t="s">
        <v>182</v>
      </c>
      <c r="F233" s="307" t="str">
        <f>+F216</f>
        <v>Attachment 8</v>
      </c>
      <c r="G233" s="323"/>
      <c r="H233" s="731">
        <f>-'8 - Securitization'!E18</f>
        <v>0</v>
      </c>
      <c r="I233" s="31"/>
      <c r="K233" s="1670"/>
    </row>
    <row r="234" spans="1:11" s="698" customFormat="1">
      <c r="A234" s="22">
        <v>113</v>
      </c>
      <c r="B234" s="22"/>
      <c r="C234" s="42" t="s">
        <v>381</v>
      </c>
      <c r="D234" s="41"/>
      <c r="E234" s="187" t="s">
        <v>995</v>
      </c>
      <c r="F234" s="322" t="str">
        <f>"(Sum Lines "&amp;A229&amp;" to "&amp;A233&amp;")"</f>
        <v>(Sum Lines 108 to 112)</v>
      </c>
      <c r="G234" s="41"/>
      <c r="H234" s="732">
        <f>SUM(H229:H233)</f>
        <v>1895021255.5457389</v>
      </c>
      <c r="I234" s="322"/>
      <c r="K234" s="1670"/>
    </row>
    <row r="235" spans="1:11" s="698" customFormat="1">
      <c r="A235" s="325">
        <v>114</v>
      </c>
      <c r="B235" s="325"/>
      <c r="C235" s="34" t="s">
        <v>382</v>
      </c>
      <c r="D235" s="323"/>
      <c r="E235" s="187" t="s">
        <v>1097</v>
      </c>
      <c r="F235" s="321" t="s">
        <v>383</v>
      </c>
      <c r="G235" s="323"/>
      <c r="H235" s="731">
        <v>0</v>
      </c>
      <c r="I235" s="31"/>
      <c r="K235" s="1670"/>
    </row>
    <row r="236" spans="1:11" s="698" customFormat="1">
      <c r="A236" s="325">
        <v>115</v>
      </c>
      <c r="B236" s="325"/>
      <c r="C236" s="34" t="s">
        <v>366</v>
      </c>
      <c r="D236" s="323"/>
      <c r="E236" s="693"/>
      <c r="F236" s="328" t="str">
        <f>"(Line "&amp;A226&amp;")"</f>
        <v>(Line 107)</v>
      </c>
      <c r="G236" s="323"/>
      <c r="H236" s="738">
        <f>H226</f>
        <v>1921489516.9061542</v>
      </c>
      <c r="I236" s="322"/>
      <c r="K236" s="1670"/>
    </row>
    <row r="237" spans="1:11" s="698" customFormat="1">
      <c r="A237" s="325">
        <v>116</v>
      </c>
      <c r="B237" s="325"/>
      <c r="C237" s="42" t="s">
        <v>384</v>
      </c>
      <c r="D237" s="44"/>
      <c r="E237" s="152"/>
      <c r="F237" s="324" t="str">
        <f>"(Sum Lines "&amp;A234&amp;" to "&amp;A236&amp;")"</f>
        <v>(Sum Lines 113 to 115)</v>
      </c>
      <c r="G237" s="47"/>
      <c r="H237" s="733">
        <f>H236+H235+H234</f>
        <v>3816510772.4518929</v>
      </c>
      <c r="I237" s="322"/>
      <c r="K237" s="1670"/>
    </row>
    <row r="238" spans="1:11" s="698" customFormat="1">
      <c r="A238" s="325"/>
      <c r="B238" s="325"/>
      <c r="C238" s="34"/>
      <c r="D238" s="323"/>
      <c r="E238" s="693"/>
      <c r="G238" s="306"/>
      <c r="H238" s="70"/>
      <c r="I238" s="48"/>
    </row>
    <row r="239" spans="1:11" s="698" customFormat="1">
      <c r="A239" s="22">
        <v>117</v>
      </c>
      <c r="B239" s="325"/>
      <c r="C239" s="329" t="s">
        <v>385</v>
      </c>
      <c r="D239" s="309" t="s">
        <v>381</v>
      </c>
      <c r="E239" s="679" t="s">
        <v>1103</v>
      </c>
      <c r="F239" s="154" t="str">
        <f>"(Line "&amp;A229&amp;" / ("&amp;A229&amp;"+"&amp;A235&amp;"+"&amp;A236&amp;"))"</f>
        <v>(Line 108 / (108+114+115))</v>
      </c>
      <c r="G239" s="154"/>
      <c r="H239" s="516">
        <f>IF(H237&gt;0,H229/(H229+H235+H236),0)</f>
        <v>0.49692494366540285</v>
      </c>
      <c r="I239" s="286"/>
      <c r="K239" s="1670"/>
    </row>
    <row r="240" spans="1:11" s="698" customFormat="1">
      <c r="A240" s="22">
        <v>118</v>
      </c>
      <c r="B240" s="325"/>
      <c r="C240" s="329" t="s">
        <v>386</v>
      </c>
      <c r="D240" s="34" t="s">
        <v>382</v>
      </c>
      <c r="E240" s="679" t="s">
        <v>1103</v>
      </c>
      <c r="F240" s="154" t="str">
        <f>"(Line "&amp;A235&amp;" / ("&amp;A229&amp;"+"&amp;A235&amp;"+"&amp;A236&amp;"))"</f>
        <v>(Line 114 / (108+114+115))</v>
      </c>
      <c r="G240" s="154"/>
      <c r="H240" s="516">
        <f>IF(H237&gt;0,H235/(H229+H235+H236),0)</f>
        <v>0</v>
      </c>
      <c r="I240" s="286"/>
      <c r="K240" s="1670"/>
    </row>
    <row r="241" spans="1:12" s="698" customFormat="1">
      <c r="A241" s="22">
        <v>119</v>
      </c>
      <c r="B241" s="325"/>
      <c r="C241" s="329" t="s">
        <v>387</v>
      </c>
      <c r="D241" s="34" t="s">
        <v>366</v>
      </c>
      <c r="E241" s="679" t="s">
        <v>1103</v>
      </c>
      <c r="F241" s="154" t="str">
        <f>"(Line "&amp;A236&amp;" / ("&amp;A229&amp;"+"&amp;A235&amp;"+"&amp;A236&amp;"))"</f>
        <v>(Line 115 / (108+114+115))</v>
      </c>
      <c r="G241" s="154"/>
      <c r="H241" s="516">
        <f>IF(H237&gt;0,H236/(H229+H235+H236),0)</f>
        <v>0.50307505633459715</v>
      </c>
      <c r="I241" s="286"/>
      <c r="K241" s="1670"/>
    </row>
    <row r="242" spans="1:12" s="698" customFormat="1">
      <c r="A242" s="22"/>
      <c r="B242" s="325"/>
      <c r="C242" s="33"/>
      <c r="D242" s="323"/>
      <c r="E242" s="693"/>
      <c r="F242" s="306"/>
      <c r="G242" s="306"/>
      <c r="H242" s="261"/>
      <c r="I242" s="287"/>
    </row>
    <row r="243" spans="1:12" s="698" customFormat="1">
      <c r="A243" s="22">
        <v>120</v>
      </c>
      <c r="B243" s="325"/>
      <c r="C243" s="33" t="s">
        <v>388</v>
      </c>
      <c r="D243" s="309" t="s">
        <v>381</v>
      </c>
      <c r="E243" s="262"/>
      <c r="F243" s="324" t="str">
        <f>"(Line "&amp;A217&amp;" / "&amp;A234&amp;")"</f>
        <v>(Line 102 / 113)</v>
      </c>
      <c r="G243" s="306"/>
      <c r="H243" s="762">
        <f>IF(H234&gt;0,H217/H234,0)</f>
        <v>3.6245277354537926E-2</v>
      </c>
      <c r="I243" s="49"/>
      <c r="K243" s="1670"/>
    </row>
    <row r="244" spans="1:12" s="698" customFormat="1">
      <c r="A244" s="22">
        <v>121</v>
      </c>
      <c r="B244" s="325"/>
      <c r="C244" s="33" t="s">
        <v>389</v>
      </c>
      <c r="D244" s="34" t="s">
        <v>382</v>
      </c>
      <c r="E244" s="693"/>
      <c r="F244" s="324" t="str">
        <f>"(Line "&amp;A219&amp;" / "&amp;A235&amp;")"</f>
        <v>(Line 103 / 114)</v>
      </c>
      <c r="G244" s="306"/>
      <c r="H244" s="762">
        <f>IF(H235&gt;0,H219/H235,0)</f>
        <v>0</v>
      </c>
      <c r="I244" s="49"/>
      <c r="K244" s="1670"/>
    </row>
    <row r="245" spans="1:12" s="698" customFormat="1">
      <c r="A245" s="22">
        <v>122</v>
      </c>
      <c r="B245" s="325"/>
      <c r="C245" s="33" t="s">
        <v>390</v>
      </c>
      <c r="D245" s="34" t="s">
        <v>366</v>
      </c>
      <c r="E245" s="187" t="str">
        <f>"(Note "&amp;B$354&amp;")"</f>
        <v>(Note J)</v>
      </c>
      <c r="F245" s="31" t="s">
        <v>391</v>
      </c>
      <c r="G245" s="306"/>
      <c r="H245" s="763">
        <v>0.105</v>
      </c>
      <c r="I245" s="49"/>
      <c r="K245" s="1670"/>
    </row>
    <row r="246" spans="1:12" s="698" customFormat="1">
      <c r="A246" s="22"/>
      <c r="B246" s="325"/>
      <c r="C246" s="33"/>
      <c r="D246" s="323"/>
      <c r="E246" s="693"/>
      <c r="F246" s="306"/>
      <c r="G246" s="306"/>
      <c r="H246" s="762"/>
      <c r="I246" s="308"/>
    </row>
    <row r="247" spans="1:12" s="698" customFormat="1">
      <c r="A247" s="22">
        <v>123</v>
      </c>
      <c r="B247" s="325"/>
      <c r="C247" s="329" t="s">
        <v>392</v>
      </c>
      <c r="D247" s="309" t="s">
        <v>393</v>
      </c>
      <c r="E247" s="693"/>
      <c r="F247" s="324" t="str">
        <f>"(Line "&amp;A239&amp;" * "&amp;A243&amp;")"</f>
        <v>(Line 117 * 120)</v>
      </c>
      <c r="G247" s="51"/>
      <c r="H247" s="762">
        <f>H243*H239</f>
        <v>1.8011182407540662E-2</v>
      </c>
      <c r="I247" s="49"/>
      <c r="K247" s="1670"/>
    </row>
    <row r="248" spans="1:12" s="698" customFormat="1">
      <c r="A248" s="22">
        <v>124</v>
      </c>
      <c r="B248" s="325"/>
      <c r="C248" s="329" t="s">
        <v>394</v>
      </c>
      <c r="D248" s="34" t="s">
        <v>382</v>
      </c>
      <c r="E248" s="693"/>
      <c r="F248" s="324" t="str">
        <f>"(Line "&amp;A240&amp;" * "&amp;A244&amp;")"</f>
        <v>(Line 118 * 121)</v>
      </c>
      <c r="G248" s="53"/>
      <c r="H248" s="762">
        <f>H244*H240</f>
        <v>0</v>
      </c>
      <c r="I248" s="49"/>
      <c r="K248" s="1670"/>
    </row>
    <row r="249" spans="1:12" s="698" customFormat="1">
      <c r="A249" s="22">
        <v>125</v>
      </c>
      <c r="B249" s="79"/>
      <c r="C249" s="330" t="s">
        <v>395</v>
      </c>
      <c r="D249" s="331" t="s">
        <v>366</v>
      </c>
      <c r="E249" s="159"/>
      <c r="F249" s="328" t="str">
        <f>"(Line "&amp;A241&amp;" * "&amp;A245&amp;")"</f>
        <v>(Line 119 * 122)</v>
      </c>
      <c r="G249" s="54"/>
      <c r="H249" s="764">
        <f>H245*H241</f>
        <v>5.2822880915132701E-2</v>
      </c>
      <c r="I249" s="288"/>
      <c r="K249" s="1670"/>
    </row>
    <row r="250" spans="1:12" s="82" customFormat="1">
      <c r="A250" s="325">
        <v>126</v>
      </c>
      <c r="B250" s="164" t="s">
        <v>396</v>
      </c>
      <c r="C250" s="164"/>
      <c r="D250" s="25"/>
      <c r="E250" s="693"/>
      <c r="F250" s="324" t="str">
        <f>"(Sum Lines "&amp;A247&amp;" to "&amp;A249&amp;")"</f>
        <v>(Sum Lines 123 to 125)</v>
      </c>
      <c r="G250" s="188"/>
      <c r="H250" s="52">
        <f>SUM(H247:H249)</f>
        <v>7.0834063322673363E-2</v>
      </c>
      <c r="I250" s="49"/>
      <c r="K250" s="1670"/>
      <c r="L250" s="698"/>
    </row>
    <row r="251" spans="1:12" s="82" customFormat="1">
      <c r="A251" s="325"/>
      <c r="B251" s="325"/>
      <c r="C251" s="164"/>
      <c r="D251" s="25"/>
      <c r="E251" s="693"/>
      <c r="F251" s="324"/>
      <c r="G251" s="188"/>
      <c r="H251" s="52"/>
      <c r="I251" s="49"/>
    </row>
    <row r="252" spans="1:12" s="698" customFormat="1" ht="16" thickBot="1">
      <c r="A252" s="325">
        <v>127</v>
      </c>
      <c r="B252" s="189" t="s">
        <v>397</v>
      </c>
      <c r="C252" s="63"/>
      <c r="D252" s="149"/>
      <c r="E252" s="177"/>
      <c r="F252" s="148" t="str">
        <f>"(Line "&amp;A139&amp;" * "&amp;A250&amp;")"</f>
        <v>(Line 59 * 126)</v>
      </c>
      <c r="G252" s="190"/>
      <c r="H252" s="148">
        <f>+H139*H250</f>
        <v>77466803.586141795</v>
      </c>
      <c r="I252" s="322"/>
      <c r="K252" s="1670"/>
    </row>
    <row r="253" spans="1:12" s="698" customFormat="1" ht="16" thickTop="1">
      <c r="A253" s="325"/>
      <c r="B253" s="325"/>
      <c r="C253" s="34"/>
      <c r="D253" s="323"/>
      <c r="E253" s="693"/>
      <c r="F253" s="306"/>
      <c r="G253" s="306"/>
      <c r="H253" s="52"/>
      <c r="I253" s="49"/>
    </row>
    <row r="254" spans="1:12" s="698" customFormat="1">
      <c r="A254" s="706" t="s">
        <v>398</v>
      </c>
      <c r="B254" s="707"/>
      <c r="C254" s="708"/>
      <c r="D254" s="67"/>
      <c r="E254" s="537"/>
      <c r="F254" s="19"/>
      <c r="G254" s="19"/>
      <c r="H254" s="68"/>
      <c r="I254" s="140"/>
    </row>
    <row r="255" spans="1:12" s="698" customFormat="1">
      <c r="A255" s="23"/>
      <c r="B255" s="325"/>
      <c r="C255" s="321"/>
      <c r="D255" s="308"/>
      <c r="E255" s="70"/>
      <c r="F255" s="323"/>
      <c r="G255" s="323"/>
      <c r="H255" s="150"/>
      <c r="I255" s="280"/>
    </row>
    <row r="256" spans="1:12" s="698" customFormat="1">
      <c r="A256" s="325" t="s">
        <v>83</v>
      </c>
      <c r="B256" s="191" t="s">
        <v>84</v>
      </c>
      <c r="C256" s="323"/>
      <c r="D256" s="323"/>
      <c r="E256" s="70"/>
      <c r="F256" s="306"/>
      <c r="G256" s="72"/>
      <c r="H256" s="323"/>
      <c r="I256" s="308"/>
    </row>
    <row r="257" spans="1:11" s="698" customFormat="1">
      <c r="A257" s="325">
        <v>128</v>
      </c>
      <c r="B257" s="325"/>
      <c r="C257" s="323" t="s">
        <v>176</v>
      </c>
      <c r="D257" s="323"/>
      <c r="E257" s="187" t="str">
        <f>"(Note "&amp;B352&amp;")"</f>
        <v>(Note I)</v>
      </c>
      <c r="F257" s="323"/>
      <c r="G257" s="318"/>
      <c r="H257" s="711">
        <v>0.21</v>
      </c>
      <c r="I257" s="516"/>
      <c r="K257" s="1670"/>
    </row>
    <row r="258" spans="1:11" s="698" customFormat="1">
      <c r="A258" s="325">
        <v>129</v>
      </c>
      <c r="B258" s="325"/>
      <c r="C258" s="318" t="s">
        <v>177</v>
      </c>
      <c r="D258" s="319"/>
      <c r="E258" s="187" t="str">
        <f>"(Note "&amp;B$352&amp;")"</f>
        <v>(Note I)</v>
      </c>
      <c r="F258" s="323"/>
      <c r="G258" s="318"/>
      <c r="H258" s="711">
        <f>'5 - Cost Support 1'!F67</f>
        <v>8.5000000000000006E-2</v>
      </c>
      <c r="I258" s="516"/>
      <c r="K258" s="1670"/>
    </row>
    <row r="259" spans="1:11" s="698" customFormat="1">
      <c r="A259" s="325">
        <v>130</v>
      </c>
      <c r="B259" s="325"/>
      <c r="C259" s="318" t="s">
        <v>458</v>
      </c>
      <c r="D259" s="318" t="s">
        <v>1479</v>
      </c>
      <c r="E259" s="693"/>
      <c r="F259" s="305" t="s">
        <v>1553</v>
      </c>
      <c r="G259" s="318"/>
      <c r="H259" s="711">
        <v>0</v>
      </c>
      <c r="I259" s="516"/>
      <c r="K259" s="1670"/>
    </row>
    <row r="260" spans="1:11" s="698" customFormat="1">
      <c r="A260" s="325">
        <v>131</v>
      </c>
      <c r="B260" s="325"/>
      <c r="C260" s="318" t="s">
        <v>178</v>
      </c>
      <c r="D260" s="73" t="s">
        <v>1480</v>
      </c>
      <c r="E260" s="693"/>
      <c r="F260" s="323"/>
      <c r="G260" s="318"/>
      <c r="H260" s="75">
        <f>IF(H257&gt;0,1-(((1-H258)*(1-H257))/(1-H258*H257*H259)),0)</f>
        <v>0.2771499999999999</v>
      </c>
      <c r="I260" s="75"/>
      <c r="K260" s="1670"/>
    </row>
    <row r="261" spans="1:11" s="698" customFormat="1">
      <c r="A261" s="22" t="s">
        <v>1130</v>
      </c>
      <c r="B261" s="325"/>
      <c r="C261" s="318" t="s">
        <v>180</v>
      </c>
      <c r="D261" s="319"/>
      <c r="E261" s="693"/>
      <c r="F261" s="323"/>
      <c r="G261" s="318"/>
      <c r="H261" s="516">
        <f>+H260/(1-H260)</f>
        <v>0.38341287957390863</v>
      </c>
      <c r="I261" s="516"/>
      <c r="K261" s="1670"/>
    </row>
    <row r="262" spans="1:11" s="698" customFormat="1">
      <c r="A262" s="22" t="s">
        <v>1131</v>
      </c>
      <c r="B262" s="325"/>
      <c r="C262" s="318" t="s">
        <v>1132</v>
      </c>
      <c r="D262" s="319" t="s">
        <v>1133</v>
      </c>
      <c r="E262" s="693"/>
      <c r="F262" s="323"/>
      <c r="G262" s="318"/>
      <c r="H262" s="320">
        <f>1*1/(1-H260)</f>
        <v>1.3834128795739087</v>
      </c>
      <c r="I262" s="516"/>
      <c r="K262" s="1670"/>
    </row>
    <row r="263" spans="1:11" s="698" customFormat="1">
      <c r="A263" s="22"/>
      <c r="B263" s="325"/>
      <c r="C263" s="323"/>
      <c r="D263" s="323"/>
      <c r="E263" s="74"/>
      <c r="F263" s="73"/>
      <c r="G263" s="72"/>
      <c r="H263" s="75"/>
      <c r="I263" s="75"/>
    </row>
    <row r="264" spans="1:11" s="698" customFormat="1">
      <c r="A264" s="22"/>
      <c r="B264" s="191" t="s">
        <v>181</v>
      </c>
      <c r="C264" s="34"/>
      <c r="D264" s="323"/>
      <c r="E264" s="187" t="str">
        <f>"(Note "&amp;B$369&amp;")"</f>
        <v>(Note U)</v>
      </c>
      <c r="F264" s="306"/>
      <c r="G264" s="72"/>
      <c r="H264" s="192"/>
      <c r="I264" s="76"/>
    </row>
    <row r="265" spans="1:11" s="698" customFormat="1">
      <c r="A265" s="22">
        <v>133</v>
      </c>
      <c r="B265" s="325"/>
      <c r="C265" s="321" t="s">
        <v>1135</v>
      </c>
      <c r="D265" s="323"/>
      <c r="E265" s="70" t="s">
        <v>182</v>
      </c>
      <c r="F265" s="326" t="s">
        <v>1134</v>
      </c>
      <c r="G265" s="72"/>
      <c r="H265" s="154">
        <f>-'1B - ADIT EOY'!E324</f>
        <v>-90233.610950095099</v>
      </c>
      <c r="I265" s="31"/>
      <c r="K265" s="1670"/>
    </row>
    <row r="266" spans="1:11" s="698" customFormat="1">
      <c r="A266" s="22">
        <v>134</v>
      </c>
      <c r="B266" s="325"/>
      <c r="C266" s="317" t="s">
        <v>1155</v>
      </c>
      <c r="D266" s="327"/>
      <c r="E266" s="159"/>
      <c r="F266" s="328" t="str">
        <f>"(Line "&amp;A262&amp;")"</f>
        <v>(Line 132b)</v>
      </c>
      <c r="G266" s="346"/>
      <c r="H266" s="347">
        <f>+H262</f>
        <v>1.3834128795739087</v>
      </c>
      <c r="I266" s="76"/>
      <c r="K266" s="1670"/>
    </row>
    <row r="267" spans="1:11" s="698" customFormat="1">
      <c r="A267" s="22">
        <v>135</v>
      </c>
      <c r="B267" s="325"/>
      <c r="C267" s="193" t="s">
        <v>183</v>
      </c>
      <c r="D267" s="41"/>
      <c r="E267" s="187"/>
      <c r="F267" s="324" t="str">
        <f>"(Line "&amp;A265&amp;" * "&amp;A266&amp;")"</f>
        <v>(Line 133 * 134)</v>
      </c>
      <c r="G267" s="517"/>
      <c r="H267" s="43">
        <f>+H265*H266</f>
        <v>-124830.33955882284</v>
      </c>
      <c r="I267" s="322"/>
      <c r="K267" s="1670"/>
    </row>
    <row r="268" spans="1:11" s="698" customFormat="1">
      <c r="A268" s="22"/>
      <c r="B268" s="325"/>
      <c r="C268" s="329"/>
      <c r="D268" s="332"/>
      <c r="E268" s="187"/>
      <c r="F268" s="323"/>
      <c r="G268" s="338"/>
      <c r="H268" s="322"/>
      <c r="I268" s="322"/>
    </row>
    <row r="269" spans="1:11" s="698" customFormat="1">
      <c r="A269" s="22"/>
      <c r="B269" s="326" t="s">
        <v>986</v>
      </c>
      <c r="C269" s="329"/>
      <c r="D269" s="332"/>
      <c r="E269" s="536"/>
      <c r="F269" s="324"/>
      <c r="G269" s="338"/>
      <c r="H269" s="339"/>
      <c r="I269" s="322"/>
    </row>
    <row r="270" spans="1:11" s="698" customFormat="1">
      <c r="A270" s="22" t="s">
        <v>987</v>
      </c>
      <c r="B270" s="326"/>
      <c r="C270" s="329" t="s">
        <v>1136</v>
      </c>
      <c r="D270" s="332"/>
      <c r="E270" s="187" t="s">
        <v>988</v>
      </c>
      <c r="F270" s="324" t="str">
        <f>"Attachment 5, Line "&amp;'5 - Cost Support 1'!A268&amp;""</f>
        <v>Attachment 5, Line 136a</v>
      </c>
      <c r="G270" s="338"/>
      <c r="H270" s="749">
        <f>+'5 - Cost Support 1'!L268</f>
        <v>186553.54509999993</v>
      </c>
      <c r="I270" s="322"/>
      <c r="K270" s="1670"/>
    </row>
    <row r="271" spans="1:11" s="698" customFormat="1">
      <c r="A271" s="22" t="s">
        <v>989</v>
      </c>
      <c r="B271" s="326"/>
      <c r="C271" s="329" t="s">
        <v>1137</v>
      </c>
      <c r="D271" s="332"/>
      <c r="E271" s="187" t="s">
        <v>988</v>
      </c>
      <c r="F271" s="324" t="str">
        <f>"Attachment 5, Line "&amp;'5 - Cost Support 1'!A270&amp;""</f>
        <v>Attachment 5, Line 136b</v>
      </c>
      <c r="G271" s="338"/>
      <c r="H271" s="749">
        <f>+'5 - Cost Support 1'!L270</f>
        <v>-11120311.749387812</v>
      </c>
      <c r="I271" s="322"/>
      <c r="K271" s="1670"/>
    </row>
    <row r="272" spans="1:11" s="698" customFormat="1">
      <c r="A272" s="22" t="s">
        <v>990</v>
      </c>
      <c r="B272" s="326"/>
      <c r="C272" s="329" t="s">
        <v>1139</v>
      </c>
      <c r="D272" s="332"/>
      <c r="E272" s="187" t="s">
        <v>988</v>
      </c>
      <c r="F272" s="324" t="str">
        <f>"Attachment 5, Line "&amp;'5 - Cost Support 1'!A271&amp;""</f>
        <v>Attachment 5, Line 136c</v>
      </c>
      <c r="G272" s="338"/>
      <c r="H272" s="749">
        <f>+'5 - Cost Support 1'!L271</f>
        <v>0</v>
      </c>
      <c r="I272" s="322"/>
      <c r="K272" s="1670"/>
    </row>
    <row r="273" spans="1:13" s="698" customFormat="1">
      <c r="A273" s="22" t="s">
        <v>1138</v>
      </c>
      <c r="B273" s="326"/>
      <c r="C273" s="330" t="s">
        <v>1141</v>
      </c>
      <c r="D273" s="337"/>
      <c r="E273" s="172" t="s">
        <v>988</v>
      </c>
      <c r="F273" s="328" t="str">
        <f>"Attachment 5, Line "&amp;'5 - Cost Support 1'!A272&amp;""</f>
        <v>Attachment 5, Line 136d</v>
      </c>
      <c r="G273" s="340"/>
      <c r="H273" s="750">
        <f>+'5 - Cost Support 1'!L272</f>
        <v>0</v>
      </c>
      <c r="I273" s="322"/>
      <c r="K273" s="1670"/>
    </row>
    <row r="274" spans="1:13" s="698" customFormat="1">
      <c r="A274" s="22" t="s">
        <v>1140</v>
      </c>
      <c r="B274" s="326"/>
      <c r="C274" s="329" t="s">
        <v>1143</v>
      </c>
      <c r="D274" s="332"/>
      <c r="E274" s="187"/>
      <c r="F274" s="324" t="str">
        <f>"(Line "&amp;A270&amp;" + "&amp;A271&amp;" + "&amp;A272&amp;" + "&amp;A273&amp;")"</f>
        <v>(Line 136a + 136b + 136c + 136d)</v>
      </c>
      <c r="G274" s="338"/>
      <c r="H274" s="272">
        <f>H270+H271+H272+H273</f>
        <v>-10933758.204287812</v>
      </c>
      <c r="I274" s="322"/>
      <c r="K274" s="1670"/>
    </row>
    <row r="275" spans="1:13" s="698" customFormat="1">
      <c r="A275" s="22" t="s">
        <v>1142</v>
      </c>
      <c r="B275" s="325"/>
      <c r="C275" s="317" t="s">
        <v>1554</v>
      </c>
      <c r="D275" s="337"/>
      <c r="E275" s="539"/>
      <c r="F275" s="328" t="str">
        <f>"(Line "&amp;A262&amp;")"</f>
        <v>(Line 132b)</v>
      </c>
      <c r="G275" s="340"/>
      <c r="H275" s="341">
        <f>+H262</f>
        <v>1.3834128795739087</v>
      </c>
      <c r="I275" s="322"/>
      <c r="K275" s="1670"/>
    </row>
    <row r="276" spans="1:13" s="698" customFormat="1">
      <c r="A276" s="22" t="s">
        <v>1144</v>
      </c>
      <c r="B276" s="325"/>
      <c r="C276" s="329" t="s">
        <v>986</v>
      </c>
      <c r="D276" s="332"/>
      <c r="E276" s="536" t="s">
        <v>83</v>
      </c>
      <c r="F276" s="324" t="str">
        <f>"(Line "&amp;A274&amp;" * "&amp;A275&amp;")"</f>
        <v>(Line 136e * 136f)</v>
      </c>
      <c r="G276" s="338"/>
      <c r="H276" s="745">
        <f>H274*H275</f>
        <v>-15125901.921958651</v>
      </c>
      <c r="I276" s="322"/>
      <c r="K276" s="1670"/>
    </row>
    <row r="277" spans="1:13" s="698" customFormat="1">
      <c r="A277" s="22"/>
      <c r="B277" s="325"/>
      <c r="C277" s="329"/>
      <c r="D277" s="332"/>
      <c r="E277" s="187"/>
      <c r="F277" s="324"/>
      <c r="G277" s="338"/>
      <c r="H277" s="734"/>
      <c r="I277" s="322"/>
    </row>
    <row r="278" spans="1:13" s="698" customFormat="1">
      <c r="A278" s="325">
        <v>137</v>
      </c>
      <c r="B278" s="698" t="s">
        <v>184</v>
      </c>
      <c r="D278" s="323" t="s">
        <v>185</v>
      </c>
      <c r="E278" s="70"/>
      <c r="F278" s="324" t="str">
        <f>"(Line "&amp;A261&amp;" * "&amp;A252&amp;" * (1-("&amp;A247&amp;" / "&amp;A250&amp;")))"</f>
        <v>(Line 132a * 127 * (1-(123 / 126)))</v>
      </c>
      <c r="G278" s="323"/>
      <c r="H278" s="736">
        <f>+H261*(1-H247/H250)*H252</f>
        <v>22149415.104292762</v>
      </c>
      <c r="I278" s="83"/>
      <c r="K278" s="1670"/>
    </row>
    <row r="279" spans="1:13" s="698" customFormat="1">
      <c r="A279" s="325"/>
      <c r="B279" s="325"/>
      <c r="C279" s="329"/>
      <c r="D279" s="332"/>
      <c r="E279" s="693"/>
      <c r="F279" s="338"/>
      <c r="G279" s="338"/>
      <c r="H279" s="748"/>
      <c r="I279" s="315"/>
    </row>
    <row r="280" spans="1:13" s="698" customFormat="1" ht="16" thickBot="1">
      <c r="A280" s="325">
        <v>138</v>
      </c>
      <c r="B280" s="189" t="s">
        <v>186</v>
      </c>
      <c r="C280" s="189"/>
      <c r="D280" s="149"/>
      <c r="E280" s="153"/>
      <c r="F280" s="162" t="str">
        <f>"(Line "&amp;A267&amp;" + "&amp;A276&amp;" +"&amp;A278&amp;")"</f>
        <v>(Line 135 + 136g +137)</v>
      </c>
      <c r="G280" s="194"/>
      <c r="H280" s="765">
        <f>+H278+H276+H267</f>
        <v>6898682.8427752871</v>
      </c>
      <c r="I280" s="276"/>
      <c r="K280" s="1670"/>
    </row>
    <row r="281" spans="1:13" s="698" customFormat="1" ht="16" thickTop="1">
      <c r="A281" s="325"/>
      <c r="B281" s="325"/>
      <c r="C281" s="73"/>
      <c r="D281" s="323"/>
      <c r="E281" s="693"/>
      <c r="F281" s="87"/>
      <c r="G281" s="88"/>
      <c r="H281" s="89"/>
      <c r="I281" s="89"/>
    </row>
    <row r="282" spans="1:13" s="698" customFormat="1">
      <c r="A282" s="706" t="s">
        <v>399</v>
      </c>
      <c r="B282" s="707"/>
      <c r="C282" s="708"/>
      <c r="D282" s="67"/>
      <c r="E282" s="456"/>
      <c r="F282" s="19"/>
      <c r="G282" s="19"/>
      <c r="H282" s="68"/>
      <c r="I282" s="140"/>
    </row>
    <row r="283" spans="1:13" s="698" customFormat="1">
      <c r="A283" s="693"/>
      <c r="E283" s="693"/>
      <c r="I283" s="305"/>
    </row>
    <row r="284" spans="1:13" s="698" customFormat="1">
      <c r="A284" s="693"/>
      <c r="B284" s="698" t="s">
        <v>400</v>
      </c>
      <c r="C284" s="314"/>
      <c r="D284" s="314"/>
      <c r="E284" s="693"/>
      <c r="I284" s="305"/>
      <c r="J284" s="314"/>
      <c r="K284" s="314"/>
      <c r="L284" s="314"/>
      <c r="M284" s="314"/>
    </row>
    <row r="285" spans="1:13" s="698" customFormat="1">
      <c r="A285" s="693">
        <v>139</v>
      </c>
      <c r="C285" s="314" t="s">
        <v>401</v>
      </c>
      <c r="D285" s="314"/>
      <c r="E285" s="693"/>
      <c r="F285" s="324" t="str">
        <f>"(Line "&amp;A89&amp;")"</f>
        <v>(Line 39)</v>
      </c>
      <c r="H285" s="272">
        <f>+H89</f>
        <v>1432964857.3378136</v>
      </c>
      <c r="I285" s="154"/>
      <c r="J285" s="1660"/>
      <c r="K285" s="1670"/>
      <c r="M285" s="314"/>
    </row>
    <row r="286" spans="1:13" s="698" customFormat="1">
      <c r="A286" s="325">
        <v>140</v>
      </c>
      <c r="C286" s="314" t="s">
        <v>402</v>
      </c>
      <c r="D286" s="314"/>
      <c r="E286" s="693"/>
      <c r="F286" s="328" t="str">
        <f>"(Line "&amp;A137&amp;")"</f>
        <v>(Line 58)</v>
      </c>
      <c r="H286" s="272">
        <f>+H137</f>
        <v>-339327136.27056348</v>
      </c>
      <c r="I286" s="154"/>
      <c r="J286" s="1660"/>
      <c r="K286" s="1670"/>
      <c r="M286" s="314"/>
    </row>
    <row r="287" spans="1:13" s="698" customFormat="1">
      <c r="A287" s="325">
        <v>141</v>
      </c>
      <c r="B287" s="325"/>
      <c r="C287" s="151" t="s">
        <v>316</v>
      </c>
      <c r="D287" s="41"/>
      <c r="E287" s="145"/>
      <c r="F287" s="324" t="str">
        <f>"(Line "&amp;A139&amp;")"</f>
        <v>(Line 59)</v>
      </c>
      <c r="G287" s="44"/>
      <c r="H287" s="746">
        <f>+H139</f>
        <v>1093637721.0672503</v>
      </c>
      <c r="I287" s="195"/>
      <c r="J287" s="314"/>
      <c r="K287" s="1670"/>
      <c r="M287" s="314"/>
    </row>
    <row r="288" spans="1:13" s="698" customFormat="1">
      <c r="A288" s="325"/>
      <c r="B288" s="325"/>
      <c r="C288" s="309"/>
      <c r="D288" s="332"/>
      <c r="E288" s="70"/>
      <c r="F288" s="323"/>
      <c r="G288" s="323"/>
      <c r="H288" s="272"/>
      <c r="I288" s="154"/>
      <c r="J288" s="314"/>
      <c r="K288" s="314"/>
      <c r="L288" s="314"/>
      <c r="M288" s="314"/>
    </row>
    <row r="289" spans="1:13" s="698" customFormat="1">
      <c r="A289" s="325">
        <v>142</v>
      </c>
      <c r="B289" s="323"/>
      <c r="C289" s="309" t="s">
        <v>317</v>
      </c>
      <c r="D289" s="25"/>
      <c r="E289" s="693"/>
      <c r="F289" s="324" t="str">
        <f>"(Line "&amp;A179&amp;")"</f>
        <v>(Line 85)</v>
      </c>
      <c r="H289" s="272">
        <f>+H179</f>
        <v>37977526.53629303</v>
      </c>
      <c r="I289" s="154"/>
      <c r="J289" s="314"/>
      <c r="K289" s="1670"/>
      <c r="M289" s="314"/>
    </row>
    <row r="290" spans="1:13" s="698" customFormat="1">
      <c r="A290" s="325">
        <v>143</v>
      </c>
      <c r="B290" s="323"/>
      <c r="C290" s="329" t="s">
        <v>403</v>
      </c>
      <c r="D290" s="25"/>
      <c r="E290" s="693"/>
      <c r="F290" s="324" t="str">
        <f>"(Line "&amp;A204&amp;")"</f>
        <v>(Line 97)</v>
      </c>
      <c r="H290" s="272">
        <f>+H204</f>
        <v>59876019.23826769</v>
      </c>
      <c r="I290" s="154"/>
      <c r="J290" s="314"/>
      <c r="K290" s="1670"/>
      <c r="M290" s="314"/>
    </row>
    <row r="291" spans="1:13" s="698" customFormat="1">
      <c r="A291" s="325">
        <v>144</v>
      </c>
      <c r="B291" s="325"/>
      <c r="C291" s="309" t="s">
        <v>355</v>
      </c>
      <c r="D291" s="332"/>
      <c r="E291" s="70"/>
      <c r="F291" s="324" t="str">
        <f>"(Line "&amp;A210&amp;")"</f>
        <v>(Line 99)</v>
      </c>
      <c r="G291" s="323"/>
      <c r="H291" s="272">
        <f>+H210</f>
        <v>12937075.68536674</v>
      </c>
      <c r="I291" s="154"/>
      <c r="J291" s="314"/>
      <c r="K291" s="1670"/>
      <c r="M291" s="314"/>
    </row>
    <row r="292" spans="1:13" s="698" customFormat="1">
      <c r="A292" s="325">
        <v>145</v>
      </c>
      <c r="B292" s="325"/>
      <c r="C292" s="191" t="s">
        <v>404</v>
      </c>
      <c r="D292" s="332"/>
      <c r="E292" s="70"/>
      <c r="F292" s="324" t="str">
        <f>"(Line "&amp;A252&amp;")"</f>
        <v>(Line 127)</v>
      </c>
      <c r="G292" s="323"/>
      <c r="H292" s="272">
        <f>+H252</f>
        <v>77466803.586141795</v>
      </c>
      <c r="I292" s="154"/>
      <c r="J292" s="1662"/>
      <c r="K292" s="1670"/>
      <c r="M292" s="314"/>
    </row>
    <row r="293" spans="1:13" s="698" customFormat="1">
      <c r="A293" s="325">
        <v>146</v>
      </c>
      <c r="B293" s="325"/>
      <c r="C293" s="191" t="s">
        <v>405</v>
      </c>
      <c r="D293" s="332"/>
      <c r="E293" s="70"/>
      <c r="F293" s="324" t="str">
        <f>"(Line "&amp;A280&amp;")"</f>
        <v>(Line 138)</v>
      </c>
      <c r="G293" s="323"/>
      <c r="H293" s="272">
        <f>+H280</f>
        <v>6898682.8427752871</v>
      </c>
      <c r="I293" s="154"/>
      <c r="J293" s="1662"/>
      <c r="K293" s="1670"/>
      <c r="M293" s="314"/>
    </row>
    <row r="294" spans="1:13" s="698" customFormat="1" ht="16" thickBot="1">
      <c r="A294" s="325"/>
      <c r="B294" s="325"/>
      <c r="C294" s="191"/>
      <c r="D294" s="332"/>
      <c r="E294" s="70"/>
      <c r="F294" s="323"/>
      <c r="G294" s="323"/>
      <c r="H294" s="272"/>
      <c r="I294" s="154"/>
      <c r="J294" s="314"/>
      <c r="K294" s="1661"/>
      <c r="L294" s="1649"/>
      <c r="M294" s="314"/>
    </row>
    <row r="295" spans="1:13" s="698" customFormat="1" ht="16" thickBot="1">
      <c r="A295" s="719">
        <v>147</v>
      </c>
      <c r="B295" s="720"/>
      <c r="C295" s="721" t="s">
        <v>406</v>
      </c>
      <c r="D295" s="722"/>
      <c r="E295" s="723"/>
      <c r="F295" s="724" t="str">
        <f>"(Sum Lines "&amp;A289&amp;" to "&amp;A293&amp;")"</f>
        <v>(Sum Lines 142 to 146)</v>
      </c>
      <c r="G295" s="725"/>
      <c r="H295" s="766">
        <f>SUM(H293,H292,H291,H290,H289)</f>
        <v>195156107.88884455</v>
      </c>
      <c r="I295" s="195"/>
      <c r="J295" s="314"/>
      <c r="K295" s="1670"/>
      <c r="M295" s="314"/>
    </row>
    <row r="296" spans="1:13" s="698" customFormat="1">
      <c r="A296" s="77"/>
      <c r="B296" s="77"/>
      <c r="C296" s="309"/>
      <c r="D296" s="332"/>
      <c r="E296" s="70"/>
      <c r="F296" s="324"/>
      <c r="G296" s="25"/>
      <c r="H296" s="767"/>
      <c r="I296" s="195"/>
      <c r="J296" s="314"/>
      <c r="K296" s="1663"/>
      <c r="L296" s="1663"/>
      <c r="M296" s="314"/>
    </row>
    <row r="297" spans="1:13" s="698" customFormat="1">
      <c r="A297" s="77"/>
      <c r="B297" s="329" t="s">
        <v>91</v>
      </c>
      <c r="C297" s="309"/>
      <c r="D297" s="332"/>
      <c r="E297" s="70"/>
      <c r="F297" s="324"/>
      <c r="G297" s="25"/>
      <c r="H297" s="767"/>
      <c r="I297" s="195"/>
      <c r="J297" s="1664"/>
      <c r="K297" s="1661"/>
      <c r="L297" s="1649"/>
      <c r="M297" s="314"/>
    </row>
    <row r="298" spans="1:13" s="698" customFormat="1">
      <c r="A298" s="344">
        <v>148</v>
      </c>
      <c r="B298" s="344"/>
      <c r="C298" s="309" t="s">
        <v>275</v>
      </c>
      <c r="D298" s="332"/>
      <c r="E298" s="70"/>
      <c r="F298" s="324" t="str">
        <f>"(Line "&amp;A54&amp;")"</f>
        <v>(Line 19)</v>
      </c>
      <c r="G298" s="25"/>
      <c r="H298" s="768">
        <f>+H54</f>
        <v>1858953079.6881201</v>
      </c>
      <c r="I298" s="195"/>
      <c r="J298" s="1664"/>
      <c r="K298" s="1670"/>
      <c r="M298" s="314"/>
    </row>
    <row r="299" spans="1:13" s="698" customFormat="1">
      <c r="A299" s="344">
        <v>149</v>
      </c>
      <c r="B299" s="344"/>
      <c r="C299" s="196" t="s">
        <v>407</v>
      </c>
      <c r="D299" s="337"/>
      <c r="E299" s="172" t="str">
        <f>"(Note "&amp;B$357&amp;")"</f>
        <v>(Note M)</v>
      </c>
      <c r="F299" s="307" t="s">
        <v>299</v>
      </c>
      <c r="G299" s="25"/>
      <c r="H299" s="750">
        <f>+'5 - Cost Support 1'!G91</f>
        <v>0</v>
      </c>
      <c r="I299" s="195"/>
      <c r="J299" s="314"/>
      <c r="K299" s="1670"/>
      <c r="M299" s="314"/>
    </row>
    <row r="300" spans="1:13" s="698" customFormat="1">
      <c r="A300" s="344">
        <v>150</v>
      </c>
      <c r="B300" s="344"/>
      <c r="C300" s="309" t="s">
        <v>408</v>
      </c>
      <c r="D300" s="332"/>
      <c r="E300" s="70"/>
      <c r="F300" s="322" t="str">
        <f>"(Line "&amp;A298&amp;" - "&amp;A299&amp;")"</f>
        <v>(Line 148 - 149)</v>
      </c>
      <c r="G300" s="25"/>
      <c r="H300" s="768">
        <f>+H298-H299</f>
        <v>1858953079.6881201</v>
      </c>
      <c r="I300" s="195"/>
      <c r="K300" s="1670"/>
    </row>
    <row r="301" spans="1:13" s="698" customFormat="1">
      <c r="A301" s="344">
        <v>151</v>
      </c>
      <c r="B301" s="344"/>
      <c r="C301" s="309" t="s">
        <v>409</v>
      </c>
      <c r="D301" s="332"/>
      <c r="E301" s="70"/>
      <c r="F301" s="322" t="str">
        <f>"(Line "&amp;A300&amp;" / "&amp;A298&amp;")"</f>
        <v>(Line 150 / 148)</v>
      </c>
      <c r="G301" s="25"/>
      <c r="H301" s="768">
        <f>+H300/H298</f>
        <v>1</v>
      </c>
      <c r="I301" s="198"/>
      <c r="K301" s="1670"/>
    </row>
    <row r="302" spans="1:13" s="698" customFormat="1">
      <c r="A302" s="344">
        <v>152</v>
      </c>
      <c r="B302" s="344"/>
      <c r="C302" s="196" t="s">
        <v>406</v>
      </c>
      <c r="D302" s="337"/>
      <c r="E302" s="301"/>
      <c r="F302" s="307" t="str">
        <f>"(Line "&amp;A295&amp;")"</f>
        <v>(Line 147)</v>
      </c>
      <c r="G302" s="25"/>
      <c r="H302" s="750">
        <f>+H295</f>
        <v>195156107.88884455</v>
      </c>
      <c r="I302" s="195"/>
      <c r="K302" s="1670"/>
    </row>
    <row r="303" spans="1:13" s="698" customFormat="1">
      <c r="A303" s="344">
        <v>153</v>
      </c>
      <c r="B303" s="344"/>
      <c r="C303" s="309" t="s">
        <v>410</v>
      </c>
      <c r="D303" s="332"/>
      <c r="E303" s="70"/>
      <c r="F303" s="322" t="str">
        <f>"(Line "&amp;A301&amp;" * "&amp;A302&amp;")"</f>
        <v>(Line 151 * 152)</v>
      </c>
      <c r="G303" s="25"/>
      <c r="H303" s="768">
        <f>+H302*H301</f>
        <v>195156107.88884455</v>
      </c>
      <c r="I303" s="195"/>
      <c r="K303" s="1670"/>
    </row>
    <row r="304" spans="1:13" s="698" customFormat="1">
      <c r="A304" s="165"/>
      <c r="B304" s="325"/>
      <c r="C304" s="309"/>
      <c r="D304" s="332"/>
      <c r="E304" s="70"/>
      <c r="F304" s="323"/>
      <c r="G304" s="323"/>
      <c r="H304" s="740"/>
      <c r="I304" s="280"/>
    </row>
    <row r="305" spans="1:12" s="698" customFormat="1">
      <c r="A305" s="165"/>
      <c r="B305" s="326" t="s">
        <v>411</v>
      </c>
      <c r="C305" s="309"/>
      <c r="D305" s="332"/>
      <c r="E305" s="70"/>
      <c r="F305" s="323"/>
      <c r="G305" s="323"/>
      <c r="H305" s="740"/>
      <c r="I305" s="280"/>
    </row>
    <row r="306" spans="1:12" s="698" customFormat="1">
      <c r="A306" s="22">
        <v>154</v>
      </c>
      <c r="C306" s="326" t="s">
        <v>412</v>
      </c>
      <c r="D306" s="332"/>
      <c r="E306" s="70"/>
      <c r="F306" s="323" t="s">
        <v>413</v>
      </c>
      <c r="G306" s="323"/>
      <c r="H306" s="736">
        <f>+'3 - Revenue Credits'!G25</f>
        <v>9893336.6573195569</v>
      </c>
      <c r="I306" s="83"/>
      <c r="K306" s="1670"/>
    </row>
    <row r="307" spans="1:12" s="698" customFormat="1">
      <c r="A307" s="22">
        <v>155</v>
      </c>
      <c r="C307" s="326" t="s">
        <v>414</v>
      </c>
      <c r="D307" s="332"/>
      <c r="E307" s="187" t="str">
        <f>"(Note "&amp;B$358&amp;")"</f>
        <v>(Note N)</v>
      </c>
      <c r="F307" s="323" t="s">
        <v>323</v>
      </c>
      <c r="G307" s="323"/>
      <c r="H307" s="736">
        <f>+'5 - Cost Support 1'!G181</f>
        <v>0</v>
      </c>
      <c r="I307" s="83"/>
      <c r="K307" s="1670"/>
    </row>
    <row r="308" spans="1:12" s="698" customFormat="1" ht="16" thickBot="1">
      <c r="A308" s="325"/>
      <c r="B308" s="325"/>
      <c r="C308" s="310"/>
      <c r="D308" s="310"/>
      <c r="E308" s="693"/>
      <c r="F308" s="323"/>
      <c r="G308" s="323"/>
      <c r="H308" s="740"/>
      <c r="I308" s="280"/>
    </row>
    <row r="309" spans="1:12" s="82" customFormat="1" ht="16" thickBot="1">
      <c r="A309" s="719">
        <v>156</v>
      </c>
      <c r="B309" s="199"/>
      <c r="C309" s="726" t="s">
        <v>415</v>
      </c>
      <c r="D309" s="727"/>
      <c r="E309" s="728"/>
      <c r="F309" s="724" t="str">
        <f>"(Line "&amp;A303&amp;" - "&amp;A306&amp;" + "&amp;A307&amp;")"</f>
        <v>(Line 153 - 154 + 155)</v>
      </c>
      <c r="G309" s="725"/>
      <c r="H309" s="766">
        <f>+H303-H306+H307</f>
        <v>185262771.231525</v>
      </c>
      <c r="I309" s="195"/>
      <c r="K309" s="1670"/>
      <c r="L309" s="698"/>
    </row>
    <row r="310" spans="1:12" s="698" customFormat="1">
      <c r="A310" s="165"/>
      <c r="B310" s="325"/>
      <c r="C310" s="310"/>
      <c r="D310" s="310"/>
      <c r="E310" s="693"/>
      <c r="F310" s="323"/>
      <c r="G310" s="323"/>
      <c r="H310" s="740"/>
      <c r="I310" s="280"/>
    </row>
    <row r="311" spans="1:12" s="698" customFormat="1">
      <c r="A311" s="22"/>
      <c r="B311" s="310" t="s">
        <v>416</v>
      </c>
      <c r="C311" s="305"/>
      <c r="D311" s="310"/>
      <c r="E311" s="693"/>
      <c r="F311" s="323"/>
      <c r="G311" s="323"/>
      <c r="H311" s="740"/>
      <c r="I311" s="280"/>
    </row>
    <row r="312" spans="1:12" s="698" customFormat="1">
      <c r="A312" s="22">
        <v>157</v>
      </c>
      <c r="B312" s="22"/>
      <c r="C312" s="310" t="s">
        <v>415</v>
      </c>
      <c r="D312" s="310"/>
      <c r="E312" s="693"/>
      <c r="F312" s="323" t="str">
        <f>"(Line "&amp;A309&amp;")"</f>
        <v>(Line 156)</v>
      </c>
      <c r="G312" s="323"/>
      <c r="H312" s="740">
        <f>+H309</f>
        <v>185262771.231525</v>
      </c>
      <c r="I312" s="83"/>
      <c r="K312" s="1670"/>
    </row>
    <row r="313" spans="1:12" s="698" customFormat="1">
      <c r="A313" s="22">
        <v>158</v>
      </c>
      <c r="B313" s="22"/>
      <c r="C313" s="310" t="s">
        <v>417</v>
      </c>
      <c r="D313" s="310"/>
      <c r="E313" s="693"/>
      <c r="F313" s="323" t="str">
        <f>"(Line "&amp;A54&amp;" - "&amp;A74&amp;")"</f>
        <v>(Line 19 - 30)</v>
      </c>
      <c r="G313" s="323"/>
      <c r="H313" s="740">
        <f>+H54-H74</f>
        <v>1389121340.0927355</v>
      </c>
      <c r="I313" s="83"/>
      <c r="K313" s="1670"/>
    </row>
    <row r="314" spans="1:12" s="698" customFormat="1">
      <c r="A314" s="22">
        <v>159</v>
      </c>
      <c r="B314" s="22"/>
      <c r="C314" s="310" t="s">
        <v>418</v>
      </c>
      <c r="D314" s="310"/>
      <c r="E314" s="693"/>
      <c r="F314" s="323" t="str">
        <f>"(Line "&amp;A312&amp;" / "&amp;A313&amp;")"</f>
        <v>(Line 157 / 158)</v>
      </c>
      <c r="G314" s="323"/>
      <c r="H314" s="740">
        <f>+H312/H313</f>
        <v>0.13336687435753969</v>
      </c>
      <c r="I314" s="280"/>
      <c r="K314" s="1670"/>
    </row>
    <row r="315" spans="1:12" s="698" customFormat="1">
      <c r="A315" s="22">
        <v>160</v>
      </c>
      <c r="B315" s="22"/>
      <c r="C315" s="310" t="s">
        <v>419</v>
      </c>
      <c r="D315" s="310"/>
      <c r="E315" s="693"/>
      <c r="F315" s="323" t="str">
        <f>"(Line "&amp;A312&amp;" - "&amp;A185&amp;") / "&amp;A313</f>
        <v>(Line 157 - 86) / 158</v>
      </c>
      <c r="G315" s="323"/>
      <c r="H315" s="740">
        <f>(H312-H185)/H313</f>
        <v>9.4389873978015279E-2</v>
      </c>
      <c r="I315" s="280"/>
      <c r="K315" s="1670"/>
    </row>
    <row r="316" spans="1:12" s="698" customFormat="1">
      <c r="A316" s="22">
        <v>161</v>
      </c>
      <c r="B316" s="22"/>
      <c r="C316" s="310" t="s">
        <v>420</v>
      </c>
      <c r="D316" s="310"/>
      <c r="E316" s="693"/>
      <c r="F316" s="308" t="str">
        <f>"(Line "&amp;A312&amp;" - "&amp;A185&amp;" - "&amp;A252&amp;" - "&amp;A280&amp;") / "&amp;A313</f>
        <v>(Line 157 - 86 - 127 - 138) / 158</v>
      </c>
      <c r="G316" s="323"/>
      <c r="H316" s="740">
        <f>(H312-H185-H252-H280)/H313</f>
        <v>3.3656888317248612E-2</v>
      </c>
      <c r="I316" s="280"/>
      <c r="K316" s="1670"/>
    </row>
    <row r="317" spans="1:12" s="698" customFormat="1">
      <c r="A317" s="22"/>
      <c r="B317" s="22"/>
      <c r="C317" s="310"/>
      <c r="D317" s="310"/>
      <c r="E317" s="693"/>
      <c r="F317" s="323"/>
      <c r="G317" s="323"/>
      <c r="H317" s="740"/>
      <c r="I317" s="280"/>
    </row>
    <row r="318" spans="1:12" s="698" customFormat="1">
      <c r="A318" s="22"/>
      <c r="B318" s="22"/>
      <c r="C318" s="310"/>
      <c r="D318" s="310"/>
      <c r="E318" s="693"/>
      <c r="F318" s="323"/>
      <c r="G318" s="323"/>
      <c r="H318" s="740"/>
      <c r="I318" s="289"/>
    </row>
    <row r="319" spans="1:12" s="698" customFormat="1">
      <c r="A319" s="22"/>
      <c r="B319" s="310" t="s">
        <v>421</v>
      </c>
      <c r="C319" s="310"/>
      <c r="D319" s="310"/>
      <c r="E319" s="693"/>
      <c r="F319" s="323"/>
      <c r="G319" s="323"/>
      <c r="H319" s="740"/>
      <c r="I319" s="280"/>
    </row>
    <row r="320" spans="1:12" s="698" customFormat="1">
      <c r="A320" s="22">
        <v>162</v>
      </c>
      <c r="B320" s="22"/>
      <c r="C320" s="310" t="s">
        <v>422</v>
      </c>
      <c r="D320" s="310"/>
      <c r="E320" s="693"/>
      <c r="F320" s="308" t="str">
        <f>"(Line "&amp;A309&amp;" - "&amp;A292&amp;" - "&amp;A293&amp;")"</f>
        <v>(Line 156 - 145 - 146)</v>
      </c>
      <c r="G320" s="323"/>
      <c r="H320" s="740">
        <f>+H309-H292-H293</f>
        <v>100897284.80260792</v>
      </c>
      <c r="I320" s="83"/>
      <c r="K320" s="1670"/>
    </row>
    <row r="321" spans="1:152" s="698" customFormat="1">
      <c r="A321" s="22">
        <v>163</v>
      </c>
      <c r="B321" s="22"/>
      <c r="C321" s="310" t="s">
        <v>423</v>
      </c>
      <c r="D321" s="310"/>
      <c r="E321" s="693"/>
      <c r="F321" s="308" t="s">
        <v>424</v>
      </c>
      <c r="G321" s="323"/>
      <c r="H321" s="736">
        <f>+'4 - 100 Basis Pt ROE'!I9</f>
        <v>91976773.115443289</v>
      </c>
      <c r="I321" s="83"/>
      <c r="K321" s="1670"/>
    </row>
    <row r="322" spans="1:152" s="698" customFormat="1">
      <c r="A322" s="22">
        <v>164</v>
      </c>
      <c r="B322" s="22"/>
      <c r="C322" s="310" t="s">
        <v>425</v>
      </c>
      <c r="D322" s="310"/>
      <c r="E322" s="693"/>
      <c r="F322" s="308" t="str">
        <f>"(Line "&amp;A320&amp;" + "&amp;A321&amp;")"</f>
        <v>(Line 162 + 163)</v>
      </c>
      <c r="G322" s="323"/>
      <c r="H322" s="740">
        <f>+H321+H320</f>
        <v>192874057.91805121</v>
      </c>
      <c r="I322" s="83"/>
      <c r="K322" s="1670"/>
    </row>
    <row r="323" spans="1:152" s="698" customFormat="1">
      <c r="A323" s="22">
        <v>165</v>
      </c>
      <c r="B323" s="22"/>
      <c r="C323" s="310" t="s">
        <v>417</v>
      </c>
      <c r="D323" s="310"/>
      <c r="E323" s="693"/>
      <c r="F323" s="323" t="str">
        <f>"(Line "&amp;A54&amp;" - "&amp;A74&amp;")"</f>
        <v>(Line 19 - 30)</v>
      </c>
      <c r="G323" s="323"/>
      <c r="H323" s="740">
        <f>+H313</f>
        <v>1389121340.0927355</v>
      </c>
      <c r="I323" s="83"/>
      <c r="K323" s="1670"/>
    </row>
    <row r="324" spans="1:152" s="698" customFormat="1">
      <c r="A324" s="22">
        <v>166</v>
      </c>
      <c r="B324" s="22"/>
      <c r="C324" s="310" t="s">
        <v>426</v>
      </c>
      <c r="D324" s="310"/>
      <c r="E324" s="693"/>
      <c r="F324" s="323" t="str">
        <f>"(Line "&amp;A322&amp;" / "&amp;A323&amp;")"</f>
        <v>(Line 164 / 165)</v>
      </c>
      <c r="G324" s="323"/>
      <c r="H324" s="192">
        <f>+H322/H323</f>
        <v>0.13884608374468946</v>
      </c>
      <c r="I324" s="280"/>
      <c r="K324" s="1670"/>
    </row>
    <row r="325" spans="1:152" s="698" customFormat="1">
      <c r="A325" s="22">
        <v>167</v>
      </c>
      <c r="B325" s="22"/>
      <c r="C325" s="310" t="s">
        <v>427</v>
      </c>
      <c r="D325" s="310"/>
      <c r="E325" s="693"/>
      <c r="F325" s="308" t="str">
        <f>"(Line "&amp;A322&amp;" - "&amp;A185&amp;") / "&amp;A323</f>
        <v>(Line 164 - 86) / 165</v>
      </c>
      <c r="G325" s="323"/>
      <c r="H325" s="192">
        <f>(H322-H185)/H323</f>
        <v>9.9869083365165062E-2</v>
      </c>
      <c r="I325" s="280"/>
      <c r="K325" s="1670"/>
    </row>
    <row r="326" spans="1:152" s="698" customFormat="1">
      <c r="A326" s="22"/>
      <c r="B326" s="22"/>
      <c r="C326" s="310"/>
      <c r="D326" s="310"/>
      <c r="E326" s="200"/>
      <c r="F326" s="323"/>
      <c r="G326" s="323"/>
      <c r="H326" s="740"/>
      <c r="I326" s="280"/>
    </row>
    <row r="327" spans="1:152" s="698" customFormat="1">
      <c r="A327" s="22">
        <v>168</v>
      </c>
      <c r="B327" s="22"/>
      <c r="C327" s="310" t="s">
        <v>415</v>
      </c>
      <c r="D327" s="310"/>
      <c r="E327" s="693"/>
      <c r="F327" s="323" t="str">
        <f>"(Line "&amp;A309&amp;")"</f>
        <v>(Line 156)</v>
      </c>
      <c r="G327" s="323"/>
      <c r="H327" s="740">
        <f>+H309</f>
        <v>185262771.231525</v>
      </c>
      <c r="I327" s="83"/>
      <c r="K327" s="1670"/>
    </row>
    <row r="328" spans="1:152" s="698" customFormat="1">
      <c r="A328" s="22">
        <v>169</v>
      </c>
      <c r="B328" s="22"/>
      <c r="C328" s="310" t="s">
        <v>428</v>
      </c>
      <c r="D328" s="310"/>
      <c r="E328" s="70"/>
      <c r="F328" s="40" t="s">
        <v>757</v>
      </c>
      <c r="G328" s="323"/>
      <c r="H328" s="736">
        <v>0</v>
      </c>
      <c r="I328" s="83"/>
    </row>
    <row r="329" spans="1:152" s="698" customFormat="1">
      <c r="A329" s="22">
        <v>170</v>
      </c>
      <c r="B329" s="22"/>
      <c r="C329" s="310" t="s">
        <v>429</v>
      </c>
      <c r="D329" s="310"/>
      <c r="E329" s="70"/>
      <c r="F329" s="40" t="s">
        <v>867</v>
      </c>
      <c r="G329" s="323"/>
      <c r="H329" s="736">
        <f>'6-Project Rev Req'!N89</f>
        <v>391902.16687807365</v>
      </c>
      <c r="I329" s="83"/>
      <c r="K329" s="1670"/>
    </row>
    <row r="330" spans="1:152" s="698" customFormat="1">
      <c r="A330" s="22">
        <v>171</v>
      </c>
      <c r="B330" s="22"/>
      <c r="C330" s="332" t="s">
        <v>430</v>
      </c>
      <c r="D330" s="201"/>
      <c r="E330" s="187"/>
      <c r="F330" s="332" t="s">
        <v>431</v>
      </c>
      <c r="G330" s="323"/>
      <c r="H330" s="734">
        <f>+'5 - Cost Support 1'!G191</f>
        <v>0</v>
      </c>
      <c r="I330" s="202"/>
      <c r="K330" s="1670"/>
      <c r="EV330" s="698">
        <v>171</v>
      </c>
    </row>
    <row r="331" spans="1:152" s="698" customFormat="1">
      <c r="A331" s="22" t="s">
        <v>139</v>
      </c>
      <c r="B331" s="22"/>
      <c r="C331" s="332" t="s">
        <v>137</v>
      </c>
      <c r="D331" s="201"/>
      <c r="E331" s="187"/>
      <c r="F331" s="332" t="s">
        <v>431</v>
      </c>
      <c r="G331" s="323"/>
      <c r="H331" s="734">
        <v>0</v>
      </c>
      <c r="I331" s="202"/>
      <c r="K331" s="1670"/>
    </row>
    <row r="332" spans="1:152" s="698" customFormat="1">
      <c r="A332" s="22">
        <v>172</v>
      </c>
      <c r="B332" s="22"/>
      <c r="C332" s="310" t="s">
        <v>432</v>
      </c>
      <c r="D332" s="201"/>
      <c r="E332" s="693"/>
      <c r="F332" s="323" t="str">
        <f>"(Line "&amp;A327&amp;" + "&amp;A328&amp;" + "&amp;170&amp;" + "&amp;A330&amp;" + "&amp;A331&amp;")"</f>
        <v>(Line 168 + 169 + 170 + 171 + 171a)</v>
      </c>
      <c r="G332" s="323"/>
      <c r="H332" s="740">
        <f>SUM(H327:H331)</f>
        <v>185654673.39840308</v>
      </c>
      <c r="I332" s="83"/>
      <c r="K332" s="1670"/>
    </row>
    <row r="333" spans="1:152" s="698" customFormat="1">
      <c r="A333" s="22"/>
      <c r="B333" s="325"/>
      <c r="C333" s="310"/>
      <c r="D333" s="310"/>
      <c r="E333" s="693"/>
      <c r="F333" s="323"/>
      <c r="G333" s="323"/>
      <c r="H333" s="740"/>
      <c r="I333" s="247"/>
    </row>
    <row r="334" spans="1:152" s="698" customFormat="1">
      <c r="A334" s="22"/>
      <c r="B334" s="326" t="s">
        <v>125</v>
      </c>
      <c r="C334" s="310"/>
      <c r="D334" s="310"/>
      <c r="E334" s="693"/>
      <c r="F334" s="323"/>
      <c r="G334" s="323"/>
      <c r="H334" s="740"/>
      <c r="I334" s="280"/>
    </row>
    <row r="335" spans="1:152" s="698" customFormat="1">
      <c r="A335" s="22">
        <v>173</v>
      </c>
      <c r="B335" s="325"/>
      <c r="C335" s="323" t="s">
        <v>433</v>
      </c>
      <c r="D335" s="323"/>
      <c r="E335" s="187" t="str">
        <f>"(Note "&amp;B$356&amp;")"</f>
        <v>(Note L)</v>
      </c>
      <c r="F335" s="310" t="s">
        <v>323</v>
      </c>
      <c r="G335" s="310"/>
      <c r="H335" s="743">
        <f>+'5 - Cost Support 1'!G197</f>
        <v>4006</v>
      </c>
      <c r="I335" s="276"/>
      <c r="K335" s="1670"/>
    </row>
    <row r="336" spans="1:152" s="698" customFormat="1">
      <c r="A336" s="22">
        <v>174</v>
      </c>
      <c r="B336" s="325"/>
      <c r="C336" s="323" t="s">
        <v>434</v>
      </c>
      <c r="D336" s="729"/>
      <c r="E336" s="712"/>
      <c r="F336" s="324" t="str">
        <f>"(Line "&amp;A332&amp;" / "&amp;A335&amp;")"</f>
        <v>(Line 172 / 173)</v>
      </c>
      <c r="G336" s="512"/>
      <c r="H336" s="748">
        <f>+H332/H335</f>
        <v>46344.152121418643</v>
      </c>
      <c r="I336" s="713"/>
      <c r="K336" s="1670"/>
    </row>
    <row r="337" spans="1:12" s="698" customFormat="1" ht="16" thickBot="1">
      <c r="A337" s="325"/>
      <c r="B337" s="325"/>
      <c r="C337" s="323"/>
      <c r="D337" s="323"/>
      <c r="E337" s="714"/>
      <c r="F337" s="512"/>
      <c r="G337" s="512"/>
      <c r="H337" s="748"/>
      <c r="I337" s="713"/>
    </row>
    <row r="338" spans="1:12" s="314" customFormat="1" ht="16" thickBot="1">
      <c r="A338" s="719">
        <v>175</v>
      </c>
      <c r="B338" s="720"/>
      <c r="C338" s="726" t="s">
        <v>435</v>
      </c>
      <c r="D338" s="720"/>
      <c r="E338" s="720"/>
      <c r="F338" s="720" t="s">
        <v>812</v>
      </c>
      <c r="G338" s="720"/>
      <c r="H338" s="769">
        <f>+H336</f>
        <v>46344.152121418643</v>
      </c>
      <c r="I338" s="290"/>
      <c r="K338" s="1670"/>
      <c r="L338" s="698"/>
    </row>
    <row r="339" spans="1:12" s="314" customFormat="1">
      <c r="A339" s="203"/>
      <c r="B339" s="77"/>
      <c r="C339" s="25"/>
      <c r="D339" s="25"/>
      <c r="E339" s="715"/>
      <c r="F339" s="512"/>
      <c r="G339" s="512"/>
      <c r="H339" s="513"/>
      <c r="I339" s="716"/>
    </row>
    <row r="340" spans="1:12" s="314" customFormat="1">
      <c r="A340" s="205"/>
      <c r="B340" s="81" t="s">
        <v>255</v>
      </c>
      <c r="C340" s="25"/>
      <c r="D340" s="25"/>
      <c r="E340" s="715"/>
      <c r="F340" s="512"/>
      <c r="G340" s="512"/>
      <c r="H340" s="513"/>
      <c r="I340" s="716"/>
    </row>
    <row r="341" spans="1:12" s="314" customFormat="1">
      <c r="A341" s="205"/>
      <c r="B341" s="693" t="s">
        <v>9</v>
      </c>
      <c r="C341" s="698" t="s">
        <v>436</v>
      </c>
      <c r="D341" s="698"/>
      <c r="E341" s="532"/>
      <c r="F341" s="533"/>
      <c r="G341" s="512"/>
      <c r="H341" s="513"/>
      <c r="I341" s="716"/>
    </row>
    <row r="342" spans="1:12" s="314" customFormat="1">
      <c r="A342" s="291"/>
      <c r="B342" s="693" t="s">
        <v>10</v>
      </c>
      <c r="C342" s="21" t="s">
        <v>437</v>
      </c>
      <c r="D342" s="698"/>
      <c r="E342" s="532"/>
      <c r="F342" s="533"/>
      <c r="G342" s="512"/>
      <c r="H342" s="513"/>
      <c r="I342" s="716"/>
    </row>
    <row r="343" spans="1:12" s="314" customFormat="1">
      <c r="A343" s="291"/>
      <c r="B343" s="693"/>
      <c r="C343" s="21" t="s">
        <v>438</v>
      </c>
      <c r="D343" s="698"/>
      <c r="E343" s="532"/>
      <c r="F343" s="533"/>
      <c r="G343" s="512"/>
      <c r="H343" s="204"/>
      <c r="I343" s="278"/>
    </row>
    <row r="344" spans="1:12" s="314" customFormat="1">
      <c r="A344" s="291"/>
      <c r="B344" s="693"/>
      <c r="C344" s="21" t="s">
        <v>864</v>
      </c>
      <c r="D344" s="698"/>
      <c r="E344" s="532"/>
      <c r="F344" s="533"/>
      <c r="G344" s="512"/>
      <c r="H344" s="513"/>
      <c r="I344" s="716"/>
    </row>
    <row r="345" spans="1:12" s="314" customFormat="1">
      <c r="A345" s="291"/>
      <c r="B345" s="693"/>
      <c r="C345" s="21" t="s">
        <v>439</v>
      </c>
      <c r="D345" s="698"/>
      <c r="E345" s="532"/>
      <c r="F345" s="533"/>
      <c r="G345" s="512"/>
      <c r="H345" s="513"/>
      <c r="I345" s="716"/>
    </row>
    <row r="346" spans="1:12" s="314" customFormat="1">
      <c r="A346" s="291"/>
      <c r="B346" s="693"/>
      <c r="C346" s="21" t="s">
        <v>440</v>
      </c>
      <c r="D346" s="698"/>
      <c r="E346" s="532"/>
      <c r="F346" s="533"/>
      <c r="G346" s="512"/>
      <c r="H346" s="513"/>
      <c r="I346" s="716"/>
    </row>
    <row r="347" spans="1:12" s="314" customFormat="1">
      <c r="A347" s="291"/>
      <c r="B347" s="693" t="s">
        <v>11</v>
      </c>
      <c r="C347" s="21" t="s">
        <v>441</v>
      </c>
      <c r="D347" s="698"/>
      <c r="E347" s="532"/>
      <c r="F347" s="533"/>
      <c r="G347" s="512"/>
      <c r="H347" s="513"/>
      <c r="I347" s="716"/>
    </row>
    <row r="348" spans="1:12" s="314" customFormat="1">
      <c r="A348" s="291"/>
      <c r="B348" s="693" t="s">
        <v>14</v>
      </c>
      <c r="C348" s="698" t="s">
        <v>442</v>
      </c>
      <c r="D348" s="698"/>
      <c r="E348" s="532"/>
      <c r="F348" s="533"/>
      <c r="G348" s="512"/>
      <c r="H348" s="513"/>
      <c r="I348" s="716"/>
    </row>
    <row r="349" spans="1:12" s="314" customFormat="1">
      <c r="A349" s="291"/>
      <c r="B349" s="693" t="s">
        <v>134</v>
      </c>
      <c r="C349" s="698" t="s">
        <v>443</v>
      </c>
      <c r="D349" s="698"/>
      <c r="E349" s="532"/>
      <c r="F349" s="533"/>
      <c r="G349" s="512"/>
      <c r="H349" s="513"/>
      <c r="I349" s="716"/>
    </row>
    <row r="350" spans="1:12" s="314" customFormat="1">
      <c r="A350" s="291"/>
      <c r="B350" s="693" t="s">
        <v>135</v>
      </c>
      <c r="C350" s="698" t="s">
        <v>444</v>
      </c>
      <c r="D350" s="698"/>
      <c r="E350" s="532"/>
      <c r="F350" s="533"/>
      <c r="G350" s="512"/>
      <c r="H350" s="513"/>
      <c r="I350" s="716"/>
    </row>
    <row r="351" spans="1:12" s="314" customFormat="1">
      <c r="A351" s="291"/>
      <c r="B351" s="693" t="s">
        <v>136</v>
      </c>
      <c r="C351" s="698" t="s">
        <v>445</v>
      </c>
      <c r="D351" s="698"/>
      <c r="E351" s="532"/>
      <c r="F351" s="533"/>
      <c r="G351" s="512"/>
      <c r="H351" s="513"/>
      <c r="I351" s="716"/>
    </row>
    <row r="352" spans="1:12" s="314" customFormat="1" ht="15.75" customHeight="1">
      <c r="A352" s="291"/>
      <c r="B352" s="693" t="s">
        <v>446</v>
      </c>
      <c r="C352" s="1738" t="s">
        <v>1375</v>
      </c>
      <c r="D352" s="1738"/>
      <c r="E352" s="1738"/>
      <c r="F352" s="1738"/>
      <c r="G352" s="512"/>
      <c r="H352" s="513"/>
      <c r="I352" s="716"/>
    </row>
    <row r="353" spans="1:9" s="314" customFormat="1">
      <c r="A353" s="291"/>
      <c r="B353" s="693"/>
      <c r="C353" s="1738"/>
      <c r="D353" s="1738"/>
      <c r="E353" s="1738"/>
      <c r="F353" s="1738"/>
      <c r="G353" s="512"/>
      <c r="H353" s="513"/>
      <c r="I353" s="716"/>
    </row>
    <row r="354" spans="1:9" s="314" customFormat="1" ht="15.75" customHeight="1">
      <c r="A354" s="291"/>
      <c r="B354" s="531" t="s">
        <v>447</v>
      </c>
      <c r="C354" s="1740" t="s">
        <v>17</v>
      </c>
      <c r="D354" s="1741"/>
      <c r="E354" s="1741"/>
      <c r="F354" s="1741"/>
      <c r="G354" s="512"/>
      <c r="H354" s="513"/>
      <c r="I354" s="716"/>
    </row>
    <row r="355" spans="1:9" s="314" customFormat="1">
      <c r="A355" s="291"/>
      <c r="B355" s="693" t="s">
        <v>448</v>
      </c>
      <c r="C355" s="698" t="s">
        <v>449</v>
      </c>
      <c r="D355" s="698"/>
      <c r="E355" s="532"/>
      <c r="F355" s="533"/>
      <c r="G355" s="512"/>
      <c r="H355" s="513"/>
      <c r="I355" s="716"/>
    </row>
    <row r="356" spans="1:9" s="698" customFormat="1">
      <c r="A356" s="22"/>
      <c r="B356" s="693" t="s">
        <v>450</v>
      </c>
      <c r="C356" s="698" t="s">
        <v>451</v>
      </c>
      <c r="E356" s="532"/>
      <c r="F356" s="533"/>
      <c r="G356" s="512"/>
      <c r="H356" s="513"/>
      <c r="I356" s="716"/>
    </row>
    <row r="357" spans="1:9" s="698" customFormat="1">
      <c r="A357" s="22"/>
      <c r="B357" s="693" t="s">
        <v>452</v>
      </c>
      <c r="C357" s="698" t="s">
        <v>453</v>
      </c>
      <c r="E357" s="532"/>
      <c r="F357" s="533"/>
      <c r="G357" s="512"/>
      <c r="H357" s="513"/>
      <c r="I357" s="716"/>
    </row>
    <row r="358" spans="1:9" s="698" customFormat="1">
      <c r="A358" s="22"/>
      <c r="B358" s="693" t="s">
        <v>454</v>
      </c>
      <c r="C358" s="534" t="s">
        <v>455</v>
      </c>
      <c r="E358" s="532"/>
      <c r="F358" s="533"/>
      <c r="G358" s="512"/>
      <c r="H358" s="513"/>
      <c r="I358" s="716"/>
    </row>
    <row r="359" spans="1:9" s="698" customFormat="1">
      <c r="A359" s="22"/>
      <c r="B359" s="693"/>
      <c r="C359" s="534" t="s">
        <v>456</v>
      </c>
      <c r="E359" s="532"/>
      <c r="F359" s="533"/>
      <c r="G359" s="512"/>
      <c r="H359" s="513"/>
      <c r="I359" s="716"/>
    </row>
    <row r="360" spans="1:9" s="698" customFormat="1">
      <c r="A360" s="22"/>
      <c r="B360" s="693"/>
      <c r="C360" s="534" t="str">
        <f>"  Interest on the Network Credits as booked each year is added to the revenue requirement to make the Transmisision Owner whole on Line "&amp;A307&amp;"."</f>
        <v xml:space="preserve">  Interest on the Network Credits as booked each year is added to the revenue requirement to make the Transmisision Owner whole on Line 155.</v>
      </c>
      <c r="E360" s="532"/>
      <c r="F360" s="533"/>
      <c r="G360" s="512"/>
      <c r="H360" s="513"/>
      <c r="I360" s="716"/>
    </row>
    <row r="361" spans="1:9" s="698" customFormat="1">
      <c r="A361" s="22"/>
      <c r="B361" s="693" t="s">
        <v>457</v>
      </c>
      <c r="C361" s="534"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E361" s="532"/>
      <c r="F361" s="533"/>
      <c r="G361" s="512"/>
      <c r="H361" s="513"/>
      <c r="I361" s="716"/>
    </row>
    <row r="362" spans="1:9" s="314" customFormat="1">
      <c r="A362" s="717"/>
      <c r="B362" s="693"/>
      <c r="C362" s="534" t="str">
        <f>"  If they are booked to Acct 565, they are included in on line "&amp;A149&amp;""</f>
        <v xml:space="preserve">  If they are booked to Acct 565, they are included in on line 64</v>
      </c>
      <c r="D362" s="698"/>
      <c r="E362" s="532"/>
      <c r="F362" s="533"/>
      <c r="G362" s="205"/>
      <c r="H362" s="205"/>
      <c r="I362" s="291"/>
    </row>
    <row r="363" spans="1:9" s="698" customFormat="1">
      <c r="A363" s="344"/>
      <c r="B363" s="693" t="s">
        <v>458</v>
      </c>
      <c r="C363" s="534" t="s">
        <v>459</v>
      </c>
      <c r="D363" s="693"/>
      <c r="E363" s="693"/>
      <c r="F363" s="693"/>
      <c r="G363" s="512"/>
      <c r="H363" s="513"/>
      <c r="I363" s="716"/>
    </row>
    <row r="364" spans="1:9" s="698" customFormat="1">
      <c r="A364" s="344"/>
      <c r="B364" s="142" t="s">
        <v>460</v>
      </c>
      <c r="C364" s="680" t="s">
        <v>1552</v>
      </c>
      <c r="D364" s="305"/>
      <c r="E364" s="681"/>
      <c r="F364" s="533"/>
      <c r="G364" s="512"/>
      <c r="H364" s="513"/>
      <c r="I364" s="716"/>
    </row>
    <row r="365" spans="1:9" s="698" customFormat="1">
      <c r="A365" s="344"/>
      <c r="B365" s="693" t="s">
        <v>461</v>
      </c>
      <c r="C365" s="698" t="s">
        <v>462</v>
      </c>
      <c r="E365" s="532"/>
      <c r="F365" s="533"/>
      <c r="G365" s="512"/>
      <c r="H365" s="513"/>
      <c r="I365" s="716"/>
    </row>
    <row r="366" spans="1:9" s="698" customFormat="1">
      <c r="A366" s="344"/>
      <c r="B366" s="535"/>
      <c r="C366" s="698" t="s">
        <v>463</v>
      </c>
      <c r="E366" s="532"/>
      <c r="F366" s="533"/>
      <c r="G366" s="512"/>
      <c r="H366" s="513"/>
      <c r="I366" s="716"/>
    </row>
    <row r="367" spans="1:9" s="698" customFormat="1">
      <c r="A367" s="344"/>
      <c r="B367" s="693" t="s">
        <v>464</v>
      </c>
      <c r="C367" s="698" t="s">
        <v>465</v>
      </c>
      <c r="E367" s="532"/>
      <c r="F367" s="533"/>
      <c r="G367" s="512"/>
      <c r="H367" s="513"/>
      <c r="I367" s="716"/>
    </row>
    <row r="368" spans="1:9" s="698" customFormat="1">
      <c r="A368" s="344"/>
      <c r="B368" s="531" t="s">
        <v>178</v>
      </c>
      <c r="C368" s="641" t="s">
        <v>1145</v>
      </c>
      <c r="E368" s="532"/>
      <c r="F368" s="533"/>
      <c r="G368" s="512"/>
      <c r="H368" s="513"/>
      <c r="I368" s="716"/>
    </row>
    <row r="369" spans="1:9" s="698" customFormat="1" ht="15.75" customHeight="1">
      <c r="A369" s="344"/>
      <c r="B369" s="693" t="s">
        <v>863</v>
      </c>
      <c r="C369" s="1738" t="s">
        <v>1439</v>
      </c>
      <c r="D369" s="1738"/>
      <c r="E369" s="1738"/>
      <c r="F369" s="1738"/>
      <c r="G369" s="512"/>
      <c r="H369" s="513"/>
      <c r="I369" s="716"/>
    </row>
    <row r="370" spans="1:9" s="698" customFormat="1" ht="15.75" customHeight="1">
      <c r="A370" s="344"/>
      <c r="B370" s="693"/>
      <c r="C370" s="1738"/>
      <c r="D370" s="1738"/>
      <c r="E370" s="1738"/>
      <c r="F370" s="1738"/>
      <c r="G370" s="512"/>
      <c r="H370" s="513"/>
      <c r="I370" s="716"/>
    </row>
    <row r="371" spans="1:9" s="698" customFormat="1" ht="15.75" customHeight="1">
      <c r="A371" s="344"/>
      <c r="B371" s="693"/>
      <c r="C371" s="1738"/>
      <c r="D371" s="1738"/>
      <c r="E371" s="1738"/>
      <c r="F371" s="1738"/>
      <c r="G371" s="512"/>
      <c r="H371" s="513"/>
      <c r="I371" s="716"/>
    </row>
    <row r="372" spans="1:9" s="698" customFormat="1" ht="15.75" customHeight="1">
      <c r="A372" s="344"/>
      <c r="B372" s="531" t="s">
        <v>996</v>
      </c>
      <c r="C372" s="1742" t="s">
        <v>1146</v>
      </c>
      <c r="D372" s="1742"/>
      <c r="E372" s="1742"/>
      <c r="F372" s="1742"/>
      <c r="G372" s="512"/>
      <c r="H372" s="513"/>
      <c r="I372" s="716"/>
    </row>
    <row r="373" spans="1:9" s="698" customFormat="1">
      <c r="A373" s="344"/>
      <c r="B373" s="531"/>
      <c r="C373" s="1742"/>
      <c r="D373" s="1742"/>
      <c r="E373" s="1742"/>
      <c r="F373" s="1742"/>
      <c r="G373" s="512"/>
      <c r="H373" s="513"/>
      <c r="I373" s="716"/>
    </row>
    <row r="374" spans="1:9" s="698" customFormat="1">
      <c r="A374" s="344"/>
      <c r="B374" s="531"/>
      <c r="C374" s="1742"/>
      <c r="D374" s="1742"/>
      <c r="E374" s="1742"/>
      <c r="F374" s="1742"/>
      <c r="G374" s="512"/>
      <c r="H374" s="513"/>
      <c r="I374" s="716"/>
    </row>
    <row r="375" spans="1:9" s="698" customFormat="1">
      <c r="A375" s="344"/>
      <c r="B375" s="531"/>
      <c r="C375" s="1742"/>
      <c r="D375" s="1742"/>
      <c r="E375" s="1742"/>
      <c r="F375" s="1742"/>
      <c r="G375" s="512"/>
      <c r="H375" s="513"/>
      <c r="I375" s="716"/>
    </row>
    <row r="376" spans="1:9" s="698" customFormat="1">
      <c r="A376" s="344"/>
      <c r="B376" s="531"/>
      <c r="C376" s="1742"/>
      <c r="D376" s="1742"/>
      <c r="E376" s="1742"/>
      <c r="F376" s="1742"/>
      <c r="G376" s="512"/>
      <c r="H376" s="513"/>
      <c r="I376" s="716"/>
    </row>
    <row r="377" spans="1:9" s="698" customFormat="1">
      <c r="A377" s="344"/>
      <c r="B377" s="531"/>
      <c r="C377" s="1742"/>
      <c r="D377" s="1742"/>
      <c r="E377" s="1742"/>
      <c r="F377" s="1742"/>
      <c r="G377" s="512"/>
      <c r="H377" s="513"/>
      <c r="I377" s="716"/>
    </row>
    <row r="378" spans="1:9" s="698" customFormat="1">
      <c r="A378" s="344"/>
      <c r="B378" s="531"/>
      <c r="C378" s="1742"/>
      <c r="D378" s="1742"/>
      <c r="E378" s="1742"/>
      <c r="F378" s="1742"/>
      <c r="G378" s="512"/>
      <c r="H378" s="513"/>
      <c r="I378" s="716"/>
    </row>
    <row r="379" spans="1:9" s="698" customFormat="1">
      <c r="A379" s="344"/>
      <c r="B379" s="531"/>
      <c r="C379" s="1742"/>
      <c r="D379" s="1742"/>
      <c r="E379" s="1742"/>
      <c r="F379" s="1742"/>
      <c r="G379" s="512"/>
      <c r="H379" s="513"/>
      <c r="I379" s="716"/>
    </row>
    <row r="380" spans="1:9" s="698" customFormat="1">
      <c r="A380" s="344"/>
      <c r="B380" s="531"/>
      <c r="C380" s="1742"/>
      <c r="D380" s="1742"/>
      <c r="E380" s="1742"/>
      <c r="F380" s="1742"/>
      <c r="G380" s="512"/>
      <c r="H380" s="513"/>
      <c r="I380" s="716"/>
    </row>
    <row r="381" spans="1:9" s="698" customFormat="1" ht="15.75" customHeight="1">
      <c r="A381" s="344"/>
      <c r="B381" s="531"/>
      <c r="C381" s="1742"/>
      <c r="D381" s="1742"/>
      <c r="E381" s="1742"/>
      <c r="F381" s="1742"/>
      <c r="G381" s="512"/>
      <c r="H381" s="513"/>
      <c r="I381" s="716"/>
    </row>
    <row r="382" spans="1:9" s="698" customFormat="1" ht="15.75" customHeight="1">
      <c r="A382" s="344"/>
      <c r="B382" s="531" t="s">
        <v>997</v>
      </c>
      <c r="C382" s="1738" t="s">
        <v>1147</v>
      </c>
      <c r="D382" s="1738"/>
      <c r="E382" s="1738"/>
      <c r="F382" s="1738"/>
      <c r="G382" s="512"/>
      <c r="H382" s="513"/>
      <c r="I382" s="716"/>
    </row>
    <row r="383" spans="1:9" s="698" customFormat="1">
      <c r="A383" s="344"/>
      <c r="B383" s="531"/>
      <c r="C383" s="1738"/>
      <c r="D383" s="1738"/>
      <c r="E383" s="1738"/>
      <c r="F383" s="1738"/>
      <c r="G383" s="512"/>
      <c r="H383" s="513"/>
      <c r="I383" s="716"/>
    </row>
    <row r="384" spans="1:9" s="698" customFormat="1">
      <c r="A384" s="344"/>
      <c r="B384" s="531"/>
      <c r="C384" s="1738"/>
      <c r="D384" s="1738"/>
      <c r="E384" s="1738"/>
      <c r="F384" s="1738"/>
      <c r="G384" s="512"/>
      <c r="H384" s="513"/>
      <c r="I384" s="716"/>
    </row>
    <row r="385" spans="1:9" s="698" customFormat="1">
      <c r="A385" s="344"/>
      <c r="B385" s="531"/>
      <c r="C385" s="1738"/>
      <c r="D385" s="1738"/>
      <c r="E385" s="1738"/>
      <c r="F385" s="1738"/>
      <c r="G385" s="512"/>
      <c r="H385" s="513"/>
      <c r="I385" s="716"/>
    </row>
    <row r="386" spans="1:9" s="698" customFormat="1" ht="34.5" customHeight="1">
      <c r="A386" s="344"/>
      <c r="B386" s="531" t="s">
        <v>998</v>
      </c>
      <c r="C386" s="1739" t="s">
        <v>1391</v>
      </c>
      <c r="D386" s="1739"/>
      <c r="E386" s="1739"/>
      <c r="F386" s="1739"/>
      <c r="G386" s="512"/>
      <c r="H386" s="513"/>
      <c r="I386" s="716"/>
    </row>
    <row r="387" spans="1:9" s="698" customFormat="1" ht="33" customHeight="1">
      <c r="A387" s="344"/>
      <c r="B387" s="531" t="s">
        <v>1104</v>
      </c>
      <c r="C387" s="1739" t="s">
        <v>1392</v>
      </c>
      <c r="D387" s="1739"/>
      <c r="E387" s="1739"/>
      <c r="F387" s="1739"/>
      <c r="G387" s="512"/>
      <c r="H387" s="513"/>
      <c r="I387" s="716"/>
    </row>
    <row r="388" spans="1:9" s="698" customFormat="1" ht="33.75" customHeight="1">
      <c r="A388" s="344"/>
      <c r="B388" s="531" t="s">
        <v>1148</v>
      </c>
      <c r="C388" s="1739" t="s">
        <v>1393</v>
      </c>
      <c r="D388" s="1739"/>
      <c r="E388" s="1739"/>
      <c r="F388" s="1739"/>
      <c r="G388" s="512"/>
      <c r="H388" s="513"/>
      <c r="I388" s="716"/>
    </row>
    <row r="389" spans="1:9" s="698" customFormat="1" ht="35.25" customHeight="1">
      <c r="A389" s="326"/>
      <c r="B389" s="531" t="s">
        <v>1149</v>
      </c>
      <c r="C389" s="1737" t="s">
        <v>1550</v>
      </c>
      <c r="D389" s="1737"/>
      <c r="E389" s="1737"/>
      <c r="F389" s="1737"/>
      <c r="G389" s="323"/>
      <c r="H389" s="71"/>
      <c r="I389" s="292"/>
    </row>
    <row r="390" spans="1:9" s="698" customFormat="1" ht="15.75" customHeight="1">
      <c r="A390" s="326"/>
      <c r="B390" s="531"/>
      <c r="C390" s="692"/>
      <c r="D390" s="692"/>
      <c r="E390" s="692"/>
      <c r="F390" s="692"/>
      <c r="G390" s="323"/>
      <c r="H390" s="71"/>
      <c r="I390" s="292"/>
    </row>
    <row r="391" spans="1:9" s="698" customFormat="1">
      <c r="A391" s="206" t="s">
        <v>466</v>
      </c>
      <c r="B391" s="207"/>
      <c r="C391" s="19"/>
      <c r="D391" s="67"/>
      <c r="E391" s="208"/>
      <c r="F391" s="67"/>
      <c r="G391" s="67"/>
      <c r="H391" s="19"/>
      <c r="I391" s="305"/>
    </row>
    <row r="392" spans="1:9" s="698" customFormat="1">
      <c r="A392" s="326"/>
      <c r="B392" s="325"/>
      <c r="E392" s="693"/>
      <c r="I392" s="305"/>
    </row>
    <row r="393" spans="1:9" s="698" customFormat="1">
      <c r="A393" s="21"/>
      <c r="B393" s="323"/>
      <c r="C393" s="323"/>
      <c r="D393" s="323"/>
      <c r="E393" s="693"/>
      <c r="H393" s="209"/>
      <c r="I393" s="271"/>
    </row>
    <row r="394" spans="1:9" s="698" customFormat="1">
      <c r="A394" s="21"/>
      <c r="B394" s="323"/>
      <c r="C394" s="323"/>
      <c r="D394" s="323"/>
      <c r="E394" s="693"/>
      <c r="H394" s="210"/>
      <c r="I394" s="293"/>
    </row>
    <row r="395" spans="1:9" s="698" customFormat="1">
      <c r="A395" s="21"/>
      <c r="B395" s="323"/>
      <c r="C395" s="323"/>
      <c r="D395" s="323"/>
      <c r="E395" s="693"/>
      <c r="H395" s="211"/>
      <c r="I395" s="294"/>
    </row>
    <row r="396" spans="1:9" s="698" customFormat="1">
      <c r="A396" s="21"/>
      <c r="B396" s="323"/>
      <c r="C396" s="323"/>
      <c r="D396" s="323"/>
      <c r="E396" s="693"/>
      <c r="I396" s="305"/>
    </row>
    <row r="397" spans="1:9" s="698" customFormat="1">
      <c r="A397" s="21"/>
      <c r="B397" s="323"/>
      <c r="C397" s="323"/>
      <c r="D397" s="323"/>
      <c r="E397" s="693"/>
      <c r="I397" s="305"/>
    </row>
    <row r="398" spans="1:9" s="698" customFormat="1">
      <c r="A398" s="21"/>
      <c r="B398" s="323"/>
      <c r="C398" s="323"/>
      <c r="D398" s="323"/>
      <c r="E398" s="693"/>
      <c r="I398" s="305"/>
    </row>
    <row r="399" spans="1:9" s="698" customFormat="1">
      <c r="A399" s="21"/>
      <c r="B399" s="323"/>
      <c r="C399" s="323"/>
      <c r="D399" s="323"/>
      <c r="E399" s="693"/>
      <c r="I399" s="305"/>
    </row>
    <row r="400" spans="1:9" s="698" customFormat="1">
      <c r="A400" s="21"/>
      <c r="B400" s="323"/>
      <c r="C400" s="323"/>
      <c r="D400" s="323"/>
      <c r="E400" s="693"/>
      <c r="I400" s="305"/>
    </row>
    <row r="401" spans="1:9" s="698" customFormat="1">
      <c r="A401" s="21"/>
      <c r="B401" s="323"/>
      <c r="C401" s="323"/>
      <c r="D401" s="323"/>
      <c r="E401" s="693"/>
      <c r="I401" s="305"/>
    </row>
    <row r="402" spans="1:9" s="698" customFormat="1">
      <c r="A402" s="21"/>
      <c r="B402" s="323"/>
      <c r="C402" s="323"/>
      <c r="D402" s="323"/>
      <c r="E402" s="693"/>
      <c r="I402" s="305"/>
    </row>
    <row r="403" spans="1:9" s="698" customFormat="1">
      <c r="A403" s="21"/>
      <c r="B403" s="323"/>
      <c r="C403" s="323"/>
      <c r="D403" s="323"/>
      <c r="E403" s="693"/>
      <c r="I403" s="305"/>
    </row>
    <row r="404" spans="1:9" s="698" customFormat="1">
      <c r="A404" s="21"/>
      <c r="B404" s="323"/>
      <c r="C404" s="323"/>
      <c r="D404" s="323"/>
      <c r="E404" s="693"/>
      <c r="I404" s="305"/>
    </row>
    <row r="405" spans="1:9" s="698" customFormat="1">
      <c r="A405" s="21"/>
      <c r="B405" s="323"/>
      <c r="C405" s="323"/>
      <c r="D405" s="323"/>
      <c r="E405" s="693"/>
      <c r="I405" s="305"/>
    </row>
    <row r="406" spans="1:9" s="698" customFormat="1">
      <c r="A406" s="21"/>
      <c r="B406" s="323"/>
      <c r="C406" s="323"/>
      <c r="D406" s="323"/>
      <c r="E406" s="693"/>
      <c r="I406" s="305"/>
    </row>
    <row r="407" spans="1:9" s="698" customFormat="1">
      <c r="A407" s="21"/>
      <c r="B407" s="323"/>
      <c r="C407" s="323"/>
      <c r="D407" s="323"/>
      <c r="E407" s="693"/>
      <c r="I407" s="305"/>
    </row>
    <row r="408" spans="1:9" s="698" customFormat="1">
      <c r="A408" s="21"/>
      <c r="B408" s="323"/>
      <c r="C408" s="323"/>
      <c r="D408" s="323"/>
      <c r="E408" s="693"/>
      <c r="I408" s="305"/>
    </row>
    <row r="409" spans="1:9" s="698" customFormat="1">
      <c r="A409" s="21"/>
      <c r="B409" s="323"/>
      <c r="C409" s="323"/>
      <c r="D409" s="323"/>
      <c r="E409" s="693"/>
      <c r="I409" s="305"/>
    </row>
    <row r="410" spans="1:9" s="698" customFormat="1">
      <c r="A410" s="21"/>
      <c r="B410" s="323"/>
      <c r="C410" s="323"/>
      <c r="D410" s="323"/>
      <c r="E410" s="693"/>
      <c r="I410" s="305"/>
    </row>
    <row r="411" spans="1:9" s="698" customFormat="1">
      <c r="A411" s="21"/>
      <c r="B411" s="323"/>
      <c r="C411" s="323"/>
      <c r="D411" s="323"/>
      <c r="E411" s="693"/>
      <c r="I411" s="305"/>
    </row>
    <row r="412" spans="1:9" s="698" customFormat="1">
      <c r="A412" s="21"/>
      <c r="B412" s="323"/>
      <c r="C412" s="323"/>
      <c r="D412" s="323"/>
      <c r="E412" s="693"/>
      <c r="I412" s="305"/>
    </row>
    <row r="413" spans="1:9" s="698" customFormat="1">
      <c r="A413" s="21"/>
      <c r="B413" s="323"/>
      <c r="C413" s="323"/>
      <c r="D413" s="323"/>
      <c r="E413" s="693"/>
      <c r="I413" s="305"/>
    </row>
    <row r="414" spans="1:9" s="698" customFormat="1">
      <c r="A414" s="21"/>
      <c r="B414" s="323"/>
      <c r="C414" s="323"/>
      <c r="D414" s="323"/>
      <c r="E414" s="693"/>
      <c r="I414" s="305"/>
    </row>
    <row r="415" spans="1:9" s="698" customFormat="1">
      <c r="A415" s="21"/>
      <c r="B415" s="323"/>
      <c r="C415" s="323"/>
      <c r="D415" s="323"/>
      <c r="E415" s="693"/>
      <c r="I415" s="305"/>
    </row>
    <row r="416" spans="1:9" s="698" customFormat="1">
      <c r="A416" s="21"/>
      <c r="B416" s="323"/>
      <c r="C416" s="323"/>
      <c r="D416" s="323"/>
      <c r="E416" s="693"/>
      <c r="I416" s="305"/>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9:F389"/>
    <mergeCell ref="C352:F353"/>
    <mergeCell ref="C386:F386"/>
    <mergeCell ref="C388:F388"/>
    <mergeCell ref="C387:F387"/>
    <mergeCell ref="C354:F354"/>
    <mergeCell ref="C369:F371"/>
    <mergeCell ref="C372:F381"/>
    <mergeCell ref="C382:F385"/>
  </mergeCells>
  <pageMargins left="0.5" right="0.5" top="0.5" bottom="0.5" header="0.5" footer="0.5"/>
  <pageSetup scale="35" fitToHeight="3" orientation="portrait" r:id="rId2"/>
  <rowBreaks count="3" manualBreakCount="3">
    <brk id="130" max="7" man="1"/>
    <brk id="252" max="7" man="1"/>
    <brk id="33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D5BF6-4A78-436B-8E5A-F6A1B2BE0984}">
  <dimension ref="A1:V71"/>
  <sheetViews>
    <sheetView showWhiteSpace="0" view="pageBreakPreview" zoomScale="60" zoomScaleNormal="100" workbookViewId="0">
      <selection sqref="A1:XFD1048576"/>
    </sheetView>
  </sheetViews>
  <sheetFormatPr defaultColWidth="9.1796875" defaultRowHeight="15.5"/>
  <cols>
    <col min="1" max="1" width="3.81640625" style="675" bestFit="1" customWidth="1"/>
    <col min="2" max="2" width="2.54296875" style="676" bestFit="1" customWidth="1"/>
    <col min="3" max="3" width="51" style="676" bestFit="1" customWidth="1"/>
    <col min="4" max="4" width="1.81640625" style="675" customWidth="1"/>
    <col min="5" max="5" width="13.7265625" style="677" customWidth="1"/>
    <col min="6" max="6" width="2.26953125" style="675" bestFit="1" customWidth="1"/>
    <col min="7" max="7" width="13.7265625" style="677" customWidth="1"/>
    <col min="8" max="8" width="1.453125" style="676" customWidth="1"/>
    <col min="9" max="9" width="13.7265625" style="677" customWidth="1"/>
    <col min="10" max="10" width="1.453125" style="676" customWidth="1"/>
    <col min="11" max="11" width="13.7265625" style="677" customWidth="1"/>
    <col min="12" max="12" width="1.453125" style="676" customWidth="1"/>
    <col min="13" max="13" width="13.7265625" style="677" customWidth="1"/>
    <col min="14" max="16384" width="9.1796875" style="676"/>
  </cols>
  <sheetData>
    <row r="1" spans="1:13" ht="18">
      <c r="C1" s="1788" t="s">
        <v>1383</v>
      </c>
      <c r="D1" s="1788"/>
      <c r="E1" s="1788"/>
      <c r="F1" s="1788"/>
      <c r="G1" s="1788"/>
      <c r="H1" s="1788"/>
      <c r="I1" s="1788"/>
      <c r="J1" s="678"/>
      <c r="K1" s="678"/>
    </row>
    <row r="2" spans="1:13">
      <c r="C2" s="1789" t="s">
        <v>157</v>
      </c>
      <c r="D2" s="1792"/>
      <c r="E2" s="1792"/>
      <c r="F2" s="1792"/>
      <c r="G2" s="1792"/>
      <c r="H2" s="1792"/>
      <c r="I2" s="1792"/>
    </row>
    <row r="3" spans="1:13" s="814" customFormat="1" ht="13">
      <c r="A3" s="813"/>
      <c r="C3" s="815"/>
      <c r="D3" s="816"/>
      <c r="E3" s="816"/>
      <c r="F3" s="816"/>
      <c r="G3" s="816"/>
      <c r="H3" s="816"/>
      <c r="I3" s="816"/>
      <c r="K3" s="817"/>
      <c r="M3" s="817"/>
    </row>
    <row r="4" spans="1:13" s="814" customFormat="1" ht="12.5">
      <c r="A4" s="813"/>
      <c r="D4" s="813"/>
      <c r="E4" s="817"/>
      <c r="F4" s="813"/>
      <c r="G4" s="817"/>
      <c r="I4" s="817"/>
      <c r="K4" s="817"/>
      <c r="M4" s="817"/>
    </row>
    <row r="5" spans="1:13" s="814" customFormat="1" ht="12.5">
      <c r="A5" s="813"/>
      <c r="D5" s="813"/>
      <c r="E5" s="817"/>
      <c r="F5" s="813"/>
      <c r="G5" s="817"/>
      <c r="I5" s="817"/>
      <c r="K5" s="817"/>
      <c r="M5" s="817"/>
    </row>
    <row r="6" spans="1:13" s="814" customFormat="1" ht="12.5">
      <c r="A6" s="813"/>
      <c r="D6" s="813"/>
      <c r="E6" s="817"/>
      <c r="F6" s="813"/>
      <c r="G6" s="817"/>
      <c r="I6" s="817"/>
      <c r="K6" s="817"/>
      <c r="M6" s="817"/>
    </row>
    <row r="7" spans="1:13" s="819" customFormat="1" ht="26">
      <c r="A7" s="818" t="s">
        <v>1499</v>
      </c>
      <c r="C7" s="818" t="s">
        <v>1500</v>
      </c>
      <c r="E7" s="820" t="s">
        <v>1501</v>
      </c>
      <c r="G7" s="820" t="s">
        <v>1502</v>
      </c>
      <c r="I7" s="820" t="s">
        <v>1503</v>
      </c>
      <c r="K7" s="820" t="s">
        <v>1504</v>
      </c>
      <c r="M7" s="820" t="s">
        <v>1505</v>
      </c>
    </row>
    <row r="8" spans="1:13" s="819" customFormat="1" ht="13">
      <c r="A8" s="813">
        <v>1</v>
      </c>
      <c r="C8" s="821" t="s">
        <v>1506</v>
      </c>
      <c r="E8" s="822"/>
      <c r="G8" s="822"/>
      <c r="I8" s="822"/>
      <c r="K8" s="822"/>
      <c r="M8" s="822"/>
    </row>
    <row r="9" spans="1:13" s="819" customFormat="1" ht="13">
      <c r="A9" s="813" t="str">
        <f>IF(ISBLANK(C9)=TRUE,"",MAX($A$8:A8)+1)</f>
        <v/>
      </c>
      <c r="E9" s="822"/>
      <c r="G9" s="822"/>
      <c r="I9" s="822"/>
      <c r="K9" s="822"/>
      <c r="M9" s="822"/>
    </row>
    <row r="10" spans="1:13" s="814" customFormat="1" ht="12.5">
      <c r="A10" s="813">
        <f>IF(ISBLANK(C10)=TRUE,"",MAX($A$8:A9)+1)</f>
        <v>2</v>
      </c>
      <c r="C10" s="823" t="s">
        <v>1507</v>
      </c>
      <c r="D10" s="813"/>
      <c r="E10" s="824">
        <v>0</v>
      </c>
      <c r="F10" s="813"/>
      <c r="G10" s="824"/>
      <c r="H10" s="817">
        <v>1000</v>
      </c>
      <c r="I10" s="824">
        <v>0</v>
      </c>
      <c r="J10" s="817">
        <v>1000</v>
      </c>
      <c r="K10" s="824">
        <v>0</v>
      </c>
      <c r="L10" s="817">
        <v>1000</v>
      </c>
      <c r="M10" s="824">
        <v>0</v>
      </c>
    </row>
    <row r="11" spans="1:13" s="814" customFormat="1" ht="12.5">
      <c r="A11" s="813">
        <f>IF(ISBLANK(C11)=TRUE,"",MAX($A$8:A10)+1)</f>
        <v>3</v>
      </c>
      <c r="C11" s="823" t="s">
        <v>1508</v>
      </c>
      <c r="D11" s="825" t="s">
        <v>1509</v>
      </c>
      <c r="E11" s="824">
        <v>0</v>
      </c>
      <c r="F11" s="813"/>
      <c r="G11" s="824">
        <v>0</v>
      </c>
      <c r="H11" s="817"/>
      <c r="I11" s="824">
        <v>0</v>
      </c>
      <c r="J11" s="817">
        <v>1000</v>
      </c>
      <c r="K11" s="824">
        <v>0</v>
      </c>
      <c r="L11" s="817"/>
      <c r="M11" s="824">
        <v>0</v>
      </c>
    </row>
    <row r="12" spans="1:13" s="814" customFormat="1" ht="12.5">
      <c r="A12" s="813">
        <f>IF(ISBLANK(C12)=TRUE,"",MAX($A$8:A11)+1)</f>
        <v>4</v>
      </c>
      <c r="C12" s="826" t="s">
        <v>1510</v>
      </c>
      <c r="D12" s="813"/>
      <c r="E12" s="827">
        <f>E10+E11</f>
        <v>0</v>
      </c>
      <c r="F12" s="813"/>
      <c r="G12" s="827">
        <f>G10+G11</f>
        <v>0</v>
      </c>
      <c r="H12" s="827">
        <f t="shared" ref="H12:M12" si="0">H10+H11</f>
        <v>1000</v>
      </c>
      <c r="I12" s="827">
        <f t="shared" si="0"/>
        <v>0</v>
      </c>
      <c r="J12" s="827">
        <f t="shared" si="0"/>
        <v>2000</v>
      </c>
      <c r="K12" s="827">
        <f t="shared" si="0"/>
        <v>0</v>
      </c>
      <c r="L12" s="827">
        <f t="shared" si="0"/>
        <v>1000</v>
      </c>
      <c r="M12" s="827">
        <f t="shared" si="0"/>
        <v>0</v>
      </c>
    </row>
    <row r="13" spans="1:13" s="814" customFormat="1" ht="12.5">
      <c r="A13" s="813">
        <f>IF(ISBLANK(C13)=TRUE,"",MAX($A$8:A12)+1)</f>
        <v>5</v>
      </c>
      <c r="C13" s="823" t="s">
        <v>1511</v>
      </c>
      <c r="D13" s="813" t="s">
        <v>1512</v>
      </c>
      <c r="E13" s="828">
        <f>FA</f>
        <v>1</v>
      </c>
      <c r="F13" s="813"/>
      <c r="G13" s="828">
        <f>FA</f>
        <v>1</v>
      </c>
      <c r="H13" s="813"/>
      <c r="I13" s="828">
        <f>FA</f>
        <v>1</v>
      </c>
      <c r="J13" s="813"/>
      <c r="K13" s="828">
        <f>FA</f>
        <v>1</v>
      </c>
      <c r="L13" s="813"/>
      <c r="M13" s="828">
        <f>FA</f>
        <v>1</v>
      </c>
    </row>
    <row r="14" spans="1:13" s="814" customFormat="1" ht="12.5">
      <c r="A14" s="813">
        <f>IF(ISBLANK(C14)=TRUE,"",MAX($A$8:A13)+1)</f>
        <v>6</v>
      </c>
      <c r="C14" s="826" t="s">
        <v>1513</v>
      </c>
      <c r="D14" s="813"/>
      <c r="E14" s="827">
        <f>E12*E13</f>
        <v>0</v>
      </c>
      <c r="F14" s="813"/>
      <c r="G14" s="827">
        <f t="shared" ref="G14" si="1">G12*G13</f>
        <v>0</v>
      </c>
      <c r="H14" s="813"/>
      <c r="I14" s="827">
        <f t="shared" ref="I14" si="2">I12*I13</f>
        <v>0</v>
      </c>
      <c r="J14" s="813"/>
      <c r="K14" s="827">
        <f t="shared" ref="K14" si="3">K12*K13</f>
        <v>0</v>
      </c>
      <c r="L14" s="813"/>
      <c r="M14" s="827">
        <f t="shared" ref="M14" si="4">M12*M13</f>
        <v>0</v>
      </c>
    </row>
    <row r="15" spans="1:13" s="814" customFormat="1" ht="12.5">
      <c r="A15" s="813" t="str">
        <f>IF(ISBLANK(C15)=TRUE,"",MAX($A$8:A14)+1)</f>
        <v/>
      </c>
      <c r="D15" s="813"/>
      <c r="E15" s="817"/>
      <c r="F15" s="813"/>
      <c r="G15" s="817"/>
      <c r="H15" s="817"/>
      <c r="I15" s="817"/>
      <c r="J15" s="817"/>
      <c r="K15" s="817"/>
      <c r="L15" s="817"/>
      <c r="M15" s="817"/>
    </row>
    <row r="16" spans="1:13" s="814" customFormat="1" ht="12.5">
      <c r="A16" s="813">
        <f>IF(ISBLANK(C16)=TRUE,"",MAX($A$8:A15)+1)</f>
        <v>7</v>
      </c>
      <c r="C16" s="823" t="s">
        <v>1514</v>
      </c>
      <c r="D16" s="813"/>
      <c r="E16" s="824">
        <v>0</v>
      </c>
      <c r="F16" s="813"/>
      <c r="G16" s="824">
        <v>0</v>
      </c>
      <c r="H16" s="817">
        <v>1000</v>
      </c>
      <c r="I16" s="824">
        <v>0</v>
      </c>
      <c r="J16" s="817">
        <v>1000</v>
      </c>
      <c r="K16" s="824">
        <v>0</v>
      </c>
      <c r="L16" s="817">
        <v>1000</v>
      </c>
      <c r="M16" s="824">
        <v>0</v>
      </c>
    </row>
    <row r="17" spans="1:13" s="814" customFormat="1" ht="12.5">
      <c r="A17" s="813">
        <f>IF(ISBLANK(C17)=TRUE,"",MAX($A$8:A16)+1)</f>
        <v>8</v>
      </c>
      <c r="C17" s="823" t="s">
        <v>1515</v>
      </c>
      <c r="D17" s="825" t="s">
        <v>1509</v>
      </c>
      <c r="E17" s="824">
        <v>0</v>
      </c>
      <c r="F17" s="813"/>
      <c r="G17" s="824">
        <v>0</v>
      </c>
      <c r="H17" s="817"/>
      <c r="I17" s="824">
        <v>0</v>
      </c>
      <c r="J17" s="817"/>
      <c r="K17" s="824">
        <v>0</v>
      </c>
      <c r="L17" s="817"/>
      <c r="M17" s="824">
        <v>0</v>
      </c>
    </row>
    <row r="18" spans="1:13" s="814" customFormat="1" ht="12.5">
      <c r="A18" s="813">
        <f>IF(ISBLANK(C18)=TRUE,"",MAX($A$8:A17)+1)</f>
        <v>9</v>
      </c>
      <c r="C18" s="826" t="s">
        <v>1516</v>
      </c>
      <c r="D18" s="813"/>
      <c r="E18" s="827">
        <f>E16+E17</f>
        <v>0</v>
      </c>
      <c r="F18" s="813"/>
      <c r="G18" s="827">
        <f>G16+G17</f>
        <v>0</v>
      </c>
      <c r="H18" s="827">
        <f t="shared" ref="H18:M18" si="5">H16+H17</f>
        <v>1000</v>
      </c>
      <c r="I18" s="827">
        <f t="shared" si="5"/>
        <v>0</v>
      </c>
      <c r="J18" s="827">
        <f t="shared" si="5"/>
        <v>1000</v>
      </c>
      <c r="K18" s="827">
        <f t="shared" si="5"/>
        <v>0</v>
      </c>
      <c r="L18" s="827">
        <f t="shared" si="5"/>
        <v>1000</v>
      </c>
      <c r="M18" s="827">
        <f t="shared" si="5"/>
        <v>0</v>
      </c>
    </row>
    <row r="19" spans="1:13" s="814" customFormat="1" ht="12.5">
      <c r="A19" s="813">
        <f>IF(ISBLANK(C19)=TRUE,"",MAX($A$8:A18)+1)</f>
        <v>10</v>
      </c>
      <c r="C19" s="823" t="s">
        <v>1517</v>
      </c>
      <c r="D19" s="813" t="s">
        <v>1512</v>
      </c>
      <c r="E19" s="828">
        <f>WS</f>
        <v>0.14625503638690887</v>
      </c>
      <c r="F19" s="813"/>
      <c r="G19" s="828">
        <f>WS</f>
        <v>0.14625503638690887</v>
      </c>
      <c r="H19" s="813"/>
      <c r="I19" s="828">
        <f>WS</f>
        <v>0.14625503638690887</v>
      </c>
      <c r="J19" s="813"/>
      <c r="K19" s="828">
        <f>WS</f>
        <v>0.14625503638690887</v>
      </c>
      <c r="L19" s="813"/>
      <c r="M19" s="828">
        <f>WS</f>
        <v>0.14625503638690887</v>
      </c>
    </row>
    <row r="20" spans="1:13" s="814" customFormat="1" ht="12.5">
      <c r="A20" s="813">
        <f>IF(ISBLANK(C20)=TRUE,"",MAX($A$8:A19)+1)</f>
        <v>11</v>
      </c>
      <c r="C20" s="826" t="s">
        <v>1518</v>
      </c>
      <c r="D20" s="813"/>
      <c r="E20" s="827">
        <f>E18*E19</f>
        <v>0</v>
      </c>
      <c r="F20" s="813"/>
      <c r="G20" s="827">
        <f t="shared" ref="G20" si="6">G18*G19</f>
        <v>0</v>
      </c>
      <c r="H20" s="813"/>
      <c r="I20" s="827">
        <f t="shared" ref="I20" si="7">I18*I19</f>
        <v>0</v>
      </c>
      <c r="J20" s="813"/>
      <c r="K20" s="827">
        <f t="shared" ref="K20" si="8">K18*K19</f>
        <v>0</v>
      </c>
      <c r="L20" s="813"/>
      <c r="M20" s="827">
        <f t="shared" ref="M20" si="9">M18*M19</f>
        <v>0</v>
      </c>
    </row>
    <row r="21" spans="1:13" s="814" customFormat="1" ht="12.5">
      <c r="A21" s="813" t="str">
        <f>IF(ISBLANK(C21)=TRUE,"",MAX($A$8:A20)+1)</f>
        <v/>
      </c>
      <c r="D21" s="813"/>
      <c r="E21" s="817"/>
      <c r="F21" s="813"/>
      <c r="G21" s="817"/>
      <c r="H21" s="817"/>
      <c r="I21" s="817"/>
      <c r="J21" s="817"/>
      <c r="K21" s="817"/>
      <c r="L21" s="817"/>
      <c r="M21" s="817"/>
    </row>
    <row r="22" spans="1:13" s="814" customFormat="1" ht="12.5">
      <c r="A22" s="813">
        <f>IF(ISBLANK(C22)=TRUE,"",MAX($A$8:A21)+1)</f>
        <v>12</v>
      </c>
      <c r="C22" s="823" t="s">
        <v>979</v>
      </c>
      <c r="D22" s="813"/>
      <c r="E22" s="824">
        <v>0</v>
      </c>
      <c r="F22" s="813"/>
      <c r="G22" s="824">
        <v>0</v>
      </c>
      <c r="H22" s="817">
        <v>1000</v>
      </c>
      <c r="I22" s="824">
        <v>0</v>
      </c>
      <c r="J22" s="817">
        <v>1000</v>
      </c>
      <c r="K22" s="824">
        <v>0</v>
      </c>
      <c r="L22" s="817">
        <v>1000</v>
      </c>
      <c r="M22" s="824">
        <v>0</v>
      </c>
    </row>
    <row r="23" spans="1:13" s="814" customFormat="1" ht="12.5">
      <c r="A23" s="813">
        <f>IF(ISBLANK(C23)=TRUE,"",MAX($A$8:A22)+1)</f>
        <v>13</v>
      </c>
      <c r="C23" s="823" t="s">
        <v>1519</v>
      </c>
      <c r="D23" s="825" t="s">
        <v>1509</v>
      </c>
      <c r="E23" s="824">
        <v>0</v>
      </c>
      <c r="F23" s="813"/>
      <c r="G23" s="824">
        <v>0</v>
      </c>
      <c r="H23" s="817"/>
      <c r="I23" s="824">
        <v>0</v>
      </c>
      <c r="J23" s="817"/>
      <c r="K23" s="824">
        <v>0</v>
      </c>
      <c r="L23" s="817"/>
      <c r="M23" s="824">
        <v>0</v>
      </c>
    </row>
    <row r="24" spans="1:13" s="814" customFormat="1" ht="12.5">
      <c r="A24" s="813">
        <f>IF(ISBLANK(C24)=TRUE,"",MAX($A$8:A23)+1)</f>
        <v>14</v>
      </c>
      <c r="C24" s="826" t="s">
        <v>1520</v>
      </c>
      <c r="D24" s="813"/>
      <c r="E24" s="827">
        <f>E22+E23</f>
        <v>0</v>
      </c>
      <c r="F24" s="813"/>
      <c r="G24" s="827">
        <f t="shared" ref="G24" si="10">G22+G23</f>
        <v>0</v>
      </c>
      <c r="H24" s="813"/>
      <c r="I24" s="827">
        <f t="shared" ref="I24" si="11">I22+I23</f>
        <v>0</v>
      </c>
      <c r="J24" s="813"/>
      <c r="K24" s="827">
        <f t="shared" ref="K24" si="12">K22+K23</f>
        <v>0</v>
      </c>
      <c r="L24" s="813"/>
      <c r="M24" s="827">
        <f t="shared" ref="M24" si="13">M22+M23</f>
        <v>0</v>
      </c>
    </row>
    <row r="25" spans="1:13" s="814" customFormat="1" ht="12.5">
      <c r="A25" s="813">
        <f>IF(ISBLANK(C25)=TRUE,"",MAX($A$8:A24)+1)</f>
        <v>15</v>
      </c>
      <c r="C25" s="823" t="s">
        <v>217</v>
      </c>
      <c r="D25" s="813" t="s">
        <v>1512</v>
      </c>
      <c r="E25" s="828" cm="1">
        <f t="array" ref="E25">GP</f>
        <v>0.37201518739184425</v>
      </c>
      <c r="F25" s="813"/>
      <c r="G25" s="828">
        <f>GP</f>
        <v>0.37201518739184425</v>
      </c>
      <c r="H25" s="813"/>
      <c r="I25" s="828">
        <f>GP</f>
        <v>0.37201518739184425</v>
      </c>
      <c r="J25" s="813"/>
      <c r="K25" s="828">
        <f>GP</f>
        <v>0.37201518739184425</v>
      </c>
      <c r="L25" s="813"/>
      <c r="M25" s="828">
        <f>GP</f>
        <v>0.37201518739184425</v>
      </c>
    </row>
    <row r="26" spans="1:13" s="814" customFormat="1" ht="12.5">
      <c r="A26" s="813">
        <f>IF(ISBLANK(C26)=TRUE,"",MAX($A$8:A25)+1)</f>
        <v>16</v>
      </c>
      <c r="C26" s="826" t="s">
        <v>1521</v>
      </c>
      <c r="D26" s="813"/>
      <c r="E26" s="827">
        <f>E24*E25</f>
        <v>0</v>
      </c>
      <c r="F26" s="813"/>
      <c r="G26" s="827">
        <f t="shared" ref="G26" si="14">G24*G25</f>
        <v>0</v>
      </c>
      <c r="H26" s="813"/>
      <c r="I26" s="827">
        <f t="shared" ref="I26" si="15">I24*I25</f>
        <v>0</v>
      </c>
      <c r="J26" s="813"/>
      <c r="K26" s="827">
        <f t="shared" ref="K26" si="16">K24*K25</f>
        <v>0</v>
      </c>
      <c r="L26" s="813"/>
      <c r="M26" s="827">
        <f t="shared" ref="M26" si="17">M24*M25</f>
        <v>0</v>
      </c>
    </row>
    <row r="27" spans="1:13" s="814" customFormat="1" ht="12.5">
      <c r="A27" s="813" t="str">
        <f>IF(ISBLANK(C27)=TRUE,"",MAX($A$8:A26)+1)</f>
        <v/>
      </c>
      <c r="D27" s="813"/>
      <c r="E27" s="829"/>
      <c r="F27" s="813"/>
      <c r="G27" s="829"/>
      <c r="H27" s="829"/>
      <c r="I27" s="829"/>
      <c r="J27" s="829"/>
      <c r="K27" s="829"/>
      <c r="L27" s="829"/>
      <c r="M27" s="829"/>
    </row>
    <row r="28" spans="1:13" s="814" customFormat="1" ht="12.5">
      <c r="A28" s="813">
        <f>IF(ISBLANK(C28)=TRUE,"",MAX($A$8:A27)+1)</f>
        <v>17</v>
      </c>
      <c r="C28" s="814" t="str">
        <f>"Customer Incremental Expenses (Ln "&amp;A14&amp;" + Ln "&amp;A20&amp;" + Ln "&amp;A26&amp;")"</f>
        <v>Customer Incremental Expenses (Ln 6 + Ln 11 + Ln 16)</v>
      </c>
      <c r="D28" s="813"/>
      <c r="E28" s="829">
        <f>E14+E20+E26</f>
        <v>0</v>
      </c>
      <c r="F28" s="813"/>
      <c r="G28" s="829">
        <f t="shared" ref="G28:M28" si="18">G14+G20+G26</f>
        <v>0</v>
      </c>
      <c r="H28" s="829">
        <f t="shared" si="18"/>
        <v>0</v>
      </c>
      <c r="I28" s="829">
        <f t="shared" si="18"/>
        <v>0</v>
      </c>
      <c r="J28" s="829">
        <f t="shared" si="18"/>
        <v>0</v>
      </c>
      <c r="K28" s="829">
        <f t="shared" si="18"/>
        <v>0</v>
      </c>
      <c r="L28" s="829">
        <f t="shared" si="18"/>
        <v>0</v>
      </c>
      <c r="M28" s="829">
        <f t="shared" si="18"/>
        <v>0</v>
      </c>
    </row>
    <row r="29" spans="1:13" s="814" customFormat="1" ht="12.5">
      <c r="A29" s="813" t="str">
        <f>IF(ISBLANK(C29)=TRUE,"",MAX($A$8:A28)+1)</f>
        <v/>
      </c>
      <c r="D29" s="813"/>
      <c r="E29" s="817"/>
      <c r="F29" s="813"/>
      <c r="G29" s="817"/>
      <c r="I29" s="817"/>
      <c r="K29" s="817"/>
      <c r="M29" s="817"/>
    </row>
    <row r="30" spans="1:13" s="814" customFormat="1" ht="12.5">
      <c r="A30" s="813">
        <f>IF(ISBLANK(C30)=TRUE,"",MAX($A$8:A29)+1)</f>
        <v>18</v>
      </c>
      <c r="C30" s="814" t="s">
        <v>1522</v>
      </c>
      <c r="D30" s="813"/>
      <c r="E30" s="824">
        <v>1211051.90832143</v>
      </c>
      <c r="F30" s="813"/>
      <c r="G30" s="824">
        <v>0</v>
      </c>
      <c r="H30" s="817">
        <v>1000</v>
      </c>
      <c r="I30" s="824">
        <v>0</v>
      </c>
      <c r="J30" s="817">
        <v>1000</v>
      </c>
      <c r="K30" s="824">
        <v>0</v>
      </c>
      <c r="L30" s="817">
        <v>1000</v>
      </c>
      <c r="M30" s="824">
        <v>0</v>
      </c>
    </row>
    <row r="31" spans="1:13" s="814" customFormat="1" ht="12.5">
      <c r="A31" s="813">
        <f>IF(ISBLANK(C31)=TRUE,"",MAX($A$8:A30)+1)</f>
        <v>19</v>
      </c>
      <c r="C31" s="823" t="s">
        <v>1523</v>
      </c>
      <c r="D31" s="813"/>
      <c r="E31" s="824">
        <v>0</v>
      </c>
      <c r="F31" s="813"/>
      <c r="G31" s="824">
        <v>0</v>
      </c>
      <c r="H31" s="817"/>
      <c r="I31" s="824">
        <v>0</v>
      </c>
      <c r="J31" s="817"/>
      <c r="K31" s="824">
        <v>0</v>
      </c>
      <c r="L31" s="817"/>
      <c r="M31" s="824">
        <v>0</v>
      </c>
    </row>
    <row r="32" spans="1:13" s="814" customFormat="1" ht="12.5">
      <c r="A32" s="813">
        <f>IF(ISBLANK(C32)=TRUE,"",MAX($A$8:A31)+1)</f>
        <v>20</v>
      </c>
      <c r="C32" s="823" t="str">
        <f>"Total Recovered Expenses (Ln "&amp;A12&amp;" + Ln "&amp;A18&amp;" + Ln "&amp;A24&amp;")"</f>
        <v>Total Recovered Expenses (Ln 4 + Ln 9 + Ln 14)</v>
      </c>
      <c r="D32" s="813" t="s">
        <v>1524</v>
      </c>
      <c r="E32" s="817">
        <f>E12+E18+E24</f>
        <v>0</v>
      </c>
      <c r="F32" s="813"/>
      <c r="G32" s="817">
        <f t="shared" ref="G32" si="19">G12+G18+G24</f>
        <v>0</v>
      </c>
      <c r="H32" s="813"/>
      <c r="I32" s="817">
        <f t="shared" ref="I32" si="20">I12+I18+I24</f>
        <v>0</v>
      </c>
      <c r="J32" s="813"/>
      <c r="K32" s="817">
        <f t="shared" ref="K32" si="21">K12+K18+K24</f>
        <v>0</v>
      </c>
      <c r="L32" s="813"/>
      <c r="M32" s="817">
        <f t="shared" ref="M32" si="22">M12+M18+M24</f>
        <v>0</v>
      </c>
    </row>
    <row r="33" spans="1:22" s="814" customFormat="1" ht="14.5">
      <c r="A33" s="813">
        <f>IF(ISBLANK(C33)=TRUE,"",MAX($A$8:A32)+1)</f>
        <v>21</v>
      </c>
      <c r="C33" s="826" t="s">
        <v>1525</v>
      </c>
      <c r="D33" s="813"/>
      <c r="E33" s="827">
        <f>IF(E30-(E31+E32)&lt;0,0,E30-E31-E32)</f>
        <v>1211051.90832143</v>
      </c>
      <c r="F33" s="813"/>
      <c r="G33" s="827">
        <f t="shared" ref="G33" si="23">IF(G30-(G31+G32)&lt;0,0,G30-G31-G32)</f>
        <v>0</v>
      </c>
      <c r="H33" s="813"/>
      <c r="I33" s="827">
        <f t="shared" ref="I33" si="24">IF(I30-(I31+I32)&lt;0,0,I30-I31-I32)</f>
        <v>0</v>
      </c>
      <c r="J33" s="813"/>
      <c r="K33" s="827">
        <f t="shared" ref="K33" si="25">IF(K30-(K31+K32)&lt;0,0,K30-K31-K32)</f>
        <v>0</v>
      </c>
      <c r="L33" s="813"/>
      <c r="M33" s="827">
        <f t="shared" ref="M33" si="26">IF(M30-(M31+M32)&lt;0,0,M30-M31-M32)</f>
        <v>0</v>
      </c>
      <c r="P33"/>
      <c r="Q33"/>
      <c r="R33"/>
      <c r="S33"/>
      <c r="T33"/>
      <c r="U33"/>
      <c r="V33"/>
    </row>
    <row r="34" spans="1:22" s="814" customFormat="1" ht="14.5">
      <c r="A34" s="813">
        <f>IF(ISBLANK(C34)=TRUE,"",MAX($A$8:A33)+1)</f>
        <v>22</v>
      </c>
      <c r="C34" s="823" t="s">
        <v>1526</v>
      </c>
      <c r="D34" s="813" t="s">
        <v>1512</v>
      </c>
      <c r="E34" s="828">
        <f>$E$55</f>
        <v>0.5804335838871636</v>
      </c>
      <c r="F34" s="813"/>
      <c r="G34" s="828">
        <f>$E$55</f>
        <v>0.5804335838871636</v>
      </c>
      <c r="H34" s="813"/>
      <c r="I34" s="828">
        <f>$E$55</f>
        <v>0.5804335838871636</v>
      </c>
      <c r="J34" s="813"/>
      <c r="K34" s="828">
        <f>$E$55</f>
        <v>0.5804335838871636</v>
      </c>
      <c r="L34" s="813"/>
      <c r="M34" s="828">
        <f>$E$55</f>
        <v>0.5804335838871636</v>
      </c>
      <c r="P34"/>
      <c r="Q34"/>
      <c r="R34"/>
      <c r="S34"/>
      <c r="T34"/>
      <c r="U34"/>
      <c r="V34"/>
    </row>
    <row r="35" spans="1:22" s="814" customFormat="1" ht="14.5">
      <c r="A35" s="813">
        <f>IF(ISBLANK(C35)=TRUE,"",MAX($A$8:A34)+1)</f>
        <v>23</v>
      </c>
      <c r="C35" s="826" t="str">
        <f>"Pre-Tax Utility Allocation (Ln "&amp;A33&amp;" "&amp;CHAR(215)&amp;" Ln "&amp;A34&amp;")"</f>
        <v>Pre-Tax Utility Allocation (Ln 21 × Ln 22)</v>
      </c>
      <c r="D35" s="813"/>
      <c r="E35" s="1476">
        <f>E33*E34</f>
        <v>702935.19942039624</v>
      </c>
      <c r="F35" s="813"/>
      <c r="G35" s="827">
        <f t="shared" ref="G35" si="27">G33*$E$55</f>
        <v>0</v>
      </c>
      <c r="H35" s="813"/>
      <c r="I35" s="827">
        <f t="shared" ref="I35" si="28">I33*$E$55</f>
        <v>0</v>
      </c>
      <c r="J35" s="813"/>
      <c r="K35" s="827">
        <f t="shared" ref="K35" si="29">K33*$E$55</f>
        <v>0</v>
      </c>
      <c r="L35" s="813"/>
      <c r="M35" s="827">
        <f t="shared" ref="M35" si="30">M33*$E$55</f>
        <v>0</v>
      </c>
      <c r="P35"/>
      <c r="Q35"/>
      <c r="R35"/>
      <c r="S35"/>
      <c r="T35"/>
      <c r="U35"/>
      <c r="V35"/>
    </row>
    <row r="36" spans="1:22" s="814" customFormat="1" ht="14.5">
      <c r="A36" s="813">
        <f>IF(ISBLANK(C36)=TRUE,"",MAX($A$8:A35)+1)</f>
        <v>24</v>
      </c>
      <c r="C36" s="823" t="str">
        <f>C52</f>
        <v>Composite Tax Rate</v>
      </c>
      <c r="D36" s="813" t="s">
        <v>1512</v>
      </c>
      <c r="E36" s="828">
        <f>CTR</f>
        <v>0.2771499999999999</v>
      </c>
      <c r="F36" s="813"/>
      <c r="G36" s="828">
        <f>CTR</f>
        <v>0.2771499999999999</v>
      </c>
      <c r="H36" s="813"/>
      <c r="I36" s="828">
        <f>CTR</f>
        <v>0.2771499999999999</v>
      </c>
      <c r="J36" s="813"/>
      <c r="K36" s="828">
        <f>CTR</f>
        <v>0.2771499999999999</v>
      </c>
      <c r="L36" s="813"/>
      <c r="M36" s="828">
        <f>CTR</f>
        <v>0.2771499999999999</v>
      </c>
      <c r="P36"/>
      <c r="Q36"/>
      <c r="R36"/>
      <c r="S36"/>
      <c r="T36"/>
      <c r="U36"/>
      <c r="V36"/>
    </row>
    <row r="37" spans="1:22" s="814" customFormat="1" ht="14.5">
      <c r="A37" s="813">
        <f>IF(ISBLANK(C37)=TRUE,"",MAX($A$8:A36)+1)</f>
        <v>25</v>
      </c>
      <c r="C37" s="826" t="str">
        <f>"State and Federal Income Taxes (Ln "&amp;A35&amp;" "&amp;CHAR(215)&amp;" Ln "&amp;A36&amp;")"</f>
        <v>State and Federal Income Taxes (Ln 23 × Ln 24)</v>
      </c>
      <c r="D37" s="813"/>
      <c r="E37" s="827">
        <f>E35*E36</f>
        <v>194818.49051936273</v>
      </c>
      <c r="F37" s="813"/>
      <c r="G37" s="827">
        <f t="shared" ref="G37" si="31">G35*G36</f>
        <v>0</v>
      </c>
      <c r="H37" s="813"/>
      <c r="I37" s="827">
        <f t="shared" ref="I37" si="32">I35*I36</f>
        <v>0</v>
      </c>
      <c r="J37" s="813"/>
      <c r="K37" s="827">
        <f t="shared" ref="K37" si="33">K35*K36</f>
        <v>0</v>
      </c>
      <c r="L37" s="813"/>
      <c r="M37" s="827">
        <f t="shared" ref="M37" si="34">M35*M36</f>
        <v>0</v>
      </c>
      <c r="P37"/>
      <c r="Q37"/>
      <c r="R37"/>
      <c r="S37"/>
      <c r="T37"/>
      <c r="U37"/>
      <c r="V37"/>
    </row>
    <row r="38" spans="1:22" s="814" customFormat="1" ht="12.5">
      <c r="A38" s="813"/>
      <c r="D38" s="813"/>
      <c r="E38" s="829"/>
      <c r="F38" s="813"/>
      <c r="G38" s="829"/>
      <c r="H38" s="813"/>
      <c r="I38" s="829"/>
      <c r="J38" s="813"/>
      <c r="K38" s="829"/>
      <c r="L38" s="813"/>
      <c r="M38" s="829"/>
    </row>
    <row r="39" spans="1:22" s="814" customFormat="1" ht="12.5">
      <c r="A39" s="813">
        <f>IF(ISBLANK(C39)=TRUE,"",MAX($A$8:A38)+1)</f>
        <v>26</v>
      </c>
      <c r="C39" s="823" t="str">
        <f>"Customer Net Revenue Share (Ln "&amp;A33&amp;" - Ln "&amp;A35&amp;")"</f>
        <v>Customer Net Revenue Share (Ln 21 - Ln 23)</v>
      </c>
      <c r="D39" s="813"/>
      <c r="E39" s="817">
        <f>E33-E35</f>
        <v>508116.70890103374</v>
      </c>
      <c r="F39" s="813"/>
      <c r="G39" s="817">
        <f>G33-G35</f>
        <v>0</v>
      </c>
      <c r="H39" s="813"/>
      <c r="I39" s="817">
        <f>I33-I35</f>
        <v>0</v>
      </c>
      <c r="J39" s="813"/>
      <c r="K39" s="817">
        <f>K33-K35</f>
        <v>0</v>
      </c>
      <c r="L39" s="813"/>
      <c r="M39" s="817">
        <f>M33-M35</f>
        <v>0</v>
      </c>
    </row>
    <row r="40" spans="1:22" s="814" customFormat="1" ht="12.5">
      <c r="A40" s="813">
        <f>IF(ISBLANK(C40)=TRUE,"",MAX($A$8:A39)+1)</f>
        <v>27</v>
      </c>
      <c r="C40" s="823" t="str">
        <f>"Minimum Customer Revenue Credit (Ln "&amp;A28&amp;")"</f>
        <v>Minimum Customer Revenue Credit (Ln 17)</v>
      </c>
      <c r="D40" s="825" t="s">
        <v>1509</v>
      </c>
      <c r="E40" s="817">
        <f>E28</f>
        <v>0</v>
      </c>
      <c r="F40" s="813"/>
      <c r="G40" s="817">
        <f t="shared" ref="G40" si="35">G28</f>
        <v>0</v>
      </c>
      <c r="H40" s="813"/>
      <c r="I40" s="817">
        <f t="shared" ref="I40" si="36">I28</f>
        <v>0</v>
      </c>
      <c r="J40" s="813"/>
      <c r="K40" s="817">
        <f t="shared" ref="K40" si="37">K28</f>
        <v>0</v>
      </c>
      <c r="L40" s="813"/>
      <c r="M40" s="817">
        <f t="shared" ref="M40" si="38">M28</f>
        <v>0</v>
      </c>
    </row>
    <row r="41" spans="1:22" s="814" customFormat="1" ht="12.5">
      <c r="A41" s="813">
        <f>IF(ISBLANK(C41)=TRUE,"",MAX($A$8:A40)+1)</f>
        <v>28</v>
      </c>
      <c r="C41" s="826" t="str">
        <f>"Total Customer Revenue Credit (Ln "&amp;A39&amp;" + Ln "&amp;A40&amp;")"</f>
        <v>Total Customer Revenue Credit (Ln 26 + Ln 27)</v>
      </c>
      <c r="D41" s="813"/>
      <c r="E41" s="827">
        <f>E40+E39</f>
        <v>508116.70890103374</v>
      </c>
      <c r="F41" s="813"/>
      <c r="G41" s="827">
        <f>G40+G39</f>
        <v>0</v>
      </c>
      <c r="H41" s="813"/>
      <c r="I41" s="827">
        <f>I40+I39</f>
        <v>0</v>
      </c>
      <c r="J41" s="813"/>
      <c r="K41" s="827">
        <f>K40+K39</f>
        <v>0</v>
      </c>
      <c r="L41" s="813"/>
      <c r="M41" s="827">
        <f>M40+M39</f>
        <v>0</v>
      </c>
    </row>
    <row r="42" spans="1:22" s="814" customFormat="1" ht="12.5">
      <c r="A42" s="813" t="str">
        <f>IF(ISBLANK(C42)=TRUE,"",MAX($A$8:A41)+1)</f>
        <v/>
      </c>
      <c r="D42" s="813"/>
      <c r="E42" s="817"/>
      <c r="F42" s="813"/>
      <c r="G42" s="817"/>
      <c r="H42" s="813"/>
      <c r="I42" s="817"/>
      <c r="J42" s="813"/>
      <c r="K42" s="817"/>
      <c r="L42" s="813"/>
      <c r="M42" s="817"/>
    </row>
    <row r="43" spans="1:22" s="814" customFormat="1" ht="12.5">
      <c r="A43" s="813">
        <f>IF(ISBLANK(C43)=TRUE,"",MAX($A$8:A42)+1)</f>
        <v>29</v>
      </c>
      <c r="C43" s="814" t="str">
        <f>"Sum of Customer Credits (Sum of Ln "&amp;A41&amp;")"</f>
        <v>Sum of Customer Credits (Sum of Ln 28)</v>
      </c>
      <c r="D43" s="813"/>
      <c r="E43" s="817">
        <f>SUM(E41:M41)</f>
        <v>508116.70890103374</v>
      </c>
      <c r="F43" s="813"/>
      <c r="G43" s="830"/>
      <c r="I43" s="817"/>
      <c r="K43" s="817"/>
      <c r="M43" s="817"/>
    </row>
    <row r="44" spans="1:22" s="814" customFormat="1" ht="12.5">
      <c r="A44" s="813" t="str">
        <f>IF(ISBLANK(C44)=TRUE,"",MAX($A$8:A43)+1)</f>
        <v/>
      </c>
      <c r="D44" s="813"/>
      <c r="E44" s="817"/>
      <c r="F44" s="813"/>
      <c r="G44" s="817"/>
      <c r="I44" s="817"/>
      <c r="K44" s="817"/>
      <c r="M44" s="817"/>
    </row>
    <row r="45" spans="1:22" s="814" customFormat="1" ht="12.5">
      <c r="A45" s="813">
        <f>IF(ISBLANK(C45)=TRUE,"",MAX($A$8:A44)+1)</f>
        <v>30</v>
      </c>
      <c r="C45" s="814" t="str">
        <f>"Post-Tax Utility Share (Ln "&amp;A33&amp;" - Ln "&amp;A37&amp;" - Ln "&amp;A39&amp;")"</f>
        <v>Post-Tax Utility Share (Ln 21 - Ln 25 - Ln 26)</v>
      </c>
      <c r="D45" s="813"/>
      <c r="E45" s="829">
        <f>E33-E37-E39</f>
        <v>508116.7089010335</v>
      </c>
      <c r="F45" s="813"/>
      <c r="G45" s="829">
        <f>G33-G37-G39</f>
        <v>0</v>
      </c>
      <c r="H45" s="813"/>
      <c r="I45" s="829">
        <f>I33-I37-I39</f>
        <v>0</v>
      </c>
      <c r="J45" s="813"/>
      <c r="K45" s="829">
        <f>K33-K37-K39</f>
        <v>0</v>
      </c>
      <c r="L45" s="813"/>
      <c r="M45" s="829">
        <f>M33-M37-M39</f>
        <v>0</v>
      </c>
    </row>
    <row r="46" spans="1:22" s="814" customFormat="1" ht="12.5">
      <c r="A46" s="813" t="str">
        <f>IF(ISBLANK(C46)=TRUE,"",MAX($A$8:A45)+1)</f>
        <v/>
      </c>
      <c r="D46" s="813"/>
      <c r="E46" s="817"/>
      <c r="F46" s="813"/>
      <c r="G46" s="817"/>
      <c r="I46" s="817"/>
      <c r="K46" s="817"/>
      <c r="M46" s="817"/>
    </row>
    <row r="47" spans="1:22" s="814" customFormat="1" ht="12.5">
      <c r="A47" s="813">
        <f>IF(ISBLANK(C47)=TRUE,"",MAX($A$8:A46)+1)</f>
        <v>31</v>
      </c>
      <c r="C47" s="814" t="str">
        <f>"Sum of Utility Share (Sum of Ln "&amp;A45&amp;")"</f>
        <v>Sum of Utility Share (Sum of Ln 30)</v>
      </c>
      <c r="D47" s="813"/>
      <c r="E47" s="817">
        <f>SUM(E45:M45)</f>
        <v>508116.7089010335</v>
      </c>
      <c r="F47" s="813"/>
      <c r="G47" s="830"/>
      <c r="I47" s="817"/>
      <c r="K47" s="817"/>
      <c r="M47" s="817"/>
    </row>
    <row r="48" spans="1:22" s="814" customFormat="1" ht="12.5">
      <c r="A48" s="813" t="str">
        <f>IF(ISBLANK(C48)=TRUE,"",MAX($A$8:A47)+1)</f>
        <v/>
      </c>
      <c r="D48" s="813"/>
      <c r="E48" s="817"/>
      <c r="F48" s="813"/>
      <c r="G48" s="817"/>
      <c r="I48" s="817"/>
      <c r="K48" s="817"/>
      <c r="M48" s="817"/>
    </row>
    <row r="49" spans="1:13" s="814" customFormat="1" ht="12.5">
      <c r="A49" s="813">
        <f>IF(ISBLANK(C49)=TRUE,"",MAX($A$8:A48)+1)</f>
        <v>32</v>
      </c>
      <c r="C49" s="814" t="s">
        <v>1527</v>
      </c>
      <c r="D49" s="825"/>
      <c r="E49" s="828">
        <f>'ATT H-3D'!H257</f>
        <v>0.21</v>
      </c>
      <c r="F49" s="825" t="s">
        <v>1175</v>
      </c>
      <c r="G49" s="828" t="s">
        <v>1528</v>
      </c>
      <c r="I49" s="828"/>
      <c r="K49" s="828"/>
      <c r="M49" s="828"/>
    </row>
    <row r="50" spans="1:13" s="814" customFormat="1" ht="12.5">
      <c r="A50" s="813">
        <f>IF(ISBLANK(C50)=TRUE,"",MAX($A$8:A49)+1)</f>
        <v>33</v>
      </c>
      <c r="C50" s="814" t="s">
        <v>1529</v>
      </c>
      <c r="D50" s="825"/>
      <c r="E50" s="828">
        <f>'ATT H-3D'!H258</f>
        <v>8.5000000000000006E-2</v>
      </c>
      <c r="F50" s="825" t="s">
        <v>1175</v>
      </c>
      <c r="G50" s="828" t="s">
        <v>1530</v>
      </c>
      <c r="I50" s="828"/>
      <c r="K50" s="828"/>
      <c r="M50" s="828"/>
    </row>
    <row r="51" spans="1:13" s="814" customFormat="1" ht="12.5">
      <c r="A51" s="813">
        <f>IF(ISBLANK(C51)=TRUE,"",MAX($A$8:A50)+1)</f>
        <v>34</v>
      </c>
      <c r="C51" s="814" t="s">
        <v>1531</v>
      </c>
      <c r="D51" s="825"/>
      <c r="E51" s="828">
        <f>'ATT H-3D'!H259</f>
        <v>0</v>
      </c>
      <c r="F51" s="825" t="s">
        <v>1175</v>
      </c>
      <c r="G51" s="828" t="s">
        <v>1532</v>
      </c>
      <c r="I51" s="828"/>
      <c r="K51" s="828"/>
      <c r="M51" s="828"/>
    </row>
    <row r="52" spans="1:13" s="814" customFormat="1" ht="12.5">
      <c r="A52" s="813">
        <f>IF(ISBLANK(C52)=TRUE,"",MAX($A$8:A51)+1)</f>
        <v>35</v>
      </c>
      <c r="C52" s="814" t="s">
        <v>1533</v>
      </c>
      <c r="D52" s="825"/>
      <c r="E52" s="828">
        <f>1-((1-SIT)*(1-FIT))/(1-(SIT*FIT*p))</f>
        <v>0.2771499999999999</v>
      </c>
      <c r="F52" s="825" t="s">
        <v>1175</v>
      </c>
      <c r="G52" s="831" t="s">
        <v>1534</v>
      </c>
      <c r="I52" s="828"/>
      <c r="K52" s="828"/>
      <c r="M52" s="828"/>
    </row>
    <row r="53" spans="1:13" s="814" customFormat="1" ht="12.5">
      <c r="A53" s="813">
        <f>IF(ISBLANK(C53)=TRUE,"",MAX($A$8:A52)+1)</f>
        <v>36</v>
      </c>
      <c r="C53" s="814" t="s">
        <v>1535</v>
      </c>
      <c r="D53" s="825"/>
      <c r="E53" s="828">
        <v>0.5</v>
      </c>
      <c r="F53" s="825" t="s">
        <v>1175</v>
      </c>
      <c r="G53" s="828" t="s">
        <v>1536</v>
      </c>
      <c r="I53" s="828"/>
      <c r="K53" s="828"/>
      <c r="M53" s="828"/>
    </row>
    <row r="54" spans="1:13" s="814" customFormat="1" ht="12.5">
      <c r="A54" s="813">
        <f>IF(ISBLANK(C54)=TRUE,"",MAX($A$8:A53)+1)</f>
        <v>37</v>
      </c>
      <c r="C54" s="814" t="s">
        <v>1537</v>
      </c>
      <c r="D54" s="825"/>
      <c r="E54" s="828">
        <f>1/((1-CUSTP)/CUSTP)</f>
        <v>1</v>
      </c>
      <c r="F54" s="825" t="s">
        <v>1175</v>
      </c>
      <c r="G54" s="828" t="s">
        <v>1538</v>
      </c>
      <c r="I54" s="828"/>
      <c r="K54" s="828"/>
      <c r="M54" s="828"/>
    </row>
    <row r="55" spans="1:13" s="814" customFormat="1" ht="12.5">
      <c r="A55" s="813">
        <f>IF(ISBLANK(C55)=TRUE,"",MAX($A$8:A54)+1)</f>
        <v>38</v>
      </c>
      <c r="C55" s="814" t="str">
        <f>C34</f>
        <v>Utility Pre-Tax Allocation Factor</v>
      </c>
      <c r="D55" s="825"/>
      <c r="E55" s="828">
        <f>1/(1+CUSTR-(CTR*CUSTR))</f>
        <v>0.5804335838871636</v>
      </c>
      <c r="F55" s="825" t="s">
        <v>1175</v>
      </c>
      <c r="G55" s="828" t="s">
        <v>1539</v>
      </c>
      <c r="I55" s="828"/>
      <c r="K55" s="828"/>
      <c r="M55" s="828"/>
    </row>
    <row r="56" spans="1:13" s="814" customFormat="1" ht="12.5">
      <c r="A56" s="813">
        <f>IF(ISBLANK(C56)=TRUE,"",MAX($A$30:A55)+1)</f>
        <v>39</v>
      </c>
      <c r="C56" s="814" t="s">
        <v>1511</v>
      </c>
      <c r="D56" s="813"/>
      <c r="E56" s="828">
        <v>1</v>
      </c>
      <c r="F56" s="825" t="s">
        <v>1175</v>
      </c>
      <c r="G56" s="817" t="s">
        <v>1540</v>
      </c>
      <c r="I56" s="817"/>
      <c r="K56" s="817"/>
      <c r="M56" s="817"/>
    </row>
    <row r="57" spans="1:13" s="814" customFormat="1" ht="12.5">
      <c r="A57" s="813">
        <f>IF(ISBLANK(C57)=TRUE,"",MAX($A$30:A56)+1)</f>
        <v>40</v>
      </c>
      <c r="C57" s="814" t="s">
        <v>1517</v>
      </c>
      <c r="D57" s="813"/>
      <c r="E57" s="828">
        <f>+'ATT H-3D'!H24</f>
        <v>0.14625503638690887</v>
      </c>
      <c r="F57" s="825" t="s">
        <v>1175</v>
      </c>
      <c r="G57" s="828" t="s">
        <v>1541</v>
      </c>
      <c r="I57" s="828"/>
      <c r="K57" s="828"/>
      <c r="M57" s="828"/>
    </row>
    <row r="58" spans="1:13" s="814" customFormat="1" ht="12.5">
      <c r="A58" s="813">
        <f>IF(ISBLANK(C58)=TRUE,"",MAX($A$30:A57)+1)</f>
        <v>41</v>
      </c>
      <c r="C58" s="814" t="s">
        <v>217</v>
      </c>
      <c r="D58" s="813"/>
      <c r="E58" s="828">
        <f>+'ATT H-3D'!H45</f>
        <v>0.37201518739184425</v>
      </c>
      <c r="F58" s="825" t="s">
        <v>1175</v>
      </c>
      <c r="G58" s="817" t="s">
        <v>1547</v>
      </c>
      <c r="I58" s="817"/>
      <c r="K58" s="817"/>
      <c r="M58" s="817"/>
    </row>
    <row r="59" spans="1:13" s="814" customFormat="1" ht="12.5">
      <c r="A59" s="813"/>
      <c r="D59" s="813"/>
      <c r="E59" s="817"/>
      <c r="F59" s="813"/>
      <c r="G59" s="817"/>
      <c r="I59" s="817"/>
      <c r="K59" s="817"/>
      <c r="M59" s="817"/>
    </row>
    <row r="60" spans="1:13" s="814" customFormat="1" ht="12.5">
      <c r="A60" s="813"/>
      <c r="C60" s="832" t="s">
        <v>255</v>
      </c>
      <c r="D60" s="813"/>
      <c r="E60" s="817"/>
      <c r="F60" s="813"/>
      <c r="G60" s="817"/>
      <c r="I60" s="817"/>
      <c r="K60" s="817"/>
      <c r="M60" s="817"/>
    </row>
    <row r="61" spans="1:13" s="814" customFormat="1" ht="15.75" customHeight="1">
      <c r="A61" s="813"/>
      <c r="B61" s="814">
        <v>1</v>
      </c>
      <c r="C61" s="1793" t="s">
        <v>1571</v>
      </c>
      <c r="D61" s="1793"/>
      <c r="E61" s="1793"/>
      <c r="F61" s="1793"/>
      <c r="G61" s="1793"/>
      <c r="H61" s="1793"/>
      <c r="I61" s="1793"/>
      <c r="J61" s="1793"/>
      <c r="K61" s="1793"/>
      <c r="L61" s="1793"/>
      <c r="M61" s="1793"/>
    </row>
    <row r="62" spans="1:13" s="814" customFormat="1" ht="12.5">
      <c r="A62" s="813"/>
      <c r="C62" s="1793"/>
      <c r="D62" s="1793"/>
      <c r="E62" s="1793"/>
      <c r="F62" s="1793"/>
      <c r="G62" s="1793"/>
      <c r="H62" s="1793"/>
      <c r="I62" s="1793"/>
      <c r="J62" s="1793"/>
      <c r="K62" s="1793"/>
      <c r="L62" s="1793"/>
      <c r="M62" s="1793"/>
    </row>
    <row r="63" spans="1:13" s="814" customFormat="1" ht="12.5">
      <c r="A63" s="813"/>
      <c r="C63" s="1793"/>
      <c r="D63" s="1793"/>
      <c r="E63" s="1793"/>
      <c r="F63" s="1793"/>
      <c r="G63" s="1793"/>
      <c r="H63" s="1793"/>
      <c r="I63" s="1793"/>
      <c r="J63" s="1793"/>
      <c r="K63" s="1793"/>
      <c r="L63" s="1793"/>
      <c r="M63" s="1793"/>
    </row>
    <row r="64" spans="1:13" s="814" customFormat="1" ht="12.5">
      <c r="A64" s="813"/>
      <c r="C64" s="1793"/>
      <c r="D64" s="1793"/>
      <c r="E64" s="1793"/>
      <c r="F64" s="1793"/>
      <c r="G64" s="1793"/>
      <c r="H64" s="1793"/>
      <c r="I64" s="1793"/>
      <c r="J64" s="1793"/>
      <c r="K64" s="1793"/>
      <c r="L64" s="1793"/>
      <c r="M64" s="1793"/>
    </row>
    <row r="65" spans="1:13" s="814" customFormat="1" ht="12.5">
      <c r="A65" s="813"/>
      <c r="C65" s="1793"/>
      <c r="D65" s="1793"/>
      <c r="E65" s="1793"/>
      <c r="F65" s="1793"/>
      <c r="G65" s="1793"/>
      <c r="H65" s="1793"/>
      <c r="I65" s="1793"/>
      <c r="J65" s="1793"/>
      <c r="K65" s="1793"/>
      <c r="L65" s="1793"/>
      <c r="M65" s="1793"/>
    </row>
    <row r="66" spans="1:13" s="814" customFormat="1" ht="12.5">
      <c r="A66" s="813"/>
      <c r="C66" s="1793"/>
      <c r="D66" s="1793"/>
      <c r="E66" s="1793"/>
      <c r="F66" s="1793"/>
      <c r="G66" s="1793"/>
      <c r="H66" s="1793"/>
      <c r="I66" s="1793"/>
      <c r="J66" s="1793"/>
      <c r="K66" s="1793"/>
      <c r="L66" s="1793"/>
      <c r="M66" s="1793"/>
    </row>
    <row r="67" spans="1:13" s="814" customFormat="1" ht="12.5">
      <c r="A67" s="813"/>
      <c r="C67" s="1793"/>
      <c r="D67" s="1793"/>
      <c r="E67" s="1793"/>
      <c r="F67" s="1793"/>
      <c r="G67" s="1793"/>
      <c r="H67" s="1793"/>
      <c r="I67" s="1793"/>
      <c r="J67" s="1793"/>
      <c r="K67" s="1793"/>
      <c r="L67" s="1793"/>
      <c r="M67" s="1793"/>
    </row>
    <row r="68" spans="1:13" s="814" customFormat="1" ht="12.5">
      <c r="A68" s="813"/>
      <c r="C68" s="1793"/>
      <c r="D68" s="1793"/>
      <c r="E68" s="1793"/>
      <c r="F68" s="1793"/>
      <c r="G68" s="1793"/>
      <c r="H68" s="1793"/>
      <c r="I68" s="1793"/>
      <c r="J68" s="1793"/>
      <c r="K68" s="1793"/>
      <c r="L68" s="1793"/>
      <c r="M68" s="1793"/>
    </row>
    <row r="69" spans="1:13" s="814" customFormat="1" ht="12.5">
      <c r="A69" s="813"/>
      <c r="B69" s="814">
        <v>2</v>
      </c>
      <c r="C69" s="1793" t="s">
        <v>1542</v>
      </c>
      <c r="D69" s="1793"/>
      <c r="E69" s="1793"/>
      <c r="F69" s="1793"/>
      <c r="G69" s="1793"/>
      <c r="H69" s="1793"/>
      <c r="I69" s="1793"/>
      <c r="J69" s="1793"/>
      <c r="K69" s="1793"/>
      <c r="L69" s="1793"/>
      <c r="M69" s="1793"/>
    </row>
    <row r="70" spans="1:13" s="814" customFormat="1" ht="12.5">
      <c r="A70" s="813"/>
      <c r="C70" s="1793"/>
      <c r="D70" s="1793"/>
      <c r="E70" s="1793"/>
      <c r="F70" s="1793"/>
      <c r="G70" s="1793"/>
      <c r="H70" s="1793"/>
      <c r="I70" s="1793"/>
      <c r="J70" s="1793"/>
      <c r="K70" s="1793"/>
      <c r="L70" s="1793"/>
      <c r="M70" s="1793"/>
    </row>
    <row r="71" spans="1:13" s="814" customFormat="1" ht="12.5">
      <c r="A71" s="813"/>
      <c r="D71" s="813"/>
      <c r="E71" s="817"/>
      <c r="F71" s="813"/>
      <c r="G71" s="817"/>
      <c r="I71" s="817"/>
      <c r="K71" s="817"/>
      <c r="M71" s="817"/>
    </row>
  </sheetData>
  <mergeCells count="4">
    <mergeCell ref="C61:M68"/>
    <mergeCell ref="C69:M70"/>
    <mergeCell ref="C1:I1"/>
    <mergeCell ref="C2:I2"/>
  </mergeCells>
  <pageMargins left="0.25" right="0.25" top="0.75" bottom="0.75" header="0.3" footer="0.3"/>
  <pageSetup scale="56" orientation="landscape" r:id="rId1"/>
  <headerFooter>
    <oddHeader>&amp;C&amp;"Times New Roman,Bold"&amp;12Atlantic City Electric Company
Attachment 3a - Shared Revenues Workpaper</oddHeader>
    <oddFooter>&amp;R&amp;"Times New Roman,Regular"Page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23"/>
  <sheetViews>
    <sheetView view="pageBreakPreview" topLeftCell="A43" zoomScale="60" zoomScaleNormal="75" workbookViewId="0">
      <selection sqref="A1:XFD1048576"/>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788" t="s">
        <v>1383</v>
      </c>
      <c r="B1" s="1788"/>
      <c r="C1" s="1788"/>
      <c r="D1" s="1788"/>
      <c r="E1" s="1788"/>
      <c r="F1" s="1788"/>
      <c r="G1" s="1788"/>
      <c r="H1" s="1794"/>
      <c r="I1" s="1794"/>
    </row>
    <row r="2" spans="1:9" ht="15.5">
      <c r="A2" s="1789" t="s">
        <v>168</v>
      </c>
      <c r="B2" s="1789"/>
      <c r="C2" s="1789"/>
      <c r="D2" s="1789"/>
      <c r="E2" s="1789"/>
      <c r="F2" s="1789"/>
      <c r="G2" s="1789"/>
      <c r="H2" s="1796"/>
      <c r="I2" s="1796"/>
    </row>
    <row r="3" spans="1:9" ht="18">
      <c r="A3" s="1795"/>
      <c r="B3" s="1795"/>
      <c r="C3" s="1795"/>
      <c r="D3" s="1795"/>
      <c r="E3" s="1795"/>
      <c r="F3" s="1795"/>
      <c r="G3" s="1795"/>
      <c r="H3" s="1794"/>
      <c r="I3" s="1794"/>
    </row>
    <row r="4" spans="1:9" s="262" customFormat="1" ht="15.5"/>
    <row r="5" spans="1:9" s="698" customFormat="1" ht="15.5">
      <c r="B5" s="9"/>
    </row>
    <row r="6" spans="1:9" s="698" customFormat="1" ht="15.5"/>
    <row r="7" spans="1:9" s="698" customFormat="1" ht="15.5"/>
    <row r="8" spans="1:9" s="698" customFormat="1" ht="15.5">
      <c r="C8" s="698" t="s">
        <v>169</v>
      </c>
    </row>
    <row r="9" spans="1:9" s="698" customFormat="1" ht="15.5">
      <c r="A9" s="693" t="s">
        <v>9</v>
      </c>
      <c r="B9" s="693"/>
      <c r="D9" s="698" t="s">
        <v>170</v>
      </c>
      <c r="G9" s="305" t="s">
        <v>171</v>
      </c>
      <c r="I9" s="17">
        <f>+I56+I84</f>
        <v>91976773.115443289</v>
      </c>
    </row>
    <row r="10" spans="1:9" s="698" customFormat="1" ht="15.5">
      <c r="A10" s="693"/>
      <c r="B10" s="693"/>
    </row>
    <row r="11" spans="1:9" s="698" customFormat="1" ht="15.5">
      <c r="A11" s="693" t="s">
        <v>10</v>
      </c>
      <c r="B11" s="693"/>
      <c r="D11" s="698" t="s">
        <v>813</v>
      </c>
      <c r="I11" s="18">
        <v>0.01</v>
      </c>
    </row>
    <row r="12" spans="1:9" s="698" customFormat="1" ht="15.5">
      <c r="A12" s="693"/>
      <c r="B12" s="693"/>
      <c r="I12" s="18"/>
    </row>
    <row r="13" spans="1:9" s="305" customFormat="1" ht="15.5">
      <c r="A13" s="693"/>
      <c r="B13" s="693"/>
      <c r="C13" s="698"/>
      <c r="D13" s="698"/>
      <c r="E13" s="698"/>
      <c r="F13" s="698"/>
      <c r="G13" s="698"/>
      <c r="H13" s="698"/>
    </row>
    <row r="14" spans="1:9" s="305" customFormat="1" ht="15.5">
      <c r="A14" s="833" t="s">
        <v>172</v>
      </c>
      <c r="B14" s="19"/>
      <c r="C14" s="19"/>
      <c r="D14" s="19"/>
      <c r="E14" s="19"/>
      <c r="F14" s="19"/>
      <c r="G14" s="19"/>
      <c r="H14" s="19"/>
      <c r="I14" s="19"/>
    </row>
    <row r="15" spans="1:9" s="698" customFormat="1" ht="15.5">
      <c r="I15" s="20"/>
    </row>
    <row r="16" spans="1:9" s="698" customFormat="1" ht="15.5">
      <c r="A16" s="693">
        <v>59</v>
      </c>
      <c r="C16" s="21" t="s">
        <v>316</v>
      </c>
      <c r="D16" s="21"/>
      <c r="F16" s="21"/>
      <c r="G16" s="33" t="s">
        <v>787</v>
      </c>
      <c r="H16" s="21"/>
      <c r="I16" s="17">
        <f>+'ATT H-3D'!H139</f>
        <v>1093637721.0672503</v>
      </c>
    </row>
    <row r="17" spans="1:9" s="698" customFormat="1" ht="15.5">
      <c r="G17" s="21"/>
      <c r="I17" s="20"/>
    </row>
    <row r="18" spans="1:9" s="698" customFormat="1" ht="15.5">
      <c r="G18" s="21"/>
    </row>
    <row r="19" spans="1:9" s="698" customFormat="1" ht="15.5">
      <c r="A19" s="22"/>
      <c r="B19" s="21"/>
      <c r="C19" s="36" t="s">
        <v>2</v>
      </c>
      <c r="D19" s="24"/>
      <c r="E19" s="25"/>
      <c r="F19" s="323"/>
      <c r="G19" s="27"/>
      <c r="H19" s="324"/>
    </row>
    <row r="20" spans="1:9" s="698" customFormat="1" ht="15.5">
      <c r="A20" s="22">
        <v>100</v>
      </c>
      <c r="B20" s="21"/>
      <c r="C20" s="21"/>
      <c r="D20" s="324" t="s">
        <v>2</v>
      </c>
      <c r="E20" s="25"/>
      <c r="F20" s="323"/>
      <c r="G20" s="27" t="s">
        <v>359</v>
      </c>
      <c r="H20" s="324"/>
      <c r="I20" s="322">
        <f>+'ATT H-3D'!H215</f>
        <v>68685571</v>
      </c>
    </row>
    <row r="21" spans="1:9" s="698" customFormat="1" ht="15.5">
      <c r="A21" s="325">
        <v>101</v>
      </c>
      <c r="B21" s="21"/>
      <c r="C21" s="21"/>
      <c r="D21" s="326" t="s">
        <v>360</v>
      </c>
      <c r="E21" s="328" t="s">
        <v>796</v>
      </c>
      <c r="F21" s="28"/>
      <c r="G21" s="29" t="s">
        <v>361</v>
      </c>
      <c r="H21" s="328"/>
      <c r="I21" s="307">
        <f>+'ATT H-3D'!H216</f>
        <v>0</v>
      </c>
    </row>
    <row r="22" spans="1:9" s="698" customFormat="1" ht="15.5">
      <c r="A22" s="325">
        <v>102</v>
      </c>
      <c r="B22" s="21"/>
      <c r="C22" s="21"/>
      <c r="D22" s="33" t="s">
        <v>2</v>
      </c>
      <c r="E22" s="25"/>
      <c r="F22" s="24"/>
      <c r="G22" s="27" t="s">
        <v>362</v>
      </c>
      <c r="H22" s="324"/>
      <c r="I22" s="322">
        <f>+I20-I21</f>
        <v>68685571</v>
      </c>
    </row>
    <row r="23" spans="1:9" s="698" customFormat="1" ht="15.5">
      <c r="A23" s="325"/>
      <c r="B23" s="21"/>
      <c r="C23" s="326"/>
      <c r="D23" s="326"/>
      <c r="E23" s="323"/>
      <c r="F23" s="306"/>
      <c r="G23" s="21"/>
      <c r="H23" s="306"/>
      <c r="I23" s="31"/>
    </row>
    <row r="24" spans="1:9" s="698" customFormat="1" ht="15.5">
      <c r="A24" s="325">
        <v>103</v>
      </c>
      <c r="B24" s="21"/>
      <c r="C24" s="33" t="s">
        <v>363</v>
      </c>
      <c r="D24" s="32"/>
      <c r="F24" s="306" t="s">
        <v>364</v>
      </c>
      <c r="G24" s="33" t="s">
        <v>365</v>
      </c>
      <c r="H24" s="306"/>
      <c r="I24" s="322">
        <f>+'ATT H-3D'!H219</f>
        <v>0</v>
      </c>
    </row>
    <row r="25" spans="1:9" s="698" customFormat="1" ht="15.5">
      <c r="A25" s="325"/>
      <c r="B25" s="21"/>
      <c r="C25" s="326"/>
      <c r="D25" s="326"/>
      <c r="E25" s="323"/>
      <c r="F25" s="34"/>
      <c r="G25" s="33"/>
      <c r="H25" s="306"/>
      <c r="I25" s="31"/>
    </row>
    <row r="26" spans="1:9" s="698" customFormat="1" ht="15.5">
      <c r="A26" s="325"/>
      <c r="B26" s="21"/>
      <c r="C26" s="326" t="s">
        <v>366</v>
      </c>
      <c r="D26" s="35"/>
      <c r="E26" s="323"/>
      <c r="F26" s="323"/>
      <c r="G26" s="33"/>
      <c r="H26" s="306"/>
      <c r="I26" s="31"/>
    </row>
    <row r="27" spans="1:9" s="698" customFormat="1" ht="15.5">
      <c r="A27" s="325">
        <v>104</v>
      </c>
      <c r="B27" s="21"/>
      <c r="C27" s="21"/>
      <c r="D27" s="33" t="s">
        <v>367</v>
      </c>
      <c r="E27" s="306"/>
      <c r="F27" s="306"/>
      <c r="G27" s="33" t="s">
        <v>368</v>
      </c>
      <c r="H27" s="306"/>
      <c r="I27" s="322">
        <f>+'ATT H-3D'!H222</f>
        <v>1919311737.9061542</v>
      </c>
    </row>
    <row r="28" spans="1:9" s="698" customFormat="1" ht="15.5">
      <c r="A28" s="22">
        <v>105</v>
      </c>
      <c r="B28" s="21"/>
      <c r="C28" s="21"/>
      <c r="D28" s="36" t="s">
        <v>369</v>
      </c>
      <c r="F28" s="31" t="s">
        <v>182</v>
      </c>
      <c r="G28" s="36" t="s">
        <v>797</v>
      </c>
      <c r="H28" s="306"/>
      <c r="I28" s="31">
        <f>-I39</f>
        <v>0</v>
      </c>
    </row>
    <row r="29" spans="1:9" s="698" customFormat="1" ht="15.5">
      <c r="A29" s="325">
        <v>106</v>
      </c>
      <c r="B29" s="21"/>
      <c r="C29" s="21"/>
      <c r="D29" s="36" t="s">
        <v>370</v>
      </c>
      <c r="F29" s="307" t="s">
        <v>182</v>
      </c>
      <c r="G29" s="37" t="s">
        <v>371</v>
      </c>
      <c r="H29" s="328"/>
      <c r="I29" s="307">
        <f>+'ATT H-3D'!H224</f>
        <v>2177779</v>
      </c>
    </row>
    <row r="30" spans="1:9" s="698" customFormat="1" ht="15.5">
      <c r="A30" s="325">
        <v>107</v>
      </c>
      <c r="B30" s="21"/>
      <c r="C30" s="21"/>
      <c r="D30" s="36" t="s">
        <v>366</v>
      </c>
      <c r="F30" s="322"/>
      <c r="G30" s="212" t="s">
        <v>798</v>
      </c>
      <c r="H30" s="39"/>
      <c r="I30" s="31">
        <f>SUM(I27:I29)</f>
        <v>1921489516.9061542</v>
      </c>
    </row>
    <row r="31" spans="1:9" s="698" customFormat="1" ht="15.5">
      <c r="A31" s="325"/>
      <c r="B31" s="21"/>
      <c r="C31" s="326"/>
      <c r="D31" s="326"/>
      <c r="F31" s="323"/>
      <c r="G31" s="33"/>
      <c r="H31" s="323"/>
      <c r="I31" s="31"/>
    </row>
    <row r="32" spans="1:9" s="698" customFormat="1" ht="15.5">
      <c r="A32" s="325"/>
      <c r="B32" s="21"/>
      <c r="C32" s="326" t="s">
        <v>3</v>
      </c>
      <c r="D32" s="35"/>
      <c r="F32" s="323"/>
      <c r="G32" s="33"/>
      <c r="H32" s="323"/>
      <c r="I32" s="31"/>
    </row>
    <row r="33" spans="1:9" s="698" customFormat="1" ht="15.5">
      <c r="A33" s="325">
        <v>108</v>
      </c>
      <c r="B33" s="21"/>
      <c r="C33" s="21"/>
      <c r="D33" s="326" t="s">
        <v>372</v>
      </c>
      <c r="F33" s="323"/>
      <c r="G33" s="326" t="s">
        <v>373</v>
      </c>
      <c r="H33" s="323"/>
      <c r="I33" s="322">
        <f>+'ATT H-3D'!H229</f>
        <v>1897999230.7692308</v>
      </c>
    </row>
    <row r="34" spans="1:9" s="698" customFormat="1" ht="15.5">
      <c r="A34" s="22">
        <v>109</v>
      </c>
      <c r="B34" s="21"/>
      <c r="C34" s="21"/>
      <c r="D34" s="326" t="s">
        <v>374</v>
      </c>
      <c r="F34" s="306" t="s">
        <v>182</v>
      </c>
      <c r="G34" s="33" t="s">
        <v>375</v>
      </c>
      <c r="H34" s="323"/>
      <c r="I34" s="322">
        <f>+'ATT H-3D'!H230</f>
        <v>-4119769.2792307702</v>
      </c>
    </row>
    <row r="35" spans="1:9" s="698" customFormat="1" ht="15.5">
      <c r="A35" s="22">
        <v>110</v>
      </c>
      <c r="B35" s="40"/>
      <c r="C35" s="40"/>
      <c r="D35" s="23" t="s">
        <v>376</v>
      </c>
      <c r="F35" s="308" t="s">
        <v>377</v>
      </c>
      <c r="G35" s="23" t="s">
        <v>378</v>
      </c>
      <c r="H35" s="308"/>
      <c r="I35" s="322">
        <f>+'ATT H-3D'!H231</f>
        <v>0</v>
      </c>
    </row>
    <row r="36" spans="1:9" s="698" customFormat="1" ht="15.5">
      <c r="A36" s="22">
        <v>111</v>
      </c>
      <c r="B36" s="40"/>
      <c r="C36" s="40"/>
      <c r="D36" s="23" t="s">
        <v>379</v>
      </c>
      <c r="F36" s="31" t="s">
        <v>182</v>
      </c>
      <c r="G36" s="21" t="s">
        <v>1129</v>
      </c>
      <c r="H36" s="308"/>
      <c r="I36" s="322">
        <f>+'ATT H-3D'!H232</f>
        <v>1141794.0557388079</v>
      </c>
    </row>
    <row r="37" spans="1:9" s="698" customFormat="1" ht="15.5">
      <c r="A37" s="22">
        <v>112</v>
      </c>
      <c r="B37" s="40"/>
      <c r="C37" s="40"/>
      <c r="D37" s="23" t="s">
        <v>380</v>
      </c>
      <c r="F37" s="31" t="s">
        <v>182</v>
      </c>
      <c r="G37" s="36" t="s">
        <v>361</v>
      </c>
      <c r="H37" s="308"/>
      <c r="I37" s="322">
        <f>+'ATT H-3D'!H233</f>
        <v>0</v>
      </c>
    </row>
    <row r="38" spans="1:9" s="698" customFormat="1" ht="15.5">
      <c r="A38" s="22">
        <v>113</v>
      </c>
      <c r="B38" s="40"/>
      <c r="C38" s="40"/>
      <c r="D38" s="23" t="s">
        <v>381</v>
      </c>
      <c r="E38" s="41"/>
      <c r="F38" s="42"/>
      <c r="G38" s="213" t="s">
        <v>799</v>
      </c>
      <c r="H38" s="41"/>
      <c r="I38" s="43">
        <f>SUM(I33:I37)</f>
        <v>1895021255.5457389</v>
      </c>
    </row>
    <row r="39" spans="1:9" s="698" customFormat="1" ht="15.5">
      <c r="A39" s="22">
        <v>114</v>
      </c>
      <c r="B39" s="40"/>
      <c r="C39" s="40"/>
      <c r="D39" s="23" t="s">
        <v>382</v>
      </c>
      <c r="E39" s="308"/>
      <c r="F39" s="321"/>
      <c r="G39" s="23" t="s">
        <v>383</v>
      </c>
      <c r="H39" s="308"/>
      <c r="I39" s="322">
        <f>+'ATT H-3D'!H235</f>
        <v>0</v>
      </c>
    </row>
    <row r="40" spans="1:9" s="698" customFormat="1" ht="15.5">
      <c r="A40" s="325">
        <v>115</v>
      </c>
      <c r="B40" s="21"/>
      <c r="C40" s="21"/>
      <c r="D40" s="326" t="s">
        <v>366</v>
      </c>
      <c r="E40" s="323"/>
      <c r="F40" s="34"/>
      <c r="G40" s="33" t="s">
        <v>800</v>
      </c>
      <c r="H40" s="323"/>
      <c r="I40" s="322">
        <f>I30</f>
        <v>1921489516.9061542</v>
      </c>
    </row>
    <row r="41" spans="1:9" s="698" customFormat="1" ht="15.5">
      <c r="A41" s="325">
        <v>116</v>
      </c>
      <c r="B41" s="21"/>
      <c r="C41" s="21"/>
      <c r="D41" s="326" t="s">
        <v>384</v>
      </c>
      <c r="E41" s="44"/>
      <c r="F41" s="45"/>
      <c r="G41" s="214" t="s">
        <v>801</v>
      </c>
      <c r="H41" s="47"/>
      <c r="I41" s="43">
        <f>I40+I39+I38</f>
        <v>3816510772.4518929</v>
      </c>
    </row>
    <row r="42" spans="1:9" s="698" customFormat="1" ht="15.5">
      <c r="A42" s="325"/>
      <c r="B42" s="21"/>
      <c r="C42" s="21"/>
      <c r="D42" s="326"/>
      <c r="E42" s="323"/>
      <c r="F42" s="34"/>
      <c r="G42" s="21"/>
      <c r="H42" s="306"/>
      <c r="I42" s="48"/>
    </row>
    <row r="43" spans="1:9" s="698" customFormat="1" ht="15.5">
      <c r="A43" s="22">
        <v>117</v>
      </c>
      <c r="B43" s="21"/>
      <c r="C43" s="21"/>
      <c r="D43" s="326" t="s">
        <v>385</v>
      </c>
      <c r="E43" s="309"/>
      <c r="F43" s="329" t="s">
        <v>381</v>
      </c>
      <c r="G43" s="36" t="s">
        <v>1543</v>
      </c>
      <c r="H43" s="154"/>
      <c r="I43" s="516">
        <f>IF(I41&gt;0,I33/(I33++I39+I40),0)</f>
        <v>0.49692494366540285</v>
      </c>
    </row>
    <row r="44" spans="1:9" s="698" customFormat="1" ht="15.5">
      <c r="A44" s="22">
        <v>118</v>
      </c>
      <c r="B44" s="21"/>
      <c r="C44" s="21"/>
      <c r="D44" s="326" t="s">
        <v>386</v>
      </c>
      <c r="E44" s="34"/>
      <c r="F44" s="329" t="s">
        <v>382</v>
      </c>
      <c r="G44" s="36" t="s">
        <v>1544</v>
      </c>
      <c r="H44" s="154"/>
      <c r="I44" s="516">
        <f>IF(I41&gt;0,I39/(I33+I39+I40),0)</f>
        <v>0</v>
      </c>
    </row>
    <row r="45" spans="1:9" s="698" customFormat="1" ht="15.5">
      <c r="A45" s="22">
        <v>119</v>
      </c>
      <c r="B45" s="21"/>
      <c r="C45" s="21"/>
      <c r="D45" s="326" t="s">
        <v>387</v>
      </c>
      <c r="E45" s="34"/>
      <c r="F45" s="329" t="s">
        <v>366</v>
      </c>
      <c r="G45" s="36" t="s">
        <v>1545</v>
      </c>
      <c r="H45" s="154"/>
      <c r="I45" s="516">
        <f>IF(I41&gt;0,I40/(I33+I39+I40),0)</f>
        <v>0.50307505633459715</v>
      </c>
    </row>
    <row r="46" spans="1:9" s="698" customFormat="1" ht="15.5">
      <c r="A46" s="22"/>
      <c r="B46" s="21"/>
      <c r="C46" s="21"/>
      <c r="D46" s="326"/>
      <c r="E46" s="323"/>
      <c r="F46" s="33"/>
      <c r="G46" s="21"/>
      <c r="H46" s="306"/>
      <c r="I46" s="48"/>
    </row>
    <row r="47" spans="1:9" s="698" customFormat="1" ht="15.5">
      <c r="A47" s="22">
        <v>120</v>
      </c>
      <c r="B47" s="21"/>
      <c r="C47" s="21"/>
      <c r="D47" s="33" t="s">
        <v>388</v>
      </c>
      <c r="E47" s="309"/>
      <c r="F47" s="33" t="s">
        <v>381</v>
      </c>
      <c r="G47" s="33" t="s">
        <v>802</v>
      </c>
      <c r="H47" s="306"/>
      <c r="I47" s="49">
        <f>IF(I38&gt;0,I22/I38,0)</f>
        <v>3.6245277354537926E-2</v>
      </c>
    </row>
    <row r="48" spans="1:9" s="698" customFormat="1" ht="15.5">
      <c r="A48" s="22">
        <v>121</v>
      </c>
      <c r="B48" s="21"/>
      <c r="C48" s="21"/>
      <c r="D48" s="33" t="s">
        <v>389</v>
      </c>
      <c r="E48" s="34"/>
      <c r="F48" s="33" t="s">
        <v>382</v>
      </c>
      <c r="G48" s="33" t="s">
        <v>803</v>
      </c>
      <c r="H48" s="306"/>
      <c r="I48" s="49">
        <f>IF(I39&gt;0,I24/I39,0)</f>
        <v>0</v>
      </c>
    </row>
    <row r="49" spans="1:15" s="698" customFormat="1" ht="15.5">
      <c r="A49" s="22">
        <v>122</v>
      </c>
      <c r="B49" s="21"/>
      <c r="C49" s="21"/>
      <c r="D49" s="33" t="s">
        <v>390</v>
      </c>
      <c r="E49" s="34" t="s">
        <v>173</v>
      </c>
      <c r="F49" s="33" t="s">
        <v>366</v>
      </c>
      <c r="G49" s="21" t="s">
        <v>174</v>
      </c>
      <c r="H49" s="306"/>
      <c r="I49" s="50">
        <f>+'ATT H-3D'!H245+0.01</f>
        <v>0.11499999999999999</v>
      </c>
    </row>
    <row r="50" spans="1:15" s="698" customFormat="1" ht="15.5">
      <c r="A50" s="22"/>
      <c r="B50" s="21"/>
      <c r="C50" s="21"/>
      <c r="D50" s="326"/>
      <c r="E50" s="323"/>
      <c r="F50" s="33"/>
      <c r="G50" s="21"/>
      <c r="H50" s="306"/>
      <c r="I50" s="323"/>
    </row>
    <row r="51" spans="1:15" s="698" customFormat="1" ht="15.5">
      <c r="A51" s="22">
        <v>123</v>
      </c>
      <c r="B51" s="21"/>
      <c r="C51" s="21"/>
      <c r="D51" s="326" t="s">
        <v>392</v>
      </c>
      <c r="E51" s="309"/>
      <c r="F51" s="329" t="s">
        <v>393</v>
      </c>
      <c r="G51" s="33" t="s">
        <v>804</v>
      </c>
      <c r="H51" s="51"/>
      <c r="I51" s="52">
        <f>I47*I43</f>
        <v>1.8011182407540662E-2</v>
      </c>
    </row>
    <row r="52" spans="1:15" s="698" customFormat="1" ht="15.5">
      <c r="A52" s="22">
        <v>124</v>
      </c>
      <c r="B52" s="21"/>
      <c r="C52" s="21"/>
      <c r="D52" s="326" t="s">
        <v>394</v>
      </c>
      <c r="E52" s="34"/>
      <c r="F52" s="329" t="s">
        <v>382</v>
      </c>
      <c r="G52" s="33" t="s">
        <v>805</v>
      </c>
      <c r="H52" s="53"/>
      <c r="I52" s="52">
        <f>I48*I44</f>
        <v>0</v>
      </c>
    </row>
    <row r="53" spans="1:15" s="698" customFormat="1" ht="15.5">
      <c r="A53" s="22">
        <v>125</v>
      </c>
      <c r="B53" s="21"/>
      <c r="C53" s="21"/>
      <c r="D53" s="330" t="s">
        <v>395</v>
      </c>
      <c r="E53" s="331"/>
      <c r="F53" s="330" t="s">
        <v>366</v>
      </c>
      <c r="G53" s="29" t="s">
        <v>806</v>
      </c>
      <c r="H53" s="54"/>
      <c r="I53" s="55">
        <f>I49*I45</f>
        <v>5.7853631478478669E-2</v>
      </c>
    </row>
    <row r="54" spans="1:15" s="698" customFormat="1" ht="15.5">
      <c r="A54" s="325">
        <v>126</v>
      </c>
      <c r="B54" s="21"/>
      <c r="C54" s="21" t="s">
        <v>396</v>
      </c>
      <c r="D54" s="21"/>
      <c r="E54" s="56"/>
      <c r="F54" s="57"/>
      <c r="G54" s="215" t="s">
        <v>807</v>
      </c>
      <c r="H54" s="59"/>
      <c r="I54" s="60">
        <f>SUM(I51:I53)</f>
        <v>7.5864813886019331E-2</v>
      </c>
    </row>
    <row r="55" spans="1:15" s="698" customFormat="1" ht="15.5">
      <c r="A55" s="61"/>
      <c r="B55" s="21"/>
      <c r="C55" s="21"/>
      <c r="D55" s="21"/>
      <c r="E55" s="56"/>
      <c r="F55" s="57"/>
      <c r="G55" s="58"/>
      <c r="H55" s="59"/>
      <c r="I55" s="60"/>
    </row>
    <row r="56" spans="1:15" s="698" customFormat="1" ht="16" thickBot="1">
      <c r="A56" s="325">
        <v>127</v>
      </c>
      <c r="B56" s="21"/>
      <c r="C56" s="21" t="s">
        <v>397</v>
      </c>
      <c r="D56" s="21"/>
      <c r="E56" s="62"/>
      <c r="F56" s="63"/>
      <c r="G56" s="64" t="s">
        <v>808</v>
      </c>
      <c r="H56" s="65"/>
      <c r="I56" s="66">
        <f>+I54*I16</f>
        <v>82968622.167497262</v>
      </c>
    </row>
    <row r="57" spans="1:15" s="698" customFormat="1" ht="16" thickTop="1">
      <c r="A57" s="325"/>
      <c r="B57" s="325"/>
      <c r="C57" s="325"/>
      <c r="D57" s="34"/>
      <c r="E57" s="323"/>
      <c r="F57" s="693"/>
      <c r="G57" s="306"/>
      <c r="H57" s="306"/>
      <c r="I57" s="52"/>
    </row>
    <row r="58" spans="1:15" s="698" customFormat="1" ht="15.5">
      <c r="A58" s="455" t="s">
        <v>175</v>
      </c>
      <c r="B58" s="455"/>
      <c r="C58" s="834"/>
      <c r="D58" s="835"/>
      <c r="E58" s="67"/>
      <c r="F58" s="836"/>
      <c r="G58" s="19"/>
      <c r="H58" s="19"/>
      <c r="I58" s="68"/>
    </row>
    <row r="59" spans="1:15" s="698" customFormat="1" ht="15.5">
      <c r="A59" s="23"/>
      <c r="B59" s="23"/>
      <c r="C59" s="325"/>
      <c r="D59" s="69"/>
      <c r="E59" s="308"/>
      <c r="F59" s="70"/>
      <c r="G59" s="323"/>
      <c r="H59" s="323"/>
      <c r="I59" s="71"/>
    </row>
    <row r="60" spans="1:15" s="698" customFormat="1" ht="15.5">
      <c r="A60" s="325" t="s">
        <v>83</v>
      </c>
      <c r="B60" s="325"/>
      <c r="C60" s="191" t="s">
        <v>84</v>
      </c>
      <c r="D60" s="323"/>
      <c r="E60" s="323"/>
      <c r="F60" s="70"/>
      <c r="G60" s="306"/>
      <c r="H60" s="72"/>
      <c r="I60" s="323"/>
    </row>
    <row r="61" spans="1:15" s="698" customFormat="1" ht="15.5">
      <c r="A61" s="22">
        <f>'ATT H-3D'!A257</f>
        <v>128</v>
      </c>
      <c r="B61" s="693"/>
      <c r="C61" s="325"/>
      <c r="D61" s="323" t="s">
        <v>176</v>
      </c>
      <c r="E61" s="323"/>
      <c r="F61" s="187" t="s">
        <v>1449</v>
      </c>
      <c r="G61" s="335"/>
      <c r="H61" s="318"/>
      <c r="I61" s="516">
        <f>+'ATT H-3D'!H257</f>
        <v>0.21</v>
      </c>
    </row>
    <row r="62" spans="1:15" s="698" customFormat="1" ht="15.5">
      <c r="A62" s="22">
        <f>'ATT H-3D'!A258</f>
        <v>129</v>
      </c>
      <c r="B62" s="693"/>
      <c r="C62" s="325"/>
      <c r="D62" s="318" t="s">
        <v>177</v>
      </c>
      <c r="E62" s="319"/>
      <c r="F62" s="187" t="s">
        <v>1449</v>
      </c>
      <c r="G62" s="335"/>
      <c r="H62" s="318"/>
      <c r="I62" s="516">
        <f>+'ATT H-3D'!H258</f>
        <v>8.5000000000000006E-2</v>
      </c>
      <c r="K62"/>
      <c r="L62"/>
      <c r="M62"/>
      <c r="N62"/>
      <c r="O62"/>
    </row>
    <row r="63" spans="1:15" s="698" customFormat="1" ht="15.5">
      <c r="A63" s="22">
        <f>'ATT H-3D'!A259</f>
        <v>130</v>
      </c>
      <c r="B63" s="693"/>
      <c r="C63" s="325"/>
      <c r="D63" s="318" t="s">
        <v>458</v>
      </c>
      <c r="E63" s="318" t="s">
        <v>1479</v>
      </c>
      <c r="F63" s="693"/>
      <c r="G63" s="305" t="s">
        <v>1553</v>
      </c>
      <c r="H63" s="318"/>
      <c r="I63" s="516">
        <f>+'ATT H-3D'!H259</f>
        <v>0</v>
      </c>
      <c r="K63"/>
      <c r="L63"/>
      <c r="M63"/>
      <c r="N63"/>
      <c r="O63"/>
    </row>
    <row r="64" spans="1:15" s="698" customFormat="1" ht="15.5">
      <c r="A64" s="22">
        <f>'ATT H-3D'!A260</f>
        <v>131</v>
      </c>
      <c r="B64" s="693"/>
      <c r="C64" s="325"/>
      <c r="D64" s="318" t="s">
        <v>178</v>
      </c>
      <c r="E64" s="73" t="s">
        <v>179</v>
      </c>
      <c r="F64" s="693"/>
      <c r="H64" s="318"/>
      <c r="I64" s="516">
        <f>+'ATT H-3D'!H260</f>
        <v>0.2771499999999999</v>
      </c>
      <c r="K64"/>
      <c r="L64"/>
      <c r="M64"/>
      <c r="N64"/>
      <c r="O64"/>
    </row>
    <row r="65" spans="1:15" s="698" customFormat="1" ht="15.5">
      <c r="A65" s="22" t="str">
        <f>'ATT H-3D'!A261</f>
        <v>132a</v>
      </c>
      <c r="B65" s="693"/>
      <c r="C65" s="325"/>
      <c r="D65" s="318" t="s">
        <v>180</v>
      </c>
      <c r="E65" s="319"/>
      <c r="F65" s="693"/>
      <c r="G65" s="323"/>
      <c r="H65" s="318"/>
      <c r="I65" s="516">
        <f>+'ATT H-3D'!H261</f>
        <v>0.38341287957390863</v>
      </c>
      <c r="K65"/>
      <c r="L65"/>
      <c r="M65"/>
      <c r="N65"/>
      <c r="O65"/>
    </row>
    <row r="66" spans="1:15" s="698" customFormat="1" ht="15.5">
      <c r="A66" s="22" t="str">
        <f>'ATT H-3D'!A262</f>
        <v>132b</v>
      </c>
      <c r="B66" s="693"/>
      <c r="D66" s="698" t="s">
        <v>1132</v>
      </c>
      <c r="E66" s="345" t="s">
        <v>1133</v>
      </c>
      <c r="F66" s="693"/>
      <c r="I66" s="320">
        <f>1*1/(1-I64)</f>
        <v>1.3834128795739087</v>
      </c>
      <c r="K66"/>
      <c r="L66"/>
      <c r="M66"/>
      <c r="N66"/>
      <c r="O66"/>
    </row>
    <row r="67" spans="1:15" s="698" customFormat="1" ht="15.5">
      <c r="A67" s="22"/>
      <c r="B67" s="325"/>
      <c r="C67" s="325"/>
      <c r="D67" s="323"/>
      <c r="E67" s="323"/>
      <c r="F67" s="74"/>
      <c r="G67" s="73"/>
      <c r="H67" s="72"/>
      <c r="I67" s="75"/>
      <c r="K67"/>
      <c r="L67"/>
      <c r="M67"/>
      <c r="N67"/>
      <c r="O67"/>
    </row>
    <row r="68" spans="1:15" s="698" customFormat="1" ht="15.5">
      <c r="A68" s="22"/>
      <c r="B68" s="325"/>
      <c r="C68" s="191" t="s">
        <v>181</v>
      </c>
      <c r="D68" s="34"/>
      <c r="E68" s="323"/>
      <c r="F68" s="187" t="s">
        <v>1450</v>
      </c>
      <c r="G68" s="306"/>
      <c r="H68" s="72"/>
      <c r="I68" s="76"/>
      <c r="K68"/>
      <c r="L68"/>
      <c r="M68"/>
      <c r="N68"/>
      <c r="O68"/>
    </row>
    <row r="69" spans="1:15" s="698" customFormat="1" ht="15.5">
      <c r="A69" s="22">
        <f>'ATT H-3D'!A265</f>
        <v>133</v>
      </c>
      <c r="B69" s="693"/>
      <c r="C69" s="325"/>
      <c r="D69" s="698" t="s">
        <v>1154</v>
      </c>
      <c r="E69" s="323"/>
      <c r="F69" s="48" t="s">
        <v>182</v>
      </c>
      <c r="G69" s="40" t="s">
        <v>1134</v>
      </c>
      <c r="H69" s="72"/>
      <c r="I69" s="154">
        <f>+'ATT H-3D'!H265</f>
        <v>-90233.610950095099</v>
      </c>
      <c r="K69"/>
      <c r="L69"/>
      <c r="M69"/>
      <c r="N69"/>
      <c r="O69"/>
    </row>
    <row r="70" spans="1:15" s="698" customFormat="1" ht="15.5">
      <c r="A70" s="22">
        <f>'ATT H-3D'!A266</f>
        <v>134</v>
      </c>
      <c r="B70" s="693"/>
      <c r="C70" s="325"/>
      <c r="D70" s="698" t="s">
        <v>1155</v>
      </c>
      <c r="E70" s="327"/>
      <c r="F70" s="79"/>
      <c r="G70" s="328" t="str">
        <f>"(Line "&amp;A66&amp;")"</f>
        <v>(Line 132b)</v>
      </c>
      <c r="H70" s="346"/>
      <c r="I70" s="320">
        <f>+I66</f>
        <v>1.3834128795739087</v>
      </c>
      <c r="K70"/>
      <c r="L70"/>
      <c r="M70"/>
      <c r="N70"/>
      <c r="O70"/>
    </row>
    <row r="71" spans="1:15" s="698" customFormat="1" ht="15.5">
      <c r="A71" s="22">
        <f>'ATT H-3D'!A267</f>
        <v>135</v>
      </c>
      <c r="B71" s="693"/>
      <c r="C71" s="325"/>
      <c r="D71" s="193" t="s">
        <v>183</v>
      </c>
      <c r="E71" s="41"/>
      <c r="F71" s="80"/>
      <c r="G71" s="324" t="str">
        <f>"(Line "&amp;A69&amp;" * "&amp;A70&amp;")"</f>
        <v>(Line 133 * 134)</v>
      </c>
      <c r="H71" s="517"/>
      <c r="I71" s="336">
        <f>+I69*I70</f>
        <v>-124830.33955882284</v>
      </c>
      <c r="K71"/>
      <c r="L71"/>
      <c r="M71"/>
      <c r="N71"/>
      <c r="O71"/>
    </row>
    <row r="72" spans="1:15" s="698" customFormat="1" ht="15.5">
      <c r="A72" s="22"/>
      <c r="B72" s="325"/>
      <c r="C72" s="325"/>
      <c r="D72" s="81"/>
      <c r="E72" s="332"/>
      <c r="F72" s="333"/>
      <c r="G72" s="334"/>
      <c r="H72" s="338"/>
      <c r="I72" s="339"/>
      <c r="K72"/>
      <c r="L72"/>
      <c r="M72"/>
      <c r="N72"/>
      <c r="O72"/>
    </row>
    <row r="73" spans="1:15" s="698" customFormat="1" ht="15.5">
      <c r="A73" s="305"/>
      <c r="B73" s="35"/>
      <c r="C73" s="21" t="s">
        <v>986</v>
      </c>
      <c r="D73" s="81"/>
      <c r="E73" s="332"/>
      <c r="F73" s="333"/>
      <c r="G73" s="334"/>
      <c r="H73" s="338"/>
      <c r="I73" s="339"/>
    </row>
    <row r="74" spans="1:15" s="698" customFormat="1" ht="15.5">
      <c r="A74" s="22" t="str">
        <f>'ATT H-3D'!A270</f>
        <v>136a</v>
      </c>
      <c r="C74" s="21"/>
      <c r="D74" s="329" t="s">
        <v>1136</v>
      </c>
      <c r="F74" s="187" t="s">
        <v>1451</v>
      </c>
      <c r="G74" s="335" t="str">
        <f>'ATT H-3D'!F270</f>
        <v>Attachment 5, Line 136a</v>
      </c>
      <c r="H74" s="338"/>
      <c r="I74" s="315">
        <f>'ATT H-3D'!H270</f>
        <v>186553.54509999993</v>
      </c>
    </row>
    <row r="75" spans="1:15" s="698" customFormat="1" ht="15.5">
      <c r="A75" s="22" t="str">
        <f>'ATT H-3D'!A271</f>
        <v>136b</v>
      </c>
      <c r="C75" s="21"/>
      <c r="D75" s="329" t="s">
        <v>1137</v>
      </c>
      <c r="F75" s="187" t="s">
        <v>1451</v>
      </c>
      <c r="G75" s="335" t="str">
        <f>'ATT H-3D'!F271</f>
        <v>Attachment 5, Line 136b</v>
      </c>
      <c r="H75" s="338"/>
      <c r="I75" s="315">
        <f>'ATT H-3D'!H271</f>
        <v>-11120311.749387812</v>
      </c>
    </row>
    <row r="76" spans="1:15" s="698" customFormat="1" ht="15.5">
      <c r="A76" s="22" t="str">
        <f>'ATT H-3D'!A272</f>
        <v>136c</v>
      </c>
      <c r="C76" s="21"/>
      <c r="D76" s="329" t="s">
        <v>1139</v>
      </c>
      <c r="F76" s="187" t="s">
        <v>1451</v>
      </c>
      <c r="G76" s="335" t="str">
        <f>'ATT H-3D'!F272</f>
        <v>Attachment 5, Line 136c</v>
      </c>
      <c r="H76" s="338"/>
      <c r="I76" s="315">
        <f>'ATT H-3D'!H272</f>
        <v>0</v>
      </c>
    </row>
    <row r="77" spans="1:15" s="698" customFormat="1" ht="15.5">
      <c r="A77" s="22" t="str">
        <f>'ATT H-3D'!A273</f>
        <v>136d</v>
      </c>
      <c r="C77" s="21"/>
      <c r="D77" s="330" t="s">
        <v>1141</v>
      </c>
      <c r="E77" s="171"/>
      <c r="F77" s="172" t="s">
        <v>1451</v>
      </c>
      <c r="G77" s="300" t="str">
        <f>'ATT H-3D'!F273</f>
        <v>Attachment 5, Line 136d</v>
      </c>
      <c r="H77" s="340"/>
      <c r="I77" s="519">
        <f>'ATT H-3D'!H273</f>
        <v>0</v>
      </c>
    </row>
    <row r="78" spans="1:15" s="698" customFormat="1" ht="15.5">
      <c r="A78" s="22" t="str">
        <f>'ATT H-3D'!A274</f>
        <v>136e</v>
      </c>
      <c r="C78" s="21"/>
      <c r="D78" s="329" t="s">
        <v>1143</v>
      </c>
      <c r="F78" s="187"/>
      <c r="G78" s="324" t="str">
        <f>"(Line "&amp;A74&amp;" + "&amp;A75&amp;" + "&amp;A76&amp;" + "&amp;A77&amp;")"</f>
        <v>(Line 136a + 136b + 136c + 136d)</v>
      </c>
      <c r="H78" s="338"/>
      <c r="I78" s="31">
        <f>SUM(I74:I77)</f>
        <v>-10933758.204287812</v>
      </c>
    </row>
    <row r="79" spans="1:15" s="698" customFormat="1" ht="15.5">
      <c r="A79" s="22" t="str">
        <f>'ATT H-3D'!A275</f>
        <v>136f</v>
      </c>
      <c r="B79" s="325"/>
      <c r="D79" s="331" t="s">
        <v>1554</v>
      </c>
      <c r="E79" s="337"/>
      <c r="F79" s="170"/>
      <c r="G79" s="328" t="str">
        <f>"(Line "&amp;A66&amp;")"</f>
        <v>(Line 132b)</v>
      </c>
      <c r="H79" s="340"/>
      <c r="I79" s="320">
        <f>I66</f>
        <v>1.3834128795739087</v>
      </c>
    </row>
    <row r="80" spans="1:15" s="698" customFormat="1" ht="15.5">
      <c r="A80" s="22" t="str">
        <f>'ATT H-3D'!A276</f>
        <v>136g</v>
      </c>
      <c r="B80" s="325"/>
      <c r="D80" s="329" t="s">
        <v>986</v>
      </c>
      <c r="E80" s="332" t="s">
        <v>83</v>
      </c>
      <c r="G80" s="324" t="str">
        <f>"(Line "&amp;A78&amp;" * "&amp;A79&amp;")"</f>
        <v>(Line 136e * 136f)</v>
      </c>
      <c r="H80" s="338"/>
      <c r="I80" s="336">
        <f>+I78*I79</f>
        <v>-15125901.921958651</v>
      </c>
    </row>
    <row r="81" spans="1:9" s="698" customFormat="1" ht="15.5">
      <c r="A81" s="325"/>
      <c r="B81" s="325"/>
      <c r="C81" s="325"/>
      <c r="D81" s="323"/>
      <c r="E81" s="323"/>
      <c r="F81" s="74"/>
      <c r="G81" s="73"/>
      <c r="H81" s="72"/>
      <c r="I81" s="514"/>
    </row>
    <row r="82" spans="1:9" s="698" customFormat="1" ht="15.5">
      <c r="A82" s="22">
        <f>'ATT H-3D'!A278</f>
        <v>137</v>
      </c>
      <c r="B82" s="693"/>
      <c r="C82" s="698" t="s">
        <v>184</v>
      </c>
      <c r="E82" s="323" t="s">
        <v>185</v>
      </c>
      <c r="F82" s="70"/>
      <c r="G82" s="324" t="str">
        <f>"(Line "&amp;A65&amp;" * "&amp;A56&amp;" * (1-("&amp;A51&amp;" / "&amp;A54&amp;")))"</f>
        <v>(Line 132a * 127 * (1-(123 / 126)))</v>
      </c>
      <c r="H82" s="323"/>
      <c r="I82" s="515">
        <f>+I65*(1-I51/I54)*I56</f>
        <v>24258883.209463496</v>
      </c>
    </row>
    <row r="83" spans="1:9" s="698" customFormat="1" ht="15.5">
      <c r="A83" s="325"/>
      <c r="B83" s="325"/>
      <c r="C83" s="325"/>
      <c r="D83" s="329"/>
      <c r="E83" s="332"/>
      <c r="F83" s="344"/>
      <c r="G83" s="335"/>
      <c r="H83" s="338"/>
      <c r="I83" s="518"/>
    </row>
    <row r="84" spans="1:9" s="698" customFormat="1" ht="16" thickBot="1">
      <c r="A84" s="22">
        <f>'ATT H-3D'!A280</f>
        <v>138</v>
      </c>
      <c r="B84" s="693"/>
      <c r="C84" s="189" t="s">
        <v>186</v>
      </c>
      <c r="D84" s="84"/>
      <c r="E84" s="62"/>
      <c r="F84" s="85"/>
      <c r="G84" s="162" t="str">
        <f>"(Line "&amp;A71&amp;" + "&amp;A80&amp;" +"&amp;A82&amp;")"</f>
        <v>(Line 135 + 136g +137)</v>
      </c>
      <c r="H84" s="86"/>
      <c r="I84" s="520">
        <f>+I82+I71+I80</f>
        <v>9008150.9479460232</v>
      </c>
    </row>
    <row r="85" spans="1:9" s="698" customFormat="1" ht="16" thickTop="1">
      <c r="A85" s="325"/>
      <c r="B85" s="325"/>
      <c r="C85" s="325"/>
      <c r="D85" s="73"/>
      <c r="E85" s="323"/>
      <c r="F85" s="693"/>
      <c r="G85" s="87"/>
      <c r="H85" s="88"/>
      <c r="I85" s="89"/>
    </row>
    <row r="86" spans="1:9" s="698" customFormat="1" ht="15.5"/>
    <row r="87" spans="1:9" s="262" customFormat="1" ht="15.5"/>
    <row r="88" spans="1:9" s="262" customFormat="1" ht="15.5"/>
    <row r="89" spans="1:9" s="262" customFormat="1" ht="15.5"/>
    <row r="90" spans="1:9" s="262" customFormat="1" ht="15.5"/>
    <row r="91" spans="1:9" s="262" customFormat="1" ht="15.5"/>
    <row r="92" spans="1:9" s="262" customFormat="1" ht="15.5"/>
    <row r="93" spans="1:9" s="262" customFormat="1" ht="15.5"/>
    <row r="94" spans="1:9" s="262" customFormat="1" ht="15.5"/>
    <row r="95" spans="1:9" s="262" customFormat="1" ht="15.5"/>
    <row r="96" spans="1:9" s="262" customFormat="1" ht="15.5"/>
    <row r="97" s="262" customFormat="1" ht="15.5"/>
    <row r="98" s="262" customFormat="1" ht="15.5"/>
    <row r="99" s="262" customFormat="1" ht="15.5"/>
    <row r="100" s="262" customFormat="1" ht="15.5"/>
    <row r="101" s="262" customFormat="1" ht="15.5"/>
    <row r="102" s="262" customFormat="1" ht="15.5"/>
    <row r="103" s="262" customFormat="1" ht="15.5"/>
    <row r="104" s="262" customFormat="1" ht="15.5"/>
    <row r="105" s="262" customFormat="1" ht="15.5"/>
    <row r="106" s="262" customFormat="1" ht="15.5"/>
    <row r="107" s="262" customFormat="1" ht="15.5"/>
    <row r="108" s="262" customFormat="1" ht="15.5"/>
    <row r="109" s="262" customFormat="1" ht="15.5"/>
    <row r="110" s="262" customFormat="1" ht="15.5"/>
    <row r="111" s="262" customFormat="1" ht="15.5"/>
    <row r="112" s="262" customFormat="1" ht="15.5"/>
    <row r="113" s="262" customFormat="1" ht="15.5"/>
    <row r="313" spans="1:6" ht="15.5">
      <c r="C313" s="5"/>
    </row>
    <row r="315" spans="1:6">
      <c r="A315" s="8"/>
      <c r="B315" s="8"/>
      <c r="C315" s="8"/>
      <c r="D315" s="8"/>
      <c r="E315" s="8"/>
      <c r="F315" s="8"/>
    </row>
    <row r="316" spans="1:6">
      <c r="A316" s="8"/>
      <c r="B316" s="8"/>
      <c r="C316" s="8"/>
      <c r="D316" s="8"/>
      <c r="E316" s="8"/>
      <c r="F316" s="8"/>
    </row>
    <row r="317" spans="1:6">
      <c r="A317" s="8"/>
      <c r="B317" s="8"/>
      <c r="C317" s="8"/>
      <c r="D317" s="8"/>
      <c r="E317" s="8"/>
      <c r="F317" s="8"/>
    </row>
    <row r="318" spans="1:6">
      <c r="A318" s="8"/>
      <c r="B318" s="8"/>
      <c r="C318" s="8"/>
      <c r="D318" s="8"/>
      <c r="E318" s="8"/>
      <c r="F318" s="8"/>
    </row>
    <row r="319" spans="1:6">
      <c r="A319" s="8"/>
      <c r="B319" s="8"/>
      <c r="C319" s="8"/>
      <c r="D319" s="8"/>
      <c r="E319" s="8"/>
      <c r="F319" s="8"/>
    </row>
    <row r="320" spans="1:6">
      <c r="A320" s="8"/>
      <c r="B320" s="8"/>
      <c r="C320" s="8"/>
      <c r="D320" s="8"/>
      <c r="E320" s="8"/>
      <c r="F320" s="8"/>
    </row>
    <row r="321" spans="1:6">
      <c r="A321" s="8"/>
      <c r="B321" s="8"/>
      <c r="C321" s="8"/>
      <c r="D321" s="8"/>
      <c r="E321" s="8"/>
      <c r="F321" s="8"/>
    </row>
    <row r="322" spans="1:6">
      <c r="A322" s="8"/>
      <c r="B322" s="8"/>
      <c r="C322" s="8"/>
      <c r="D322" s="8"/>
      <c r="E322" s="8"/>
      <c r="F322" s="8"/>
    </row>
    <row r="323" spans="1:6">
      <c r="A323" s="8"/>
      <c r="B323" s="8"/>
      <c r="C323" s="8"/>
      <c r="D323" s="8"/>
      <c r="E323" s="8"/>
      <c r="F323" s="8"/>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3">
    <mergeCell ref="A1:I1"/>
    <mergeCell ref="A3:I3"/>
    <mergeCell ref="A2:I2"/>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308"/>
  <sheetViews>
    <sheetView view="pageBreakPreview" topLeftCell="D229" zoomScale="35" zoomScaleNormal="80" zoomScaleSheetLayoutView="35" workbookViewId="0">
      <selection activeCell="D1" sqref="A1:XFD1048576"/>
    </sheetView>
  </sheetViews>
  <sheetFormatPr defaultColWidth="9.1796875" defaultRowHeight="12.5"/>
  <cols>
    <col min="1" max="1" width="6.453125" style="298" customWidth="1"/>
    <col min="2" max="2" width="4.26953125" style="298" customWidth="1"/>
    <col min="3" max="3" width="60.54296875" style="298" customWidth="1"/>
    <col min="4" max="4" width="22.54296875" style="298" customWidth="1"/>
    <col min="5" max="5" width="14.1796875" style="298" customWidth="1"/>
    <col min="6" max="6" width="44.1796875" style="298" customWidth="1"/>
    <col min="7" max="7" width="19" style="298" customWidth="1"/>
    <col min="8" max="8" width="15.7265625" style="298" customWidth="1"/>
    <col min="9" max="9" width="18.26953125" style="298" customWidth="1"/>
    <col min="10" max="10" width="18.453125" style="298" customWidth="1"/>
    <col min="11" max="11" width="14.54296875" style="298" customWidth="1"/>
    <col min="12" max="12" width="16.81640625" style="298" customWidth="1"/>
    <col min="13" max="19" width="14.54296875" style="298" customWidth="1"/>
    <col min="20" max="20" width="16" style="298" customWidth="1"/>
    <col min="21" max="21" width="14.7265625" style="298" customWidth="1"/>
    <col min="22" max="22" width="11.7265625" style="298" customWidth="1"/>
    <col min="23" max="23" width="13.81640625" style="298" customWidth="1"/>
    <col min="24" max="24" width="14.54296875" style="298" customWidth="1"/>
    <col min="25" max="25" width="22.1796875" style="298" customWidth="1"/>
    <col min="26" max="26" width="12.81640625" style="298" customWidth="1"/>
    <col min="27" max="27" width="14.81640625" style="298" customWidth="1"/>
    <col min="28" max="28" width="12.81640625" style="298" customWidth="1"/>
    <col min="29" max="29" width="16.1796875" style="298" customWidth="1"/>
    <col min="30" max="16384" width="9.1796875" style="298"/>
  </cols>
  <sheetData>
    <row r="1" spans="1:23" ht="21" customHeight="1">
      <c r="A1" s="955"/>
      <c r="B1" s="956"/>
      <c r="D1" s="922"/>
      <c r="E1" s="957"/>
      <c r="F1" s="958"/>
      <c r="G1" s="959" t="str">
        <f>'ATT H-3D'!$A$4</f>
        <v>Delmarva Power &amp; Light Company</v>
      </c>
      <c r="H1" s="7"/>
      <c r="I1" s="7"/>
      <c r="J1" s="7"/>
      <c r="K1" s="7"/>
      <c r="L1" s="7"/>
      <c r="M1" s="7"/>
      <c r="N1" s="7"/>
      <c r="O1" s="7"/>
      <c r="P1" s="7"/>
      <c r="Q1" s="7"/>
    </row>
    <row r="2" spans="1:23" ht="21" customHeight="1">
      <c r="A2" s="1"/>
      <c r="B2" s="956"/>
      <c r="D2" s="922"/>
      <c r="E2" s="957"/>
      <c r="F2" s="958"/>
      <c r="G2" s="852" t="s">
        <v>46</v>
      </c>
      <c r="H2" s="7"/>
      <c r="I2" s="7"/>
      <c r="J2" s="10"/>
      <c r="K2" s="7"/>
      <c r="L2" s="7"/>
      <c r="M2" s="7"/>
      <c r="N2" s="7"/>
      <c r="O2" s="7"/>
      <c r="P2" s="7"/>
      <c r="Q2" s="548"/>
    </row>
    <row r="3" spans="1:23" ht="21" customHeight="1">
      <c r="A3" s="1"/>
      <c r="B3" s="956"/>
      <c r="D3" s="922"/>
      <c r="E3" s="957"/>
      <c r="F3" s="958"/>
      <c r="G3" s="104"/>
      <c r="H3" s="7"/>
      <c r="I3" s="7"/>
      <c r="J3" s="7"/>
      <c r="K3" s="7"/>
      <c r="L3" s="7"/>
      <c r="M3" s="7"/>
      <c r="N3" s="7"/>
      <c r="O3" s="7"/>
      <c r="P3" s="7"/>
      <c r="Q3" s="548"/>
    </row>
    <row r="4" spans="1:23" ht="18.5" thickBot="1">
      <c r="A4" s="1118" t="s">
        <v>47</v>
      </c>
      <c r="B4" s="956"/>
      <c r="D4" s="922"/>
      <c r="E4" s="957"/>
      <c r="F4" s="958"/>
      <c r="G4" s="7"/>
      <c r="H4" s="7"/>
      <c r="I4" s="7"/>
      <c r="J4" s="7"/>
      <c r="K4" s="7"/>
      <c r="L4" s="7"/>
      <c r="M4" s="7"/>
      <c r="N4" s="7"/>
      <c r="O4" s="7"/>
      <c r="P4" s="7"/>
      <c r="Q4" s="7"/>
    </row>
    <row r="5" spans="1:23" ht="39" customHeight="1">
      <c r="A5" s="1803" t="s">
        <v>48</v>
      </c>
      <c r="B5" s="1804"/>
      <c r="C5" s="1804"/>
      <c r="D5" s="1804"/>
      <c r="E5" s="1804"/>
      <c r="F5" s="1805"/>
      <c r="G5" s="837" t="s">
        <v>49</v>
      </c>
      <c r="H5" s="837" t="s">
        <v>50</v>
      </c>
      <c r="I5" s="837" t="s">
        <v>51</v>
      </c>
      <c r="J5" s="1806" t="s">
        <v>18</v>
      </c>
      <c r="K5" s="1807"/>
      <c r="L5" s="1807"/>
      <c r="M5" s="1807"/>
      <c r="N5" s="1807"/>
      <c r="O5" s="1807"/>
      <c r="P5" s="1807"/>
      <c r="Q5" s="1807"/>
      <c r="R5" s="960"/>
      <c r="S5" s="961"/>
      <c r="V5" s="82"/>
      <c r="W5" s="82"/>
    </row>
    <row r="6" spans="1:23" ht="13">
      <c r="A6" s="962"/>
      <c r="B6" s="963" t="s">
        <v>52</v>
      </c>
      <c r="C6" s="922"/>
      <c r="D6" s="838"/>
      <c r="E6" s="964"/>
      <c r="F6" s="565"/>
      <c r="G6" s="838"/>
      <c r="H6" s="838"/>
      <c r="I6" s="838"/>
      <c r="J6" s="1808"/>
      <c r="K6" s="1797"/>
      <c r="L6" s="1797"/>
      <c r="M6" s="1797"/>
      <c r="N6" s="1797"/>
      <c r="O6" s="1797"/>
      <c r="P6" s="1797"/>
      <c r="Q6" s="1797"/>
      <c r="R6" s="965"/>
      <c r="S6" s="966"/>
    </row>
    <row r="7" spans="1:23" ht="15.75" customHeight="1">
      <c r="A7" s="967">
        <v>10</v>
      </c>
      <c r="B7" s="838"/>
      <c r="C7" s="108" t="s">
        <v>144</v>
      </c>
      <c r="D7" s="922"/>
      <c r="E7" s="968" t="s">
        <v>777</v>
      </c>
      <c r="F7" s="969" t="s">
        <v>941</v>
      </c>
      <c r="G7" s="1002">
        <f>'9 - Rate Base'!$I$23</f>
        <v>28269576</v>
      </c>
      <c r="H7" s="1689"/>
      <c r="I7" s="1689"/>
      <c r="J7" s="1809"/>
      <c r="K7" s="1810"/>
      <c r="L7" s="1810"/>
      <c r="M7" s="1810"/>
      <c r="N7" s="1810"/>
      <c r="O7" s="1810"/>
      <c r="P7" s="1810"/>
      <c r="Q7" s="1810"/>
      <c r="R7" s="965"/>
      <c r="S7" s="966"/>
    </row>
    <row r="8" spans="1:23">
      <c r="A8" s="967">
        <v>11</v>
      </c>
      <c r="B8" s="838"/>
      <c r="C8" s="108" t="s">
        <v>266</v>
      </c>
      <c r="D8" s="922"/>
      <c r="E8" s="968" t="s">
        <v>777</v>
      </c>
      <c r="F8" s="969" t="s">
        <v>942</v>
      </c>
      <c r="G8" s="1002">
        <f>'9 - Rate Base'!$J$23</f>
        <v>31617353</v>
      </c>
      <c r="H8" s="1689"/>
      <c r="I8" s="1689"/>
      <c r="J8" s="1809"/>
      <c r="K8" s="1810"/>
      <c r="L8" s="1810"/>
      <c r="M8" s="1810"/>
      <c r="N8" s="1810"/>
      <c r="O8" s="1810"/>
      <c r="P8" s="1810"/>
      <c r="Q8" s="1810"/>
      <c r="R8" s="965"/>
      <c r="S8" s="966"/>
    </row>
    <row r="9" spans="1:23">
      <c r="A9" s="967">
        <v>12</v>
      </c>
      <c r="B9" s="922"/>
      <c r="C9" s="108" t="s">
        <v>268</v>
      </c>
      <c r="D9" s="922"/>
      <c r="E9" s="968" t="s">
        <v>777</v>
      </c>
      <c r="F9" s="969" t="s">
        <v>943</v>
      </c>
      <c r="G9" s="1002">
        <f>'9 - Rate Base'!$H$23</f>
        <v>67850115</v>
      </c>
      <c r="H9" s="1689"/>
      <c r="I9" s="1689"/>
      <c r="J9" s="1809"/>
      <c r="K9" s="1810"/>
      <c r="L9" s="1810"/>
      <c r="M9" s="1810"/>
      <c r="N9" s="1810"/>
      <c r="O9" s="1810"/>
      <c r="P9" s="1810"/>
      <c r="Q9" s="1810"/>
      <c r="R9" s="965"/>
      <c r="S9" s="966"/>
    </row>
    <row r="10" spans="1:23" ht="13">
      <c r="A10" s="962"/>
      <c r="B10" s="963" t="s">
        <v>53</v>
      </c>
      <c r="C10" s="922"/>
      <c r="D10" s="922"/>
      <c r="E10" s="970"/>
      <c r="F10" s="969"/>
      <c r="G10" s="870"/>
      <c r="H10" s="96"/>
      <c r="I10" s="96"/>
      <c r="J10" s="840"/>
      <c r="K10" s="841"/>
      <c r="L10" s="841"/>
      <c r="M10" s="841"/>
      <c r="N10" s="841"/>
      <c r="O10" s="841"/>
      <c r="P10" s="841"/>
      <c r="Q10" s="841"/>
      <c r="R10" s="965"/>
      <c r="S10" s="966"/>
    </row>
    <row r="11" spans="1:23">
      <c r="A11" s="967">
        <v>24</v>
      </c>
      <c r="B11" s="956"/>
      <c r="C11" s="108" t="s">
        <v>278</v>
      </c>
      <c r="D11" s="922"/>
      <c r="E11" s="968" t="s">
        <v>783</v>
      </c>
      <c r="F11" s="969" t="s">
        <v>944</v>
      </c>
      <c r="G11" s="1690">
        <f>'9 - Rate Base'!$E$23</f>
        <v>169867618</v>
      </c>
      <c r="H11" s="1689"/>
      <c r="I11" s="1689"/>
      <c r="J11" s="1809"/>
      <c r="K11" s="1810"/>
      <c r="L11" s="1810"/>
      <c r="M11" s="1810"/>
      <c r="N11" s="1810"/>
      <c r="O11" s="1810"/>
      <c r="P11" s="1810"/>
      <c r="Q11" s="1810"/>
      <c r="R11" s="965"/>
      <c r="S11" s="966"/>
    </row>
    <row r="12" spans="1:23" ht="13">
      <c r="A12" s="971"/>
      <c r="B12" s="972" t="s">
        <v>54</v>
      </c>
      <c r="C12" s="973"/>
      <c r="D12" s="845"/>
      <c r="E12" s="974"/>
      <c r="F12" s="923"/>
      <c r="G12" s="870"/>
      <c r="H12" s="96"/>
      <c r="I12" s="96"/>
      <c r="J12" s="840"/>
      <c r="K12" s="841"/>
      <c r="L12" s="841"/>
      <c r="M12" s="841"/>
      <c r="N12" s="841"/>
      <c r="O12" s="841"/>
      <c r="P12" s="841"/>
      <c r="Q12" s="841"/>
      <c r="R12" s="965"/>
      <c r="S12" s="966"/>
    </row>
    <row r="13" spans="1:23" ht="15.75" customHeight="1">
      <c r="A13" s="967">
        <v>41</v>
      </c>
      <c r="B13" s="845"/>
      <c r="C13" s="108" t="s">
        <v>291</v>
      </c>
      <c r="D13" s="975"/>
      <c r="E13" s="968" t="s">
        <v>1563</v>
      </c>
      <c r="F13" s="969" t="s">
        <v>939</v>
      </c>
      <c r="G13" s="1689">
        <f>-'1B - ADIT EOY'!$E$284</f>
        <v>1084106.2927414321</v>
      </c>
      <c r="H13" s="1689">
        <v>1023062.712741432</v>
      </c>
      <c r="I13" s="1689"/>
      <c r="J13" s="1809"/>
      <c r="K13" s="1810"/>
      <c r="L13" s="1810"/>
      <c r="M13" s="1810"/>
      <c r="N13" s="1810"/>
      <c r="O13" s="1810"/>
      <c r="P13" s="1810"/>
      <c r="Q13" s="1810"/>
      <c r="R13" s="965"/>
      <c r="S13" s="966"/>
    </row>
    <row r="14" spans="1:23" ht="13">
      <c r="A14" s="967"/>
      <c r="B14" s="972" t="s">
        <v>55</v>
      </c>
      <c r="C14" s="851"/>
      <c r="D14" s="845"/>
      <c r="E14" s="976"/>
      <c r="F14" s="977"/>
      <c r="G14" s="870"/>
      <c r="H14" s="96"/>
      <c r="I14" s="96"/>
      <c r="J14" s="840"/>
      <c r="K14" s="841"/>
      <c r="L14" s="841"/>
      <c r="M14" s="841"/>
      <c r="N14" s="841"/>
      <c r="O14" s="841"/>
      <c r="P14" s="841"/>
      <c r="Q14" s="841"/>
      <c r="R14" s="965"/>
      <c r="S14" s="966"/>
    </row>
    <row r="15" spans="1:23" ht="15.75" customHeight="1">
      <c r="A15" s="971">
        <v>47</v>
      </c>
      <c r="B15" s="845"/>
      <c r="C15" s="851" t="s">
        <v>302</v>
      </c>
      <c r="D15" s="978"/>
      <c r="E15" s="976" t="s">
        <v>777</v>
      </c>
      <c r="F15" s="979" t="s">
        <v>945</v>
      </c>
      <c r="G15" s="1691">
        <v>0</v>
      </c>
      <c r="H15" s="1689"/>
      <c r="I15" s="1689"/>
      <c r="J15" s="1809"/>
      <c r="K15" s="1810"/>
      <c r="L15" s="1810"/>
      <c r="M15" s="1810"/>
      <c r="N15" s="1810"/>
      <c r="O15" s="1810"/>
      <c r="P15" s="1810"/>
      <c r="Q15" s="1810"/>
      <c r="R15" s="965"/>
      <c r="S15" s="966"/>
    </row>
    <row r="16" spans="1:23" ht="13">
      <c r="A16" s="967"/>
      <c r="B16" s="963" t="s">
        <v>56</v>
      </c>
      <c r="C16" s="851"/>
      <c r="D16" s="978"/>
      <c r="E16" s="970"/>
      <c r="F16" s="979"/>
      <c r="G16" s="563"/>
      <c r="H16" s="7"/>
      <c r="I16" s="7"/>
      <c r="J16" s="840"/>
      <c r="K16" s="841"/>
      <c r="L16" s="841"/>
      <c r="M16" s="841"/>
      <c r="N16" s="841"/>
      <c r="O16" s="841"/>
      <c r="P16" s="841"/>
      <c r="Q16" s="841"/>
      <c r="R16" s="965"/>
      <c r="S16" s="966"/>
    </row>
    <row r="17" spans="1:19" ht="13">
      <c r="A17" s="967">
        <v>65</v>
      </c>
      <c r="B17" s="963"/>
      <c r="C17" s="108" t="s">
        <v>324</v>
      </c>
      <c r="D17" s="978"/>
      <c r="E17" s="968" t="s">
        <v>777</v>
      </c>
      <c r="F17" s="969" t="s">
        <v>325</v>
      </c>
      <c r="G17" s="842"/>
      <c r="H17" s="839"/>
      <c r="I17" s="839"/>
      <c r="J17" s="840"/>
      <c r="K17" s="841"/>
      <c r="L17" s="841"/>
      <c r="M17" s="841"/>
      <c r="N17" s="841"/>
      <c r="O17" s="841"/>
      <c r="P17" s="841"/>
      <c r="Q17" s="841"/>
      <c r="R17" s="965"/>
      <c r="S17" s="966"/>
    </row>
    <row r="18" spans="1:19" ht="16.5" customHeight="1" thickBot="1">
      <c r="A18" s="980">
        <v>67</v>
      </c>
      <c r="B18" s="981"/>
      <c r="C18" s="942" t="s">
        <v>326</v>
      </c>
      <c r="D18" s="567"/>
      <c r="E18" s="982" t="s">
        <v>777</v>
      </c>
      <c r="F18" s="569" t="s">
        <v>267</v>
      </c>
      <c r="G18" s="843"/>
      <c r="H18" s="844"/>
      <c r="I18" s="844"/>
      <c r="J18" s="1812"/>
      <c r="K18" s="1813"/>
      <c r="L18" s="1813"/>
      <c r="M18" s="1813"/>
      <c r="N18" s="1813"/>
      <c r="O18" s="1813"/>
      <c r="P18" s="1813"/>
      <c r="Q18" s="1813"/>
      <c r="R18" s="983"/>
      <c r="S18" s="984"/>
    </row>
    <row r="19" spans="1:19">
      <c r="G19" s="7"/>
      <c r="H19" s="7"/>
      <c r="I19" s="7"/>
      <c r="J19" s="7"/>
      <c r="K19" s="7"/>
      <c r="L19" s="7"/>
      <c r="M19" s="7"/>
      <c r="N19" s="7"/>
      <c r="O19" s="7"/>
      <c r="P19" s="7"/>
      <c r="Q19" s="7"/>
    </row>
    <row r="20" spans="1:19">
      <c r="G20" s="7"/>
      <c r="H20" s="7"/>
      <c r="I20" s="7"/>
      <c r="J20" s="7"/>
      <c r="K20" s="7"/>
      <c r="L20" s="7"/>
      <c r="M20" s="7"/>
      <c r="N20" s="7"/>
      <c r="O20" s="7"/>
      <c r="P20" s="7"/>
      <c r="Q20" s="7"/>
    </row>
    <row r="21" spans="1:19" ht="18.5" thickBot="1">
      <c r="A21" s="1118" t="s">
        <v>58</v>
      </c>
      <c r="G21" s="7"/>
      <c r="H21" s="7"/>
      <c r="I21" s="7"/>
      <c r="J21" s="7"/>
      <c r="K21" s="7"/>
      <c r="L21" s="7"/>
      <c r="M21" s="7"/>
      <c r="N21" s="7"/>
      <c r="O21" s="7"/>
      <c r="P21" s="7"/>
      <c r="Q21" s="7"/>
    </row>
    <row r="22" spans="1:19" ht="50.25" customHeight="1">
      <c r="A22" s="1803" t="s">
        <v>48</v>
      </c>
      <c r="B22" s="1804"/>
      <c r="C22" s="1804"/>
      <c r="D22" s="1804"/>
      <c r="E22" s="1804"/>
      <c r="F22" s="1805"/>
      <c r="G22" s="837" t="s">
        <v>49</v>
      </c>
      <c r="H22" s="837" t="s">
        <v>59</v>
      </c>
      <c r="I22" s="837" t="s">
        <v>60</v>
      </c>
      <c r="J22" s="1806" t="s">
        <v>18</v>
      </c>
      <c r="K22" s="1807"/>
      <c r="L22" s="1807"/>
      <c r="M22" s="1807"/>
      <c r="N22" s="1807"/>
      <c r="O22" s="1807"/>
      <c r="P22" s="1807"/>
      <c r="Q22" s="1811"/>
    </row>
    <row r="23" spans="1:19" ht="33.75" customHeight="1">
      <c r="A23" s="967">
        <v>28</v>
      </c>
      <c r="B23" s="985"/>
      <c r="C23" s="972" t="s">
        <v>282</v>
      </c>
      <c r="D23" s="986"/>
      <c r="E23" s="968" t="s">
        <v>64</v>
      </c>
      <c r="F23" s="987" t="s">
        <v>946</v>
      </c>
      <c r="G23" s="1706">
        <v>15439411</v>
      </c>
      <c r="H23" s="1706">
        <v>5435572</v>
      </c>
      <c r="I23" s="1689">
        <f>G23-H23</f>
        <v>10003839</v>
      </c>
      <c r="J23" s="1797" t="s">
        <v>61</v>
      </c>
      <c r="K23" s="1797"/>
      <c r="L23" s="1797"/>
      <c r="M23" s="1797"/>
      <c r="N23" s="1797"/>
      <c r="O23" s="1797"/>
      <c r="P23" s="1797"/>
      <c r="Q23" s="1798"/>
    </row>
    <row r="24" spans="1:19" ht="15.75" customHeight="1">
      <c r="A24" s="967"/>
      <c r="B24" s="963"/>
      <c r="C24" s="845"/>
      <c r="D24" s="978"/>
      <c r="E24" s="988"/>
      <c r="F24" s="923"/>
      <c r="G24" s="845"/>
      <c r="H24" s="845"/>
      <c r="I24" s="845"/>
      <c r="J24" s="1799"/>
      <c r="K24" s="1797"/>
      <c r="L24" s="1797"/>
      <c r="M24" s="1797"/>
      <c r="N24" s="1797"/>
      <c r="O24" s="1797"/>
      <c r="P24" s="1797"/>
      <c r="Q24" s="1798"/>
    </row>
    <row r="25" spans="1:19" ht="13">
      <c r="A25" s="967"/>
      <c r="B25" s="989"/>
      <c r="C25" s="108"/>
      <c r="D25" s="978"/>
      <c r="E25" s="968"/>
      <c r="F25" s="990"/>
      <c r="G25" s="838"/>
      <c r="H25" s="1679"/>
      <c r="I25" s="838"/>
      <c r="J25" s="838">
        <v>1</v>
      </c>
      <c r="K25" s="838" t="s">
        <v>1989</v>
      </c>
      <c r="L25" s="838"/>
      <c r="M25" s="838"/>
      <c r="N25" s="838"/>
      <c r="O25" s="838"/>
      <c r="P25" s="838"/>
      <c r="Q25" s="565"/>
    </row>
    <row r="26" spans="1:19" ht="13">
      <c r="A26" s="967"/>
      <c r="B26" s="989"/>
      <c r="C26" s="108"/>
      <c r="D26" s="978"/>
      <c r="E26" s="968"/>
      <c r="F26" s="990"/>
      <c r="G26" s="838"/>
      <c r="H26" s="1680"/>
      <c r="I26" s="838"/>
      <c r="J26" s="838">
        <v>2</v>
      </c>
      <c r="K26" s="838"/>
      <c r="L26" s="838"/>
      <c r="M26" s="838"/>
      <c r="N26" s="838"/>
      <c r="O26" s="838"/>
      <c r="P26" s="838"/>
      <c r="Q26" s="565"/>
    </row>
    <row r="27" spans="1:19" ht="13">
      <c r="A27" s="967"/>
      <c r="B27" s="989"/>
      <c r="C27" s="108"/>
      <c r="D27" s="978"/>
      <c r="E27" s="968"/>
      <c r="F27" s="990"/>
      <c r="G27" s="838"/>
      <c r="H27" s="1680"/>
      <c r="I27" s="838"/>
      <c r="J27" s="838">
        <v>3</v>
      </c>
      <c r="K27" s="838"/>
      <c r="L27" s="838"/>
      <c r="M27" s="838"/>
      <c r="N27" s="838"/>
      <c r="O27" s="838"/>
      <c r="P27" s="838"/>
      <c r="Q27" s="565"/>
    </row>
    <row r="28" spans="1:19" ht="13">
      <c r="A28" s="967"/>
      <c r="B28" s="989"/>
      <c r="C28" s="108"/>
      <c r="D28" s="978"/>
      <c r="E28" s="968"/>
      <c r="F28" s="990"/>
      <c r="G28" s="838"/>
      <c r="H28" s="847"/>
      <c r="I28" s="838"/>
      <c r="J28" s="838">
        <v>4</v>
      </c>
      <c r="K28" s="838"/>
      <c r="L28" s="838"/>
      <c r="M28" s="838"/>
      <c r="N28" s="838"/>
      <c r="O28" s="838"/>
      <c r="P28" s="838"/>
      <c r="Q28" s="565"/>
    </row>
    <row r="29" spans="1:19" ht="13" thickBot="1">
      <c r="A29" s="991"/>
      <c r="B29" s="983"/>
      <c r="C29" s="983"/>
      <c r="D29" s="992"/>
      <c r="E29" s="983"/>
      <c r="F29" s="984"/>
      <c r="G29" s="567"/>
      <c r="H29" s="12"/>
      <c r="I29" s="567"/>
      <c r="J29" s="567">
        <v>5</v>
      </c>
      <c r="K29" s="567"/>
      <c r="L29" s="567"/>
      <c r="M29" s="567"/>
      <c r="N29" s="567"/>
      <c r="O29" s="567"/>
      <c r="P29" s="567"/>
      <c r="Q29" s="569"/>
    </row>
    <row r="30" spans="1:19">
      <c r="A30" s="965"/>
      <c r="B30" s="965"/>
      <c r="C30" s="965"/>
      <c r="D30" s="1028"/>
      <c r="E30" s="965"/>
      <c r="F30" s="965"/>
      <c r="G30" s="838"/>
      <c r="H30" s="845"/>
      <c r="I30" s="838"/>
      <c r="J30" s="838"/>
      <c r="K30" s="838"/>
      <c r="L30" s="838"/>
      <c r="M30" s="838"/>
      <c r="N30" s="838"/>
      <c r="O30" s="838"/>
      <c r="P30" s="838"/>
      <c r="Q30" s="838"/>
    </row>
    <row r="31" spans="1:19">
      <c r="A31" s="965"/>
      <c r="B31" s="965"/>
      <c r="C31" s="965"/>
      <c r="D31" s="1028"/>
      <c r="E31" s="965"/>
      <c r="F31" s="965"/>
      <c r="G31" s="838"/>
      <c r="H31" s="845"/>
      <c r="I31" s="838"/>
      <c r="J31" s="838"/>
      <c r="K31" s="838"/>
      <c r="L31" s="838"/>
      <c r="M31" s="838"/>
      <c r="N31" s="838"/>
      <c r="O31" s="838"/>
      <c r="P31" s="838"/>
      <c r="Q31" s="838"/>
    </row>
    <row r="32" spans="1:19" ht="18.5" thickBot="1">
      <c r="A32" s="1118" t="s">
        <v>66</v>
      </c>
      <c r="G32" s="7"/>
      <c r="H32" s="7"/>
      <c r="I32" s="7"/>
      <c r="J32" s="7"/>
      <c r="K32" s="7"/>
      <c r="L32" s="7"/>
      <c r="M32" s="7"/>
      <c r="N32" s="7"/>
      <c r="O32" s="7"/>
      <c r="P32" s="7"/>
      <c r="Q32" s="7"/>
    </row>
    <row r="33" spans="1:19" ht="61.5" customHeight="1">
      <c r="A33" s="1803" t="s">
        <v>48</v>
      </c>
      <c r="B33" s="1804"/>
      <c r="C33" s="1804"/>
      <c r="D33" s="1804"/>
      <c r="E33" s="1804"/>
      <c r="F33" s="1805"/>
      <c r="G33" s="837" t="s">
        <v>49</v>
      </c>
      <c r="H33" s="837" t="s">
        <v>67</v>
      </c>
      <c r="I33" s="837" t="s">
        <v>68</v>
      </c>
      <c r="J33" s="1806" t="s">
        <v>18</v>
      </c>
      <c r="K33" s="1807"/>
      <c r="L33" s="1807"/>
      <c r="M33" s="1807"/>
      <c r="N33" s="1807"/>
      <c r="O33" s="1807"/>
      <c r="P33" s="1807"/>
      <c r="Q33" s="1811"/>
    </row>
    <row r="34" spans="1:19" ht="13">
      <c r="A34" s="962"/>
      <c r="B34" s="963" t="s">
        <v>52</v>
      </c>
      <c r="C34" s="973"/>
      <c r="D34" s="838"/>
      <c r="E34" s="964"/>
      <c r="F34" s="565"/>
      <c r="G34" s="838"/>
      <c r="H34" s="838"/>
      <c r="I34" s="838"/>
      <c r="J34" s="1799"/>
      <c r="K34" s="1797"/>
      <c r="L34" s="1797"/>
      <c r="M34" s="1797"/>
      <c r="N34" s="1797"/>
      <c r="O34" s="1797"/>
      <c r="P34" s="1797"/>
      <c r="Q34" s="1798"/>
    </row>
    <row r="35" spans="1:19" ht="15.75" customHeight="1">
      <c r="A35" s="967">
        <v>6</v>
      </c>
      <c r="B35" s="838"/>
      <c r="C35" s="108" t="s">
        <v>142</v>
      </c>
      <c r="D35" s="922"/>
      <c r="E35" s="968" t="s">
        <v>296</v>
      </c>
      <c r="F35" s="990" t="s">
        <v>940</v>
      </c>
      <c r="G35" s="1736">
        <f>'9A - Gross Plant &amp; ARO'!$C$23</f>
        <v>5200636381</v>
      </c>
      <c r="H35" s="848"/>
      <c r="I35" s="839"/>
      <c r="J35" s="1797"/>
      <c r="K35" s="1797"/>
      <c r="L35" s="1797"/>
      <c r="M35" s="1797"/>
      <c r="N35" s="1797"/>
      <c r="O35" s="1797"/>
      <c r="P35" s="1797"/>
      <c r="Q35" s="1798"/>
    </row>
    <row r="36" spans="1:19" ht="13">
      <c r="A36" s="962"/>
      <c r="B36" s="963" t="s">
        <v>53</v>
      </c>
      <c r="C36" s="973"/>
      <c r="D36" s="922"/>
      <c r="E36" s="970"/>
      <c r="F36" s="987"/>
      <c r="G36" s="1479"/>
      <c r="H36" s="7"/>
      <c r="I36" s="7"/>
      <c r="J36" s="1797"/>
      <c r="K36" s="1797"/>
      <c r="L36" s="1797"/>
      <c r="M36" s="1797"/>
      <c r="N36" s="1797"/>
      <c r="O36" s="1797"/>
      <c r="P36" s="1797"/>
      <c r="Q36" s="1798"/>
    </row>
    <row r="37" spans="1:19">
      <c r="A37" s="967">
        <v>19</v>
      </c>
      <c r="B37" s="956"/>
      <c r="C37" s="108" t="s">
        <v>275</v>
      </c>
      <c r="D37" s="922"/>
      <c r="E37" s="968" t="s">
        <v>296</v>
      </c>
      <c r="F37" s="987" t="s">
        <v>947</v>
      </c>
      <c r="G37" s="1736">
        <f>'9 - Rate Base'!$C$23</f>
        <v>1901457886</v>
      </c>
      <c r="H37" s="848"/>
      <c r="I37" s="848"/>
      <c r="J37" s="1797" t="s">
        <v>69</v>
      </c>
      <c r="K37" s="1797"/>
      <c r="L37" s="1797"/>
      <c r="M37" s="1797"/>
      <c r="N37" s="1797"/>
      <c r="O37" s="1797"/>
      <c r="P37" s="1797"/>
      <c r="Q37" s="1798"/>
    </row>
    <row r="38" spans="1:19">
      <c r="A38" s="962">
        <v>24</v>
      </c>
      <c r="B38" s="838"/>
      <c r="C38" s="973" t="s">
        <v>278</v>
      </c>
      <c r="D38" s="838"/>
      <c r="E38" s="993" t="s">
        <v>783</v>
      </c>
      <c r="F38" s="994" t="s">
        <v>944</v>
      </c>
      <c r="G38" s="1736">
        <f>'9 - Rate Base'!$E$23</f>
        <v>169867618</v>
      </c>
      <c r="H38" s="848"/>
      <c r="I38" s="848"/>
      <c r="J38" s="1797"/>
      <c r="K38" s="1797"/>
      <c r="L38" s="1797"/>
      <c r="M38" s="1797"/>
      <c r="N38" s="1797"/>
      <c r="O38" s="1797"/>
      <c r="P38" s="1797"/>
      <c r="Q38" s="1798"/>
    </row>
    <row r="39" spans="1:19" ht="13">
      <c r="A39" s="967"/>
      <c r="B39" s="963" t="s">
        <v>70</v>
      </c>
      <c r="C39" s="972"/>
      <c r="D39" s="995"/>
      <c r="E39" s="996"/>
      <c r="F39" s="994"/>
      <c r="G39" s="96"/>
      <c r="H39" s="7"/>
      <c r="I39" s="7"/>
      <c r="J39" s="838"/>
      <c r="K39" s="838"/>
      <c r="L39" s="838"/>
      <c r="M39" s="838"/>
      <c r="N39" s="838"/>
      <c r="O39" s="838"/>
      <c r="P39" s="838"/>
      <c r="Q39" s="565"/>
    </row>
    <row r="40" spans="1:19" ht="13" thickBot="1">
      <c r="A40" s="997">
        <v>30</v>
      </c>
      <c r="B40" s="998"/>
      <c r="C40" s="999" t="s">
        <v>284</v>
      </c>
      <c r="D40" s="925"/>
      <c r="E40" s="1000" t="s">
        <v>296</v>
      </c>
      <c r="F40" s="1001" t="s">
        <v>948</v>
      </c>
      <c r="G40" s="1692">
        <f>'9 - Rate Base'!$F$23</f>
        <v>484485970</v>
      </c>
      <c r="H40" s="849"/>
      <c r="I40" s="849"/>
      <c r="J40" s="1801" t="s">
        <v>69</v>
      </c>
      <c r="K40" s="1801"/>
      <c r="L40" s="1801"/>
      <c r="M40" s="1801"/>
      <c r="N40" s="1801"/>
      <c r="O40" s="1801"/>
      <c r="P40" s="1801"/>
      <c r="Q40" s="1802"/>
    </row>
    <row r="41" spans="1:19">
      <c r="G41" s="7"/>
      <c r="H41" s="7"/>
      <c r="I41" s="7"/>
      <c r="J41" s="7"/>
      <c r="K41" s="7"/>
      <c r="L41" s="7"/>
      <c r="M41" s="7"/>
      <c r="N41" s="7"/>
      <c r="O41" s="7"/>
      <c r="P41" s="7"/>
      <c r="Q41" s="7"/>
    </row>
    <row r="42" spans="1:19">
      <c r="G42" s="7"/>
      <c r="H42" s="7"/>
      <c r="I42" s="7"/>
      <c r="J42" s="7"/>
      <c r="K42" s="7"/>
      <c r="L42" s="7"/>
      <c r="M42" s="7"/>
      <c r="N42" s="7"/>
      <c r="O42" s="7"/>
      <c r="P42" s="7"/>
      <c r="Q42" s="7"/>
    </row>
    <row r="43" spans="1:19" ht="18.5" thickBot="1">
      <c r="A43" s="1118" t="s">
        <v>71</v>
      </c>
      <c r="G43" s="7"/>
      <c r="H43" s="7"/>
      <c r="I43" s="7"/>
      <c r="J43" s="7"/>
      <c r="K43" s="7"/>
      <c r="L43" s="7"/>
      <c r="M43" s="7"/>
      <c r="N43" s="7"/>
      <c r="O43" s="7"/>
      <c r="P43" s="7"/>
      <c r="Q43" s="7"/>
      <c r="S43" s="349"/>
    </row>
    <row r="44" spans="1:19" ht="13">
      <c r="A44" s="1803" t="s">
        <v>48</v>
      </c>
      <c r="B44" s="1804"/>
      <c r="C44" s="1804"/>
      <c r="D44" s="1804"/>
      <c r="E44" s="1804"/>
      <c r="F44" s="1805"/>
      <c r="G44" s="837" t="s">
        <v>49</v>
      </c>
      <c r="H44" s="837" t="s">
        <v>72</v>
      </c>
      <c r="I44" s="837"/>
      <c r="J44" s="1806" t="s">
        <v>18</v>
      </c>
      <c r="K44" s="1807"/>
      <c r="L44" s="1807"/>
      <c r="M44" s="1807"/>
      <c r="N44" s="1807"/>
      <c r="O44" s="1807"/>
      <c r="P44" s="1807"/>
      <c r="Q44" s="1811"/>
    </row>
    <row r="45" spans="1:19" ht="13">
      <c r="A45" s="967"/>
      <c r="B45" s="963" t="s">
        <v>56</v>
      </c>
      <c r="C45" s="978"/>
      <c r="D45" s="978"/>
      <c r="E45" s="1002"/>
      <c r="F45" s="979"/>
      <c r="G45" s="838"/>
      <c r="H45" s="838"/>
      <c r="I45" s="838"/>
      <c r="J45" s="1799"/>
      <c r="K45" s="1797"/>
      <c r="L45" s="1797"/>
      <c r="M45" s="1797"/>
      <c r="N45" s="1797"/>
      <c r="O45" s="1797"/>
      <c r="P45" s="1797"/>
      <c r="Q45" s="1798"/>
    </row>
    <row r="46" spans="1:19">
      <c r="A46" s="997">
        <v>73</v>
      </c>
      <c r="B46" s="1003"/>
      <c r="C46" s="999" t="s">
        <v>337</v>
      </c>
      <c r="D46" s="567"/>
      <c r="E46" s="1000" t="s">
        <v>789</v>
      </c>
      <c r="F46" s="1001" t="s">
        <v>338</v>
      </c>
      <c r="G46" s="1716">
        <v>290727</v>
      </c>
      <c r="H46" s="1716">
        <v>136642</v>
      </c>
      <c r="I46" s="1040"/>
      <c r="J46" s="1801" t="s">
        <v>1985</v>
      </c>
      <c r="K46" s="1801"/>
      <c r="L46" s="1801"/>
      <c r="M46" s="1801"/>
      <c r="N46" s="1801"/>
      <c r="O46" s="1801"/>
      <c r="P46" s="1801"/>
      <c r="Q46" s="1802"/>
    </row>
    <row r="47" spans="1:19">
      <c r="G47" s="7"/>
      <c r="H47" s="7"/>
      <c r="I47" s="7"/>
      <c r="J47" s="7"/>
      <c r="K47" s="7"/>
      <c r="L47" s="7"/>
      <c r="M47" s="7"/>
      <c r="N47" s="7"/>
      <c r="O47" s="7"/>
      <c r="P47" s="7"/>
      <c r="Q47" s="7"/>
    </row>
    <row r="48" spans="1:19">
      <c r="G48" s="7"/>
      <c r="H48" s="7"/>
      <c r="I48" s="7"/>
      <c r="J48" s="7"/>
      <c r="K48" s="7"/>
      <c r="L48" s="7"/>
      <c r="M48" s="7"/>
      <c r="N48" s="7"/>
      <c r="O48" s="7"/>
      <c r="P48" s="7"/>
      <c r="Q48" s="7"/>
    </row>
    <row r="49" spans="1:17" ht="18.5" thickBot="1">
      <c r="A49" s="1118" t="s">
        <v>73</v>
      </c>
      <c r="G49" s="7"/>
      <c r="H49" s="7"/>
      <c r="I49" s="7"/>
      <c r="J49" s="7"/>
      <c r="K49" s="7"/>
      <c r="L49" s="7"/>
      <c r="M49" s="7"/>
      <c r="N49" s="7"/>
      <c r="O49" s="7"/>
      <c r="P49" s="7"/>
      <c r="Q49" s="7"/>
    </row>
    <row r="50" spans="1:17" ht="51" customHeight="1">
      <c r="A50" s="1803" t="s">
        <v>48</v>
      </c>
      <c r="B50" s="1804"/>
      <c r="C50" s="1804"/>
      <c r="D50" s="1804"/>
      <c r="E50" s="1804"/>
      <c r="F50" s="1805"/>
      <c r="G50" s="837" t="s">
        <v>49</v>
      </c>
      <c r="H50" s="837" t="s">
        <v>59</v>
      </c>
      <c r="I50" s="837" t="s">
        <v>60</v>
      </c>
      <c r="J50" s="1806" t="s">
        <v>18</v>
      </c>
      <c r="K50" s="1807"/>
      <c r="L50" s="1807"/>
      <c r="M50" s="1807"/>
      <c r="N50" s="1807"/>
      <c r="O50" s="1807"/>
      <c r="P50" s="1807"/>
      <c r="Q50" s="1811"/>
    </row>
    <row r="51" spans="1:17" ht="13">
      <c r="A51" s="967"/>
      <c r="B51" s="963" t="s">
        <v>56</v>
      </c>
      <c r="C51" s="978"/>
      <c r="D51" s="978"/>
      <c r="E51" s="1002"/>
      <c r="F51" s="979"/>
      <c r="G51" s="838"/>
      <c r="H51" s="838"/>
      <c r="I51" s="838"/>
      <c r="J51" s="838"/>
      <c r="K51" s="838"/>
      <c r="L51" s="838"/>
      <c r="M51" s="838"/>
      <c r="N51" s="838"/>
      <c r="O51" s="838"/>
      <c r="P51" s="838"/>
      <c r="Q51" s="565"/>
    </row>
    <row r="52" spans="1:17">
      <c r="A52" s="967">
        <v>70</v>
      </c>
      <c r="B52" s="985"/>
      <c r="C52" s="108" t="s">
        <v>332</v>
      </c>
      <c r="D52" s="995"/>
      <c r="E52" s="968" t="s">
        <v>788</v>
      </c>
      <c r="F52" s="990" t="s">
        <v>65</v>
      </c>
      <c r="G52" s="1696">
        <v>2095257</v>
      </c>
      <c r="H52" s="1689">
        <f>239997+62050+3358</f>
        <v>305405</v>
      </c>
      <c r="I52" s="1689">
        <f>G52-H52</f>
        <v>1789852</v>
      </c>
      <c r="J52" s="551" t="s">
        <v>2005</v>
      </c>
      <c r="K52" s="1722"/>
      <c r="L52" s="1722"/>
      <c r="M52" s="1722"/>
      <c r="N52" s="1722"/>
      <c r="O52" s="1722"/>
      <c r="P52" s="1722"/>
      <c r="Q52" s="1723"/>
    </row>
    <row r="53" spans="1:17" ht="13">
      <c r="A53" s="967"/>
      <c r="B53" s="963" t="s">
        <v>62</v>
      </c>
      <c r="C53" s="851"/>
      <c r="D53" s="978"/>
      <c r="E53" s="996"/>
      <c r="F53" s="1004"/>
      <c r="G53" s="852"/>
      <c r="H53" s="1693"/>
      <c r="I53" s="1694"/>
      <c r="J53" s="7"/>
      <c r="K53" s="7"/>
      <c r="L53" s="7"/>
      <c r="M53" s="7"/>
      <c r="N53" s="7"/>
      <c r="O53" s="7"/>
      <c r="P53" s="7"/>
      <c r="Q53" s="565"/>
    </row>
    <row r="54" spans="1:17" ht="13.5" customHeight="1" thickBot="1">
      <c r="A54" s="997">
        <v>77</v>
      </c>
      <c r="B54" s="1005"/>
      <c r="C54" s="999" t="s">
        <v>63</v>
      </c>
      <c r="D54" s="1006"/>
      <c r="E54" s="1000" t="s">
        <v>791</v>
      </c>
      <c r="F54" s="1007" t="s">
        <v>65</v>
      </c>
      <c r="G54" s="1697">
        <v>2095257</v>
      </c>
      <c r="H54" s="1695">
        <f>239997+62050+3358</f>
        <v>305405</v>
      </c>
      <c r="I54" s="1695">
        <f>G54-H54</f>
        <v>1789852</v>
      </c>
      <c r="J54" s="1820" t="s">
        <v>2005</v>
      </c>
      <c r="K54" s="1820"/>
      <c r="L54" s="1820"/>
      <c r="M54" s="1820"/>
      <c r="N54" s="1820"/>
      <c r="O54" s="1820"/>
      <c r="P54" s="1820"/>
      <c r="Q54" s="1821"/>
    </row>
    <row r="55" spans="1:17">
      <c r="G55" s="96"/>
      <c r="H55" s="96"/>
      <c r="I55" s="96"/>
      <c r="J55" s="7"/>
      <c r="K55" s="7"/>
      <c r="L55" s="7"/>
      <c r="M55" s="7"/>
      <c r="N55" s="7"/>
      <c r="O55" s="7"/>
      <c r="P55" s="7"/>
      <c r="Q55" s="7"/>
    </row>
    <row r="56" spans="1:17">
      <c r="G56" s="7"/>
      <c r="H56" s="7"/>
      <c r="I56" s="7"/>
      <c r="J56" s="7"/>
      <c r="K56" s="7"/>
      <c r="L56" s="7"/>
      <c r="M56" s="7"/>
      <c r="N56" s="7"/>
      <c r="O56" s="7"/>
      <c r="P56" s="7"/>
      <c r="Q56" s="7"/>
    </row>
    <row r="57" spans="1:17" ht="18.5" thickBot="1">
      <c r="A57" s="1118" t="s">
        <v>74</v>
      </c>
      <c r="G57" s="7"/>
      <c r="H57" s="7"/>
      <c r="I57" s="7"/>
      <c r="J57" s="7"/>
      <c r="K57" s="7"/>
      <c r="L57" s="7"/>
      <c r="M57" s="7"/>
      <c r="N57" s="7"/>
      <c r="O57" s="7"/>
      <c r="P57" s="7"/>
      <c r="Q57" s="7"/>
    </row>
    <row r="58" spans="1:17" ht="42" customHeight="1">
      <c r="A58" s="1803" t="s">
        <v>48</v>
      </c>
      <c r="B58" s="1804"/>
      <c r="C58" s="1804"/>
      <c r="D58" s="1804"/>
      <c r="E58" s="1804"/>
      <c r="F58" s="1805"/>
      <c r="G58" s="837" t="s">
        <v>49</v>
      </c>
      <c r="H58" s="837" t="s">
        <v>75</v>
      </c>
      <c r="I58" s="837" t="s">
        <v>76</v>
      </c>
      <c r="J58" s="1806" t="s">
        <v>18</v>
      </c>
      <c r="K58" s="1807"/>
      <c r="L58" s="1807"/>
      <c r="M58" s="1807"/>
      <c r="N58" s="1807"/>
      <c r="O58" s="1807"/>
      <c r="P58" s="1807"/>
      <c r="Q58" s="1811"/>
    </row>
    <row r="59" spans="1:17" ht="13">
      <c r="A59" s="967"/>
      <c r="B59" s="963" t="s">
        <v>62</v>
      </c>
      <c r="C59" s="845"/>
      <c r="D59" s="978"/>
      <c r="E59" s="988"/>
      <c r="F59" s="923"/>
      <c r="G59" s="838"/>
      <c r="H59" s="838"/>
      <c r="I59" s="838"/>
      <c r="J59" s="838"/>
      <c r="K59" s="838"/>
      <c r="L59" s="838"/>
      <c r="M59" s="838"/>
      <c r="N59" s="838"/>
      <c r="O59" s="838"/>
      <c r="P59" s="838"/>
      <c r="Q59" s="565"/>
    </row>
    <row r="60" spans="1:17" ht="13" thickBot="1">
      <c r="A60" s="1008">
        <v>81</v>
      </c>
      <c r="B60" s="1005"/>
      <c r="C60" s="1009" t="s">
        <v>341</v>
      </c>
      <c r="D60" s="1010"/>
      <c r="E60" s="1011" t="s">
        <v>611</v>
      </c>
      <c r="F60" s="1012" t="s">
        <v>334</v>
      </c>
      <c r="G60" s="1698">
        <v>586529</v>
      </c>
      <c r="H60" s="853"/>
      <c r="I60" s="853"/>
      <c r="J60" s="1818" t="s">
        <v>77</v>
      </c>
      <c r="K60" s="1818"/>
      <c r="L60" s="1818"/>
      <c r="M60" s="1818"/>
      <c r="N60" s="1818"/>
      <c r="O60" s="1818"/>
      <c r="P60" s="1818"/>
      <c r="Q60" s="1819"/>
    </row>
    <row r="61" spans="1:17" ht="13">
      <c r="A61" s="956"/>
      <c r="B61" s="989"/>
      <c r="C61" s="108"/>
      <c r="D61" s="978"/>
      <c r="E61" s="976"/>
      <c r="F61" s="108"/>
      <c r="G61" s="846"/>
      <c r="H61" s="846"/>
      <c r="I61" s="846"/>
      <c r="J61" s="854"/>
      <c r="K61" s="855"/>
      <c r="L61" s="855"/>
      <c r="M61" s="855"/>
      <c r="N61" s="855"/>
      <c r="O61" s="855"/>
      <c r="P61" s="855"/>
      <c r="Q61" s="855"/>
    </row>
    <row r="62" spans="1:17">
      <c r="G62" s="7"/>
      <c r="H62" s="7"/>
      <c r="I62" s="7"/>
      <c r="J62" s="7"/>
      <c r="K62" s="7"/>
      <c r="L62" s="7"/>
      <c r="M62" s="7"/>
      <c r="N62" s="7"/>
      <c r="O62" s="7"/>
      <c r="P62" s="7"/>
      <c r="Q62" s="7"/>
    </row>
    <row r="63" spans="1:17" ht="18.5" thickBot="1">
      <c r="A63" s="1118" t="s">
        <v>1376</v>
      </c>
      <c r="G63" s="7"/>
      <c r="H63" s="7"/>
      <c r="I63" s="7"/>
      <c r="J63" s="7"/>
      <c r="K63" s="7"/>
      <c r="L63" s="7"/>
      <c r="M63" s="7"/>
      <c r="N63" s="7"/>
      <c r="O63" s="7"/>
      <c r="P63" s="7"/>
      <c r="Q63" s="7"/>
    </row>
    <row r="64" spans="1:17" ht="13">
      <c r="A64" s="1803" t="s">
        <v>48</v>
      </c>
      <c r="B64" s="1804"/>
      <c r="C64" s="1804"/>
      <c r="D64" s="1804"/>
      <c r="E64" s="1804"/>
      <c r="F64" s="1805"/>
      <c r="G64" s="837" t="s">
        <v>78</v>
      </c>
      <c r="H64" s="837" t="s">
        <v>79</v>
      </c>
      <c r="I64" s="837" t="s">
        <v>80</v>
      </c>
      <c r="J64" s="837" t="s">
        <v>81</v>
      </c>
      <c r="K64" s="837" t="s">
        <v>82</v>
      </c>
      <c r="L64" s="1806" t="s">
        <v>18</v>
      </c>
      <c r="M64" s="1807"/>
      <c r="N64" s="1807"/>
      <c r="O64" s="1807"/>
      <c r="P64" s="1807"/>
      <c r="Q64" s="1811"/>
    </row>
    <row r="65" spans="1:20" ht="13">
      <c r="A65" s="1013" t="s">
        <v>83</v>
      </c>
      <c r="B65" s="1014" t="s">
        <v>84</v>
      </c>
      <c r="C65" s="922"/>
      <c r="D65" s="922"/>
      <c r="E65" s="988"/>
      <c r="F65" s="1015"/>
      <c r="G65" s="838"/>
      <c r="H65" s="838"/>
      <c r="I65" s="838"/>
      <c r="J65" s="838"/>
      <c r="K65" s="838"/>
      <c r="L65" s="838"/>
      <c r="M65" s="838"/>
      <c r="N65" s="838"/>
      <c r="O65" s="838"/>
      <c r="P65" s="838"/>
      <c r="Q65" s="565"/>
    </row>
    <row r="66" spans="1:20" ht="13">
      <c r="A66" s="1013"/>
      <c r="B66" s="1014"/>
      <c r="C66" s="922"/>
      <c r="D66" s="922"/>
      <c r="E66" s="988"/>
      <c r="F66" s="1016"/>
      <c r="G66" s="856" t="s">
        <v>1386</v>
      </c>
      <c r="H66" s="852" t="s">
        <v>1387</v>
      </c>
      <c r="I66" s="846"/>
      <c r="J66" s="846"/>
      <c r="K66" s="846"/>
      <c r="L66" s="1799" t="s">
        <v>85</v>
      </c>
      <c r="M66" s="1814"/>
      <c r="N66" s="1814"/>
      <c r="O66" s="1814"/>
      <c r="P66" s="1814"/>
      <c r="Q66" s="1815"/>
    </row>
    <row r="67" spans="1:20" ht="16.5" customHeight="1" thickBot="1">
      <c r="A67" s="1008">
        <v>129</v>
      </c>
      <c r="B67" s="998"/>
      <c r="C67" s="1009" t="s">
        <v>177</v>
      </c>
      <c r="D67" s="1017"/>
      <c r="E67" s="1011" t="s">
        <v>809</v>
      </c>
      <c r="F67" s="1519">
        <v>8.5000000000000006E-2</v>
      </c>
      <c r="G67" s="857">
        <v>8.2500000000000004E-2</v>
      </c>
      <c r="H67" s="858">
        <v>8.6999999999999994E-2</v>
      </c>
      <c r="I67" s="849"/>
      <c r="J67" s="849"/>
      <c r="K67" s="849"/>
      <c r="L67" s="1816" t="s">
        <v>1827</v>
      </c>
      <c r="M67" s="1816"/>
      <c r="N67" s="1816"/>
      <c r="O67" s="1816"/>
      <c r="P67" s="1816"/>
      <c r="Q67" s="1817"/>
      <c r="S67" s="697"/>
      <c r="T67" s="851"/>
    </row>
    <row r="68" spans="1:20">
      <c r="G68" s="7"/>
      <c r="H68" s="7"/>
      <c r="I68" s="7"/>
      <c r="J68" s="7"/>
      <c r="K68" s="7"/>
      <c r="L68" s="7"/>
      <c r="M68" s="7"/>
      <c r="N68" s="7"/>
      <c r="O68" s="7"/>
      <c r="P68" s="7"/>
      <c r="Q68" s="7"/>
    </row>
    <row r="69" spans="1:20">
      <c r="G69" s="7"/>
      <c r="H69" s="7"/>
      <c r="I69" s="7"/>
      <c r="J69" s="7"/>
      <c r="K69" s="7"/>
      <c r="L69" s="7"/>
      <c r="M69" s="7"/>
      <c r="N69" s="7"/>
      <c r="O69" s="7"/>
      <c r="P69" s="7"/>
      <c r="Q69" s="7"/>
    </row>
    <row r="70" spans="1:20" ht="18.5" thickBot="1">
      <c r="A70" s="1118" t="s">
        <v>86</v>
      </c>
      <c r="G70" s="7"/>
      <c r="H70" s="7"/>
      <c r="I70" s="7"/>
      <c r="J70" s="7"/>
      <c r="K70" s="7"/>
      <c r="L70" s="7"/>
      <c r="M70" s="7"/>
      <c r="N70" s="7"/>
      <c r="O70" s="7"/>
      <c r="P70" s="7"/>
      <c r="Q70" s="7"/>
    </row>
    <row r="71" spans="1:20" ht="26">
      <c r="A71" s="1803" t="s">
        <v>48</v>
      </c>
      <c r="B71" s="1804"/>
      <c r="C71" s="1804"/>
      <c r="D71" s="1804"/>
      <c r="E71" s="1804"/>
      <c r="F71" s="1805"/>
      <c r="G71" s="837" t="s">
        <v>49</v>
      </c>
      <c r="H71" s="837" t="s">
        <v>87</v>
      </c>
      <c r="I71" s="837" t="s">
        <v>88</v>
      </c>
      <c r="J71" s="1806" t="s">
        <v>18</v>
      </c>
      <c r="K71" s="1807"/>
      <c r="L71" s="1807"/>
      <c r="M71" s="1807"/>
      <c r="N71" s="1807"/>
      <c r="O71" s="1807"/>
      <c r="P71" s="1807"/>
      <c r="Q71" s="1811"/>
    </row>
    <row r="72" spans="1:20" ht="13">
      <c r="A72" s="967"/>
      <c r="B72" s="963" t="s">
        <v>62</v>
      </c>
      <c r="C72" s="845"/>
      <c r="D72" s="978"/>
      <c r="E72" s="988"/>
      <c r="F72" s="923"/>
      <c r="G72" s="845"/>
      <c r="H72" s="845"/>
      <c r="I72" s="845"/>
      <c r="J72" s="838"/>
      <c r="K72" s="838"/>
      <c r="L72" s="838"/>
      <c r="M72" s="838"/>
      <c r="N72" s="838"/>
      <c r="O72" s="838"/>
      <c r="P72" s="838"/>
      <c r="Q72" s="565"/>
    </row>
    <row r="73" spans="1:20" ht="13" thickBot="1">
      <c r="A73" s="1008">
        <v>78</v>
      </c>
      <c r="B73" s="1005"/>
      <c r="C73" s="1009" t="s">
        <v>341</v>
      </c>
      <c r="D73" s="1018"/>
      <c r="E73" s="1011" t="s">
        <v>609</v>
      </c>
      <c r="F73" s="1012" t="s">
        <v>334</v>
      </c>
      <c r="G73" s="1699">
        <f>+G60</f>
        <v>586529</v>
      </c>
      <c r="H73" s="1040">
        <v>0</v>
      </c>
      <c r="I73" s="1700">
        <f>G73-H73</f>
        <v>586529</v>
      </c>
      <c r="J73" s="1800" t="s">
        <v>77</v>
      </c>
      <c r="K73" s="1801"/>
      <c r="L73" s="1801"/>
      <c r="M73" s="1801"/>
      <c r="N73" s="1801"/>
      <c r="O73" s="1801"/>
      <c r="P73" s="1801"/>
      <c r="Q73" s="1802"/>
    </row>
    <row r="74" spans="1:20">
      <c r="G74" s="7"/>
      <c r="H74" s="7"/>
      <c r="I74" s="7"/>
      <c r="J74" s="7"/>
      <c r="K74" s="7"/>
      <c r="L74" s="7"/>
      <c r="M74" s="7"/>
      <c r="N74" s="7"/>
      <c r="O74" s="7"/>
      <c r="P74" s="7"/>
      <c r="Q74" s="7"/>
    </row>
    <row r="75" spans="1:20">
      <c r="G75" s="7"/>
      <c r="H75" s="7"/>
      <c r="I75" s="7"/>
      <c r="J75" s="7"/>
      <c r="K75" s="7"/>
      <c r="L75" s="7"/>
      <c r="M75" s="7"/>
      <c r="N75" s="7"/>
      <c r="O75" s="7"/>
      <c r="P75" s="7"/>
      <c r="Q75" s="7"/>
    </row>
    <row r="76" spans="1:20" ht="18.5" thickBot="1">
      <c r="A76" s="1118" t="s">
        <v>89</v>
      </c>
      <c r="G76" s="7"/>
      <c r="H76" s="7"/>
      <c r="I76" s="7"/>
      <c r="J76" s="7"/>
      <c r="K76" s="7"/>
      <c r="L76" s="7"/>
      <c r="M76" s="7"/>
      <c r="N76" s="7"/>
      <c r="O76" s="7"/>
      <c r="P76" s="7"/>
      <c r="Q76" s="7"/>
    </row>
    <row r="77" spans="1:20" ht="39">
      <c r="A77" s="1803" t="s">
        <v>48</v>
      </c>
      <c r="B77" s="1804"/>
      <c r="C77" s="1804"/>
      <c r="D77" s="1804"/>
      <c r="E77" s="1804"/>
      <c r="F77" s="1804"/>
      <c r="G77" s="859" t="s">
        <v>407</v>
      </c>
      <c r="H77" s="1806" t="s">
        <v>90</v>
      </c>
      <c r="I77" s="1830"/>
      <c r="J77" s="1830"/>
      <c r="K77" s="1830"/>
      <c r="L77" s="1830"/>
      <c r="M77" s="1830"/>
      <c r="N77" s="1830"/>
      <c r="O77" s="1830"/>
      <c r="P77" s="1830"/>
      <c r="Q77" s="1831"/>
      <c r="R77" s="10"/>
    </row>
    <row r="78" spans="1:20" ht="13">
      <c r="A78" s="1019"/>
      <c r="B78" s="860" t="s">
        <v>91</v>
      </c>
      <c r="C78" s="963"/>
      <c r="D78" s="1020"/>
      <c r="E78" s="1021"/>
      <c r="F78" s="1022"/>
      <c r="G78" s="563"/>
      <c r="H78" s="838"/>
      <c r="I78" s="838"/>
      <c r="J78" s="838"/>
      <c r="K78" s="838"/>
      <c r="L78" s="838"/>
      <c r="M78" s="838"/>
      <c r="N78" s="838"/>
      <c r="O78" s="838"/>
      <c r="P78" s="838"/>
      <c r="Q78" s="565"/>
    </row>
    <row r="79" spans="1:20" ht="13">
      <c r="A79" s="967">
        <v>149</v>
      </c>
      <c r="B79" s="985"/>
      <c r="C79" s="108" t="s">
        <v>407</v>
      </c>
      <c r="D79" s="1020"/>
      <c r="E79" s="968" t="s">
        <v>810</v>
      </c>
      <c r="F79" s="1023" t="s">
        <v>299</v>
      </c>
      <c r="G79" s="861">
        <v>0</v>
      </c>
      <c r="H79" s="1799" t="s">
        <v>92</v>
      </c>
      <c r="I79" s="1797"/>
      <c r="J79" s="1797"/>
      <c r="K79" s="1797"/>
      <c r="L79" s="1797"/>
      <c r="M79" s="1797"/>
      <c r="N79" s="1797"/>
      <c r="O79" s="1797"/>
      <c r="P79" s="1797"/>
      <c r="Q79" s="1798"/>
    </row>
    <row r="80" spans="1:20" ht="13">
      <c r="A80" s="967"/>
      <c r="B80" s="985"/>
      <c r="C80" s="1024"/>
      <c r="D80" s="1020"/>
      <c r="E80" s="970"/>
      <c r="F80" s="995"/>
      <c r="G80" s="563"/>
      <c r="H80" s="838"/>
      <c r="I80" s="838"/>
      <c r="J80" s="838"/>
      <c r="K80" s="838"/>
      <c r="L80" s="838"/>
      <c r="M80" s="838"/>
      <c r="N80" s="838"/>
      <c r="O80" s="846"/>
      <c r="P80" s="838"/>
      <c r="Q80" s="565"/>
    </row>
    <row r="81" spans="1:41" ht="13">
      <c r="A81" s="967"/>
      <c r="B81" s="985"/>
      <c r="C81" s="1024" t="s">
        <v>93</v>
      </c>
      <c r="D81" s="1020"/>
      <c r="E81" s="970"/>
      <c r="F81" s="995"/>
      <c r="G81" s="856" t="s">
        <v>94</v>
      </c>
      <c r="H81" s="1799" t="s">
        <v>77</v>
      </c>
      <c r="I81" s="1797"/>
      <c r="J81" s="1797"/>
      <c r="K81" s="1797"/>
      <c r="L81" s="1797"/>
      <c r="M81" s="1797"/>
      <c r="N81" s="1797"/>
      <c r="O81" s="1797"/>
      <c r="P81" s="1797"/>
      <c r="Q81" s="1798"/>
    </row>
    <row r="82" spans="1:41" ht="13">
      <c r="A82" s="967"/>
      <c r="B82" s="985">
        <v>1</v>
      </c>
      <c r="C82" s="1024" t="s">
        <v>95</v>
      </c>
      <c r="D82" s="1020"/>
      <c r="E82" s="970"/>
      <c r="F82" s="995"/>
      <c r="G82" s="862"/>
      <c r="H82" s="1799"/>
      <c r="I82" s="1797"/>
      <c r="J82" s="1797"/>
      <c r="K82" s="1797"/>
      <c r="L82" s="1797"/>
      <c r="M82" s="1797"/>
      <c r="N82" s="1797"/>
      <c r="O82" s="1797"/>
      <c r="P82" s="1797"/>
      <c r="Q82" s="1798"/>
    </row>
    <row r="83" spans="1:41" ht="13">
      <c r="A83" s="967"/>
      <c r="B83" s="985"/>
      <c r="C83" s="1024" t="s">
        <v>96</v>
      </c>
      <c r="D83" s="1020"/>
      <c r="E83" s="970"/>
      <c r="F83" s="995"/>
      <c r="G83" s="862"/>
      <c r="H83" s="854"/>
      <c r="I83" s="855"/>
      <c r="J83" s="855"/>
      <c r="K83" s="855"/>
      <c r="L83" s="855"/>
      <c r="M83" s="855"/>
      <c r="N83" s="855"/>
      <c r="O83" s="855"/>
      <c r="P83" s="855"/>
      <c r="Q83" s="863"/>
    </row>
    <row r="84" spans="1:41" ht="13">
      <c r="A84" s="967"/>
      <c r="B84" s="985">
        <v>2</v>
      </c>
      <c r="C84" s="1024" t="s">
        <v>97</v>
      </c>
      <c r="D84" s="1020"/>
      <c r="E84" s="970"/>
      <c r="F84" s="995"/>
      <c r="G84" s="856" t="s">
        <v>98</v>
      </c>
      <c r="H84" s="1799"/>
      <c r="I84" s="1797"/>
      <c r="J84" s="1797"/>
      <c r="K84" s="1797"/>
      <c r="L84" s="1797"/>
      <c r="M84" s="1797"/>
      <c r="N84" s="1797"/>
      <c r="O84" s="1797"/>
      <c r="P84" s="1797"/>
      <c r="Q84" s="1798"/>
    </row>
    <row r="85" spans="1:41" ht="13">
      <c r="A85" s="967"/>
      <c r="B85" s="985"/>
      <c r="C85" s="1024" t="s">
        <v>99</v>
      </c>
      <c r="D85" s="847" t="s">
        <v>100</v>
      </c>
      <c r="E85" s="970"/>
      <c r="F85" s="995"/>
      <c r="G85" s="856" t="s">
        <v>94</v>
      </c>
      <c r="H85" s="1799"/>
      <c r="I85" s="1797"/>
      <c r="J85" s="1797"/>
      <c r="K85" s="1797"/>
      <c r="L85" s="1797"/>
      <c r="M85" s="1797"/>
      <c r="N85" s="1797"/>
      <c r="O85" s="1797"/>
      <c r="P85" s="1797"/>
      <c r="Q85" s="1798"/>
    </row>
    <row r="86" spans="1:41" ht="13">
      <c r="A86" s="1025"/>
      <c r="B86" s="1026" t="s">
        <v>9</v>
      </c>
      <c r="C86" s="1024" t="s">
        <v>101</v>
      </c>
      <c r="D86" s="1027">
        <v>1000000</v>
      </c>
      <c r="E86" s="1028"/>
      <c r="F86" s="1028"/>
      <c r="G86" s="862"/>
      <c r="H86" s="1799"/>
      <c r="I86" s="1797"/>
      <c r="J86" s="1797"/>
      <c r="K86" s="1797"/>
      <c r="L86" s="1797"/>
      <c r="M86" s="1797"/>
      <c r="N86" s="1797"/>
      <c r="O86" s="1797"/>
      <c r="P86" s="1797"/>
      <c r="Q86" s="1798"/>
    </row>
    <row r="87" spans="1:41" ht="13">
      <c r="A87" s="1025"/>
      <c r="B87" s="1026" t="s">
        <v>10</v>
      </c>
      <c r="C87" s="1024" t="s">
        <v>102</v>
      </c>
      <c r="D87" s="1027">
        <v>500000</v>
      </c>
      <c r="E87" s="1028"/>
      <c r="F87" s="1028"/>
      <c r="G87" s="862"/>
      <c r="H87" s="1799"/>
      <c r="I87" s="1797"/>
      <c r="J87" s="1797"/>
      <c r="K87" s="1797"/>
      <c r="L87" s="1797"/>
      <c r="M87" s="1797"/>
      <c r="N87" s="1797"/>
      <c r="O87" s="1797"/>
      <c r="P87" s="1797"/>
      <c r="Q87" s="1798"/>
    </row>
    <row r="88" spans="1:41" ht="13">
      <c r="A88" s="1025"/>
      <c r="B88" s="1026" t="s">
        <v>11</v>
      </c>
      <c r="C88" s="1024" t="s">
        <v>103</v>
      </c>
      <c r="D88" s="1027">
        <v>400000</v>
      </c>
      <c r="E88" s="1028"/>
      <c r="F88" s="1028"/>
      <c r="G88" s="862"/>
      <c r="H88" s="1799"/>
      <c r="I88" s="1797"/>
      <c r="J88" s="1797"/>
      <c r="K88" s="1797"/>
      <c r="L88" s="1797"/>
      <c r="M88" s="1797"/>
      <c r="N88" s="1797"/>
      <c r="O88" s="1797"/>
      <c r="P88" s="1797"/>
      <c r="Q88" s="1798"/>
    </row>
    <row r="89" spans="1:41" ht="13">
      <c r="A89" s="1025"/>
      <c r="B89" s="1026" t="s">
        <v>14</v>
      </c>
      <c r="C89" s="1024" t="s">
        <v>104</v>
      </c>
      <c r="D89" s="1027">
        <v>444444.44444444444</v>
      </c>
      <c r="E89" s="1028"/>
      <c r="F89" s="1028"/>
      <c r="G89" s="862"/>
      <c r="H89" s="1799"/>
      <c r="I89" s="1797"/>
      <c r="J89" s="1797"/>
      <c r="K89" s="1797"/>
      <c r="L89" s="1797"/>
      <c r="M89" s="1797"/>
      <c r="N89" s="1797"/>
      <c r="O89" s="1797"/>
      <c r="P89" s="1797"/>
      <c r="Q89" s="1798"/>
    </row>
    <row r="90" spans="1:41" ht="13">
      <c r="A90" s="1025"/>
      <c r="B90" s="1026"/>
      <c r="C90" s="1024"/>
      <c r="D90" s="1027"/>
      <c r="E90" s="1028"/>
      <c r="F90" s="1028"/>
      <c r="G90" s="864"/>
      <c r="H90" s="854"/>
      <c r="I90" s="855"/>
      <c r="J90" s="855"/>
      <c r="K90" s="1" t="s">
        <v>105</v>
      </c>
      <c r="L90" s="855"/>
      <c r="M90" s="855"/>
      <c r="N90" s="855"/>
      <c r="O90" s="855"/>
      <c r="P90" s="855"/>
      <c r="Q90" s="863"/>
    </row>
    <row r="91" spans="1:41" ht="13">
      <c r="A91" s="1025"/>
      <c r="B91" s="1026"/>
      <c r="C91" s="1024"/>
      <c r="D91" s="1027"/>
      <c r="E91" s="1028"/>
      <c r="F91" s="349" t="s">
        <v>42</v>
      </c>
      <c r="G91" s="864">
        <f>G79+G83+G89</f>
        <v>0</v>
      </c>
      <c r="H91" s="854"/>
      <c r="I91" s="855"/>
      <c r="J91" s="855"/>
      <c r="K91" s="855"/>
      <c r="L91" s="855"/>
      <c r="M91" s="855"/>
      <c r="N91" s="855"/>
      <c r="O91" s="855"/>
      <c r="P91" s="855"/>
      <c r="Q91" s="863"/>
    </row>
    <row r="92" spans="1:41" ht="13.5" thickBot="1">
      <c r="A92" s="991"/>
      <c r="B92" s="983"/>
      <c r="C92" s="983"/>
      <c r="D92" s="983"/>
      <c r="E92" s="983"/>
      <c r="F92" s="983"/>
      <c r="G92" s="566"/>
      <c r="H92" s="567"/>
      <c r="I92" s="567"/>
      <c r="J92" s="567"/>
      <c r="K92" s="865"/>
      <c r="L92" s="567"/>
      <c r="M92" s="567"/>
      <c r="N92" s="567"/>
      <c r="O92" s="567"/>
      <c r="P92" s="567"/>
      <c r="Q92" s="569"/>
    </row>
    <row r="93" spans="1:41" ht="13">
      <c r="A93" s="965"/>
      <c r="B93" s="965"/>
      <c r="C93" s="965"/>
      <c r="D93" s="965"/>
      <c r="E93" s="965"/>
      <c r="F93" s="965"/>
      <c r="G93" s="838"/>
      <c r="H93" s="838"/>
      <c r="I93" s="838"/>
      <c r="J93" s="838"/>
      <c r="K93" s="866"/>
      <c r="L93" s="838"/>
      <c r="M93" s="838"/>
      <c r="N93" s="838"/>
      <c r="O93" s="838"/>
      <c r="P93" s="838"/>
      <c r="Q93" s="838"/>
    </row>
    <row r="94" spans="1:41" ht="13">
      <c r="A94" s="965"/>
      <c r="B94" s="965"/>
      <c r="C94" s="965"/>
      <c r="D94" s="965"/>
      <c r="E94" s="965"/>
      <c r="F94" s="965"/>
      <c r="G94" s="838"/>
      <c r="H94" s="838"/>
      <c r="I94" s="838"/>
      <c r="J94" s="838"/>
      <c r="K94" s="866"/>
      <c r="L94" s="838"/>
      <c r="M94" s="838"/>
      <c r="N94" s="838"/>
      <c r="O94" s="838"/>
      <c r="P94" s="838"/>
      <c r="Q94" s="838"/>
    </row>
    <row r="95" spans="1:41" s="688" customFormat="1" ht="18.5" thickBot="1">
      <c r="A95" s="1119" t="s">
        <v>108</v>
      </c>
      <c r="G95" s="96"/>
      <c r="H95" s="96"/>
      <c r="I95" s="96"/>
      <c r="J95" s="96"/>
      <c r="K95" s="96"/>
      <c r="L95" s="96"/>
      <c r="M95" s="96"/>
      <c r="N95" s="96"/>
      <c r="O95" s="96"/>
      <c r="P95" s="96"/>
      <c r="Q95" s="96"/>
    </row>
    <row r="96" spans="1:41" s="688" customFormat="1" ht="18" customHeight="1">
      <c r="A96" s="1824" t="s">
        <v>48</v>
      </c>
      <c r="B96" s="1825"/>
      <c r="C96" s="1825"/>
      <c r="D96" s="1825"/>
      <c r="E96" s="1825"/>
      <c r="F96" s="1826"/>
      <c r="G96" s="1498"/>
      <c r="H96" s="867"/>
      <c r="I96" s="868"/>
      <c r="J96" s="868"/>
      <c r="K96" s="868"/>
      <c r="L96" s="868"/>
      <c r="M96" s="868"/>
      <c r="N96" s="868"/>
      <c r="O96" s="868"/>
      <c r="P96" s="868"/>
      <c r="Q96" s="868"/>
      <c r="R96" s="1029"/>
      <c r="S96" s="1029"/>
      <c r="T96" s="1029"/>
      <c r="U96" s="1029"/>
      <c r="V96" s="1029"/>
      <c r="W96" s="869" t="s">
        <v>109</v>
      </c>
      <c r="X96" s="1029"/>
      <c r="Y96" s="1029"/>
      <c r="Z96" s="1029"/>
      <c r="AA96" s="1029"/>
      <c r="AB96" s="1029"/>
      <c r="AC96" s="1029"/>
      <c r="AD96" s="1029"/>
      <c r="AE96" s="1029"/>
      <c r="AF96" s="1029"/>
      <c r="AG96" s="1029"/>
      <c r="AH96" s="1029"/>
      <c r="AI96" s="1029"/>
      <c r="AJ96" s="1029"/>
      <c r="AK96" s="1029"/>
      <c r="AL96" s="1029"/>
      <c r="AM96" s="1029"/>
      <c r="AN96" s="1029"/>
      <c r="AO96" s="1030"/>
    </row>
    <row r="97" spans="1:41" s="688" customFormat="1" ht="13">
      <c r="A97" s="1031">
        <v>45</v>
      </c>
      <c r="B97" s="1075" t="s">
        <v>108</v>
      </c>
      <c r="C97" s="1502"/>
      <c r="D97" s="1075"/>
      <c r="E97" s="970"/>
      <c r="F97" s="1033"/>
      <c r="G97" s="845"/>
      <c r="H97" s="871"/>
      <c r="I97" s="96"/>
      <c r="J97" s="96"/>
      <c r="K97" s="96"/>
      <c r="L97" s="96"/>
      <c r="M97" s="96"/>
      <c r="N97" s="96"/>
      <c r="O97" s="96"/>
      <c r="P97" s="96"/>
      <c r="Q97" s="96"/>
      <c r="U97" s="1028"/>
      <c r="V97" s="1028"/>
      <c r="W97" s="1025"/>
      <c r="AO97" s="1034"/>
    </row>
    <row r="98" spans="1:41" s="688" customFormat="1" ht="52">
      <c r="A98" s="971"/>
      <c r="B98" s="1495"/>
      <c r="C98" s="1028"/>
      <c r="D98" s="1075"/>
      <c r="E98" s="1028"/>
      <c r="F98" s="1035"/>
      <c r="G98" s="1499" t="s">
        <v>492</v>
      </c>
      <c r="H98" s="872" t="s">
        <v>493</v>
      </c>
      <c r="I98" s="872" t="s">
        <v>494</v>
      </c>
      <c r="J98" s="872" t="s">
        <v>495</v>
      </c>
      <c r="K98" s="872" t="s">
        <v>161</v>
      </c>
      <c r="L98" s="872" t="s">
        <v>162</v>
      </c>
      <c r="M98" s="872" t="s">
        <v>163</v>
      </c>
      <c r="N98" s="872" t="s">
        <v>496</v>
      </c>
      <c r="O98" s="872" t="s">
        <v>497</v>
      </c>
      <c r="P98" s="872" t="s">
        <v>498</v>
      </c>
      <c r="Q98" s="872" t="s">
        <v>499</v>
      </c>
      <c r="R98" s="872" t="s">
        <v>500</v>
      </c>
      <c r="S98" s="873" t="s">
        <v>1008</v>
      </c>
      <c r="T98" s="873" t="s">
        <v>1431</v>
      </c>
      <c r="U98" s="874" t="s">
        <v>1432</v>
      </c>
      <c r="V98" s="873" t="s">
        <v>1433</v>
      </c>
      <c r="W98" s="1025"/>
      <c r="AO98" s="1034"/>
    </row>
    <row r="99" spans="1:41" s="688" customFormat="1">
      <c r="A99" s="971"/>
      <c r="B99" s="1495"/>
      <c r="C99" s="1503" t="s">
        <v>1488</v>
      </c>
      <c r="D99" s="1028"/>
      <c r="E99" s="1028"/>
      <c r="F99" s="1034"/>
      <c r="G99" s="1500"/>
      <c r="H99" s="483"/>
      <c r="I99" s="483"/>
      <c r="J99" s="483"/>
      <c r="K99" s="483"/>
      <c r="L99" s="483"/>
      <c r="M99" s="483"/>
      <c r="N99" s="483"/>
      <c r="O99" s="483"/>
      <c r="P99" s="483"/>
      <c r="Q99" s="483"/>
      <c r="R99" s="483"/>
      <c r="S99" s="483"/>
      <c r="T99" s="1730">
        <f>+'ATT H-3D'!H24</f>
        <v>0.14625503638690887</v>
      </c>
      <c r="U99" s="589">
        <v>0.85629999999999995</v>
      </c>
      <c r="V99" s="589">
        <f>T99*U99</f>
        <v>0.12523818765811007</v>
      </c>
      <c r="W99" s="875" t="s">
        <v>1379</v>
      </c>
      <c r="AO99" s="1034"/>
    </row>
    <row r="100" spans="1:41" s="688" customFormat="1">
      <c r="A100" s="971"/>
      <c r="B100" s="1495"/>
      <c r="C100" s="1503" t="s">
        <v>1945</v>
      </c>
      <c r="D100" s="1028"/>
      <c r="E100" s="1028"/>
      <c r="F100" s="1037"/>
      <c r="G100" s="1500">
        <v>95427.73</v>
      </c>
      <c r="H100" s="483">
        <v>432523.87</v>
      </c>
      <c r="I100" s="483">
        <v>390770.4</v>
      </c>
      <c r="J100" s="483">
        <v>633268.23</v>
      </c>
      <c r="K100" s="483">
        <v>365225.12</v>
      </c>
      <c r="L100" s="483">
        <v>367477.77</v>
      </c>
      <c r="M100" s="483">
        <v>255576.17</v>
      </c>
      <c r="N100" s="483">
        <v>231122.92</v>
      </c>
      <c r="O100" s="483">
        <v>178349</v>
      </c>
      <c r="P100" s="483">
        <v>281206.24</v>
      </c>
      <c r="Q100" s="483">
        <v>228860.55</v>
      </c>
      <c r="R100" s="483">
        <v>168847.62</v>
      </c>
      <c r="S100" s="483">
        <v>148049.49</v>
      </c>
      <c r="T100" s="1730">
        <f>T99</f>
        <v>0.14625503638690887</v>
      </c>
      <c r="U100" s="589">
        <f>U99</f>
        <v>0.85629999999999995</v>
      </c>
      <c r="V100" s="589">
        <f t="shared" ref="V100:V104" si="0">T100*U100</f>
        <v>0.12523818765811007</v>
      </c>
      <c r="W100" s="875"/>
      <c r="AO100" s="1034"/>
    </row>
    <row r="101" spans="1:41" s="688" customFormat="1">
      <c r="A101" s="971"/>
      <c r="B101" s="1644"/>
      <c r="C101" s="1503" t="s">
        <v>1946</v>
      </c>
      <c r="D101" s="1028"/>
      <c r="E101" s="1028"/>
      <c r="F101" s="1037"/>
      <c r="G101" s="1500">
        <v>830381.72000000009</v>
      </c>
      <c r="H101" s="483">
        <v>847944.88000000012</v>
      </c>
      <c r="I101" s="483">
        <v>772029.64000000013</v>
      </c>
      <c r="J101" s="483">
        <v>714464.49000000011</v>
      </c>
      <c r="K101" s="483">
        <v>638011.57000000007</v>
      </c>
      <c r="L101" s="483">
        <v>570944.25</v>
      </c>
      <c r="M101" s="483">
        <v>527225.07999999996</v>
      </c>
      <c r="N101" s="483">
        <v>451958.11</v>
      </c>
      <c r="O101" s="483">
        <v>481726.25</v>
      </c>
      <c r="P101" s="483">
        <v>645209.47</v>
      </c>
      <c r="Q101" s="483">
        <v>797019.72</v>
      </c>
      <c r="R101" s="483">
        <v>723559.86</v>
      </c>
      <c r="S101" s="483">
        <v>806062.76</v>
      </c>
      <c r="T101" s="1730">
        <f t="shared" ref="T101:T104" si="1">T100</f>
        <v>0.14625503638690887</v>
      </c>
      <c r="U101" s="589">
        <f t="shared" ref="U101:U104" si="2">U100</f>
        <v>0.85629999999999995</v>
      </c>
      <c r="V101" s="589">
        <f t="shared" si="0"/>
        <v>0.12523818765811007</v>
      </c>
      <c r="W101" s="875"/>
      <c r="AO101" s="1034"/>
    </row>
    <row r="102" spans="1:41" s="688" customFormat="1">
      <c r="A102" s="971"/>
      <c r="B102" s="1644"/>
      <c r="C102" s="1503" t="s">
        <v>1947</v>
      </c>
      <c r="D102" s="1028"/>
      <c r="E102" s="1028"/>
      <c r="F102" s="1037"/>
      <c r="G102" s="1500">
        <v>0</v>
      </c>
      <c r="H102" s="483">
        <v>0</v>
      </c>
      <c r="I102" s="483">
        <v>0</v>
      </c>
      <c r="J102" s="483">
        <v>0</v>
      </c>
      <c r="K102" s="483">
        <v>0</v>
      </c>
      <c r="L102" s="483">
        <v>0</v>
      </c>
      <c r="M102" s="483">
        <v>0</v>
      </c>
      <c r="N102" s="483">
        <v>0</v>
      </c>
      <c r="O102" s="483">
        <v>0</v>
      </c>
      <c r="P102" s="483">
        <v>0</v>
      </c>
      <c r="Q102" s="483">
        <v>0</v>
      </c>
      <c r="R102" s="483">
        <v>0</v>
      </c>
      <c r="S102" s="483">
        <v>0</v>
      </c>
      <c r="T102" s="1730">
        <f t="shared" si="1"/>
        <v>0.14625503638690887</v>
      </c>
      <c r="U102" s="589">
        <f t="shared" si="2"/>
        <v>0.85629999999999995</v>
      </c>
      <c r="V102" s="589">
        <f t="shared" si="0"/>
        <v>0.12523818765811007</v>
      </c>
      <c r="W102" s="875"/>
      <c r="AO102" s="1034"/>
    </row>
    <row r="103" spans="1:41" s="688" customFormat="1">
      <c r="A103" s="971"/>
      <c r="B103" s="1644"/>
      <c r="C103" s="1503" t="s">
        <v>1948</v>
      </c>
      <c r="D103" s="1028"/>
      <c r="E103" s="1028"/>
      <c r="F103" s="1037"/>
      <c r="G103" s="1500">
        <v>-0.08</v>
      </c>
      <c r="H103" s="483">
        <v>154437.25000000003</v>
      </c>
      <c r="I103" s="483">
        <v>77218.580000000031</v>
      </c>
      <c r="J103" s="483">
        <v>-8.999999996740371E-2</v>
      </c>
      <c r="K103" s="483">
        <v>154437.24000000005</v>
      </c>
      <c r="L103" s="483">
        <v>77218.570000000051</v>
      </c>
      <c r="M103" s="483">
        <v>-9.9999999947613105E-2</v>
      </c>
      <c r="N103" s="483">
        <v>209235.73000000007</v>
      </c>
      <c r="O103" s="483">
        <v>104617.81000000007</v>
      </c>
      <c r="P103" s="483">
        <v>-0.1099999999278225</v>
      </c>
      <c r="Q103" s="483">
        <v>209234.56000000008</v>
      </c>
      <c r="R103" s="483">
        <v>104617.23000000008</v>
      </c>
      <c r="S103" s="483">
        <v>-9.9999999918509275E-2</v>
      </c>
      <c r="T103" s="1730">
        <f t="shared" si="1"/>
        <v>0.14625503638690887</v>
      </c>
      <c r="U103" s="589">
        <f t="shared" si="2"/>
        <v>0.85629999999999995</v>
      </c>
      <c r="V103" s="589">
        <f t="shared" si="0"/>
        <v>0.12523818765811007</v>
      </c>
      <c r="W103" s="875"/>
      <c r="AO103" s="1034"/>
    </row>
    <row r="104" spans="1:41" s="688" customFormat="1">
      <c r="A104" s="971"/>
      <c r="B104" s="1644"/>
      <c r="C104" s="1503" t="s">
        <v>1949</v>
      </c>
      <c r="D104" s="1028"/>
      <c r="E104" s="1028"/>
      <c r="F104" s="1037"/>
      <c r="G104" s="1500">
        <v>20479029.300000001</v>
      </c>
      <c r="H104" s="483">
        <v>17928223.18</v>
      </c>
      <c r="I104" s="483">
        <v>14173957.899999999</v>
      </c>
      <c r="J104" s="483">
        <v>10347356.369999997</v>
      </c>
      <c r="K104" s="483">
        <v>6838185.2499999972</v>
      </c>
      <c r="L104" s="483">
        <v>3159378.9299999974</v>
      </c>
      <c r="M104" s="483">
        <v>17080.289999997243</v>
      </c>
      <c r="N104" s="483">
        <v>-3909388.1200000029</v>
      </c>
      <c r="O104" s="483">
        <v>-7480426.450000003</v>
      </c>
      <c r="P104" s="483">
        <v>16527223.979999997</v>
      </c>
      <c r="Q104" s="483">
        <v>27189762.479999997</v>
      </c>
      <c r="R104" s="483">
        <v>28717028.389999997</v>
      </c>
      <c r="S104" s="483">
        <v>22736895.449999996</v>
      </c>
      <c r="T104" s="1730">
        <f t="shared" si="1"/>
        <v>0.14625503638690887</v>
      </c>
      <c r="U104" s="589">
        <f t="shared" si="2"/>
        <v>0.85629999999999995</v>
      </c>
      <c r="V104" s="589">
        <f t="shared" si="0"/>
        <v>0.12523818765811007</v>
      </c>
      <c r="W104" s="875"/>
      <c r="AO104" s="1034"/>
    </row>
    <row r="105" spans="1:41" s="688" customFormat="1">
      <c r="A105" s="971"/>
      <c r="B105" s="1644"/>
      <c r="C105" s="1503" t="s">
        <v>1950</v>
      </c>
      <c r="D105" s="1028"/>
      <c r="E105" s="1028"/>
      <c r="F105" s="1037"/>
      <c r="G105" s="1500">
        <v>35439.370000000003</v>
      </c>
      <c r="H105" s="483">
        <v>0</v>
      </c>
      <c r="I105" s="483">
        <v>0</v>
      </c>
      <c r="J105" s="483">
        <v>37982.770000000004</v>
      </c>
      <c r="K105" s="483">
        <v>0</v>
      </c>
      <c r="L105" s="483">
        <v>0</v>
      </c>
      <c r="M105" s="483">
        <v>24438.07</v>
      </c>
      <c r="N105" s="483">
        <v>0</v>
      </c>
      <c r="O105" s="483">
        <v>0</v>
      </c>
      <c r="P105" s="483">
        <v>25602.49</v>
      </c>
      <c r="Q105" s="483">
        <v>0</v>
      </c>
      <c r="R105" s="483">
        <v>0</v>
      </c>
      <c r="S105" s="483">
        <v>26766.91</v>
      </c>
      <c r="T105" s="1730">
        <v>0</v>
      </c>
      <c r="U105" s="589">
        <v>0</v>
      </c>
      <c r="V105" s="1646" t="s">
        <v>1156</v>
      </c>
      <c r="W105" s="875"/>
      <c r="AO105" s="1034"/>
    </row>
    <row r="106" spans="1:41" s="688" customFormat="1">
      <c r="A106" s="971"/>
      <c r="B106" s="1495"/>
      <c r="C106" s="1337" t="s">
        <v>1972</v>
      </c>
      <c r="D106" s="1028"/>
      <c r="E106" s="1028"/>
      <c r="F106" s="1037"/>
      <c r="G106" s="1501">
        <v>-0.32</v>
      </c>
      <c r="H106" s="1496">
        <v>0</v>
      </c>
      <c r="I106" s="1496">
        <v>20122.09</v>
      </c>
      <c r="J106" s="1496">
        <v>20122.09</v>
      </c>
      <c r="K106" s="1496">
        <v>20122.09</v>
      </c>
      <c r="L106" s="1496">
        <v>0</v>
      </c>
      <c r="M106" s="1496">
        <v>0</v>
      </c>
      <c r="N106" s="1496">
        <v>0</v>
      </c>
      <c r="O106" s="1496">
        <v>0</v>
      </c>
      <c r="P106" s="1496">
        <v>-20122.09</v>
      </c>
      <c r="Q106" s="1496">
        <v>-20122.09</v>
      </c>
      <c r="R106" s="1496">
        <v>-20122.09</v>
      </c>
      <c r="S106" s="1496">
        <v>-20122.09</v>
      </c>
      <c r="T106" s="1730">
        <f>T104</f>
        <v>0.14625503638690887</v>
      </c>
      <c r="U106" s="589">
        <f>U104</f>
        <v>0.85629999999999995</v>
      </c>
      <c r="V106" s="589">
        <f>T106*U106</f>
        <v>0.12523818765811007</v>
      </c>
      <c r="W106" s="875"/>
      <c r="AO106" s="1034"/>
    </row>
    <row r="107" spans="1:41" s="688" customFormat="1">
      <c r="A107" s="971"/>
      <c r="B107" s="1495"/>
      <c r="C107" s="965" t="s">
        <v>1489</v>
      </c>
      <c r="D107" s="1028"/>
      <c r="E107" s="1028"/>
      <c r="F107" s="1037" t="s">
        <v>1009</v>
      </c>
      <c r="G107" s="1500">
        <f>SUM(G99:G106)</f>
        <v>21440277.720000003</v>
      </c>
      <c r="H107" s="483">
        <f t="shared" ref="H107:S107" si="3">SUM(H99:H106)</f>
        <v>19363129.18</v>
      </c>
      <c r="I107" s="483">
        <f t="shared" si="3"/>
        <v>15434098.609999999</v>
      </c>
      <c r="J107" s="483">
        <f t="shared" si="3"/>
        <v>11753193.859999998</v>
      </c>
      <c r="K107" s="483">
        <f t="shared" si="3"/>
        <v>8015981.2699999977</v>
      </c>
      <c r="L107" s="483">
        <f t="shared" si="3"/>
        <v>4175019.5199999977</v>
      </c>
      <c r="M107" s="483">
        <f t="shared" si="3"/>
        <v>824319.50999999722</v>
      </c>
      <c r="N107" s="483">
        <f t="shared" si="3"/>
        <v>-3017071.3600000027</v>
      </c>
      <c r="O107" s="483">
        <f t="shared" si="3"/>
        <v>-6715733.3900000025</v>
      </c>
      <c r="P107" s="483">
        <f t="shared" si="3"/>
        <v>17459119.979999997</v>
      </c>
      <c r="Q107" s="483">
        <f t="shared" si="3"/>
        <v>28404755.219999995</v>
      </c>
      <c r="R107" s="483">
        <f t="shared" si="3"/>
        <v>29693931.009999998</v>
      </c>
      <c r="S107" s="483">
        <f t="shared" si="3"/>
        <v>23697652.419999994</v>
      </c>
      <c r="T107" s="1036"/>
      <c r="U107" s="589"/>
      <c r="V107" s="589"/>
      <c r="W107" s="875" t="s">
        <v>1490</v>
      </c>
      <c r="AO107" s="1034"/>
    </row>
    <row r="108" spans="1:41" s="688" customFormat="1">
      <c r="A108" s="971"/>
      <c r="B108" s="1495"/>
      <c r="C108" s="1503" t="s">
        <v>111</v>
      </c>
      <c r="D108" s="1504"/>
      <c r="E108" s="1028"/>
      <c r="F108" s="1037"/>
      <c r="G108" s="1500">
        <v>157464790.1099999</v>
      </c>
      <c r="H108" s="1038">
        <v>157109149.64999989</v>
      </c>
      <c r="I108" s="1038">
        <v>157101406.30999988</v>
      </c>
      <c r="J108" s="1038">
        <v>156620951.95999989</v>
      </c>
      <c r="K108" s="1038">
        <v>156199726.34999987</v>
      </c>
      <c r="L108" s="1038">
        <v>155682600.91999987</v>
      </c>
      <c r="M108" s="1038">
        <v>155506895.69999987</v>
      </c>
      <c r="N108" s="1038">
        <v>154980686.97999987</v>
      </c>
      <c r="O108" s="1038">
        <v>154472644.83999988</v>
      </c>
      <c r="P108" s="1038">
        <v>154079717.67999989</v>
      </c>
      <c r="Q108" s="1038">
        <v>153562592.24999988</v>
      </c>
      <c r="R108" s="1038">
        <v>153045466.81999987</v>
      </c>
      <c r="S108" s="1038">
        <v>152569980.14999989</v>
      </c>
      <c r="T108" s="1730">
        <f>+T99</f>
        <v>0.14625503638690887</v>
      </c>
      <c r="U108" s="589">
        <f>U99</f>
        <v>0.85629999999999995</v>
      </c>
      <c r="V108" s="589">
        <f>T108*U108</f>
        <v>0.12523818765811007</v>
      </c>
      <c r="W108" s="876" t="s">
        <v>112</v>
      </c>
      <c r="AO108" s="1034"/>
    </row>
    <row r="109" spans="1:41" s="688" customFormat="1" ht="13" thickBot="1">
      <c r="A109" s="1039"/>
      <c r="B109" s="1040"/>
      <c r="C109" s="12" t="s">
        <v>1010</v>
      </c>
      <c r="D109" s="1040"/>
      <c r="E109" s="1006"/>
      <c r="F109" s="1505"/>
      <c r="G109" s="1497">
        <f>SUMPRODUCT(G99:G106,$V99:$V106)+G108*$V$108</f>
        <v>22401308.095409892</v>
      </c>
      <c r="H109" s="1497">
        <f t="shared" ref="H109:R109" si="4">SUMPRODUCT(H99:H106,$V99:$V106)+H108*$V$108</f>
        <v>22101068.372565851</v>
      </c>
      <c r="I109" s="1497">
        <f t="shared" si="4"/>
        <v>21608033.942857716</v>
      </c>
      <c r="J109" s="1497">
        <f t="shared" si="4"/>
        <v>21082115.9777021</v>
      </c>
      <c r="K109" s="1497">
        <f t="shared" si="4"/>
        <v>20566077.607322879</v>
      </c>
      <c r="L109" s="1497">
        <f t="shared" si="4"/>
        <v>20020278.667243633</v>
      </c>
      <c r="M109" s="1497">
        <f t="shared" si="4"/>
        <v>19575577.487693693</v>
      </c>
      <c r="N109" s="1497">
        <f t="shared" si="4"/>
        <v>19031647.810222447</v>
      </c>
      <c r="O109" s="1497">
        <f t="shared" si="4"/>
        <v>18504807.803957839</v>
      </c>
      <c r="P109" s="1497">
        <f t="shared" si="4"/>
        <v>21480006.732070006</v>
      </c>
      <c r="Q109" s="1497">
        <f t="shared" si="4"/>
        <v>22789260.810096364</v>
      </c>
      <c r="R109" s="1497">
        <f t="shared" si="4"/>
        <v>22885950.997963555</v>
      </c>
      <c r="S109" s="1497">
        <f>SUMPRODUCT(S99:S106,$V99:$V106)+S108*$V$108</f>
        <v>22072086.606554832</v>
      </c>
      <c r="T109" s="992"/>
      <c r="U109" s="992"/>
      <c r="V109" s="992"/>
      <c r="W109" s="877" t="s">
        <v>1011</v>
      </c>
      <c r="X109" s="992"/>
      <c r="Y109" s="992"/>
      <c r="Z109" s="992"/>
      <c r="AA109" s="992"/>
      <c r="AB109" s="992"/>
      <c r="AC109" s="992"/>
      <c r="AD109" s="992"/>
      <c r="AE109" s="992"/>
      <c r="AF109" s="992"/>
      <c r="AG109" s="992"/>
      <c r="AH109" s="992"/>
      <c r="AI109" s="992"/>
      <c r="AJ109" s="992"/>
      <c r="AK109" s="992"/>
      <c r="AL109" s="992"/>
      <c r="AM109" s="992"/>
      <c r="AN109" s="992"/>
      <c r="AO109" s="1041"/>
    </row>
    <row r="110" spans="1:41" ht="13">
      <c r="A110" s="965"/>
      <c r="B110" s="965"/>
      <c r="C110" s="965"/>
      <c r="D110" s="965"/>
      <c r="E110" s="965"/>
      <c r="F110" s="965"/>
      <c r="G110" s="838"/>
      <c r="H110" s="838"/>
      <c r="I110" s="838"/>
      <c r="J110" s="838"/>
      <c r="K110" s="866"/>
      <c r="L110" s="838"/>
      <c r="M110" s="838"/>
      <c r="N110" s="838"/>
      <c r="O110" s="838"/>
      <c r="P110" s="838"/>
      <c r="Q110" s="838"/>
    </row>
    <row r="111" spans="1:41" ht="13">
      <c r="A111" s="965"/>
      <c r="B111" s="965"/>
      <c r="G111" s="372"/>
      <c r="H111" s="838"/>
      <c r="I111" s="838"/>
      <c r="J111" s="838"/>
      <c r="K111" s="866"/>
      <c r="L111" s="838"/>
      <c r="M111" s="838"/>
      <c r="N111" s="838"/>
      <c r="O111" s="838"/>
      <c r="P111" s="838"/>
      <c r="Q111" s="838"/>
    </row>
    <row r="112" spans="1:41" s="688" customFormat="1" ht="18.5" thickBot="1">
      <c r="A112" s="1119" t="s">
        <v>991</v>
      </c>
      <c r="G112" s="1645"/>
      <c r="H112" s="96"/>
      <c r="I112" s="96"/>
      <c r="J112" s="96"/>
      <c r="K112" s="96"/>
      <c r="L112" s="96"/>
      <c r="M112" s="96"/>
      <c r="N112" s="96"/>
      <c r="O112" s="96"/>
      <c r="P112" s="96"/>
      <c r="Q112" s="96"/>
    </row>
    <row r="113" spans="1:34" s="688" customFormat="1" ht="13">
      <c r="A113" s="1824" t="s">
        <v>1012</v>
      </c>
      <c r="B113" s="1825"/>
      <c r="C113" s="1825"/>
      <c r="D113" s="1825"/>
      <c r="E113" s="1825"/>
      <c r="F113" s="1826"/>
      <c r="G113" s="870"/>
      <c r="H113" s="871"/>
      <c r="I113" s="96"/>
      <c r="J113" s="96"/>
      <c r="K113" s="96"/>
      <c r="L113" s="96"/>
      <c r="M113" s="96"/>
      <c r="N113" s="96"/>
      <c r="O113" s="96"/>
      <c r="P113" s="96"/>
      <c r="Q113" s="96"/>
      <c r="U113" s="1034"/>
      <c r="V113" s="1029"/>
      <c r="W113" s="1029"/>
      <c r="X113" s="1029"/>
      <c r="Y113" s="878"/>
      <c r="Z113" s="878"/>
      <c r="AA113" s="878"/>
      <c r="AB113" s="878"/>
      <c r="AC113" s="878"/>
      <c r="AD113" s="878"/>
      <c r="AE113" s="878"/>
      <c r="AF113" s="878"/>
      <c r="AG113" s="878"/>
      <c r="AH113" s="879"/>
    </row>
    <row r="114" spans="1:34" s="688" customFormat="1" ht="13">
      <c r="A114" s="1031">
        <v>44</v>
      </c>
      <c r="B114" s="1032" t="s">
        <v>991</v>
      </c>
      <c r="C114" s="1042"/>
      <c r="D114" s="1042"/>
      <c r="E114" s="1042"/>
      <c r="F114" s="1042"/>
      <c r="G114" s="870"/>
      <c r="H114" s="871"/>
      <c r="I114" s="96"/>
      <c r="J114" s="96"/>
      <c r="K114" s="96"/>
      <c r="L114" s="96"/>
      <c r="M114" s="96"/>
      <c r="N114" s="96"/>
      <c r="O114" s="96"/>
      <c r="P114" s="96"/>
      <c r="Q114" s="96"/>
      <c r="U114" s="1034"/>
      <c r="Y114" s="96"/>
      <c r="Z114" s="96"/>
      <c r="AA114" s="96"/>
      <c r="AB114" s="96"/>
      <c r="AC114" s="96"/>
      <c r="AD114" s="96"/>
      <c r="AE114" s="96"/>
      <c r="AF114" s="96"/>
      <c r="AG114" s="96"/>
      <c r="AH114" s="880"/>
    </row>
    <row r="115" spans="1:34" s="688" customFormat="1" ht="75" customHeight="1">
      <c r="A115" s="1025"/>
      <c r="C115" s="1833" t="s">
        <v>1013</v>
      </c>
      <c r="D115" s="1833"/>
      <c r="E115" s="1833"/>
      <c r="F115" s="1834"/>
      <c r="G115" s="881" t="s">
        <v>492</v>
      </c>
      <c r="H115" s="882" t="s">
        <v>493</v>
      </c>
      <c r="I115" s="882" t="s">
        <v>494</v>
      </c>
      <c r="J115" s="882" t="s">
        <v>495</v>
      </c>
      <c r="K115" s="882" t="s">
        <v>161</v>
      </c>
      <c r="L115" s="882" t="s">
        <v>162</v>
      </c>
      <c r="M115" s="882" t="s">
        <v>163</v>
      </c>
      <c r="N115" s="882" t="s">
        <v>496</v>
      </c>
      <c r="O115" s="882" t="s">
        <v>497</v>
      </c>
      <c r="P115" s="882" t="s">
        <v>498</v>
      </c>
      <c r="Q115" s="882" t="s">
        <v>499</v>
      </c>
      <c r="R115" s="882" t="s">
        <v>500</v>
      </c>
      <c r="S115" s="883" t="s">
        <v>1008</v>
      </c>
      <c r="T115" s="884" t="s">
        <v>1014</v>
      </c>
      <c r="U115" s="1034"/>
      <c r="V115" s="885" t="s">
        <v>707</v>
      </c>
      <c r="W115" s="886" t="s">
        <v>916</v>
      </c>
      <c r="X115" s="886" t="s">
        <v>1015</v>
      </c>
      <c r="Y115" s="887" t="s">
        <v>708</v>
      </c>
      <c r="Z115" s="886" t="s">
        <v>917</v>
      </c>
      <c r="AA115" s="886" t="s">
        <v>1015</v>
      </c>
      <c r="AB115" s="1043" t="s">
        <v>1016</v>
      </c>
      <c r="AC115" s="886" t="s">
        <v>709</v>
      </c>
      <c r="AD115" s="1044"/>
      <c r="AE115" s="1044"/>
      <c r="AF115" s="888"/>
      <c r="AG115" s="888"/>
      <c r="AH115" s="889"/>
    </row>
    <row r="116" spans="1:34" s="688" customFormat="1">
      <c r="A116" s="1025"/>
      <c r="C116" s="1503" t="s">
        <v>1612</v>
      </c>
      <c r="G116" s="891">
        <v>-1327965.7100000002</v>
      </c>
      <c r="H116" s="891">
        <v>-1291112.1100000001</v>
      </c>
      <c r="I116" s="891">
        <v>-1193862.1100000001</v>
      </c>
      <c r="J116" s="891">
        <v>-3415519.3600000003</v>
      </c>
      <c r="K116" s="891">
        <v>-3432449.5</v>
      </c>
      <c r="L116" s="891">
        <v>-3419294.85</v>
      </c>
      <c r="M116" s="891">
        <v>-3361345.75</v>
      </c>
      <c r="N116" s="891">
        <v>-3544036.75</v>
      </c>
      <c r="O116" s="891">
        <v>-3778357.26</v>
      </c>
      <c r="P116" s="891">
        <v>-4424719.55</v>
      </c>
      <c r="Q116" s="891">
        <v>-4324719.55</v>
      </c>
      <c r="R116" s="891">
        <v>-4074573.55</v>
      </c>
      <c r="S116" s="891">
        <v>-4057952.46</v>
      </c>
      <c r="T116" s="892">
        <f>SUM(G116:S116)/13</f>
        <v>-3203531.4238461535</v>
      </c>
      <c r="U116" s="1034"/>
      <c r="V116" s="893">
        <f>T116</f>
        <v>-3203531.4238461535</v>
      </c>
      <c r="W116" s="894">
        <f>+'ATT H-3D'!$H$45</f>
        <v>0.37201518739184425</v>
      </c>
      <c r="X116" s="895">
        <f>+V116*W116</f>
        <v>-1191762.3429577884</v>
      </c>
      <c r="Y116" s="893"/>
      <c r="Z116" s="894">
        <f>+'ATT H-3D'!$H$24</f>
        <v>0.14625503638690887</v>
      </c>
      <c r="AA116" s="896">
        <f t="shared" ref="AA116:AA135" si="5">+Z116*Y116</f>
        <v>0</v>
      </c>
      <c r="AB116" s="805"/>
      <c r="AC116" s="896">
        <f>X116+AA116+AB116</f>
        <v>-1191762.3429577884</v>
      </c>
      <c r="AF116" s="96"/>
      <c r="AG116" s="96"/>
      <c r="AH116" s="880"/>
    </row>
    <row r="117" spans="1:34" s="688" customFormat="1">
      <c r="A117" s="1025"/>
      <c r="C117" s="1503" t="s">
        <v>1613</v>
      </c>
      <c r="G117" s="891">
        <v>-389583.51</v>
      </c>
      <c r="H117" s="891">
        <v>-423937.11</v>
      </c>
      <c r="I117" s="891">
        <v>-423687.11</v>
      </c>
      <c r="J117" s="891">
        <v>-380431.64</v>
      </c>
      <c r="K117" s="891">
        <v>-363501.5</v>
      </c>
      <c r="L117" s="891">
        <v>-376656.15</v>
      </c>
      <c r="M117" s="891">
        <v>-376656.15</v>
      </c>
      <c r="N117" s="891">
        <v>-386195.15</v>
      </c>
      <c r="O117" s="891">
        <v>-384229.65</v>
      </c>
      <c r="P117" s="891">
        <v>-385134.81</v>
      </c>
      <c r="Q117" s="891">
        <v>-385134.81</v>
      </c>
      <c r="R117" s="891">
        <v>-385280.81</v>
      </c>
      <c r="S117" s="891">
        <v>-370786</v>
      </c>
      <c r="T117" s="897">
        <f>SUM(G117:S117)/13</f>
        <v>-387016.49230769224</v>
      </c>
      <c r="U117" s="1045"/>
      <c r="V117" s="893"/>
      <c r="W117" s="894">
        <f>+'ATT H-3D'!$H$45</f>
        <v>0.37201518739184425</v>
      </c>
      <c r="X117" s="895">
        <f>+V117*W117</f>
        <v>0</v>
      </c>
      <c r="Y117" s="893"/>
      <c r="Z117" s="894">
        <f>+'ATT H-3D'!$H$24</f>
        <v>0.14625503638690887</v>
      </c>
      <c r="AA117" s="896">
        <f t="shared" si="5"/>
        <v>0</v>
      </c>
      <c r="AB117" s="805"/>
      <c r="AC117" s="896">
        <f t="shared" ref="AC117:AC135" si="6">X117+AA117+AB117</f>
        <v>0</v>
      </c>
      <c r="AF117" s="96"/>
      <c r="AG117" s="96"/>
      <c r="AH117" s="880"/>
    </row>
    <row r="118" spans="1:34" s="688" customFormat="1">
      <c r="A118" s="1025"/>
      <c r="C118" s="1503" t="s">
        <v>1614</v>
      </c>
      <c r="D118" s="898"/>
      <c r="G118" s="891">
        <v>276867.53999999998</v>
      </c>
      <c r="H118" s="891">
        <v>303358.11000000004</v>
      </c>
      <c r="I118" s="891">
        <v>302766.09000000003</v>
      </c>
      <c r="J118" s="891">
        <v>302014.66000000003</v>
      </c>
      <c r="K118" s="891">
        <v>301603.67000000004</v>
      </c>
      <c r="L118" s="891">
        <v>301086.96000000002</v>
      </c>
      <c r="M118" s="891">
        <v>299906.94</v>
      </c>
      <c r="N118" s="891">
        <v>274205.82</v>
      </c>
      <c r="O118" s="891">
        <v>257046.39999999999</v>
      </c>
      <c r="P118" s="891">
        <v>256963.84</v>
      </c>
      <c r="Q118" s="891">
        <v>280303.77</v>
      </c>
      <c r="R118" s="891">
        <v>280303.77</v>
      </c>
      <c r="S118" s="891">
        <v>271457.93</v>
      </c>
      <c r="T118" s="897">
        <f t="shared" ref="T118:T133" si="7">SUM(G118:S118)/13</f>
        <v>285221.9615384615</v>
      </c>
      <c r="U118" s="1045"/>
      <c r="V118" s="893"/>
      <c r="W118" s="894">
        <f>+'ATT H-3D'!$H$45</f>
        <v>0.37201518739184425</v>
      </c>
      <c r="X118" s="895">
        <f t="shared" ref="X118:X135" si="8">+V118*W118</f>
        <v>0</v>
      </c>
      <c r="Y118" s="893">
        <f>T117</f>
        <v>-387016.49230769224</v>
      </c>
      <c r="Z118" s="894">
        <f>+'ATT H-3D'!$H$24</f>
        <v>0.14625503638690887</v>
      </c>
      <c r="AA118" s="896">
        <f t="shared" si="5"/>
        <v>-56603.111164795366</v>
      </c>
      <c r="AB118" s="805"/>
      <c r="AC118" s="896">
        <f t="shared" si="6"/>
        <v>-56603.111164795366</v>
      </c>
      <c r="AF118" s="96"/>
      <c r="AG118" s="96"/>
      <c r="AH118" s="880"/>
    </row>
    <row r="119" spans="1:34" s="688" customFormat="1">
      <c r="A119" s="1025"/>
      <c r="C119" s="1503" t="s">
        <v>1615</v>
      </c>
      <c r="D119" s="898"/>
      <c r="G119" s="891">
        <v>1200876.25</v>
      </c>
      <c r="H119" s="891">
        <v>1333343.48</v>
      </c>
      <c r="I119" s="891">
        <v>1330880.1000000001</v>
      </c>
      <c r="J119" s="891">
        <v>1327753.4300000002</v>
      </c>
      <c r="K119" s="891">
        <v>1326043.3000000003</v>
      </c>
      <c r="L119" s="891">
        <v>1323893.2700000003</v>
      </c>
      <c r="M119" s="891">
        <v>1318983.2700000003</v>
      </c>
      <c r="N119" s="891">
        <v>1212041.7200000002</v>
      </c>
      <c r="O119" s="891">
        <v>1121490.9100000001</v>
      </c>
      <c r="P119" s="891">
        <v>1121147.4100000001</v>
      </c>
      <c r="Q119" s="891">
        <v>1218264.08</v>
      </c>
      <c r="R119" s="891">
        <v>1218264.08</v>
      </c>
      <c r="S119" s="891">
        <v>1181456.8400000001</v>
      </c>
      <c r="T119" s="897">
        <f t="shared" si="7"/>
        <v>1248802.933846154</v>
      </c>
      <c r="U119" s="1045"/>
      <c r="V119" s="893"/>
      <c r="W119" s="894">
        <f>+'ATT H-3D'!$H$45</f>
        <v>0.37201518739184425</v>
      </c>
      <c r="X119" s="895">
        <f t="shared" si="8"/>
        <v>0</v>
      </c>
      <c r="Y119" s="893">
        <f t="shared" ref="Y119:Y135" si="9">T118</f>
        <v>285221.9615384615</v>
      </c>
      <c r="Z119" s="894">
        <f>+'ATT H-3D'!$H$24</f>
        <v>0.14625503638690887</v>
      </c>
      <c r="AA119" s="896">
        <f t="shared" si="5"/>
        <v>41715.14836315321</v>
      </c>
      <c r="AB119" s="805"/>
      <c r="AC119" s="896">
        <f t="shared" si="6"/>
        <v>41715.14836315321</v>
      </c>
      <c r="AF119" s="96"/>
      <c r="AG119" s="96"/>
      <c r="AH119" s="880"/>
    </row>
    <row r="120" spans="1:34" s="688" customFormat="1">
      <c r="A120" s="1025"/>
      <c r="C120" s="1503" t="s">
        <v>1616</v>
      </c>
      <c r="D120" s="898"/>
      <c r="G120" s="891">
        <v>-4341294.8299999991</v>
      </c>
      <c r="H120" s="891">
        <v>-4449153.25</v>
      </c>
      <c r="I120" s="891">
        <v>-4577478.1100000003</v>
      </c>
      <c r="J120" s="891">
        <v>-4605292.5100000007</v>
      </c>
      <c r="K120" s="891">
        <v>-4629248.2600000007</v>
      </c>
      <c r="L120" s="891">
        <v>-4612785.1900000004</v>
      </c>
      <c r="M120" s="891">
        <v>-4575564.5900000008</v>
      </c>
      <c r="N120" s="891">
        <v>-4487711.6800000006</v>
      </c>
      <c r="O120" s="891">
        <v>-4272492.5500000007</v>
      </c>
      <c r="P120" s="891">
        <v>-4341446.0500000007</v>
      </c>
      <c r="Q120" s="891">
        <v>-4301619.5100000007</v>
      </c>
      <c r="R120" s="891">
        <v>-4288634.2400000012</v>
      </c>
      <c r="S120" s="891">
        <v>-4255729.2500000009</v>
      </c>
      <c r="T120" s="897">
        <f t="shared" si="7"/>
        <v>-4441419.2323076921</v>
      </c>
      <c r="U120" s="1045"/>
      <c r="V120" s="893"/>
      <c r="W120" s="894">
        <f>+'ATT H-3D'!$H$45</f>
        <v>0.37201518739184425</v>
      </c>
      <c r="X120" s="895">
        <f t="shared" si="8"/>
        <v>0</v>
      </c>
      <c r="Y120" s="893">
        <f t="shared" si="9"/>
        <v>1248802.933846154</v>
      </c>
      <c r="Z120" s="894">
        <f>+'ATT H-3D'!$H$24</f>
        <v>0.14625503638690887</v>
      </c>
      <c r="AA120" s="896">
        <f t="shared" si="5"/>
        <v>182643.7185297478</v>
      </c>
      <c r="AB120" s="805"/>
      <c r="AC120" s="896">
        <f t="shared" si="6"/>
        <v>182643.7185297478</v>
      </c>
      <c r="AF120" s="96"/>
      <c r="AG120" s="96"/>
      <c r="AH120" s="880"/>
    </row>
    <row r="121" spans="1:34" s="688" customFormat="1">
      <c r="A121" s="1025"/>
      <c r="C121" s="1503" t="s">
        <v>1617</v>
      </c>
      <c r="D121" s="898"/>
      <c r="G121" s="891">
        <v>-575105.11999999988</v>
      </c>
      <c r="H121" s="891">
        <v>-591374.88000000012</v>
      </c>
      <c r="I121" s="891">
        <v>-622215.02000000014</v>
      </c>
      <c r="J121" s="891">
        <v>-628899.62000000011</v>
      </c>
      <c r="K121" s="891">
        <v>-634656.87000000011</v>
      </c>
      <c r="L121" s="891">
        <v>-630564.2300000001</v>
      </c>
      <c r="M121" s="891">
        <v>-621891.25000000012</v>
      </c>
      <c r="N121" s="891">
        <v>-586084.40000000014</v>
      </c>
      <c r="O121" s="891">
        <v>-562409.58000000019</v>
      </c>
      <c r="P121" s="891">
        <v>-578981.08000000019</v>
      </c>
      <c r="Q121" s="891">
        <v>-569409.62000000023</v>
      </c>
      <c r="R121" s="891">
        <v>-566288.89000000025</v>
      </c>
      <c r="S121" s="891">
        <v>-558380.88000000024</v>
      </c>
      <c r="T121" s="897">
        <f t="shared" si="7"/>
        <v>-594327.80307692313</v>
      </c>
      <c r="U121" s="1045"/>
      <c r="V121" s="893"/>
      <c r="W121" s="894">
        <f>+'ATT H-3D'!$H$45</f>
        <v>0.37201518739184425</v>
      </c>
      <c r="X121" s="895">
        <f t="shared" si="8"/>
        <v>0</v>
      </c>
      <c r="Y121" s="893">
        <f t="shared" si="9"/>
        <v>-4441419.2323076921</v>
      </c>
      <c r="Z121" s="894">
        <f>+'ATT H-3D'!$H$24</f>
        <v>0.14625503638690887</v>
      </c>
      <c r="AA121" s="896">
        <f t="shared" si="5"/>
        <v>-649579.93143067835</v>
      </c>
      <c r="AB121" s="805"/>
      <c r="AC121" s="896">
        <f t="shared" si="6"/>
        <v>-649579.93143067835</v>
      </c>
      <c r="AF121" s="96"/>
      <c r="AG121" s="96"/>
      <c r="AH121" s="880"/>
    </row>
    <row r="122" spans="1:34" s="688" customFormat="1">
      <c r="A122" s="1025"/>
      <c r="C122" s="1503" t="s">
        <v>1618</v>
      </c>
      <c r="D122" s="898"/>
      <c r="G122" s="891">
        <v>-1919931.0000000002</v>
      </c>
      <c r="H122" s="891">
        <v>-1919931</v>
      </c>
      <c r="I122" s="891">
        <v>-1919931</v>
      </c>
      <c r="J122" s="891">
        <v>-1919931</v>
      </c>
      <c r="K122" s="891">
        <v>-1919931</v>
      </c>
      <c r="L122" s="891">
        <v>-1919931</v>
      </c>
      <c r="M122" s="891">
        <v>-1919931</v>
      </c>
      <c r="N122" s="891">
        <v>-1919931</v>
      </c>
      <c r="O122" s="891">
        <v>-1518297</v>
      </c>
      <c r="P122" s="891">
        <v>-1804896</v>
      </c>
      <c r="Q122" s="891">
        <v>-1804896</v>
      </c>
      <c r="R122" s="891">
        <v>-1804896</v>
      </c>
      <c r="S122" s="891">
        <v>-1804896</v>
      </c>
      <c r="T122" s="897">
        <f t="shared" si="7"/>
        <v>-1853640.6923076923</v>
      </c>
      <c r="U122" s="1045"/>
      <c r="V122" s="893"/>
      <c r="W122" s="894">
        <f>+'ATT H-3D'!$H$45</f>
        <v>0.37201518739184425</v>
      </c>
      <c r="X122" s="895">
        <f t="shared" si="8"/>
        <v>0</v>
      </c>
      <c r="Y122" s="893">
        <f t="shared" si="9"/>
        <v>-594327.80307692313</v>
      </c>
      <c r="Z122" s="894">
        <f>+'ATT H-3D'!$H$24</f>
        <v>0.14625503638690887</v>
      </c>
      <c r="AA122" s="896">
        <f t="shared" si="5"/>
        <v>-86923.434464767008</v>
      </c>
      <c r="AB122" s="805"/>
      <c r="AC122" s="896">
        <f t="shared" si="6"/>
        <v>-86923.434464767008</v>
      </c>
      <c r="AF122" s="96"/>
      <c r="AG122" s="96"/>
      <c r="AH122" s="880"/>
    </row>
    <row r="123" spans="1:34" s="688" customFormat="1">
      <c r="A123" s="1025"/>
      <c r="C123" s="1503" t="s">
        <v>1619</v>
      </c>
      <c r="D123" s="898"/>
      <c r="G123" s="891">
        <v>-443062.02999999997</v>
      </c>
      <c r="H123" s="891">
        <v>-471734.30999999994</v>
      </c>
      <c r="I123" s="891">
        <v>-489511.73</v>
      </c>
      <c r="J123" s="891">
        <v>-498653.11</v>
      </c>
      <c r="K123" s="891">
        <v>-513866.88999999996</v>
      </c>
      <c r="L123" s="891">
        <v>-510123.12</v>
      </c>
      <c r="M123" s="891">
        <v>-491717.54</v>
      </c>
      <c r="N123" s="891">
        <v>-480031.91</v>
      </c>
      <c r="O123" s="891">
        <v>-468362.55999999994</v>
      </c>
      <c r="P123" s="891">
        <v>-466281.49999999988</v>
      </c>
      <c r="Q123" s="891">
        <v>-476982.34999999986</v>
      </c>
      <c r="R123" s="891">
        <v>-472092.0199999999</v>
      </c>
      <c r="S123" s="891">
        <v>-413774.5799999999</v>
      </c>
      <c r="T123" s="897">
        <f t="shared" si="7"/>
        <v>-476630.28076923074</v>
      </c>
      <c r="U123" s="1045"/>
      <c r="V123" s="893"/>
      <c r="W123" s="894">
        <f>+'ATT H-3D'!$H$45</f>
        <v>0.37201518739184425</v>
      </c>
      <c r="X123" s="895">
        <f t="shared" si="8"/>
        <v>0</v>
      </c>
      <c r="Y123" s="893">
        <f t="shared" si="9"/>
        <v>-1853640.6923076923</v>
      </c>
      <c r="Z123" s="894">
        <f>+'ATT H-3D'!$H$24</f>
        <v>0.14625503638690887</v>
      </c>
      <c r="AA123" s="896">
        <f t="shared" si="5"/>
        <v>-271104.28690171649</v>
      </c>
      <c r="AB123" s="805"/>
      <c r="AC123" s="896">
        <f t="shared" si="6"/>
        <v>-271104.28690171649</v>
      </c>
      <c r="AF123" s="96"/>
      <c r="AG123" s="96"/>
      <c r="AH123" s="880"/>
    </row>
    <row r="124" spans="1:34" s="688" customFormat="1">
      <c r="A124" s="1025"/>
      <c r="C124" s="1503" t="s">
        <v>1620</v>
      </c>
      <c r="D124" s="898"/>
      <c r="G124" s="891">
        <v>-8808294.7300000004</v>
      </c>
      <c r="H124" s="891">
        <v>-9408455.2199999969</v>
      </c>
      <c r="I124" s="891">
        <v>-1191126.7099999972</v>
      </c>
      <c r="J124" s="891">
        <v>-1913023.5999999973</v>
      </c>
      <c r="K124" s="891">
        <v>-2570033.799999997</v>
      </c>
      <c r="L124" s="891">
        <v>-3221422.3499999973</v>
      </c>
      <c r="M124" s="891">
        <v>-4175656.6299999971</v>
      </c>
      <c r="N124" s="891">
        <v>-4613161.5699999975</v>
      </c>
      <c r="O124" s="891">
        <v>-5392501.5899999971</v>
      </c>
      <c r="P124" s="891">
        <v>-6002457.3699999973</v>
      </c>
      <c r="Q124" s="891">
        <v>-5944462.1899999976</v>
      </c>
      <c r="R124" s="891">
        <v>-6388866.7099999972</v>
      </c>
      <c r="S124" s="891">
        <v>-8588826.6299999971</v>
      </c>
      <c r="T124" s="897">
        <f t="shared" si="7"/>
        <v>-5247560.6999999974</v>
      </c>
      <c r="U124" s="1045"/>
      <c r="V124" s="893"/>
      <c r="W124" s="894">
        <f>+'ATT H-3D'!$H$45</f>
        <v>0.37201518739184425</v>
      </c>
      <c r="X124" s="895">
        <f t="shared" si="8"/>
        <v>0</v>
      </c>
      <c r="Y124" s="893">
        <f t="shared" si="9"/>
        <v>-476630.28076923074</v>
      </c>
      <c r="Z124" s="894">
        <f>+'ATT H-3D'!$H$24</f>
        <v>0.14625503638690887</v>
      </c>
      <c r="AA124" s="896">
        <f t="shared" si="5"/>
        <v>-69709.579057006427</v>
      </c>
      <c r="AB124" s="805"/>
      <c r="AC124" s="896">
        <f t="shared" si="6"/>
        <v>-69709.579057006427</v>
      </c>
      <c r="AF124" s="96"/>
      <c r="AG124" s="96"/>
      <c r="AH124" s="880"/>
    </row>
    <row r="125" spans="1:34" s="688" customFormat="1">
      <c r="A125" s="1025"/>
      <c r="C125" s="1503" t="s">
        <v>1621</v>
      </c>
      <c r="D125" s="898"/>
      <c r="G125" s="891">
        <v>-4853893.1100000022</v>
      </c>
      <c r="H125" s="891">
        <v>-4945691.120000001</v>
      </c>
      <c r="I125" s="891">
        <v>-4919311.3600000013</v>
      </c>
      <c r="J125" s="891">
        <v>-4783622.4700000016</v>
      </c>
      <c r="K125" s="891">
        <v>-4377841.2700000014</v>
      </c>
      <c r="L125" s="891">
        <v>-4476564.8100000015</v>
      </c>
      <c r="M125" s="891">
        <v>-4551209.9400000013</v>
      </c>
      <c r="N125" s="891">
        <v>-4566454.5000000009</v>
      </c>
      <c r="O125" s="891">
        <v>-4764888.580000001</v>
      </c>
      <c r="P125" s="891">
        <v>-4343538.540000001</v>
      </c>
      <c r="Q125" s="891">
        <v>-4274997.5600000005</v>
      </c>
      <c r="R125" s="891">
        <v>-4372380.5500000007</v>
      </c>
      <c r="S125" s="891">
        <v>-4428436.620000001</v>
      </c>
      <c r="T125" s="897">
        <f t="shared" si="7"/>
        <v>-4589140.8023076942</v>
      </c>
      <c r="U125" s="1045"/>
      <c r="V125" s="893"/>
      <c r="W125" s="894">
        <f>+'ATT H-3D'!$H$45</f>
        <v>0.37201518739184425</v>
      </c>
      <c r="X125" s="895">
        <f t="shared" ref="X125:X132" si="10">+V125*W125</f>
        <v>0</v>
      </c>
      <c r="Y125" s="893">
        <f t="shared" si="9"/>
        <v>-5247560.6999999974</v>
      </c>
      <c r="Z125" s="894">
        <f>+'ATT H-3D'!$H$24</f>
        <v>0.14625503638690887</v>
      </c>
      <c r="AA125" s="896">
        <f t="shared" ref="AA125:AA132" si="11">+Z125*Y125</f>
        <v>-767482.18112101266</v>
      </c>
      <c r="AB125" s="805"/>
      <c r="AC125" s="896">
        <f t="shared" ref="AC125:AC132" si="12">X125+AA125+AB125</f>
        <v>-767482.18112101266</v>
      </c>
      <c r="AF125" s="96"/>
      <c r="AG125" s="96"/>
      <c r="AH125" s="880"/>
    </row>
    <row r="126" spans="1:34" s="688" customFormat="1">
      <c r="A126" s="1025"/>
      <c r="C126" s="1503" t="s">
        <v>1622</v>
      </c>
      <c r="D126" s="898"/>
      <c r="G126" s="891">
        <v>-477333.99999999988</v>
      </c>
      <c r="H126" s="891">
        <v>-477334</v>
      </c>
      <c r="I126" s="891">
        <v>-477334</v>
      </c>
      <c r="J126" s="891">
        <v>-477334</v>
      </c>
      <c r="K126" s="891">
        <v>-477334</v>
      </c>
      <c r="L126" s="891">
        <v>-477334</v>
      </c>
      <c r="M126" s="891">
        <v>-477334</v>
      </c>
      <c r="N126" s="891">
        <v>-477334</v>
      </c>
      <c r="O126" s="891">
        <v>-466892</v>
      </c>
      <c r="P126" s="891">
        <v>-508685</v>
      </c>
      <c r="Q126" s="891">
        <v>-508685</v>
      </c>
      <c r="R126" s="891">
        <v>-508685</v>
      </c>
      <c r="S126" s="891">
        <v>-508685</v>
      </c>
      <c r="T126" s="897">
        <f t="shared" si="7"/>
        <v>-486177.23076923075</v>
      </c>
      <c r="U126" s="1045"/>
      <c r="V126" s="893"/>
      <c r="W126" s="894">
        <f>+'ATT H-3D'!$H$45</f>
        <v>0.37201518739184425</v>
      </c>
      <c r="X126" s="895">
        <f t="shared" si="10"/>
        <v>0</v>
      </c>
      <c r="Y126" s="893">
        <f t="shared" si="9"/>
        <v>-4589140.8023076942</v>
      </c>
      <c r="Z126" s="894">
        <f>+'ATT H-3D'!$H$24</f>
        <v>0.14625503638690887</v>
      </c>
      <c r="AA126" s="896">
        <f t="shared" si="11"/>
        <v>-671184.95502615999</v>
      </c>
      <c r="AB126" s="805"/>
      <c r="AC126" s="896">
        <f t="shared" si="12"/>
        <v>-671184.95502615999</v>
      </c>
      <c r="AF126" s="96"/>
      <c r="AG126" s="96"/>
      <c r="AH126" s="880"/>
    </row>
    <row r="127" spans="1:34" s="688" customFormat="1">
      <c r="A127" s="1025"/>
      <c r="C127" s="1503" t="s">
        <v>1623</v>
      </c>
      <c r="D127" s="898"/>
      <c r="G127" s="891">
        <v>-11127274.449999999</v>
      </c>
      <c r="H127" s="891">
        <v>-10806977.779999999</v>
      </c>
      <c r="I127" s="891">
        <v>-10588385.779999999</v>
      </c>
      <c r="J127" s="891">
        <v>-10369793.779999999</v>
      </c>
      <c r="K127" s="891">
        <v>-10205946.049999999</v>
      </c>
      <c r="L127" s="891">
        <v>-10005602.139999999</v>
      </c>
      <c r="M127" s="891">
        <v>-9805258.2299999986</v>
      </c>
      <c r="N127" s="891">
        <v>-9604914.3199999984</v>
      </c>
      <c r="O127" s="891">
        <v>-9404570.4099999983</v>
      </c>
      <c r="P127" s="891">
        <v>-9204226.4999999981</v>
      </c>
      <c r="Q127" s="891">
        <v>-9003882.589999998</v>
      </c>
      <c r="R127" s="891">
        <v>-8803538.6799999978</v>
      </c>
      <c r="S127" s="891">
        <v>-8561596.7699999977</v>
      </c>
      <c r="T127" s="897">
        <f t="shared" si="7"/>
        <v>-9807074.4215384591</v>
      </c>
      <c r="U127" s="1045"/>
      <c r="V127" s="893"/>
      <c r="W127" s="894">
        <f>+'ATT H-3D'!$H$45</f>
        <v>0.37201518739184425</v>
      </c>
      <c r="X127" s="895">
        <f t="shared" si="10"/>
        <v>0</v>
      </c>
      <c r="Y127" s="893">
        <f t="shared" si="9"/>
        <v>-486177.23076923075</v>
      </c>
      <c r="Z127" s="894">
        <f>+'ATT H-3D'!$H$24</f>
        <v>0.14625503638690887</v>
      </c>
      <c r="AA127" s="896">
        <f t="shared" si="11"/>
        <v>-71105.868576640438</v>
      </c>
      <c r="AB127" s="805"/>
      <c r="AC127" s="896">
        <f t="shared" si="12"/>
        <v>-71105.868576640438</v>
      </c>
      <c r="AF127" s="96"/>
      <c r="AG127" s="96"/>
      <c r="AH127" s="880"/>
    </row>
    <row r="128" spans="1:34" s="688" customFormat="1">
      <c r="A128" s="1025"/>
      <c r="C128" s="1503" t="s">
        <v>1624</v>
      </c>
      <c r="D128" s="898"/>
      <c r="G128" s="891">
        <v>0</v>
      </c>
      <c r="H128" s="891">
        <v>0</v>
      </c>
      <c r="I128" s="891">
        <v>0</v>
      </c>
      <c r="J128" s="891">
        <v>0</v>
      </c>
      <c r="K128" s="891">
        <v>0</v>
      </c>
      <c r="L128" s="891">
        <v>0</v>
      </c>
      <c r="M128" s="891">
        <v>0</v>
      </c>
      <c r="N128" s="891">
        <v>0</v>
      </c>
      <c r="O128" s="891">
        <v>0</v>
      </c>
      <c r="P128" s="891">
        <v>0</v>
      </c>
      <c r="Q128" s="891">
        <v>0</v>
      </c>
      <c r="R128" s="891">
        <v>0</v>
      </c>
      <c r="S128" s="891">
        <v>0</v>
      </c>
      <c r="T128" s="897">
        <f t="shared" si="7"/>
        <v>0</v>
      </c>
      <c r="U128" s="1045"/>
      <c r="V128" s="893"/>
      <c r="W128" s="894">
        <f>+'ATT H-3D'!$H$45</f>
        <v>0.37201518739184425</v>
      </c>
      <c r="X128" s="895">
        <f t="shared" si="10"/>
        <v>0</v>
      </c>
      <c r="Y128" s="893">
        <f t="shared" si="9"/>
        <v>-9807074.4215384591</v>
      </c>
      <c r="Z128" s="894">
        <f>+'ATT H-3D'!$H$24</f>
        <v>0.14625503638690887</v>
      </c>
      <c r="AA128" s="896">
        <f t="shared" si="11"/>
        <v>-1434334.0263712306</v>
      </c>
      <c r="AB128" s="805"/>
      <c r="AC128" s="896">
        <f t="shared" si="12"/>
        <v>-1434334.0263712306</v>
      </c>
      <c r="AF128" s="96"/>
      <c r="AG128" s="96"/>
      <c r="AH128" s="880"/>
    </row>
    <row r="129" spans="1:34" s="688" customFormat="1">
      <c r="A129" s="1025"/>
      <c r="C129" s="1503" t="s">
        <v>1625</v>
      </c>
      <c r="D129" s="898"/>
      <c r="G129" s="891">
        <v>-70047.23</v>
      </c>
      <c r="H129" s="891">
        <v>-67614.789999999994</v>
      </c>
      <c r="I129" s="891">
        <v>-66691.61</v>
      </c>
      <c r="J129" s="891">
        <v>-66419.539999999994</v>
      </c>
      <c r="K129" s="891">
        <v>-62926.459999999992</v>
      </c>
      <c r="L129" s="891">
        <v>-62973.409999999989</v>
      </c>
      <c r="M129" s="891">
        <v>-59680.919999999991</v>
      </c>
      <c r="N129" s="891">
        <v>-67908.899999999994</v>
      </c>
      <c r="O129" s="891">
        <v>-70862.899999999994</v>
      </c>
      <c r="P129" s="891">
        <v>-71193.2</v>
      </c>
      <c r="Q129" s="891">
        <v>-77809.539999999994</v>
      </c>
      <c r="R129" s="891">
        <v>-87013.72</v>
      </c>
      <c r="S129" s="891">
        <v>-90672.06</v>
      </c>
      <c r="T129" s="897">
        <f t="shared" si="7"/>
        <v>-70908.790769230778</v>
      </c>
      <c r="U129" s="1045"/>
      <c r="V129" s="893"/>
      <c r="W129" s="894">
        <f>+'ATT H-3D'!$H$45</f>
        <v>0.37201518739184425</v>
      </c>
      <c r="X129" s="895">
        <f t="shared" si="10"/>
        <v>0</v>
      </c>
      <c r="Y129" s="893">
        <f t="shared" si="9"/>
        <v>0</v>
      </c>
      <c r="Z129" s="894">
        <f>+'ATT H-3D'!$H$24</f>
        <v>0.14625503638690887</v>
      </c>
      <c r="AA129" s="896">
        <f t="shared" si="11"/>
        <v>0</v>
      </c>
      <c r="AB129" s="805"/>
      <c r="AC129" s="896">
        <f t="shared" si="12"/>
        <v>0</v>
      </c>
      <c r="AF129" s="96"/>
      <c r="AG129" s="96"/>
      <c r="AH129" s="880"/>
    </row>
    <row r="130" spans="1:34" s="688" customFormat="1">
      <c r="A130" s="1025"/>
      <c r="C130" s="1503" t="s">
        <v>1626</v>
      </c>
      <c r="D130" s="898"/>
      <c r="G130" s="891">
        <v>-96768.959999999992</v>
      </c>
      <c r="H130" s="891">
        <v>-99999.999999999956</v>
      </c>
      <c r="I130" s="891">
        <v>-99999.999999999956</v>
      </c>
      <c r="J130" s="891">
        <v>-99726.399999999965</v>
      </c>
      <c r="K130" s="891">
        <v>-99726.399999999965</v>
      </c>
      <c r="L130" s="891">
        <v>-99999.999999999956</v>
      </c>
      <c r="M130" s="891">
        <v>-99999.999999999956</v>
      </c>
      <c r="N130" s="891">
        <v>-99999.999999999956</v>
      </c>
      <c r="O130" s="891">
        <v>-99999.999999999956</v>
      </c>
      <c r="P130" s="891">
        <v>-99999.999999999956</v>
      </c>
      <c r="Q130" s="891">
        <v>-99999.999999999956</v>
      </c>
      <c r="R130" s="891">
        <v>-99999.999999999956</v>
      </c>
      <c r="S130" s="891">
        <v>-99999.999999999956</v>
      </c>
      <c r="T130" s="897">
        <f t="shared" si="7"/>
        <v>-99709.366153846131</v>
      </c>
      <c r="U130" s="1045"/>
      <c r="V130" s="893"/>
      <c r="W130" s="894">
        <f>+'ATT H-3D'!$H$45</f>
        <v>0.37201518739184425</v>
      </c>
      <c r="X130" s="895">
        <f t="shared" si="10"/>
        <v>0</v>
      </c>
      <c r="Y130" s="893">
        <f t="shared" si="9"/>
        <v>-70908.790769230778</v>
      </c>
      <c r="Z130" s="894">
        <f>+'ATT H-3D'!$H$24</f>
        <v>0.14625503638690887</v>
      </c>
      <c r="AA130" s="896">
        <f t="shared" si="11"/>
        <v>-10370.767774105556</v>
      </c>
      <c r="AB130" s="805"/>
      <c r="AC130" s="896">
        <f t="shared" si="12"/>
        <v>-10370.767774105556</v>
      </c>
      <c r="AF130" s="96"/>
      <c r="AG130" s="96"/>
      <c r="AH130" s="880"/>
    </row>
    <row r="131" spans="1:34" s="688" customFormat="1">
      <c r="A131" s="1025"/>
      <c r="C131" s="1503" t="s">
        <v>1627</v>
      </c>
      <c r="D131" s="898"/>
      <c r="G131" s="891">
        <v>-420637.69000000018</v>
      </c>
      <c r="H131" s="891">
        <v>-380865.45000000007</v>
      </c>
      <c r="I131" s="891">
        <v>-144004.12000000005</v>
      </c>
      <c r="J131" s="891">
        <v>-184853.59000000005</v>
      </c>
      <c r="K131" s="891">
        <v>-224384.95000000007</v>
      </c>
      <c r="L131" s="891">
        <v>-265234.42000000004</v>
      </c>
      <c r="M131" s="891">
        <v>-316413.72000000003</v>
      </c>
      <c r="N131" s="891">
        <v>-319184.85000000003</v>
      </c>
      <c r="O131" s="891">
        <v>-342481.07000000007</v>
      </c>
      <c r="P131" s="891">
        <v>-357346.67000000004</v>
      </c>
      <c r="Q131" s="891">
        <v>-322626.46000000002</v>
      </c>
      <c r="R131" s="891">
        <v>-316567.06</v>
      </c>
      <c r="S131" s="891">
        <v>-329716.96000000002</v>
      </c>
      <c r="T131" s="897">
        <f t="shared" si="7"/>
        <v>-301870.53923076927</v>
      </c>
      <c r="U131" s="1045"/>
      <c r="V131" s="893"/>
      <c r="W131" s="894">
        <f>+'ATT H-3D'!$H$45</f>
        <v>0.37201518739184425</v>
      </c>
      <c r="X131" s="895">
        <f t="shared" si="10"/>
        <v>0</v>
      </c>
      <c r="Y131" s="893">
        <f t="shared" si="9"/>
        <v>-99709.366153846131</v>
      </c>
      <c r="Z131" s="894">
        <f>+'ATT H-3D'!$H$24</f>
        <v>0.14625503638690887</v>
      </c>
      <c r="AA131" s="896">
        <f t="shared" si="11"/>
        <v>-14582.996974946385</v>
      </c>
      <c r="AB131" s="805"/>
      <c r="AC131" s="896">
        <f t="shared" si="12"/>
        <v>-14582.996974946385</v>
      </c>
      <c r="AF131" s="96"/>
      <c r="AG131" s="96"/>
      <c r="AH131" s="880"/>
    </row>
    <row r="132" spans="1:34" s="688" customFormat="1">
      <c r="A132" s="1025"/>
      <c r="C132" s="1503" t="s">
        <v>1628</v>
      </c>
      <c r="D132" s="898"/>
      <c r="G132" s="891">
        <v>1.4551915228366852E-11</v>
      </c>
      <c r="H132" s="891">
        <v>0</v>
      </c>
      <c r="I132" s="891">
        <v>0</v>
      </c>
      <c r="J132" s="891">
        <v>0</v>
      </c>
      <c r="K132" s="891">
        <v>0</v>
      </c>
      <c r="L132" s="891">
        <v>0</v>
      </c>
      <c r="M132" s="891">
        <v>0</v>
      </c>
      <c r="N132" s="891">
        <v>0</v>
      </c>
      <c r="O132" s="891">
        <v>0</v>
      </c>
      <c r="P132" s="891">
        <v>0</v>
      </c>
      <c r="Q132" s="891">
        <v>0</v>
      </c>
      <c r="R132" s="891">
        <v>0</v>
      </c>
      <c r="S132" s="891">
        <v>0</v>
      </c>
      <c r="T132" s="897">
        <f t="shared" si="7"/>
        <v>1.1193780944897579E-12</v>
      </c>
      <c r="U132" s="1045"/>
      <c r="V132" s="893"/>
      <c r="W132" s="894">
        <f>+'ATT H-3D'!$H$45</f>
        <v>0.37201518739184425</v>
      </c>
      <c r="X132" s="895">
        <f t="shared" si="10"/>
        <v>0</v>
      </c>
      <c r="Y132" s="893">
        <f t="shared" si="9"/>
        <v>-301870.53923076927</v>
      </c>
      <c r="Z132" s="894">
        <f>+'ATT H-3D'!$H$24</f>
        <v>0.14625503638690887</v>
      </c>
      <c r="AA132" s="896">
        <f t="shared" si="11"/>
        <v>-44150.086699331958</v>
      </c>
      <c r="AB132" s="805"/>
      <c r="AC132" s="896">
        <f t="shared" si="12"/>
        <v>-44150.086699331958</v>
      </c>
      <c r="AF132" s="96"/>
      <c r="AG132" s="96"/>
      <c r="AH132" s="880"/>
    </row>
    <row r="133" spans="1:34" s="688" customFormat="1">
      <c r="A133" s="1025"/>
      <c r="C133" s="890"/>
      <c r="D133" s="898"/>
      <c r="G133" s="891"/>
      <c r="H133" s="891"/>
      <c r="I133" s="891"/>
      <c r="J133" s="891"/>
      <c r="K133" s="891"/>
      <c r="L133" s="891"/>
      <c r="M133" s="891"/>
      <c r="N133" s="891"/>
      <c r="O133" s="891"/>
      <c r="P133" s="891"/>
      <c r="Q133" s="891"/>
      <c r="R133" s="891"/>
      <c r="S133" s="891"/>
      <c r="T133" s="897">
        <f t="shared" si="7"/>
        <v>0</v>
      </c>
      <c r="U133" s="1045"/>
      <c r="V133" s="893"/>
      <c r="W133" s="894">
        <f>+'ATT H-3D'!$H$45</f>
        <v>0.37201518739184425</v>
      </c>
      <c r="X133" s="895">
        <f t="shared" si="8"/>
        <v>0</v>
      </c>
      <c r="Y133" s="893">
        <f t="shared" si="9"/>
        <v>1.1193780944897579E-12</v>
      </c>
      <c r="Z133" s="894">
        <f>+'ATT H-3D'!$H$24</f>
        <v>0.14625503638690887</v>
      </c>
      <c r="AA133" s="896">
        <f t="shared" si="5"/>
        <v>1.6371468394030825E-13</v>
      </c>
      <c r="AB133" s="805"/>
      <c r="AC133" s="896">
        <f t="shared" si="6"/>
        <v>1.6371468394030825E-13</v>
      </c>
      <c r="AF133" s="96"/>
      <c r="AG133" s="96"/>
      <c r="AH133" s="880"/>
    </row>
    <row r="134" spans="1:34" s="688" customFormat="1">
      <c r="A134" s="1025"/>
      <c r="C134" s="890"/>
      <c r="D134" s="898"/>
      <c r="G134" s="891"/>
      <c r="H134" s="891"/>
      <c r="I134" s="891"/>
      <c r="J134" s="891"/>
      <c r="K134" s="891"/>
      <c r="L134" s="891"/>
      <c r="M134" s="891"/>
      <c r="N134" s="891"/>
      <c r="O134" s="891"/>
      <c r="P134" s="891"/>
      <c r="Q134" s="891"/>
      <c r="R134" s="891"/>
      <c r="S134" s="891"/>
      <c r="T134" s="897">
        <f t="shared" ref="T134:T137" si="13">SUM(G134:S134)/13</f>
        <v>0</v>
      </c>
      <c r="U134" s="1045"/>
      <c r="V134" s="893"/>
      <c r="W134" s="894">
        <f>+'ATT H-3D'!$H$45</f>
        <v>0.37201518739184425</v>
      </c>
      <c r="X134" s="895">
        <f t="shared" si="8"/>
        <v>0</v>
      </c>
      <c r="Y134" s="893">
        <f t="shared" si="9"/>
        <v>0</v>
      </c>
      <c r="Z134" s="894">
        <f>+'ATT H-3D'!$H$24</f>
        <v>0.14625503638690887</v>
      </c>
      <c r="AA134" s="896">
        <f t="shared" si="5"/>
        <v>0</v>
      </c>
      <c r="AB134" s="805"/>
      <c r="AC134" s="896">
        <f t="shared" si="6"/>
        <v>0</v>
      </c>
      <c r="AF134" s="96"/>
      <c r="AG134" s="96"/>
      <c r="AH134" s="880"/>
    </row>
    <row r="135" spans="1:34" s="688" customFormat="1">
      <c r="A135" s="1025"/>
      <c r="C135" s="890"/>
      <c r="D135" s="898"/>
      <c r="G135" s="891"/>
      <c r="H135" s="891"/>
      <c r="I135" s="891"/>
      <c r="J135" s="891"/>
      <c r="K135" s="891"/>
      <c r="L135" s="891"/>
      <c r="M135" s="891"/>
      <c r="N135" s="891"/>
      <c r="O135" s="891"/>
      <c r="P135" s="891"/>
      <c r="Q135" s="891"/>
      <c r="R135" s="891"/>
      <c r="S135" s="891"/>
      <c r="T135" s="897">
        <f t="shared" si="13"/>
        <v>0</v>
      </c>
      <c r="U135" s="1045"/>
      <c r="V135" s="893"/>
      <c r="W135" s="894">
        <f>+'ATT H-3D'!$H$45</f>
        <v>0.37201518739184425</v>
      </c>
      <c r="X135" s="895">
        <f t="shared" si="8"/>
        <v>0</v>
      </c>
      <c r="Y135" s="893">
        <f t="shared" si="9"/>
        <v>0</v>
      </c>
      <c r="Z135" s="894">
        <f>+'ATT H-3D'!$H$24</f>
        <v>0.14625503638690887</v>
      </c>
      <c r="AA135" s="896">
        <f t="shared" si="5"/>
        <v>0</v>
      </c>
      <c r="AB135" s="805"/>
      <c r="AC135" s="896">
        <f t="shared" si="6"/>
        <v>0</v>
      </c>
      <c r="AF135" s="96"/>
      <c r="AG135" s="96"/>
      <c r="AH135" s="880"/>
    </row>
    <row r="136" spans="1:34" s="688" customFormat="1" ht="13">
      <c r="A136" s="1025"/>
      <c r="C136" s="890"/>
      <c r="G136" s="899"/>
      <c r="H136" s="899"/>
      <c r="I136" s="899"/>
      <c r="J136" s="899"/>
      <c r="K136" s="899"/>
      <c r="L136" s="899"/>
      <c r="M136" s="899"/>
      <c r="N136" s="899"/>
      <c r="O136" s="899"/>
      <c r="P136" s="899"/>
      <c r="Q136" s="899"/>
      <c r="R136" s="899"/>
      <c r="S136" s="899"/>
      <c r="T136" s="900"/>
      <c r="U136" s="1045"/>
      <c r="V136" s="1506"/>
      <c r="W136" s="1507"/>
      <c r="X136" s="895"/>
      <c r="Y136" s="1506"/>
      <c r="Z136" s="894"/>
      <c r="AA136" s="896"/>
      <c r="AC136" s="896"/>
      <c r="AF136" s="96"/>
      <c r="AG136" s="96"/>
      <c r="AH136" s="880"/>
    </row>
    <row r="137" spans="1:34" s="688" customFormat="1" ht="13.5" thickBot="1">
      <c r="A137" s="1025"/>
      <c r="C137" s="901" t="s">
        <v>1017</v>
      </c>
      <c r="G137" s="902">
        <f t="shared" ref="G137:S137" si="14">SUM(G116:G136)</f>
        <v>-33373448.580000006</v>
      </c>
      <c r="H137" s="902">
        <f t="shared" si="14"/>
        <v>-33697479.43</v>
      </c>
      <c r="I137" s="902">
        <f t="shared" si="14"/>
        <v>-25079892.469999999</v>
      </c>
      <c r="J137" s="902">
        <f t="shared" si="14"/>
        <v>-27713732.529999997</v>
      </c>
      <c r="K137" s="902">
        <f t="shared" si="14"/>
        <v>-27884199.979999993</v>
      </c>
      <c r="L137" s="902">
        <f t="shared" si="14"/>
        <v>-28453505.440000001</v>
      </c>
      <c r="M137" s="902">
        <f t="shared" si="14"/>
        <v>-29213769.509999998</v>
      </c>
      <c r="N137" s="902">
        <f t="shared" si="14"/>
        <v>-29666701.489999995</v>
      </c>
      <c r="O137" s="902">
        <f t="shared" si="14"/>
        <v>-30147807.839999996</v>
      </c>
      <c r="P137" s="902">
        <f t="shared" si="14"/>
        <v>-31210795.02</v>
      </c>
      <c r="Q137" s="902">
        <f t="shared" si="14"/>
        <v>-30596657.329999998</v>
      </c>
      <c r="R137" s="902">
        <f t="shared" si="14"/>
        <v>-30670249.379999992</v>
      </c>
      <c r="S137" s="902">
        <f t="shared" si="14"/>
        <v>-32616538.439999994</v>
      </c>
      <c r="T137" s="903">
        <f t="shared" si="13"/>
        <v>-30024982.879999999</v>
      </c>
      <c r="U137" s="1045"/>
      <c r="V137" s="904">
        <f>SUM(V116:V136)</f>
        <v>-3203531.4238461535</v>
      </c>
      <c r="W137" s="905"/>
      <c r="X137" s="904">
        <f>SUM(X116:X136)</f>
        <v>-1191762.3429577884</v>
      </c>
      <c r="Y137" s="904">
        <f>SUM(Y116:Y136)</f>
        <v>-26821451.45615384</v>
      </c>
      <c r="Z137" s="906"/>
      <c r="AA137" s="904">
        <f>SUM(AA116:AA136)</f>
        <v>-3922772.3586694906</v>
      </c>
      <c r="AB137" s="904">
        <f>SUM(AB116:AB136)</f>
        <v>0</v>
      </c>
      <c r="AC137" s="904">
        <f>SUM(AC116:AC136)</f>
        <v>-5114534.7016272787</v>
      </c>
      <c r="AD137" s="898" t="s">
        <v>1460</v>
      </c>
      <c r="AF137" s="96"/>
      <c r="AG137" s="96"/>
      <c r="AH137" s="880"/>
    </row>
    <row r="138" spans="1:34" s="688" customFormat="1" ht="13.5" thickTop="1">
      <c r="A138" s="1025"/>
      <c r="C138" s="901"/>
      <c r="G138" s="907"/>
      <c r="H138" s="907"/>
      <c r="I138" s="907"/>
      <c r="J138" s="907"/>
      <c r="K138" s="907"/>
      <c r="L138" s="907"/>
      <c r="M138" s="907"/>
      <c r="N138" s="907"/>
      <c r="O138" s="907"/>
      <c r="P138" s="907"/>
      <c r="Q138" s="907"/>
      <c r="R138" s="907"/>
      <c r="S138" s="907"/>
      <c r="T138" s="908"/>
      <c r="U138" s="1046"/>
      <c r="V138" s="908"/>
      <c r="W138" s="905"/>
      <c r="X138" s="908"/>
      <c r="Y138" s="908"/>
      <c r="Z138" s="906"/>
      <c r="AA138" s="908"/>
      <c r="AB138" s="908"/>
      <c r="AC138" s="908"/>
      <c r="AD138" s="898"/>
      <c r="AF138" s="96"/>
      <c r="AG138" s="96"/>
      <c r="AH138" s="880"/>
    </row>
    <row r="139" spans="1:34" s="688" customFormat="1" ht="15" customHeight="1">
      <c r="A139" s="1025"/>
      <c r="C139" s="1835" t="s">
        <v>1018</v>
      </c>
      <c r="D139" s="1835"/>
      <c r="E139" s="1835"/>
      <c r="F139" s="1835"/>
      <c r="G139" s="1835"/>
      <c r="H139" s="1835"/>
      <c r="I139" s="1835"/>
      <c r="J139" s="1835"/>
      <c r="K139" s="1835"/>
      <c r="L139" s="1835"/>
      <c r="M139" s="1835"/>
      <c r="N139" s="1835"/>
      <c r="O139" s="1835"/>
      <c r="P139" s="1835"/>
      <c r="Q139" s="1835"/>
      <c r="R139" s="1835"/>
      <c r="S139" s="1835"/>
      <c r="T139" s="1835"/>
      <c r="U139" s="1046"/>
      <c r="V139" s="909"/>
      <c r="W139" s="905"/>
      <c r="X139" s="908"/>
      <c r="Y139" s="908"/>
      <c r="Z139" s="906"/>
      <c r="AA139" s="908"/>
      <c r="AB139" s="908"/>
      <c r="AC139" s="908"/>
      <c r="AD139" s="898"/>
      <c r="AF139" s="96"/>
      <c r="AG139" s="96"/>
      <c r="AH139" s="880"/>
    </row>
    <row r="140" spans="1:34" s="688" customFormat="1" ht="13">
      <c r="A140" s="1025"/>
      <c r="C140" s="1835"/>
      <c r="D140" s="1835"/>
      <c r="E140" s="1835"/>
      <c r="F140" s="1835"/>
      <c r="G140" s="1835"/>
      <c r="H140" s="1835"/>
      <c r="I140" s="1835"/>
      <c r="J140" s="1835"/>
      <c r="K140" s="1835"/>
      <c r="L140" s="1835"/>
      <c r="M140" s="1835"/>
      <c r="N140" s="1835"/>
      <c r="O140" s="1835"/>
      <c r="P140" s="1835"/>
      <c r="Q140" s="1835"/>
      <c r="R140" s="1835"/>
      <c r="S140" s="1835"/>
      <c r="T140" s="1835"/>
      <c r="U140" s="1046"/>
      <c r="V140" s="908"/>
      <c r="W140" s="905"/>
      <c r="X140" s="908"/>
      <c r="Y140" s="908"/>
      <c r="Z140" s="906"/>
      <c r="AA140" s="908"/>
      <c r="AB140" s="908"/>
      <c r="AC140" s="908"/>
      <c r="AD140" s="898"/>
      <c r="AF140" s="96"/>
      <c r="AG140" s="96"/>
      <c r="AH140" s="880"/>
    </row>
    <row r="141" spans="1:34" s="688" customFormat="1" ht="13">
      <c r="A141" s="1025"/>
      <c r="C141" s="1835"/>
      <c r="D141" s="1835"/>
      <c r="E141" s="1835"/>
      <c r="F141" s="1835"/>
      <c r="G141" s="1835"/>
      <c r="H141" s="1835"/>
      <c r="I141" s="1835"/>
      <c r="J141" s="1835"/>
      <c r="K141" s="1835"/>
      <c r="L141" s="1835"/>
      <c r="M141" s="1835"/>
      <c r="N141" s="1835"/>
      <c r="O141" s="1835"/>
      <c r="P141" s="1835"/>
      <c r="Q141" s="1835"/>
      <c r="R141" s="1835"/>
      <c r="S141" s="1835"/>
      <c r="T141" s="1835"/>
      <c r="U141" s="1046"/>
      <c r="V141" s="908"/>
      <c r="W141" s="905"/>
      <c r="X141" s="908"/>
      <c r="Y141" s="908"/>
      <c r="Z141" s="906"/>
      <c r="AA141" s="908"/>
      <c r="AB141" s="908"/>
      <c r="AC141" s="908"/>
      <c r="AD141" s="898"/>
      <c r="AF141" s="96"/>
      <c r="AG141" s="96"/>
      <c r="AH141" s="880"/>
    </row>
    <row r="142" spans="1:34" s="688" customFormat="1" ht="13" thickBot="1">
      <c r="A142" s="1047"/>
      <c r="B142" s="992"/>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992"/>
      <c r="X142" s="992"/>
      <c r="Y142" s="992"/>
      <c r="Z142" s="992"/>
      <c r="AA142" s="992"/>
      <c r="AB142" s="992"/>
      <c r="AC142" s="992"/>
      <c r="AD142" s="12"/>
      <c r="AE142" s="12"/>
      <c r="AF142" s="12"/>
      <c r="AG142" s="12"/>
      <c r="AH142" s="910"/>
    </row>
    <row r="143" spans="1:34" ht="13">
      <c r="A143" s="965"/>
      <c r="B143" s="965"/>
      <c r="C143" s="965"/>
      <c r="D143" s="965"/>
      <c r="E143" s="965"/>
      <c r="F143" s="965"/>
      <c r="G143" s="838"/>
      <c r="H143" s="838"/>
      <c r="I143" s="838"/>
      <c r="J143" s="838"/>
      <c r="K143" s="866"/>
      <c r="L143" s="838"/>
      <c r="M143" s="838"/>
      <c r="N143" s="838"/>
      <c r="O143" s="838"/>
      <c r="P143" s="838"/>
      <c r="Q143" s="838"/>
    </row>
    <row r="144" spans="1:34" ht="13.5" thickBot="1">
      <c r="A144" s="965"/>
      <c r="B144" s="965"/>
      <c r="C144" s="965"/>
      <c r="D144" s="965"/>
      <c r="E144" s="965"/>
      <c r="F144" s="965"/>
      <c r="G144" s="838"/>
      <c r="H144" s="838"/>
      <c r="I144" s="838"/>
      <c r="J144" s="838"/>
      <c r="K144" s="866"/>
      <c r="L144" s="838"/>
      <c r="M144" s="838"/>
      <c r="N144" s="838"/>
      <c r="O144" s="838"/>
      <c r="P144" s="838"/>
      <c r="Q144" s="838"/>
    </row>
    <row r="145" spans="1:17" ht="18">
      <c r="A145" s="1836" t="s">
        <v>1106</v>
      </c>
      <c r="B145" s="1837"/>
      <c r="C145" s="1837"/>
      <c r="D145" s="1837"/>
      <c r="E145" s="1837"/>
      <c r="F145" s="1837"/>
      <c r="G145" s="1049"/>
      <c r="H145" s="1050" t="s">
        <v>216</v>
      </c>
      <c r="I145" s="1050" t="s">
        <v>1000</v>
      </c>
      <c r="J145" s="1051" t="s">
        <v>1157</v>
      </c>
      <c r="K145" s="866"/>
      <c r="L145" s="838"/>
      <c r="M145" s="838"/>
      <c r="N145" s="838"/>
      <c r="O145" s="838"/>
      <c r="P145" s="838"/>
      <c r="Q145" s="838"/>
    </row>
    <row r="146" spans="1:17" ht="13">
      <c r="A146" s="1052"/>
      <c r="B146" s="965"/>
      <c r="C146" s="965" t="s">
        <v>1106</v>
      </c>
      <c r="D146" s="1631"/>
      <c r="E146" s="1632"/>
      <c r="F146" s="1635">
        <v>456</v>
      </c>
      <c r="G146" s="1525">
        <v>1100350.29</v>
      </c>
      <c r="H146" s="1634">
        <f>+'ATT H-3D'!H24</f>
        <v>0.14625503638690887</v>
      </c>
      <c r="I146" s="965" t="s">
        <v>1115</v>
      </c>
      <c r="J146" s="966" t="s">
        <v>1992</v>
      </c>
      <c r="K146" s="866"/>
      <c r="L146" s="838"/>
      <c r="M146" s="838"/>
      <c r="N146" s="838"/>
      <c r="O146" s="838"/>
      <c r="P146" s="838"/>
      <c r="Q146" s="838"/>
    </row>
    <row r="147" spans="1:17" ht="13">
      <c r="A147" s="1052"/>
      <c r="B147" s="965"/>
      <c r="C147" s="965"/>
      <c r="D147" s="1631"/>
      <c r="E147" s="1632"/>
      <c r="F147" s="1635">
        <v>456</v>
      </c>
      <c r="G147" s="1525">
        <v>0</v>
      </c>
      <c r="H147" s="1636">
        <v>1</v>
      </c>
      <c r="I147" s="965" t="s">
        <v>1016</v>
      </c>
      <c r="J147" s="1641"/>
      <c r="K147" s="866"/>
      <c r="L147" s="838"/>
      <c r="M147" s="838"/>
      <c r="N147" s="838"/>
      <c r="O147" s="838"/>
      <c r="P147" s="838"/>
      <c r="Q147" s="838"/>
    </row>
    <row r="148" spans="1:17" ht="13">
      <c r="A148" s="1052"/>
      <c r="B148" s="965"/>
      <c r="C148" s="965"/>
      <c r="D148" s="1631"/>
      <c r="E148" s="1632"/>
      <c r="F148" s="1632"/>
      <c r="G148" s="1633">
        <v>0</v>
      </c>
      <c r="H148" s="1634">
        <f>+'ATT H-3D'!H45</f>
        <v>0.37201518739184425</v>
      </c>
      <c r="I148" s="965" t="s">
        <v>520</v>
      </c>
      <c r="J148" s="966"/>
      <c r="K148" s="866"/>
      <c r="L148" s="838"/>
      <c r="M148" s="838"/>
      <c r="N148" s="838"/>
      <c r="O148" s="838"/>
      <c r="P148" s="838"/>
      <c r="Q148" s="838"/>
    </row>
    <row r="149" spans="1:17" ht="13">
      <c r="A149" s="1052"/>
      <c r="B149" s="965"/>
      <c r="C149" s="965"/>
      <c r="D149" s="1631"/>
      <c r="E149" s="1632"/>
      <c r="F149" s="1632"/>
      <c r="G149" s="1053"/>
      <c r="H149" s="1632"/>
      <c r="I149" s="965"/>
      <c r="J149" s="966"/>
      <c r="K149" s="866"/>
      <c r="L149" s="838"/>
      <c r="M149" s="838"/>
      <c r="N149" s="838"/>
      <c r="O149" s="838"/>
      <c r="P149" s="838"/>
      <c r="Q149" s="838"/>
    </row>
    <row r="150" spans="1:17" ht="13">
      <c r="A150" s="1052"/>
      <c r="B150" s="965"/>
      <c r="C150" s="965"/>
      <c r="D150" s="1631"/>
      <c r="E150" s="1632"/>
      <c r="F150" s="1632"/>
      <c r="G150" s="1637">
        <f>SUM(G146:G149)</f>
        <v>1100350.29</v>
      </c>
      <c r="H150" s="1632"/>
      <c r="I150" s="965"/>
      <c r="J150" s="966"/>
      <c r="K150" s="866"/>
      <c r="L150" s="838"/>
      <c r="M150" s="838"/>
      <c r="N150" s="838"/>
      <c r="O150" s="838"/>
      <c r="P150" s="838"/>
      <c r="Q150" s="838"/>
    </row>
    <row r="151" spans="1:17" ht="13">
      <c r="A151" s="1052"/>
      <c r="B151" s="965"/>
      <c r="C151" s="1638"/>
      <c r="D151" s="1631"/>
      <c r="E151" s="1639"/>
      <c r="F151" s="1632"/>
      <c r="G151" s="1640"/>
      <c r="H151" s="1632"/>
      <c r="I151" s="965"/>
      <c r="J151" s="966"/>
      <c r="K151" s="866"/>
      <c r="L151" s="838"/>
      <c r="M151" s="838"/>
      <c r="N151" s="838"/>
      <c r="O151" s="838"/>
      <c r="P151" s="838"/>
      <c r="Q151" s="838"/>
    </row>
    <row r="152" spans="1:17" ht="13">
      <c r="A152" s="1052"/>
      <c r="B152" s="965"/>
      <c r="C152" s="1638"/>
      <c r="D152" s="1631"/>
      <c r="E152" s="1639"/>
      <c r="F152" s="1632"/>
      <c r="G152" s="1640"/>
      <c r="H152" s="965"/>
      <c r="I152" s="965"/>
      <c r="J152" s="966"/>
      <c r="K152" s="866"/>
      <c r="L152" s="838"/>
      <c r="M152" s="838"/>
      <c r="N152" s="838"/>
      <c r="O152" s="838"/>
      <c r="P152" s="838"/>
      <c r="Q152" s="838"/>
    </row>
    <row r="153" spans="1:17" ht="13">
      <c r="A153" s="1052"/>
      <c r="B153" s="965"/>
      <c r="C153" s="1638"/>
      <c r="D153" s="1631"/>
      <c r="E153" s="1639"/>
      <c r="F153" s="1632"/>
      <c r="G153" s="1629"/>
      <c r="H153" s="1632"/>
      <c r="I153" s="965"/>
      <c r="J153" s="966"/>
      <c r="K153" s="866"/>
      <c r="L153" s="838"/>
      <c r="M153" s="838"/>
      <c r="N153" s="838"/>
      <c r="O153" s="838"/>
      <c r="P153" s="838"/>
      <c r="Q153" s="838"/>
    </row>
    <row r="154" spans="1:17" ht="13.5" thickBot="1">
      <c r="A154" s="991"/>
      <c r="B154" s="983"/>
      <c r="C154" s="983"/>
      <c r="D154" s="1054"/>
      <c r="E154" s="1055"/>
      <c r="F154" s="1055"/>
      <c r="G154" s="1054">
        <f>SUMPRODUCT(G146:G149,H146:H149)</f>
        <v>160931.77170229572</v>
      </c>
      <c r="H154" s="1055" t="s">
        <v>1107</v>
      </c>
      <c r="I154" s="983"/>
      <c r="J154" s="984"/>
      <c r="K154" s="866"/>
      <c r="L154" s="838"/>
      <c r="M154" s="838"/>
      <c r="N154" s="838"/>
      <c r="O154" s="838"/>
      <c r="P154" s="838"/>
      <c r="Q154" s="838"/>
    </row>
    <row r="155" spans="1:17" ht="13">
      <c r="A155" s="965"/>
      <c r="B155" s="965"/>
      <c r="C155" s="965"/>
      <c r="D155" s="965"/>
      <c r="E155" s="965"/>
      <c r="F155" s="965"/>
      <c r="G155" s="838"/>
      <c r="H155" s="838"/>
      <c r="I155" s="838"/>
      <c r="J155" s="838"/>
      <c r="K155" s="866"/>
      <c r="L155" s="838"/>
      <c r="M155" s="838"/>
      <c r="N155" s="838"/>
      <c r="O155" s="838"/>
      <c r="P155" s="838"/>
      <c r="Q155" s="838"/>
    </row>
    <row r="156" spans="1:17" ht="13">
      <c r="A156" s="965"/>
      <c r="B156" s="965"/>
      <c r="C156" s="965"/>
      <c r="D156" s="965"/>
      <c r="E156" s="965"/>
      <c r="F156" s="965"/>
      <c r="G156" s="838"/>
      <c r="H156" s="838"/>
      <c r="I156" s="838"/>
      <c r="J156" s="838"/>
      <c r="K156" s="866"/>
      <c r="L156" s="838"/>
      <c r="M156" s="838"/>
      <c r="N156" s="838"/>
      <c r="O156" s="838"/>
      <c r="P156" s="838"/>
      <c r="Q156" s="838"/>
    </row>
    <row r="157" spans="1:17" ht="18.5" thickBot="1">
      <c r="A157" s="1118" t="s">
        <v>113</v>
      </c>
      <c r="G157" s="7"/>
      <c r="H157" s="7"/>
      <c r="I157" s="7"/>
      <c r="J157" s="7"/>
      <c r="K157" s="7"/>
      <c r="L157" s="7"/>
      <c r="M157" s="7"/>
      <c r="N157" s="7"/>
      <c r="O157" s="7"/>
      <c r="P157" s="7"/>
      <c r="Q157" s="7"/>
    </row>
    <row r="158" spans="1:17" ht="26">
      <c r="A158" s="1803" t="s">
        <v>48</v>
      </c>
      <c r="B158" s="1804"/>
      <c r="C158" s="1804"/>
      <c r="D158" s="1804"/>
      <c r="E158" s="1804"/>
      <c r="F158" s="1805"/>
      <c r="G158" s="837" t="s">
        <v>311</v>
      </c>
      <c r="H158" s="1806" t="s">
        <v>114</v>
      </c>
      <c r="I158" s="1806"/>
      <c r="J158" s="1806"/>
      <c r="K158" s="1806"/>
      <c r="L158" s="1806"/>
      <c r="M158" s="1806"/>
      <c r="N158" s="1806"/>
      <c r="O158" s="1806"/>
      <c r="P158" s="1806"/>
      <c r="Q158" s="1822"/>
    </row>
    <row r="159" spans="1:17" ht="13">
      <c r="A159" s="861"/>
      <c r="B159" s="972" t="s">
        <v>115</v>
      </c>
      <c r="C159" s="917"/>
      <c r="D159" s="1056"/>
      <c r="E159" s="996"/>
      <c r="F159" s="1015"/>
      <c r="G159" s="846" t="s">
        <v>94</v>
      </c>
      <c r="H159" s="838"/>
      <c r="I159" s="838"/>
      <c r="J159" s="838"/>
      <c r="K159" s="838"/>
      <c r="L159" s="838"/>
      <c r="M159" s="838"/>
      <c r="N159" s="838"/>
      <c r="O159" s="838"/>
      <c r="P159" s="838"/>
      <c r="Q159" s="565"/>
    </row>
    <row r="160" spans="1:17" ht="12.75" customHeight="1">
      <c r="A160" s="967">
        <v>55</v>
      </c>
      <c r="B160" s="985"/>
      <c r="C160" s="108" t="s">
        <v>311</v>
      </c>
      <c r="D160" s="985"/>
      <c r="E160" s="968" t="s">
        <v>786</v>
      </c>
      <c r="F160" s="990" t="s">
        <v>312</v>
      </c>
      <c r="G160" s="846">
        <v>0</v>
      </c>
      <c r="H160" s="1799" t="s">
        <v>77</v>
      </c>
      <c r="I160" s="1799"/>
      <c r="J160" s="1799"/>
      <c r="K160" s="1799"/>
      <c r="L160" s="1799"/>
      <c r="M160" s="1799"/>
      <c r="N160" s="1799"/>
      <c r="O160" s="1799"/>
      <c r="P160" s="1799"/>
      <c r="Q160" s="1823"/>
    </row>
    <row r="161" spans="1:18" ht="13">
      <c r="A161" s="967"/>
      <c r="B161" s="985"/>
      <c r="C161" s="108"/>
      <c r="D161" s="985"/>
      <c r="E161" s="968"/>
      <c r="F161" s="990"/>
      <c r="G161" s="838"/>
      <c r="H161" s="838"/>
      <c r="I161" s="838"/>
      <c r="J161" s="838"/>
      <c r="K161" s="838"/>
      <c r="L161" s="838"/>
      <c r="M161" s="838"/>
      <c r="N161" s="838"/>
      <c r="O161" s="846"/>
      <c r="P161" s="838"/>
      <c r="Q161" s="565"/>
    </row>
    <row r="162" spans="1:18" ht="13">
      <c r="A162" s="967"/>
      <c r="B162" s="985"/>
      <c r="C162" s="108"/>
      <c r="D162" s="985"/>
      <c r="E162" s="968"/>
      <c r="F162" s="990"/>
      <c r="H162" s="1799"/>
      <c r="I162" s="1799"/>
      <c r="J162" s="1799"/>
      <c r="K162" s="1799"/>
      <c r="L162" s="1799"/>
      <c r="M162" s="1799"/>
      <c r="N162" s="1799"/>
      <c r="O162" s="1799"/>
      <c r="P162" s="1799"/>
      <c r="Q162" s="1823"/>
    </row>
    <row r="163" spans="1:18" ht="13">
      <c r="A163" s="967"/>
      <c r="B163" s="985"/>
      <c r="C163" s="108"/>
      <c r="D163" s="985"/>
      <c r="E163" s="968"/>
      <c r="F163" s="990"/>
      <c r="G163" s="846"/>
      <c r="H163" s="1799"/>
      <c r="I163" s="1799"/>
      <c r="J163" s="1799"/>
      <c r="K163" s="1799"/>
      <c r="L163" s="1799"/>
      <c r="M163" s="1799"/>
      <c r="N163" s="1799"/>
      <c r="O163" s="1799"/>
      <c r="P163" s="1799"/>
      <c r="Q163" s="1823"/>
    </row>
    <row r="164" spans="1:18" ht="13">
      <c r="A164" s="967"/>
      <c r="B164" s="985"/>
      <c r="C164" s="108"/>
      <c r="D164" s="985"/>
      <c r="E164" s="968"/>
      <c r="F164" s="990"/>
      <c r="G164" s="846"/>
      <c r="H164" s="1799"/>
      <c r="I164" s="1799"/>
      <c r="J164" s="1799"/>
      <c r="K164" s="1799"/>
      <c r="L164" s="1799"/>
      <c r="M164" s="1799"/>
      <c r="N164" s="1799"/>
      <c r="O164" s="1799"/>
      <c r="P164" s="1799"/>
      <c r="Q164" s="1823"/>
    </row>
    <row r="165" spans="1:18" ht="13">
      <c r="A165" s="967">
        <v>56</v>
      </c>
      <c r="B165" s="985"/>
      <c r="C165" s="551" t="s">
        <v>1114</v>
      </c>
      <c r="D165" s="985"/>
      <c r="E165" s="968" t="s">
        <v>786</v>
      </c>
      <c r="F165" s="990" t="s">
        <v>312</v>
      </c>
      <c r="G165" s="846">
        <v>0</v>
      </c>
      <c r="H165" s="1799" t="s">
        <v>77</v>
      </c>
      <c r="I165" s="1799"/>
      <c r="J165" s="1799"/>
      <c r="K165" s="1799"/>
      <c r="L165" s="1799"/>
      <c r="M165" s="1799"/>
      <c r="N165" s="1799"/>
      <c r="O165" s="1799"/>
      <c r="P165" s="1799"/>
      <c r="Q165" s="1823"/>
    </row>
    <row r="166" spans="1:18" ht="13">
      <c r="A166" s="967"/>
      <c r="B166" s="985"/>
      <c r="C166" s="985"/>
      <c r="D166" s="985"/>
      <c r="E166" s="968"/>
      <c r="F166" s="1057"/>
      <c r="G166" s="846"/>
      <c r="H166" s="1799"/>
      <c r="I166" s="1799"/>
      <c r="J166" s="1799"/>
      <c r="K166" s="1799"/>
      <c r="L166" s="1799"/>
      <c r="M166" s="1799"/>
      <c r="N166" s="1799"/>
      <c r="O166" s="1799"/>
      <c r="P166" s="1799"/>
      <c r="Q166" s="1823"/>
    </row>
    <row r="167" spans="1:18" ht="13">
      <c r="A167" s="967"/>
      <c r="B167" s="985"/>
      <c r="C167" s="985"/>
      <c r="D167" s="985"/>
      <c r="E167" s="968"/>
      <c r="F167" s="1057"/>
      <c r="G167" s="846"/>
      <c r="H167" s="1799"/>
      <c r="I167" s="1799"/>
      <c r="J167" s="1799"/>
      <c r="K167" s="1799"/>
      <c r="L167" s="1799"/>
      <c r="M167" s="1799"/>
      <c r="N167" s="1799"/>
      <c r="O167" s="1799"/>
      <c r="P167" s="1799"/>
      <c r="Q167" s="1823"/>
    </row>
    <row r="168" spans="1:18" ht="13">
      <c r="A168" s="967"/>
      <c r="B168" s="985"/>
      <c r="C168" s="985"/>
      <c r="D168" s="985"/>
      <c r="E168" s="968"/>
      <c r="F168" s="1057"/>
      <c r="G168" s="846"/>
      <c r="H168" s="1799"/>
      <c r="I168" s="1799"/>
      <c r="J168" s="1799"/>
      <c r="K168" s="1799"/>
      <c r="L168" s="1799"/>
      <c r="M168" s="1799"/>
      <c r="N168" s="1799"/>
      <c r="O168" s="1799"/>
      <c r="P168" s="1799"/>
      <c r="Q168" s="1823"/>
    </row>
    <row r="169" spans="1:18" ht="13.5" thickBot="1">
      <c r="A169" s="997"/>
      <c r="B169" s="1003"/>
      <c r="C169" s="1003"/>
      <c r="D169" s="1003"/>
      <c r="E169" s="1000"/>
      <c r="F169" s="1058"/>
      <c r="G169" s="567"/>
      <c r="H169" s="567"/>
      <c r="I169" s="567"/>
      <c r="J169" s="567"/>
      <c r="K169" s="865" t="s">
        <v>105</v>
      </c>
      <c r="L169" s="567"/>
      <c r="M169" s="567"/>
      <c r="N169" s="567"/>
      <c r="O169" s="567"/>
      <c r="P169" s="567"/>
      <c r="Q169" s="569"/>
    </row>
    <row r="170" spans="1:18" ht="13">
      <c r="A170" s="985"/>
      <c r="B170" s="985"/>
      <c r="C170" s="985"/>
      <c r="D170" s="985"/>
      <c r="E170" s="968"/>
      <c r="F170" s="985"/>
      <c r="G170" s="838"/>
      <c r="H170" s="838"/>
      <c r="I170" s="838"/>
      <c r="J170" s="838"/>
      <c r="K170" s="866"/>
      <c r="L170" s="838"/>
      <c r="M170" s="838"/>
      <c r="N170" s="838"/>
      <c r="O170" s="838"/>
      <c r="P170" s="838"/>
      <c r="Q170" s="838"/>
    </row>
    <row r="171" spans="1:18" ht="13">
      <c r="A171" s="985"/>
      <c r="B171" s="985"/>
      <c r="C171" s="985"/>
      <c r="D171" s="985"/>
      <c r="E171" s="968"/>
      <c r="F171" s="985"/>
      <c r="G171" s="838"/>
      <c r="H171" s="838"/>
      <c r="I171" s="838"/>
      <c r="J171" s="838"/>
      <c r="K171" s="866"/>
      <c r="L171" s="838"/>
      <c r="M171" s="838"/>
      <c r="N171" s="838"/>
      <c r="O171" s="838"/>
      <c r="P171" s="838"/>
      <c r="Q171" s="838"/>
    </row>
    <row r="172" spans="1:18" ht="18.5" thickBot="1">
      <c r="A172" s="1120" t="s">
        <v>116</v>
      </c>
      <c r="B172" s="985"/>
      <c r="C172" s="985"/>
      <c r="D172" s="985"/>
      <c r="E172" s="968"/>
      <c r="F172" s="985"/>
      <c r="G172" s="838"/>
      <c r="H172" s="838"/>
      <c r="I172" s="838"/>
      <c r="J172" s="838"/>
      <c r="K172" s="866"/>
      <c r="L172" s="838"/>
      <c r="M172" s="838"/>
      <c r="N172" s="838"/>
      <c r="O172" s="838"/>
      <c r="P172" s="838"/>
      <c r="Q172" s="838"/>
    </row>
    <row r="173" spans="1:18" ht="13">
      <c r="A173" s="1803" t="s">
        <v>48</v>
      </c>
      <c r="B173" s="1804"/>
      <c r="C173" s="1804"/>
      <c r="D173" s="1804"/>
      <c r="E173" s="1804"/>
      <c r="F173" s="1805"/>
      <c r="G173" s="1059" t="s">
        <v>117</v>
      </c>
      <c r="H173" s="911" t="s">
        <v>118</v>
      </c>
      <c r="I173" s="911" t="s">
        <v>119</v>
      </c>
      <c r="J173" s="911" t="s">
        <v>120</v>
      </c>
      <c r="K173" s="912"/>
      <c r="L173" s="911"/>
      <c r="M173" s="911"/>
      <c r="N173" s="911"/>
      <c r="O173" s="911"/>
      <c r="P173" s="911"/>
      <c r="Q173" s="913"/>
    </row>
    <row r="174" spans="1:18" ht="13">
      <c r="A174" s="967">
        <v>61</v>
      </c>
      <c r="B174" s="985"/>
      <c r="C174" s="108" t="s">
        <v>318</v>
      </c>
      <c r="D174" s="985"/>
      <c r="E174" s="985"/>
      <c r="F174" s="1060" t="s">
        <v>299</v>
      </c>
      <c r="G174" s="914">
        <v>0</v>
      </c>
      <c r="H174" s="838"/>
      <c r="I174" s="838"/>
      <c r="J174" s="838"/>
      <c r="K174" s="866"/>
      <c r="L174" s="838"/>
      <c r="M174" s="838"/>
      <c r="N174" s="838"/>
      <c r="O174" s="838"/>
      <c r="P174" s="838"/>
      <c r="Q174" s="565"/>
      <c r="R174" s="7"/>
    </row>
    <row r="175" spans="1:18" ht="13.5" thickBot="1">
      <c r="A175" s="997">
        <v>62</v>
      </c>
      <c r="B175" s="1003"/>
      <c r="C175" s="999" t="s">
        <v>319</v>
      </c>
      <c r="D175" s="1003"/>
      <c r="E175" s="1003"/>
      <c r="F175" s="1061" t="s">
        <v>299</v>
      </c>
      <c r="G175" s="915">
        <v>0</v>
      </c>
      <c r="H175" s="567">
        <v>5</v>
      </c>
      <c r="I175" s="916">
        <v>0</v>
      </c>
      <c r="J175" s="916">
        <v>0</v>
      </c>
      <c r="K175" s="865"/>
      <c r="L175" s="567"/>
      <c r="M175" s="567"/>
      <c r="N175" s="567"/>
      <c r="O175" s="567"/>
      <c r="P175" s="567"/>
      <c r="Q175" s="569"/>
      <c r="R175" s="7"/>
    </row>
    <row r="176" spans="1:18" ht="13">
      <c r="A176" s="985"/>
      <c r="B176" s="985"/>
      <c r="C176" s="985"/>
      <c r="D176" s="985"/>
      <c r="E176" s="968"/>
      <c r="F176" s="985"/>
      <c r="G176" s="838"/>
      <c r="H176" s="838"/>
      <c r="I176" s="838"/>
      <c r="J176" s="838"/>
      <c r="K176" s="866"/>
      <c r="L176" s="838"/>
      <c r="M176" s="838"/>
      <c r="N176" s="838"/>
      <c r="O176" s="838"/>
      <c r="P176" s="838"/>
      <c r="Q176" s="838"/>
    </row>
    <row r="177" spans="1:18" ht="13">
      <c r="A177" s="985"/>
      <c r="B177" s="985"/>
      <c r="C177" s="985"/>
      <c r="D177" s="985"/>
      <c r="E177" s="968"/>
      <c r="F177" s="985"/>
      <c r="G177" s="838"/>
      <c r="H177" s="838"/>
      <c r="I177" s="838"/>
      <c r="J177" s="838"/>
      <c r="K177" s="866"/>
      <c r="L177" s="838"/>
      <c r="M177" s="838"/>
      <c r="N177" s="838"/>
      <c r="O177" s="838"/>
      <c r="P177" s="838"/>
      <c r="Q177" s="838"/>
    </row>
    <row r="178" spans="1:18" ht="18.5" thickBot="1">
      <c r="A178" s="1118" t="s">
        <v>121</v>
      </c>
      <c r="G178" s="7"/>
      <c r="H178" s="7"/>
      <c r="I178" s="7"/>
      <c r="J178" s="7"/>
      <c r="K178" s="7"/>
      <c r="L178" s="7"/>
      <c r="M178" s="7"/>
      <c r="N178" s="7"/>
      <c r="O178" s="7"/>
      <c r="P178" s="7"/>
      <c r="Q178" s="7"/>
    </row>
    <row r="179" spans="1:18" ht="26">
      <c r="A179" s="1803" t="s">
        <v>48</v>
      </c>
      <c r="B179" s="1804"/>
      <c r="C179" s="1804"/>
      <c r="D179" s="1804"/>
      <c r="E179" s="1804"/>
      <c r="F179" s="1805"/>
      <c r="G179" s="837" t="s">
        <v>414</v>
      </c>
      <c r="H179" s="1806" t="s">
        <v>122</v>
      </c>
      <c r="I179" s="1830"/>
      <c r="J179" s="1830"/>
      <c r="K179" s="1830"/>
      <c r="L179" s="1830"/>
      <c r="M179" s="1830"/>
      <c r="N179" s="1830"/>
      <c r="O179" s="1830"/>
      <c r="P179" s="1830"/>
      <c r="Q179" s="1831"/>
    </row>
    <row r="180" spans="1:18" ht="13">
      <c r="A180" s="967"/>
      <c r="B180" s="972" t="s">
        <v>411</v>
      </c>
      <c r="C180" s="985"/>
      <c r="D180" s="985"/>
      <c r="E180" s="985"/>
      <c r="F180" s="1057"/>
      <c r="G180" s="838"/>
      <c r="H180" s="838"/>
      <c r="I180" s="838"/>
      <c r="J180" s="838"/>
      <c r="K180" s="838"/>
      <c r="L180" s="838"/>
      <c r="M180" s="838"/>
      <c r="N180" s="838"/>
      <c r="O180" s="838"/>
      <c r="P180" s="838"/>
      <c r="Q180" s="565"/>
    </row>
    <row r="181" spans="1:18" ht="13">
      <c r="A181" s="967">
        <v>155</v>
      </c>
      <c r="B181" s="985"/>
      <c r="C181" s="108" t="s">
        <v>414</v>
      </c>
      <c r="D181" s="985"/>
      <c r="E181" s="968" t="s">
        <v>786</v>
      </c>
      <c r="F181" s="990" t="s">
        <v>323</v>
      </c>
      <c r="G181" s="917">
        <v>0</v>
      </c>
      <c r="H181" s="838"/>
      <c r="I181" s="838"/>
      <c r="J181" s="838"/>
      <c r="K181" s="838"/>
      <c r="L181" s="917" t="s">
        <v>77</v>
      </c>
      <c r="M181" s="838"/>
      <c r="N181" s="838"/>
      <c r="O181" s="838"/>
      <c r="P181" s="838"/>
      <c r="Q181" s="838"/>
      <c r="R181" s="7"/>
    </row>
    <row r="182" spans="1:18" ht="13">
      <c r="A182" s="967"/>
      <c r="B182" s="985"/>
      <c r="C182" s="985"/>
      <c r="D182" s="985"/>
      <c r="E182" s="968"/>
      <c r="F182" s="1057"/>
      <c r="G182" s="838"/>
      <c r="H182" s="838"/>
      <c r="I182" s="838"/>
      <c r="J182" s="838"/>
      <c r="K182" s="838"/>
      <c r="L182" s="838"/>
      <c r="M182" s="838"/>
      <c r="N182" s="838"/>
      <c r="O182" s="846"/>
      <c r="P182" s="838"/>
      <c r="Q182" s="565"/>
    </row>
    <row r="183" spans="1:18" ht="13">
      <c r="A183" s="967"/>
      <c r="B183" s="985"/>
      <c r="C183" s="985"/>
      <c r="D183" s="985"/>
      <c r="E183" s="968"/>
      <c r="F183" s="1057"/>
      <c r="G183" s="846" t="s">
        <v>94</v>
      </c>
      <c r="H183" s="838"/>
      <c r="I183" s="838"/>
      <c r="J183" s="838"/>
      <c r="K183" s="838"/>
      <c r="L183" s="838"/>
      <c r="M183" s="838"/>
      <c r="N183" s="838"/>
      <c r="O183" s="838"/>
      <c r="P183" s="838"/>
      <c r="Q183" s="838"/>
    </row>
    <row r="184" spans="1:18" ht="13">
      <c r="A184" s="967"/>
      <c r="B184" s="985"/>
      <c r="C184" s="985"/>
      <c r="D184" s="985"/>
      <c r="E184" s="968"/>
      <c r="F184" s="1057"/>
      <c r="G184" s="846"/>
      <c r="H184" s="1799"/>
      <c r="I184" s="1797"/>
      <c r="J184" s="1797"/>
      <c r="K184" s="1797"/>
      <c r="L184" s="1797"/>
      <c r="M184" s="1797"/>
      <c r="N184" s="1797"/>
      <c r="O184" s="1797"/>
      <c r="P184" s="1797"/>
      <c r="Q184" s="1798"/>
    </row>
    <row r="185" spans="1:18" ht="13.5" thickBot="1">
      <c r="A185" s="997"/>
      <c r="B185" s="1003"/>
      <c r="C185" s="1003"/>
      <c r="D185" s="1003"/>
      <c r="E185" s="1000"/>
      <c r="F185" s="1058"/>
      <c r="G185" s="567"/>
      <c r="H185" s="567"/>
      <c r="I185" s="567"/>
      <c r="J185" s="567"/>
      <c r="K185" s="865" t="s">
        <v>105</v>
      </c>
      <c r="L185" s="567"/>
      <c r="M185" s="567"/>
      <c r="N185" s="567"/>
      <c r="O185" s="567"/>
      <c r="P185" s="567"/>
      <c r="Q185" s="569"/>
    </row>
    <row r="186" spans="1:18" ht="13">
      <c r="A186" s="985"/>
      <c r="B186" s="985"/>
      <c r="C186" s="985"/>
      <c r="D186" s="985"/>
      <c r="E186" s="968"/>
      <c r="F186" s="985"/>
      <c r="G186" s="838"/>
      <c r="H186" s="838"/>
      <c r="I186" s="838"/>
      <c r="J186" s="838"/>
      <c r="K186" s="866"/>
      <c r="L186" s="838"/>
      <c r="M186" s="838"/>
      <c r="N186" s="838"/>
      <c r="O186" s="838"/>
      <c r="P186" s="838"/>
      <c r="Q186" s="838"/>
    </row>
    <row r="187" spans="1:18" ht="13">
      <c r="A187" s="985"/>
      <c r="B187" s="985"/>
      <c r="C187" s="985"/>
      <c r="D187" s="985"/>
      <c r="E187" s="968"/>
      <c r="F187" s="985"/>
      <c r="G187" s="838"/>
      <c r="H187" s="838"/>
      <c r="I187" s="838"/>
      <c r="J187" s="838"/>
      <c r="K187" s="866"/>
      <c r="L187" s="838"/>
      <c r="M187" s="838"/>
      <c r="N187" s="838"/>
      <c r="O187" s="838"/>
      <c r="P187" s="838"/>
      <c r="Q187" s="838"/>
    </row>
    <row r="188" spans="1:18" ht="18.5" thickBot="1">
      <c r="A188" s="1118" t="s">
        <v>430</v>
      </c>
      <c r="G188" s="7"/>
      <c r="H188" s="7"/>
      <c r="I188" s="7"/>
      <c r="J188" s="7"/>
      <c r="K188" s="7"/>
      <c r="L188" s="7"/>
      <c r="M188" s="7"/>
      <c r="N188" s="7"/>
      <c r="O188" s="7"/>
      <c r="P188" s="7"/>
      <c r="Q188" s="7"/>
    </row>
    <row r="189" spans="1:18" ht="13">
      <c r="A189" s="1803" t="s">
        <v>48</v>
      </c>
      <c r="B189" s="1804"/>
      <c r="C189" s="1804"/>
      <c r="D189" s="1804"/>
      <c r="E189" s="1804"/>
      <c r="F189" s="1805"/>
      <c r="G189" s="837" t="s">
        <v>106</v>
      </c>
      <c r="H189" s="1806" t="s">
        <v>123</v>
      </c>
      <c r="I189" s="1830"/>
      <c r="J189" s="1830"/>
      <c r="K189" s="1830"/>
      <c r="L189" s="1830"/>
      <c r="M189" s="1830"/>
      <c r="N189" s="1830"/>
      <c r="O189" s="1830"/>
      <c r="P189" s="1830"/>
      <c r="Q189" s="1831"/>
    </row>
    <row r="190" spans="1:18" ht="13">
      <c r="A190" s="967"/>
      <c r="B190" s="860" t="s">
        <v>415</v>
      </c>
      <c r="C190" s="845"/>
      <c r="D190" s="845"/>
      <c r="E190" s="964"/>
      <c r="F190" s="923"/>
      <c r="G190" s="838"/>
      <c r="H190" s="838"/>
      <c r="I190" s="838"/>
      <c r="J190" s="838"/>
      <c r="K190" s="838"/>
      <c r="L190" s="838"/>
      <c r="M190" s="838"/>
      <c r="N190" s="838"/>
      <c r="O190" s="838"/>
      <c r="P190" s="838"/>
      <c r="Q190" s="565"/>
    </row>
    <row r="191" spans="1:18" ht="13.5" thickBot="1">
      <c r="A191" s="997">
        <v>171</v>
      </c>
      <c r="B191" s="998"/>
      <c r="C191" s="999" t="s">
        <v>430</v>
      </c>
      <c r="D191" s="1010"/>
      <c r="E191" s="1003"/>
      <c r="F191" s="1003"/>
      <c r="G191" s="918">
        <v>0</v>
      </c>
      <c r="H191" s="1832"/>
      <c r="I191" s="1801"/>
      <c r="J191" s="1801"/>
      <c r="K191" s="1801"/>
      <c r="L191" s="1801"/>
      <c r="M191" s="1801"/>
      <c r="N191" s="1801"/>
      <c r="O191" s="1801"/>
      <c r="P191" s="1801"/>
      <c r="Q191" s="1802"/>
    </row>
    <row r="192" spans="1:18" ht="13">
      <c r="A192" s="985"/>
      <c r="B192" s="985"/>
      <c r="C192" s="985"/>
      <c r="D192" s="985"/>
      <c r="E192" s="968"/>
      <c r="F192" s="985"/>
      <c r="G192" s="838"/>
      <c r="H192" s="838"/>
      <c r="I192" s="838"/>
      <c r="J192" s="838"/>
      <c r="K192" s="866"/>
      <c r="L192" s="838"/>
      <c r="M192" s="838"/>
      <c r="N192" s="838"/>
      <c r="O192" s="838"/>
      <c r="P192" s="838"/>
      <c r="Q192" s="838"/>
    </row>
    <row r="193" spans="1:17" ht="13">
      <c r="A193" s="985"/>
      <c r="B193" s="985"/>
      <c r="C193" s="985"/>
      <c r="D193" s="985"/>
      <c r="E193" s="968"/>
      <c r="F193" s="985"/>
      <c r="G193" s="838"/>
      <c r="H193" s="838"/>
      <c r="I193" s="838"/>
      <c r="J193" s="838"/>
      <c r="K193" s="866"/>
      <c r="L193" s="838"/>
      <c r="M193" s="838"/>
      <c r="N193" s="838"/>
      <c r="O193" s="838"/>
      <c r="P193" s="838"/>
      <c r="Q193" s="838"/>
    </row>
    <row r="194" spans="1:17" ht="18.5" thickBot="1">
      <c r="A194" s="1118" t="s">
        <v>124</v>
      </c>
      <c r="G194" s="7"/>
      <c r="H194" s="7"/>
      <c r="I194" s="7"/>
      <c r="J194" s="7"/>
      <c r="K194" s="7"/>
      <c r="L194" s="7"/>
      <c r="M194" s="7"/>
      <c r="N194" s="7"/>
      <c r="O194" s="7"/>
      <c r="P194" s="7"/>
      <c r="Q194" s="7"/>
    </row>
    <row r="195" spans="1:17" ht="13">
      <c r="A195" s="1803" t="s">
        <v>48</v>
      </c>
      <c r="B195" s="1804"/>
      <c r="C195" s="1804"/>
      <c r="D195" s="1804"/>
      <c r="E195" s="1804"/>
      <c r="F195" s="1805"/>
      <c r="G195" s="837" t="s">
        <v>433</v>
      </c>
      <c r="H195" s="1806" t="s">
        <v>123</v>
      </c>
      <c r="I195" s="1830"/>
      <c r="J195" s="1830"/>
      <c r="K195" s="1830"/>
      <c r="L195" s="1830"/>
      <c r="M195" s="1830"/>
      <c r="N195" s="1830"/>
      <c r="O195" s="1830"/>
      <c r="P195" s="1830"/>
      <c r="Q195" s="1831"/>
    </row>
    <row r="196" spans="1:17" ht="13">
      <c r="A196" s="967"/>
      <c r="B196" s="860" t="s">
        <v>125</v>
      </c>
      <c r="C196" s="845"/>
      <c r="D196" s="845"/>
      <c r="E196" s="964"/>
      <c r="F196" s="923"/>
      <c r="G196" s="838"/>
      <c r="H196" s="838"/>
      <c r="I196" s="838"/>
      <c r="J196" s="838"/>
      <c r="K196" s="838"/>
      <c r="L196" s="838"/>
      <c r="M196" s="838"/>
      <c r="N196" s="838"/>
      <c r="O196" s="838"/>
      <c r="P196" s="838"/>
      <c r="Q196" s="565"/>
    </row>
    <row r="197" spans="1:17" ht="13.5" thickBot="1">
      <c r="A197" s="997">
        <v>173</v>
      </c>
      <c r="B197" s="998"/>
      <c r="C197" s="999" t="s">
        <v>433</v>
      </c>
      <c r="D197" s="1010"/>
      <c r="E197" s="1000" t="s">
        <v>811</v>
      </c>
      <c r="F197" s="1007" t="s">
        <v>323</v>
      </c>
      <c r="G197" s="919">
        <v>4006</v>
      </c>
      <c r="H197" s="1832" t="s">
        <v>1997</v>
      </c>
      <c r="I197" s="1801"/>
      <c r="J197" s="1801"/>
      <c r="K197" s="1801"/>
      <c r="L197" s="1801"/>
      <c r="M197" s="1801"/>
      <c r="N197" s="1801"/>
      <c r="O197" s="1801"/>
      <c r="P197" s="1801"/>
      <c r="Q197" s="1802"/>
    </row>
    <row r="198" spans="1:17">
      <c r="G198" s="7"/>
      <c r="H198" s="7"/>
      <c r="I198" s="7"/>
      <c r="J198" s="7"/>
      <c r="K198" s="7"/>
      <c r="L198" s="7"/>
      <c r="M198" s="7"/>
      <c r="N198" s="7"/>
      <c r="O198" s="7"/>
      <c r="P198" s="7"/>
      <c r="Q198" s="7"/>
    </row>
    <row r="199" spans="1:17">
      <c r="G199" s="7"/>
      <c r="H199" s="7"/>
      <c r="I199" s="7"/>
      <c r="J199" s="7"/>
      <c r="K199" s="7"/>
      <c r="L199" s="7"/>
      <c r="M199" s="7"/>
      <c r="N199" s="7"/>
      <c r="O199" s="7"/>
      <c r="P199" s="7"/>
      <c r="Q199" s="7"/>
    </row>
    <row r="200" spans="1:17" ht="18.5" thickBot="1">
      <c r="A200" s="1118" t="s">
        <v>126</v>
      </c>
      <c r="G200" s="7"/>
      <c r="H200" s="7"/>
      <c r="I200" s="7"/>
      <c r="J200" s="7"/>
      <c r="K200" s="7"/>
      <c r="L200" s="7"/>
      <c r="M200" s="7"/>
      <c r="N200" s="7"/>
      <c r="O200" s="7"/>
      <c r="P200" s="7"/>
      <c r="Q200" s="7"/>
    </row>
    <row r="201" spans="1:17" ht="13">
      <c r="A201" s="1062"/>
      <c r="B201" s="1063"/>
      <c r="C201" s="1063" t="s">
        <v>127</v>
      </c>
      <c r="D201" s="1063" t="s">
        <v>128</v>
      </c>
      <c r="E201" s="1063" t="s">
        <v>129</v>
      </c>
      <c r="F201" s="1063" t="s">
        <v>130</v>
      </c>
      <c r="G201" s="1803" t="s">
        <v>131</v>
      </c>
      <c r="H201" s="1850"/>
      <c r="I201" s="1804" t="s">
        <v>132</v>
      </c>
      <c r="J201" s="1850"/>
      <c r="K201" s="1804" t="s">
        <v>133</v>
      </c>
      <c r="L201" s="1850"/>
      <c r="M201" s="920"/>
      <c r="N201" s="920"/>
      <c r="O201" s="920"/>
      <c r="P201" s="920"/>
      <c r="Q201" s="921"/>
    </row>
    <row r="202" spans="1:17" ht="13">
      <c r="A202" s="967"/>
      <c r="B202" s="972"/>
      <c r="C202" s="848" t="s">
        <v>1388</v>
      </c>
      <c r="D202" s="985"/>
      <c r="E202" s="696"/>
      <c r="F202" s="696"/>
      <c r="G202" s="1847">
        <v>0</v>
      </c>
      <c r="H202" s="1848"/>
      <c r="I202" s="1849">
        <v>0</v>
      </c>
      <c r="J202" s="1848"/>
      <c r="K202" s="1849">
        <v>0</v>
      </c>
      <c r="L202" s="1848"/>
      <c r="M202" s="922"/>
      <c r="N202" s="922"/>
      <c r="O202" s="922"/>
      <c r="P202" s="922"/>
      <c r="Q202" s="923"/>
    </row>
    <row r="203" spans="1:17" ht="13">
      <c r="A203" s="967"/>
      <c r="B203" s="985"/>
      <c r="C203" s="985"/>
      <c r="D203" s="985"/>
      <c r="E203" s="696"/>
      <c r="F203" s="696"/>
      <c r="G203" s="1838"/>
      <c r="H203" s="1839"/>
      <c r="I203" s="1840"/>
      <c r="J203" s="1839"/>
      <c r="K203" s="1840"/>
      <c r="L203" s="1841"/>
      <c r="M203" s="697"/>
      <c r="N203" s="697"/>
      <c r="O203" s="697"/>
      <c r="P203" s="697"/>
      <c r="Q203" s="924"/>
    </row>
    <row r="204" spans="1:17" ht="13">
      <c r="A204" s="967"/>
      <c r="B204" s="985"/>
      <c r="C204" s="985"/>
      <c r="D204" s="985"/>
      <c r="E204" s="696"/>
      <c r="F204" s="696"/>
      <c r="G204" s="1064"/>
      <c r="H204" s="696"/>
      <c r="I204" s="847"/>
      <c r="J204" s="697"/>
      <c r="K204" s="847"/>
      <c r="L204" s="697"/>
      <c r="M204" s="697"/>
      <c r="N204" s="697"/>
      <c r="O204" s="697"/>
      <c r="P204" s="697"/>
      <c r="Q204" s="924"/>
    </row>
    <row r="205" spans="1:17" ht="13.5" thickBot="1">
      <c r="A205" s="997"/>
      <c r="B205" s="1003"/>
      <c r="C205" s="1003" t="s">
        <v>42</v>
      </c>
      <c r="D205" s="1003"/>
      <c r="E205" s="1000"/>
      <c r="F205" s="1003"/>
      <c r="G205" s="1827">
        <v>0</v>
      </c>
      <c r="H205" s="1828"/>
      <c r="I205" s="1829">
        <v>0</v>
      </c>
      <c r="J205" s="1828"/>
      <c r="K205" s="1829">
        <v>0</v>
      </c>
      <c r="L205" s="1828"/>
      <c r="M205" s="925"/>
      <c r="N205" s="925"/>
      <c r="O205" s="925"/>
      <c r="P205" s="925"/>
      <c r="Q205" s="926"/>
    </row>
    <row r="206" spans="1:17" ht="13">
      <c r="A206" s="985"/>
      <c r="B206" s="985"/>
      <c r="C206" s="985"/>
      <c r="D206" s="985"/>
      <c r="E206" s="968"/>
      <c r="F206" s="985"/>
      <c r="G206" s="1065"/>
      <c r="H206" s="694"/>
      <c r="I206" s="1065"/>
      <c r="J206" s="694"/>
      <c r="K206" s="1065"/>
      <c r="L206" s="694"/>
      <c r="M206" s="922"/>
      <c r="N206" s="922"/>
      <c r="O206" s="922"/>
      <c r="P206" s="922"/>
      <c r="Q206" s="922"/>
    </row>
    <row r="207" spans="1:17" ht="13">
      <c r="A207" s="985"/>
      <c r="B207" s="985"/>
      <c r="C207" s="985"/>
      <c r="D207" s="985"/>
      <c r="E207" s="968"/>
      <c r="F207" s="985"/>
      <c r="G207" s="1065"/>
      <c r="H207" s="694"/>
      <c r="I207" s="1065"/>
      <c r="J207" s="694"/>
      <c r="K207" s="1065"/>
      <c r="L207" s="694"/>
      <c r="M207" s="922"/>
      <c r="N207" s="922"/>
      <c r="O207" s="922"/>
      <c r="P207" s="922"/>
      <c r="Q207" s="922"/>
    </row>
    <row r="208" spans="1:17" ht="18.5" thickBot="1">
      <c r="A208" s="1121" t="s">
        <v>1483</v>
      </c>
      <c r="B208" s="672"/>
      <c r="C208" s="672"/>
      <c r="G208" s="1065"/>
      <c r="H208" s="694"/>
      <c r="I208" s="1065"/>
      <c r="J208" s="694"/>
      <c r="K208" s="1065"/>
      <c r="L208" s="694"/>
      <c r="M208" s="922"/>
      <c r="N208" s="922"/>
      <c r="O208" s="922"/>
      <c r="P208" s="922"/>
      <c r="Q208" s="922"/>
    </row>
    <row r="209" spans="1:17" ht="13">
      <c r="A209" s="1803" t="s">
        <v>48</v>
      </c>
      <c r="B209" s="1804"/>
      <c r="C209" s="1804"/>
      <c r="D209" s="1804"/>
      <c r="E209" s="1804"/>
      <c r="F209" s="1805"/>
      <c r="G209" s="1065"/>
      <c r="H209" s="694"/>
      <c r="I209" s="1065"/>
      <c r="J209" s="694"/>
      <c r="K209" s="1065"/>
      <c r="L209" s="694"/>
      <c r="M209" s="922"/>
      <c r="N209" s="922"/>
      <c r="O209" s="922"/>
      <c r="P209" s="922"/>
      <c r="Q209" s="922"/>
    </row>
    <row r="210" spans="1:17" ht="13">
      <c r="A210" s="563" t="s">
        <v>9</v>
      </c>
      <c r="B210" s="7" t="s">
        <v>1415</v>
      </c>
      <c r="C210" s="7"/>
      <c r="D210" s="7" t="s">
        <v>1416</v>
      </c>
      <c r="E210" s="564"/>
      <c r="F210" s="565"/>
      <c r="G210" s="1065"/>
      <c r="H210" s="694"/>
      <c r="I210" s="1065"/>
      <c r="J210" s="694"/>
      <c r="K210" s="1065"/>
      <c r="L210" s="694"/>
      <c r="M210" s="922"/>
      <c r="N210" s="922"/>
      <c r="O210" s="922"/>
      <c r="P210" s="922"/>
      <c r="Q210" s="922"/>
    </row>
    <row r="211" spans="1:17" ht="13">
      <c r="A211" s="563" t="s">
        <v>10</v>
      </c>
      <c r="B211" s="7" t="s">
        <v>1417</v>
      </c>
      <c r="C211" s="7"/>
      <c r="D211" s="7" t="s">
        <v>1416</v>
      </c>
      <c r="E211" s="7"/>
      <c r="F211" s="565"/>
      <c r="G211" s="1065"/>
      <c r="H211" s="694"/>
      <c r="I211" s="1065"/>
      <c r="J211" s="694"/>
      <c r="K211" s="1065"/>
      <c r="L211" s="694"/>
      <c r="M211" s="922"/>
      <c r="N211" s="922"/>
      <c r="O211" s="922"/>
      <c r="P211" s="922"/>
      <c r="Q211" s="922"/>
    </row>
    <row r="212" spans="1:17" ht="13">
      <c r="A212" s="563" t="s">
        <v>11</v>
      </c>
      <c r="B212" s="7" t="s">
        <v>1484</v>
      </c>
      <c r="C212" s="7"/>
      <c r="D212" s="7" t="s">
        <v>1418</v>
      </c>
      <c r="E212" s="564"/>
      <c r="F212" s="565"/>
      <c r="G212" s="1065"/>
      <c r="H212" s="694"/>
      <c r="I212" s="1065"/>
      <c r="J212" s="694"/>
      <c r="K212" s="1065"/>
      <c r="L212" s="694"/>
      <c r="M212" s="922"/>
      <c r="N212" s="922"/>
      <c r="O212" s="922"/>
      <c r="P212" s="922"/>
      <c r="Q212" s="922"/>
    </row>
    <row r="213" spans="1:17" ht="13">
      <c r="A213" s="563" t="s">
        <v>14</v>
      </c>
      <c r="B213" s="7" t="s">
        <v>1419</v>
      </c>
      <c r="C213" s="7"/>
      <c r="D213" s="7"/>
      <c r="E213" s="7"/>
      <c r="F213" s="565"/>
      <c r="G213" s="1065"/>
      <c r="H213" s="694"/>
      <c r="I213" s="1065"/>
      <c r="J213" s="694"/>
      <c r="K213" s="1065"/>
      <c r="L213" s="694"/>
      <c r="M213" s="922"/>
      <c r="N213" s="922"/>
      <c r="O213" s="922"/>
      <c r="P213" s="922"/>
      <c r="Q213" s="922"/>
    </row>
    <row r="214" spans="1:17" ht="13">
      <c r="A214" s="563" t="s">
        <v>134</v>
      </c>
      <c r="B214" s="7" t="s">
        <v>1420</v>
      </c>
      <c r="C214" s="7"/>
      <c r="D214" s="7" t="s">
        <v>1421</v>
      </c>
      <c r="E214" s="564"/>
      <c r="F214" s="565" t="s">
        <v>1422</v>
      </c>
      <c r="G214" s="1065"/>
      <c r="H214" s="694"/>
      <c r="I214" s="1065"/>
      <c r="J214" s="694"/>
      <c r="K214" s="1065"/>
      <c r="L214" s="694"/>
      <c r="M214" s="922"/>
      <c r="N214" s="922"/>
      <c r="O214" s="922"/>
      <c r="P214" s="922"/>
      <c r="Q214" s="922"/>
    </row>
    <row r="215" spans="1:17" ht="13">
      <c r="A215" s="563" t="s">
        <v>135</v>
      </c>
      <c r="B215" s="7" t="s">
        <v>1423</v>
      </c>
      <c r="C215" s="7"/>
      <c r="D215" s="7"/>
      <c r="E215" s="564"/>
      <c r="F215" s="565"/>
      <c r="G215" s="1065"/>
      <c r="H215" s="694"/>
      <c r="I215" s="1065"/>
      <c r="J215" s="694"/>
      <c r="K215" s="1065"/>
      <c r="L215" s="694"/>
      <c r="M215" s="922"/>
      <c r="N215" s="922"/>
      <c r="O215" s="922"/>
      <c r="P215" s="922"/>
      <c r="Q215" s="922"/>
    </row>
    <row r="216" spans="1:17" ht="13.5" thickBot="1">
      <c r="A216" s="566" t="s">
        <v>136</v>
      </c>
      <c r="B216" s="567" t="s">
        <v>1424</v>
      </c>
      <c r="C216" s="567"/>
      <c r="D216" s="567" t="s">
        <v>1425</v>
      </c>
      <c r="E216" s="568"/>
      <c r="F216" s="569" t="s">
        <v>1426</v>
      </c>
      <c r="G216" s="1065"/>
      <c r="H216" s="694"/>
      <c r="I216" s="1065"/>
      <c r="J216" s="694"/>
      <c r="K216" s="1065"/>
      <c r="L216" s="694"/>
      <c r="M216" s="922"/>
      <c r="N216" s="922"/>
      <c r="O216" s="922"/>
      <c r="P216" s="922"/>
      <c r="Q216" s="922"/>
    </row>
    <row r="217" spans="1:17" ht="13">
      <c r="G217" s="1065"/>
      <c r="H217" s="694"/>
      <c r="I217" s="1065"/>
      <c r="J217" s="694"/>
      <c r="K217" s="1065"/>
      <c r="L217" s="694"/>
      <c r="M217" s="922"/>
      <c r="N217" s="922"/>
      <c r="O217" s="922"/>
      <c r="P217" s="922"/>
      <c r="Q217" s="922"/>
    </row>
    <row r="218" spans="1:17" ht="13">
      <c r="G218" s="1065"/>
      <c r="H218" s="694"/>
      <c r="I218" s="1065"/>
      <c r="J218" s="694"/>
      <c r="K218" s="1065"/>
      <c r="L218" s="694"/>
      <c r="M218" s="922"/>
      <c r="N218" s="922"/>
      <c r="O218" s="922"/>
      <c r="P218" s="922"/>
      <c r="Q218" s="922"/>
    </row>
    <row r="219" spans="1:17" ht="18.5" thickBot="1">
      <c r="A219" s="1121" t="s">
        <v>137</v>
      </c>
      <c r="B219" s="672"/>
      <c r="C219" s="672"/>
      <c r="G219" s="1065"/>
      <c r="H219" s="694"/>
      <c r="I219" s="1065"/>
      <c r="J219" s="694"/>
      <c r="K219" s="1065"/>
      <c r="L219" s="694"/>
      <c r="M219" s="922"/>
      <c r="N219" s="922"/>
      <c r="O219" s="922"/>
      <c r="P219" s="922"/>
      <c r="Q219" s="922"/>
    </row>
    <row r="220" spans="1:17" ht="13">
      <c r="A220" s="1803" t="s">
        <v>48</v>
      </c>
      <c r="B220" s="1804"/>
      <c r="C220" s="1804"/>
      <c r="D220" s="1804"/>
      <c r="E220" s="1804"/>
      <c r="F220" s="1805"/>
      <c r="G220" s="1065"/>
      <c r="H220" s="694"/>
      <c r="I220" s="1065"/>
      <c r="J220" s="694"/>
      <c r="K220" s="1065"/>
      <c r="L220" s="694"/>
      <c r="M220" s="922"/>
      <c r="N220" s="922"/>
      <c r="O220" s="922"/>
      <c r="P220" s="922"/>
      <c r="Q220" s="922"/>
    </row>
    <row r="221" spans="1:17" ht="13">
      <c r="A221" s="570"/>
      <c r="B221" s="10"/>
      <c r="C221" s="10"/>
      <c r="D221" s="571" t="s">
        <v>1427</v>
      </c>
      <c r="E221" s="572" t="s">
        <v>138</v>
      </c>
      <c r="F221" s="573" t="s">
        <v>42</v>
      </c>
      <c r="G221" s="1065"/>
      <c r="H221" s="694"/>
      <c r="I221" s="1065"/>
      <c r="J221" s="694"/>
      <c r="K221" s="1065"/>
      <c r="L221" s="694"/>
      <c r="M221" s="922"/>
      <c r="N221" s="922"/>
      <c r="O221" s="922"/>
      <c r="P221" s="922"/>
      <c r="Q221" s="922"/>
    </row>
    <row r="222" spans="1:17" ht="13">
      <c r="A222" s="570" t="s">
        <v>139</v>
      </c>
      <c r="B222" s="10"/>
      <c r="C222" s="10" t="s">
        <v>1428</v>
      </c>
      <c r="D222" s="574">
        <v>9750649</v>
      </c>
      <c r="E222" s="574">
        <v>12725412</v>
      </c>
      <c r="F222" s="575">
        <f>D222+E222</f>
        <v>22476061</v>
      </c>
      <c r="G222" s="1065"/>
      <c r="H222" s="694"/>
      <c r="I222" s="1065"/>
      <c r="J222" s="694"/>
      <c r="K222" s="1065"/>
      <c r="L222" s="694"/>
      <c r="M222" s="922"/>
      <c r="N222" s="922"/>
      <c r="O222" s="922"/>
      <c r="P222" s="922"/>
      <c r="Q222" s="922"/>
    </row>
    <row r="223" spans="1:17" ht="13">
      <c r="A223" s="570" t="s">
        <v>139</v>
      </c>
      <c r="B223" s="10"/>
      <c r="C223" s="10" t="s">
        <v>1429</v>
      </c>
      <c r="D223" s="576">
        <v>14666395</v>
      </c>
      <c r="E223" s="577">
        <v>16524210</v>
      </c>
      <c r="F223" s="575">
        <f>D223+E223</f>
        <v>31190605</v>
      </c>
      <c r="G223" s="1065"/>
      <c r="H223" s="694"/>
      <c r="I223" s="1065"/>
      <c r="J223" s="694"/>
      <c r="K223" s="1065"/>
      <c r="L223" s="694"/>
      <c r="M223" s="922"/>
      <c r="N223" s="922"/>
      <c r="O223" s="922"/>
      <c r="P223" s="922"/>
      <c r="Q223" s="922"/>
    </row>
    <row r="224" spans="1:17" ht="13">
      <c r="A224" s="570" t="s">
        <v>139</v>
      </c>
      <c r="B224" s="10"/>
      <c r="C224" s="578" t="s">
        <v>1430</v>
      </c>
      <c r="D224" s="579">
        <v>12208522</v>
      </c>
      <c r="E224" s="580">
        <v>14624812</v>
      </c>
      <c r="F224" s="581">
        <f>D224+E224</f>
        <v>26833334</v>
      </c>
      <c r="G224" s="1065"/>
      <c r="H224" s="694"/>
      <c r="I224" s="1065"/>
      <c r="J224" s="694"/>
      <c r="K224" s="1065"/>
      <c r="L224" s="694"/>
      <c r="M224" s="922"/>
      <c r="N224" s="922"/>
      <c r="O224" s="922"/>
      <c r="P224" s="922"/>
      <c r="Q224" s="922"/>
    </row>
    <row r="225" spans="1:19" ht="13" thickBot="1">
      <c r="A225" s="582"/>
      <c r="B225" s="583"/>
      <c r="C225" s="583" t="s">
        <v>42</v>
      </c>
      <c r="D225" s="584">
        <f>SUM(D222:D224)</f>
        <v>36625566</v>
      </c>
      <c r="E225" s="585">
        <f>SUM(E222:E224)</f>
        <v>43874434</v>
      </c>
      <c r="F225" s="586">
        <f>SUM(F222:F224)</f>
        <v>80500000</v>
      </c>
      <c r="G225" s="7"/>
      <c r="H225" s="7"/>
      <c r="I225" s="7"/>
      <c r="J225" s="7"/>
      <c r="K225" s="7"/>
      <c r="L225" s="7"/>
      <c r="M225" s="7"/>
      <c r="N225" s="7"/>
      <c r="O225" s="7"/>
      <c r="P225" s="7"/>
      <c r="Q225" s="7"/>
    </row>
    <row r="226" spans="1:19">
      <c r="A226" s="587"/>
      <c r="B226" s="587"/>
      <c r="C226" s="587"/>
      <c r="D226" s="588"/>
      <c r="E226" s="576"/>
      <c r="F226" s="588"/>
      <c r="G226" s="7"/>
      <c r="H226" s="7"/>
      <c r="I226" s="7"/>
      <c r="J226" s="7"/>
      <c r="K226" s="7"/>
      <c r="L226" s="7"/>
      <c r="M226" s="7"/>
      <c r="N226" s="7"/>
      <c r="O226" s="7"/>
      <c r="P226" s="7"/>
      <c r="Q226" s="7"/>
    </row>
    <row r="227" spans="1:19">
      <c r="G227" s="7"/>
      <c r="H227" s="7"/>
      <c r="I227" s="7"/>
      <c r="J227" s="7"/>
      <c r="K227" s="7"/>
      <c r="L227" s="7"/>
      <c r="M227" s="7"/>
      <c r="N227" s="7"/>
      <c r="O227" s="7"/>
      <c r="P227" s="7"/>
      <c r="Q227" s="7"/>
    </row>
    <row r="228" spans="1:19" ht="18.5" thickBot="1">
      <c r="A228" s="1121" t="s">
        <v>966</v>
      </c>
      <c r="B228" s="672"/>
      <c r="C228" s="672"/>
      <c r="G228" s="1065"/>
      <c r="H228" s="694"/>
      <c r="I228" s="1065"/>
      <c r="J228" s="694"/>
      <c r="K228" s="1065"/>
      <c r="L228" s="694"/>
      <c r="M228" s="922"/>
      <c r="N228" s="922"/>
      <c r="O228" s="922"/>
      <c r="P228" s="922"/>
      <c r="Q228" s="922"/>
    </row>
    <row r="229" spans="1:19" ht="26.25" customHeight="1">
      <c r="A229" s="1803"/>
      <c r="B229" s="1804"/>
      <c r="C229" s="1804" t="s">
        <v>967</v>
      </c>
      <c r="D229" s="1804"/>
      <c r="E229" s="1804"/>
      <c r="F229" s="1805"/>
      <c r="G229" s="859" t="s">
        <v>968</v>
      </c>
      <c r="H229" s="1511" t="s">
        <v>969</v>
      </c>
      <c r="I229" s="929" t="s">
        <v>1593</v>
      </c>
      <c r="J229" s="929"/>
      <c r="K229" s="927"/>
      <c r="L229" s="927"/>
      <c r="M229" s="927"/>
      <c r="N229" s="927"/>
      <c r="O229" s="927"/>
      <c r="P229" s="928"/>
    </row>
    <row r="230" spans="1:19">
      <c r="A230" s="1052"/>
      <c r="B230" s="965"/>
      <c r="C230" s="965"/>
      <c r="D230" s="1066"/>
      <c r="E230" s="965"/>
      <c r="F230" s="990"/>
      <c r="G230" s="930"/>
      <c r="H230" s="931"/>
      <c r="I230" s="838"/>
      <c r="J230" s="838"/>
      <c r="K230" s="838"/>
      <c r="L230" s="838"/>
      <c r="M230" s="838"/>
      <c r="N230" s="838"/>
      <c r="O230" s="838"/>
      <c r="P230" s="565"/>
    </row>
    <row r="231" spans="1:19" ht="15.75" customHeight="1">
      <c r="A231" s="967">
        <v>6</v>
      </c>
      <c r="B231" s="985"/>
      <c r="C231" s="108" t="s">
        <v>142</v>
      </c>
      <c r="D231" s="1066"/>
      <c r="E231" s="965"/>
      <c r="F231" s="990" t="s">
        <v>970</v>
      </c>
      <c r="G231" s="891">
        <v>5244623834</v>
      </c>
      <c r="H231" s="1525">
        <f>43763519+223934</f>
        <v>43987453</v>
      </c>
      <c r="I231" s="1525">
        <f>+G231-H231</f>
        <v>5200636381</v>
      </c>
      <c r="J231" s="1526" t="s">
        <v>2006</v>
      </c>
      <c r="K231" s="1527"/>
      <c r="L231" s="1527"/>
      <c r="M231" s="1527"/>
      <c r="N231" s="1527"/>
      <c r="O231" s="1527"/>
      <c r="P231" s="1521"/>
    </row>
    <row r="232" spans="1:19" ht="13">
      <c r="A232" s="967">
        <v>9</v>
      </c>
      <c r="B232" s="985"/>
      <c r="C232" s="108" t="s">
        <v>143</v>
      </c>
      <c r="D232" s="1066"/>
      <c r="E232" s="965"/>
      <c r="F232" s="990" t="s">
        <v>971</v>
      </c>
      <c r="G232" s="891">
        <v>1328136984</v>
      </c>
      <c r="H232" s="1525"/>
      <c r="I232" s="1525">
        <f t="shared" ref="I232:I236" si="15">+G232-H232</f>
        <v>1328136984</v>
      </c>
      <c r="J232" s="1526"/>
      <c r="K232" s="1526"/>
      <c r="L232" s="1526"/>
      <c r="M232" s="1526"/>
      <c r="N232" s="1526"/>
      <c r="O232" s="1526"/>
      <c r="P232" s="1522"/>
    </row>
    <row r="233" spans="1:19" ht="27" customHeight="1">
      <c r="A233" s="967">
        <v>10</v>
      </c>
      <c r="B233" s="1067"/>
      <c r="C233" s="108" t="s">
        <v>144</v>
      </c>
      <c r="D233" s="1068"/>
      <c r="E233" s="1067"/>
      <c r="F233" s="990" t="s">
        <v>972</v>
      </c>
      <c r="G233" s="891">
        <v>41141188</v>
      </c>
      <c r="H233" s="1525">
        <f>12647678+223934</f>
        <v>12871612</v>
      </c>
      <c r="I233" s="1525">
        <f t="shared" si="15"/>
        <v>28269576</v>
      </c>
      <c r="J233" s="1851" t="s">
        <v>2007</v>
      </c>
      <c r="K233" s="1851"/>
      <c r="L233" s="1851"/>
      <c r="M233" s="1851"/>
      <c r="N233" s="1851"/>
      <c r="O233" s="1851"/>
      <c r="P233" s="1852"/>
    </row>
    <row r="234" spans="1:19" ht="13">
      <c r="A234" s="967">
        <v>19</v>
      </c>
      <c r="B234" s="1067"/>
      <c r="C234" s="108" t="s">
        <v>275</v>
      </c>
      <c r="D234" s="1068"/>
      <c r="E234" s="1067"/>
      <c r="F234" s="990" t="s">
        <v>973</v>
      </c>
      <c r="G234" s="891">
        <v>1901457886</v>
      </c>
      <c r="H234" s="1525"/>
      <c r="I234" s="1525">
        <f t="shared" si="15"/>
        <v>1901457886</v>
      </c>
      <c r="J234" s="1526"/>
      <c r="K234" s="1526"/>
      <c r="L234" s="1526"/>
      <c r="M234" s="1526"/>
      <c r="N234" s="1526"/>
      <c r="O234" s="1526"/>
      <c r="P234" s="1522"/>
    </row>
    <row r="235" spans="1:19" ht="13">
      <c r="A235" s="967">
        <v>23</v>
      </c>
      <c r="B235" s="985"/>
      <c r="C235" s="108" t="s">
        <v>145</v>
      </c>
      <c r="D235" s="1066"/>
      <c r="E235" s="965"/>
      <c r="F235" s="990" t="s">
        <v>974</v>
      </c>
      <c r="G235" s="891">
        <f>358501446+52289928</f>
        <v>410791374</v>
      </c>
      <c r="H235" s="1525">
        <f>43763519+223934</f>
        <v>43987453</v>
      </c>
      <c r="I235" s="1525">
        <f t="shared" si="15"/>
        <v>366803921</v>
      </c>
      <c r="J235" s="1526" t="s">
        <v>2006</v>
      </c>
      <c r="K235" s="1526"/>
      <c r="L235" s="1526"/>
      <c r="M235" s="1526"/>
      <c r="N235" s="1526"/>
      <c r="O235" s="1526"/>
      <c r="P235" s="1522"/>
    </row>
    <row r="236" spans="1:19" ht="13.5" thickBot="1">
      <c r="A236" s="997">
        <v>31</v>
      </c>
      <c r="B236" s="1003"/>
      <c r="C236" s="999" t="s">
        <v>975</v>
      </c>
      <c r="D236" s="983"/>
      <c r="E236" s="983"/>
      <c r="F236" s="1007" t="s">
        <v>976</v>
      </c>
      <c r="G236" s="1701">
        <v>84452500</v>
      </c>
      <c r="H236" s="1702"/>
      <c r="I236" s="1702">
        <f t="shared" si="15"/>
        <v>84452500</v>
      </c>
      <c r="J236" s="1523"/>
      <c r="K236" s="1523"/>
      <c r="L236" s="1523"/>
      <c r="M236" s="1523"/>
      <c r="N236" s="1523"/>
      <c r="O236" s="1523"/>
      <c r="P236" s="1524"/>
    </row>
    <row r="237" spans="1:19">
      <c r="G237" s="7"/>
      <c r="H237" s="7"/>
      <c r="I237" s="7"/>
      <c r="J237" s="7"/>
      <c r="K237" s="7"/>
      <c r="L237" s="7"/>
      <c r="M237" s="7"/>
      <c r="N237" s="7"/>
      <c r="O237" s="7"/>
      <c r="P237" s="7"/>
      <c r="Q237" s="7"/>
    </row>
    <row r="238" spans="1:19">
      <c r="G238" s="965"/>
      <c r="H238" s="965"/>
      <c r="I238" s="965"/>
      <c r="J238" s="965"/>
      <c r="K238" s="965"/>
      <c r="L238" s="965"/>
      <c r="M238" s="965"/>
      <c r="N238" s="965"/>
      <c r="O238" s="587"/>
      <c r="P238" s="587"/>
      <c r="Q238" s="587"/>
      <c r="R238" s="965"/>
      <c r="S238" s="965"/>
    </row>
    <row r="239" spans="1:19" ht="18.5" thickBot="1">
      <c r="A239" s="1121" t="s">
        <v>980</v>
      </c>
      <c r="B239" s="672"/>
      <c r="C239" s="672"/>
      <c r="G239" s="1065"/>
      <c r="H239" s="694"/>
      <c r="I239" s="1065"/>
      <c r="J239" s="694"/>
      <c r="K239" s="1065"/>
      <c r="L239" s="694"/>
      <c r="M239" s="922"/>
      <c r="N239" s="922"/>
      <c r="O239" s="1672"/>
      <c r="P239" s="1672"/>
      <c r="Q239" s="1672"/>
      <c r="R239" s="922"/>
    </row>
    <row r="240" spans="1:19" ht="72" customHeight="1">
      <c r="A240" s="1803" t="s">
        <v>48</v>
      </c>
      <c r="B240" s="1804"/>
      <c r="C240" s="1804"/>
      <c r="D240" s="1804"/>
      <c r="E240" s="1804"/>
      <c r="F240" s="1805"/>
      <c r="G240" s="859" t="s">
        <v>981</v>
      </c>
      <c r="H240" s="1528" t="s">
        <v>140</v>
      </c>
      <c r="I240" s="1528" t="s">
        <v>1885</v>
      </c>
      <c r="J240" s="1528" t="s">
        <v>982</v>
      </c>
      <c r="K240" s="1528" t="s">
        <v>983</v>
      </c>
      <c r="L240" s="1528" t="s">
        <v>1883</v>
      </c>
      <c r="M240" s="1528" t="s">
        <v>1884</v>
      </c>
      <c r="N240" s="1628" t="s">
        <v>1930</v>
      </c>
      <c r="O240" s="1642" t="s">
        <v>1943</v>
      </c>
      <c r="P240" s="1642" t="s">
        <v>1944</v>
      </c>
      <c r="Q240" s="1671" t="s">
        <v>1984</v>
      </c>
      <c r="R240" s="1528" t="s">
        <v>984</v>
      </c>
      <c r="S240" s="935"/>
    </row>
    <row r="241" spans="1:21" ht="13">
      <c r="A241" s="1069"/>
      <c r="B241" s="90"/>
      <c r="C241" s="90"/>
      <c r="D241" s="90"/>
      <c r="E241" s="90"/>
      <c r="F241" s="1070"/>
      <c r="G241" s="936"/>
      <c r="H241" s="937"/>
      <c r="I241" s="937"/>
      <c r="J241" s="938"/>
      <c r="K241" s="938"/>
      <c r="L241" s="938"/>
      <c r="M241" s="938"/>
      <c r="N241" s="938"/>
      <c r="O241" s="1643"/>
      <c r="P241" s="1643"/>
      <c r="Q241" s="1643"/>
      <c r="R241" s="938"/>
      <c r="S241" s="939"/>
    </row>
    <row r="242" spans="1:21" ht="33.75" customHeight="1">
      <c r="A242" s="962">
        <v>68</v>
      </c>
      <c r="B242" s="848"/>
      <c r="C242" s="551" t="s">
        <v>147</v>
      </c>
      <c r="D242" s="6"/>
      <c r="E242" s="1071"/>
      <c r="F242" s="933" t="s">
        <v>985</v>
      </c>
      <c r="G242" s="1674">
        <v>99916175</v>
      </c>
      <c r="H242" s="940">
        <v>0</v>
      </c>
      <c r="I242" s="1675">
        <v>263406.50625599991</v>
      </c>
      <c r="J242" s="940">
        <v>794134.44</v>
      </c>
      <c r="K242" s="940">
        <v>3814.2</v>
      </c>
      <c r="L242" s="940">
        <v>2499</v>
      </c>
      <c r="M242" s="940">
        <v>14376</v>
      </c>
      <c r="N242" s="940">
        <v>315</v>
      </c>
      <c r="O242" s="940">
        <v>0</v>
      </c>
      <c r="P242" s="940">
        <v>0</v>
      </c>
      <c r="Q242" s="940">
        <v>0</v>
      </c>
      <c r="R242" s="940">
        <f>+G242-H242-I242-J242-K242-L242-M242-N242-O242-P242</f>
        <v>98837629.853744</v>
      </c>
      <c r="S242" s="933"/>
    </row>
    <row r="243" spans="1:21" ht="13.5" thickBot="1">
      <c r="A243" s="997">
        <v>60</v>
      </c>
      <c r="B243" s="1003"/>
      <c r="C243" s="999" t="s">
        <v>146</v>
      </c>
      <c r="D243" s="983"/>
      <c r="E243" s="983"/>
      <c r="F243" s="1007" t="s">
        <v>977</v>
      </c>
      <c r="G243" s="1676">
        <v>24512122</v>
      </c>
      <c r="H243" s="941"/>
      <c r="I243" s="941"/>
      <c r="J243" s="12"/>
      <c r="K243" s="992"/>
      <c r="L243" s="1048"/>
      <c r="M243" s="1048"/>
      <c r="N243" s="1048"/>
      <c r="O243" s="1677"/>
      <c r="P243" s="1677"/>
      <c r="Q243" s="1677">
        <f>$H$46</f>
        <v>136642</v>
      </c>
      <c r="R243" s="1678">
        <f>+G243-Q243</f>
        <v>24375480</v>
      </c>
      <c r="S243" s="943"/>
      <c r="U243" s="1669"/>
    </row>
    <row r="244" spans="1:21">
      <c r="G244" s="965"/>
      <c r="H244" s="1072"/>
      <c r="I244" s="965"/>
      <c r="J244" s="965"/>
      <c r="K244" s="965"/>
      <c r="L244" s="965"/>
      <c r="M244" s="965"/>
      <c r="N244" s="965"/>
      <c r="O244" s="965"/>
      <c r="P244" s="965"/>
      <c r="Q244" s="965"/>
      <c r="R244" s="965"/>
      <c r="S244" s="965"/>
    </row>
    <row r="245" spans="1:21">
      <c r="G245" s="965"/>
      <c r="H245" s="965"/>
      <c r="I245" s="965"/>
      <c r="J245" s="965"/>
      <c r="K245" s="965"/>
      <c r="L245" s="965"/>
      <c r="M245" s="965"/>
      <c r="N245" s="965"/>
      <c r="O245" s="965"/>
      <c r="P245" s="965"/>
      <c r="Q245" s="965"/>
      <c r="R245" s="965"/>
      <c r="S245" s="965"/>
    </row>
    <row r="246" spans="1:21" ht="18.5" thickBot="1">
      <c r="A246" s="1121" t="s">
        <v>1158</v>
      </c>
      <c r="B246" s="672"/>
      <c r="C246" s="672"/>
      <c r="G246" s="1065"/>
      <c r="H246" s="694"/>
      <c r="I246" s="1065"/>
      <c r="J246" s="694"/>
      <c r="K246" s="1065"/>
      <c r="L246" s="694"/>
      <c r="M246" s="922"/>
      <c r="N246" s="922"/>
      <c r="O246" s="922"/>
      <c r="P246" s="922"/>
      <c r="Q246" s="922"/>
    </row>
    <row r="247" spans="1:21" ht="30.75" customHeight="1">
      <c r="A247" s="1824" t="s">
        <v>847</v>
      </c>
      <c r="B247" s="1825"/>
      <c r="C247" s="1825"/>
      <c r="D247" s="1825"/>
      <c r="E247" s="1825"/>
      <c r="F247" s="1826"/>
      <c r="G247" s="945" t="s">
        <v>1159</v>
      </c>
      <c r="H247" s="946" t="s">
        <v>140</v>
      </c>
      <c r="I247" s="946" t="s">
        <v>141</v>
      </c>
      <c r="J247" s="947"/>
      <c r="K247" s="947"/>
      <c r="L247" s="947"/>
      <c r="M247" s="947"/>
      <c r="N247" s="947"/>
      <c r="O247" s="947"/>
      <c r="P247" s="947"/>
      <c r="Q247" s="948"/>
    </row>
    <row r="248" spans="1:21" ht="13">
      <c r="A248" s="1073"/>
      <c r="B248" s="1067"/>
      <c r="C248" s="1067"/>
      <c r="D248" s="1067"/>
      <c r="E248" s="1067"/>
      <c r="F248" s="1074"/>
      <c r="G248" s="1624"/>
      <c r="H248" s="1529"/>
      <c r="I248" s="1529"/>
      <c r="J248" s="949"/>
      <c r="K248" s="949"/>
      <c r="L248" s="949"/>
      <c r="M248" s="949"/>
      <c r="N248" s="949"/>
      <c r="O248" s="949"/>
      <c r="P248" s="949"/>
      <c r="Q248" s="950"/>
    </row>
    <row r="249" spans="1:21" ht="13">
      <c r="A249" s="967">
        <v>86</v>
      </c>
      <c r="B249" s="985"/>
      <c r="C249" s="108" t="s">
        <v>347</v>
      </c>
      <c r="D249" s="1075"/>
      <c r="E249" s="970"/>
      <c r="F249" s="1004" t="s">
        <v>1878</v>
      </c>
      <c r="G249" s="1703">
        <v>54143783</v>
      </c>
      <c r="H249" s="1717"/>
      <c r="I249" s="1675">
        <f>G249-H249</f>
        <v>54143783</v>
      </c>
      <c r="J249" s="845"/>
      <c r="K249" s="845"/>
      <c r="L249" s="845"/>
      <c r="M249" s="845"/>
      <c r="N249" s="845"/>
      <c r="O249" s="845"/>
      <c r="P249" s="845"/>
      <c r="Q249" s="880"/>
    </row>
    <row r="250" spans="1:21">
      <c r="A250" s="967">
        <v>87</v>
      </c>
      <c r="B250" s="985"/>
      <c r="C250" s="108" t="s">
        <v>848</v>
      </c>
      <c r="D250" s="1028"/>
      <c r="E250" s="1028"/>
      <c r="F250" s="1004" t="s">
        <v>1879</v>
      </c>
      <c r="G250" s="1703">
        <v>13209263</v>
      </c>
      <c r="H250" s="1717">
        <f>'10 - Merger Costs'!C14</f>
        <v>0</v>
      </c>
      <c r="I250" s="1675">
        <f>G250-H250</f>
        <v>13209263</v>
      </c>
      <c r="J250" s="845"/>
      <c r="K250" s="845"/>
      <c r="L250" s="845"/>
      <c r="M250" s="845"/>
      <c r="N250" s="845"/>
      <c r="O250" s="845"/>
      <c r="P250" s="845"/>
      <c r="Q250" s="880"/>
    </row>
    <row r="251" spans="1:21">
      <c r="A251" s="967">
        <v>88</v>
      </c>
      <c r="B251" s="985"/>
      <c r="C251" s="108" t="s">
        <v>348</v>
      </c>
      <c r="D251" s="1028"/>
      <c r="E251" s="1028"/>
      <c r="F251" s="1004" t="s">
        <v>1880</v>
      </c>
      <c r="G251" s="1703">
        <v>9187922</v>
      </c>
      <c r="H251" s="1717">
        <f>'10 - Merger Costs'!C15</f>
        <v>0</v>
      </c>
      <c r="I251" s="1675">
        <f>G251-H251</f>
        <v>9187922</v>
      </c>
      <c r="J251" s="845"/>
      <c r="K251" s="845"/>
      <c r="L251" s="845"/>
      <c r="M251" s="845"/>
      <c r="N251" s="845"/>
      <c r="O251" s="845"/>
      <c r="P251" s="845"/>
      <c r="Q251" s="880"/>
    </row>
    <row r="252" spans="1:21">
      <c r="A252" s="967">
        <v>92</v>
      </c>
      <c r="B252" s="985"/>
      <c r="C252" s="108" t="s">
        <v>350</v>
      </c>
      <c r="D252" s="1028"/>
      <c r="E252" s="1028"/>
      <c r="F252" s="1004" t="s">
        <v>1881</v>
      </c>
      <c r="G252" s="1703">
        <v>5629722</v>
      </c>
      <c r="H252" s="1717"/>
      <c r="I252" s="1675">
        <f>G252-H252</f>
        <v>5629722</v>
      </c>
      <c r="J252" s="845"/>
      <c r="K252" s="845"/>
      <c r="L252" s="845"/>
      <c r="M252" s="845"/>
      <c r="N252" s="845"/>
      <c r="O252" s="845"/>
      <c r="P252" s="845"/>
      <c r="Q252" s="880"/>
    </row>
    <row r="253" spans="1:21" ht="13" thickBot="1">
      <c r="A253" s="997">
        <v>93</v>
      </c>
      <c r="B253" s="1003"/>
      <c r="C253" s="992" t="s">
        <v>351</v>
      </c>
      <c r="D253" s="992"/>
      <c r="E253" s="992"/>
      <c r="F253" s="943" t="s">
        <v>1882</v>
      </c>
      <c r="G253" s="1704">
        <v>11166521</v>
      </c>
      <c r="H253" s="941"/>
      <c r="I253" s="1677">
        <f>G253-H253</f>
        <v>11166521</v>
      </c>
      <c r="J253" s="12"/>
      <c r="K253" s="12"/>
      <c r="L253" s="12"/>
      <c r="M253" s="12"/>
      <c r="N253" s="12"/>
      <c r="O253" s="12"/>
      <c r="P253" s="12"/>
      <c r="Q253" s="910"/>
    </row>
    <row r="254" spans="1:21">
      <c r="A254" s="985"/>
      <c r="B254" s="985"/>
      <c r="C254" s="108"/>
      <c r="D254" s="965"/>
      <c r="E254" s="965"/>
      <c r="F254" s="108"/>
      <c r="G254" s="952"/>
      <c r="H254" s="952"/>
      <c r="I254" s="931"/>
      <c r="J254" s="838"/>
      <c r="K254" s="838"/>
      <c r="L254" s="838"/>
      <c r="M254" s="838"/>
      <c r="N254" s="838"/>
      <c r="O254" s="838"/>
      <c r="P254" s="838"/>
      <c r="Q254" s="838"/>
    </row>
    <row r="255" spans="1:21">
      <c r="A255" s="985"/>
      <c r="B255" s="985"/>
      <c r="C255" s="108"/>
      <c r="D255" s="965"/>
      <c r="E255" s="965"/>
      <c r="F255" s="108"/>
      <c r="G255" s="952"/>
      <c r="H255" s="952"/>
      <c r="I255" s="931"/>
      <c r="J255" s="838"/>
      <c r="K255" s="838"/>
      <c r="L255" s="838"/>
      <c r="M255" s="838"/>
      <c r="N255" s="838"/>
      <c r="O255" s="838"/>
      <c r="P255" s="838"/>
      <c r="Q255" s="838"/>
    </row>
    <row r="256" spans="1:21" ht="18.5" thickBot="1">
      <c r="A256" s="1121" t="s">
        <v>150</v>
      </c>
      <c r="B256" s="672"/>
      <c r="C256" s="672"/>
      <c r="G256" s="1065"/>
      <c r="H256" s="694"/>
      <c r="I256" s="1065"/>
      <c r="J256" s="694"/>
      <c r="K256" s="1065"/>
      <c r="L256" s="694"/>
      <c r="M256" s="922"/>
      <c r="N256" s="922"/>
      <c r="O256" s="922"/>
      <c r="P256" s="922"/>
      <c r="Q256" s="922"/>
    </row>
    <row r="257" spans="1:18" ht="39">
      <c r="A257" s="1803" t="s">
        <v>48</v>
      </c>
      <c r="B257" s="1804"/>
      <c r="C257" s="1804"/>
      <c r="D257" s="1804"/>
      <c r="E257" s="1804"/>
      <c r="F257" s="1805"/>
      <c r="G257" s="837" t="s">
        <v>151</v>
      </c>
      <c r="H257" s="837" t="s">
        <v>152</v>
      </c>
      <c r="I257" s="837" t="s">
        <v>153</v>
      </c>
      <c r="J257" s="837" t="s">
        <v>154</v>
      </c>
      <c r="K257" s="1806" t="s">
        <v>155</v>
      </c>
      <c r="L257" s="1842"/>
      <c r="M257" s="1842"/>
      <c r="N257" s="1842"/>
      <c r="O257" s="1842"/>
      <c r="P257" s="1842"/>
      <c r="Q257" s="1843"/>
    </row>
    <row r="258" spans="1:18" s="688" customFormat="1" ht="10.5" customHeight="1">
      <c r="A258" s="1073"/>
      <c r="B258" s="1067"/>
      <c r="C258" s="1067"/>
      <c r="D258" s="1067"/>
      <c r="E258" s="1067"/>
      <c r="F258" s="1074"/>
      <c r="G258" s="944"/>
      <c r="H258" s="944"/>
      <c r="I258" s="944"/>
      <c r="J258" s="949"/>
      <c r="K258" s="949"/>
      <c r="L258" s="949"/>
      <c r="M258" s="949"/>
      <c r="N258" s="949"/>
      <c r="O258" s="949"/>
      <c r="P258" s="949"/>
      <c r="Q258" s="950"/>
    </row>
    <row r="259" spans="1:18" ht="52.5" customHeight="1">
      <c r="A259" s="967">
        <v>68</v>
      </c>
      <c r="B259" s="985"/>
      <c r="C259" s="108" t="s">
        <v>147</v>
      </c>
      <c r="D259" s="1056"/>
      <c r="E259" s="996"/>
      <c r="F259" s="953" t="s">
        <v>156</v>
      </c>
      <c r="G259" s="951">
        <f>'11B - A&amp;G'!E24</f>
        <v>99916175</v>
      </c>
      <c r="H259" s="951">
        <f>'11B - A&amp;G'!E16</f>
        <v>6484747</v>
      </c>
      <c r="I259" s="932">
        <v>-869192</v>
      </c>
      <c r="J259" s="932">
        <v>-1390420.4824650004</v>
      </c>
      <c r="K259" s="1844" t="s">
        <v>1998</v>
      </c>
      <c r="L259" s="1845"/>
      <c r="M259" s="1845"/>
      <c r="N259" s="1845"/>
      <c r="O259" s="1845"/>
      <c r="P259" s="1845"/>
      <c r="Q259" s="1846"/>
      <c r="R259" s="10"/>
    </row>
    <row r="260" spans="1:18" ht="13" thickBot="1">
      <c r="A260" s="997"/>
      <c r="B260" s="1003"/>
      <c r="C260" s="999"/>
      <c r="D260" s="983"/>
      <c r="E260" s="983"/>
      <c r="F260" s="1007"/>
      <c r="G260" s="954"/>
      <c r="H260" s="954"/>
      <c r="I260" s="934"/>
      <c r="J260" s="567"/>
      <c r="K260" s="567"/>
      <c r="L260" s="567"/>
      <c r="M260" s="567"/>
      <c r="N260" s="567"/>
      <c r="O260" s="567"/>
      <c r="P260" s="567"/>
      <c r="Q260" s="569"/>
    </row>
    <row r="261" spans="1:18">
      <c r="G261" s="7"/>
      <c r="H261" s="7"/>
      <c r="I261" s="7"/>
      <c r="J261" s="7"/>
      <c r="K261" s="7"/>
      <c r="L261" s="7"/>
      <c r="M261" s="7"/>
      <c r="N261" s="7"/>
      <c r="O261" s="7"/>
      <c r="P261" s="7"/>
      <c r="Q261" s="7"/>
    </row>
    <row r="262" spans="1:18">
      <c r="G262" s="7"/>
      <c r="H262" s="7"/>
      <c r="I262" s="7"/>
      <c r="J262" s="99"/>
      <c r="K262" s="7"/>
      <c r="L262" s="7"/>
      <c r="M262" s="7"/>
      <c r="N262" s="7"/>
      <c r="O262" s="7"/>
      <c r="P262" s="7"/>
      <c r="Q262" s="7"/>
    </row>
    <row r="263" spans="1:18" ht="18.5" thickBot="1">
      <c r="A263" s="1122" t="s">
        <v>1169</v>
      </c>
      <c r="B263" s="1123"/>
      <c r="C263" s="1123"/>
      <c r="D263" s="983"/>
      <c r="E263" s="983"/>
      <c r="F263" s="983"/>
      <c r="G263" s="1124"/>
      <c r="H263" s="695"/>
      <c r="I263" s="1124"/>
      <c r="J263" s="695"/>
      <c r="K263" s="1124"/>
      <c r="L263" s="695"/>
      <c r="M263" s="925"/>
      <c r="N263" s="925"/>
      <c r="O263" s="925"/>
      <c r="P263" s="925"/>
      <c r="Q263" s="925"/>
    </row>
    <row r="264" spans="1:18" ht="13">
      <c r="A264" s="1077"/>
      <c r="B264" s="1078"/>
      <c r="C264" s="1079"/>
      <c r="D264" s="1078"/>
      <c r="E264" s="1080"/>
      <c r="F264" s="1080"/>
      <c r="G264" s="1081"/>
      <c r="H264" s="1082" t="s">
        <v>208</v>
      </c>
      <c r="I264" s="1081"/>
      <c r="J264" s="1083"/>
      <c r="K264" s="1081"/>
      <c r="L264" s="1084"/>
      <c r="M264" s="1078"/>
      <c r="N264" s="1078"/>
      <c r="O264" s="1078"/>
      <c r="P264" s="1078"/>
      <c r="Q264" s="1085"/>
    </row>
    <row r="265" spans="1:18" ht="13">
      <c r="A265" s="1077"/>
      <c r="B265" s="1086"/>
      <c r="C265" s="1078"/>
      <c r="D265" s="1087"/>
      <c r="E265" s="1088"/>
      <c r="F265" s="1088"/>
      <c r="G265" s="1081"/>
      <c r="H265" s="1082" t="s">
        <v>39</v>
      </c>
      <c r="I265" s="1082"/>
      <c r="J265" s="1082" t="s">
        <v>1170</v>
      </c>
      <c r="K265" s="1081"/>
      <c r="L265" s="1089"/>
      <c r="M265" s="1089"/>
      <c r="N265" s="1089"/>
      <c r="O265" s="1089"/>
      <c r="P265" s="1089"/>
      <c r="Q265" s="1090"/>
    </row>
    <row r="266" spans="1:18" ht="13">
      <c r="A266" s="1091" t="s">
        <v>545</v>
      </c>
      <c r="B266" s="1086"/>
      <c r="C266" s="1092" t="s">
        <v>1171</v>
      </c>
      <c r="D266" s="1087"/>
      <c r="E266" s="1088"/>
      <c r="F266" s="1093" t="s">
        <v>1172</v>
      </c>
      <c r="G266" s="1081"/>
      <c r="H266" s="1094" t="s">
        <v>1173</v>
      </c>
      <c r="I266" s="1082"/>
      <c r="J266" s="1094" t="s">
        <v>1452</v>
      </c>
      <c r="K266" s="1081"/>
      <c r="L266" s="1094" t="s">
        <v>1453</v>
      </c>
      <c r="M266" s="1089"/>
      <c r="N266" s="1089"/>
      <c r="O266" s="1089"/>
      <c r="P266" s="1089"/>
      <c r="Q266" s="1090"/>
    </row>
    <row r="267" spans="1:18" ht="13">
      <c r="A267" s="1077"/>
      <c r="B267" s="1086"/>
      <c r="C267" s="1095"/>
      <c r="D267" s="1087"/>
      <c r="E267" s="1088"/>
      <c r="F267" s="1088"/>
      <c r="G267" s="1081"/>
      <c r="H267" s="1082"/>
      <c r="I267" s="1082"/>
      <c r="J267" s="1082"/>
      <c r="K267" s="1081"/>
      <c r="L267" s="1096"/>
      <c r="M267" s="1089"/>
      <c r="N267" s="1089"/>
      <c r="O267" s="1089"/>
      <c r="P267" s="1089"/>
      <c r="Q267" s="1090"/>
    </row>
    <row r="268" spans="1:18">
      <c r="A268" s="1077" t="str">
        <f>'ATT H-3D'!A270</f>
        <v>136a</v>
      </c>
      <c r="B268" s="1078"/>
      <c r="C268" s="1079" t="s">
        <v>1136</v>
      </c>
      <c r="D268" s="1078"/>
      <c r="E268" s="1080"/>
      <c r="F268" s="1080" t="s">
        <v>1174</v>
      </c>
      <c r="G268" s="1081"/>
      <c r="H268" s="1705">
        <v>673114</v>
      </c>
      <c r="I268" s="1097" t="s">
        <v>998</v>
      </c>
      <c r="J268" s="1098">
        <f>'ATT H-3D'!H260</f>
        <v>0.2771499999999999</v>
      </c>
      <c r="K268" s="1099" t="s">
        <v>1175</v>
      </c>
      <c r="L268" s="1100">
        <f>H268*J268</f>
        <v>186553.54509999993</v>
      </c>
      <c r="M268" s="1101"/>
      <c r="N268" s="1089"/>
      <c r="O268" s="1101"/>
      <c r="P268" s="1089"/>
      <c r="Q268" s="1102"/>
    </row>
    <row r="269" spans="1:18">
      <c r="A269" s="1077"/>
      <c r="B269" s="1078"/>
      <c r="C269" s="1079" t="s">
        <v>1481</v>
      </c>
      <c r="D269" s="1078"/>
      <c r="E269" s="1080"/>
      <c r="F269" s="1080"/>
      <c r="G269" s="1081"/>
      <c r="H269" s="1081"/>
      <c r="I269" s="1081"/>
      <c r="J269" s="1081"/>
      <c r="K269" s="1081"/>
      <c r="L269" s="1100"/>
      <c r="M269" s="1089"/>
      <c r="N269" s="1089"/>
      <c r="O269" s="1089"/>
      <c r="P269" s="1089"/>
      <c r="Q269" s="1090"/>
    </row>
    <row r="270" spans="1:18">
      <c r="A270" s="1077" t="str">
        <f>'ATT H-3D'!A271</f>
        <v>136b</v>
      </c>
      <c r="B270" s="1078"/>
      <c r="C270" s="1103" t="s">
        <v>1137</v>
      </c>
      <c r="D270" s="1078"/>
      <c r="E270" s="1080"/>
      <c r="F270" s="1080" t="s">
        <v>1176</v>
      </c>
      <c r="G270" s="1081"/>
      <c r="H270" s="1081"/>
      <c r="I270" s="1081"/>
      <c r="J270" s="1081"/>
      <c r="K270" s="1081"/>
      <c r="L270" s="633">
        <f>-'1E - EDIT Amortization'!O109</f>
        <v>-11120311.749387812</v>
      </c>
      <c r="M270" s="1104"/>
      <c r="N270" s="1089"/>
      <c r="O270" s="1104"/>
      <c r="P270" s="1089"/>
      <c r="Q270" s="1105"/>
    </row>
    <row r="271" spans="1:18">
      <c r="A271" s="1077" t="str">
        <f>'ATT H-3D'!A272</f>
        <v>136c</v>
      </c>
      <c r="B271" s="1078"/>
      <c r="C271" s="1103" t="s">
        <v>1139</v>
      </c>
      <c r="D271" s="1078"/>
      <c r="E271" s="1080"/>
      <c r="F271" s="1080" t="s">
        <v>1176</v>
      </c>
      <c r="G271" s="1081"/>
      <c r="H271" s="1081"/>
      <c r="I271" s="1081"/>
      <c r="J271" s="1081"/>
      <c r="K271" s="1081"/>
      <c r="L271" s="633">
        <f>-'1E - EDIT Amortization'!O214</f>
        <v>0</v>
      </c>
      <c r="M271" s="1104"/>
      <c r="N271" s="1089"/>
      <c r="O271" s="1104"/>
      <c r="P271" s="1089"/>
      <c r="Q271" s="1105"/>
    </row>
    <row r="272" spans="1:18">
      <c r="A272" s="1077" t="str">
        <f>'ATT H-3D'!A273</f>
        <v>136d</v>
      </c>
      <c r="B272" s="1078"/>
      <c r="C272" s="1079" t="s">
        <v>1141</v>
      </c>
      <c r="D272" s="1078"/>
      <c r="E272" s="1080"/>
      <c r="F272" s="1080" t="s">
        <v>1177</v>
      </c>
      <c r="G272" s="1081"/>
      <c r="H272" s="1081"/>
      <c r="I272" s="1081"/>
      <c r="J272" s="1081"/>
      <c r="K272" s="1081"/>
      <c r="L272" s="633"/>
      <c r="M272" s="1089"/>
      <c r="N272" s="1089"/>
      <c r="O272" s="1089"/>
      <c r="P272" s="1089"/>
      <c r="Q272" s="1090"/>
    </row>
    <row r="273" spans="1:17" ht="13.5" thickBot="1">
      <c r="A273" s="1077" t="str">
        <f>'ATT H-3D'!A274</f>
        <v>136e</v>
      </c>
      <c r="B273" s="1078"/>
      <c r="C273" s="1106" t="s">
        <v>1178</v>
      </c>
      <c r="D273" s="1078"/>
      <c r="E273" s="1080"/>
      <c r="F273" s="1080" t="s">
        <v>1179</v>
      </c>
      <c r="G273" s="1081"/>
      <c r="H273" s="1081"/>
      <c r="I273" s="1081"/>
      <c r="J273" s="1081"/>
      <c r="K273" s="1081"/>
      <c r="L273" s="1107">
        <f>SUM(L268:L272)</f>
        <v>-10933758.204287812</v>
      </c>
      <c r="M273" s="1089"/>
      <c r="N273" s="1089"/>
      <c r="O273" s="1089"/>
      <c r="P273" s="1089"/>
      <c r="Q273" s="1090"/>
    </row>
    <row r="274" spans="1:17" ht="13" thickTop="1">
      <c r="A274" s="1077"/>
      <c r="B274" s="1078"/>
      <c r="C274" s="1079"/>
      <c r="D274" s="1078"/>
      <c r="E274" s="1080"/>
      <c r="F274" s="1080"/>
      <c r="G274" s="1081"/>
      <c r="H274" s="1081"/>
      <c r="I274" s="1081"/>
      <c r="J274" s="1081"/>
      <c r="K274" s="1100"/>
      <c r="L274" s="1078"/>
      <c r="M274" s="1089"/>
      <c r="N274" s="1089"/>
      <c r="O274" s="1089"/>
      <c r="P274" s="1089"/>
      <c r="Q274" s="1090"/>
    </row>
    <row r="275" spans="1:17" ht="13">
      <c r="A275" s="1108" t="s">
        <v>1180</v>
      </c>
      <c r="B275" s="1078"/>
      <c r="C275" s="1092" t="s">
        <v>1181</v>
      </c>
      <c r="D275" s="1095"/>
      <c r="E275" s="1095"/>
      <c r="F275" s="1080"/>
      <c r="G275" s="1081"/>
      <c r="H275" s="1081"/>
      <c r="I275" s="1083"/>
      <c r="J275" s="1081"/>
      <c r="K275" s="1084"/>
      <c r="L275" s="1078"/>
      <c r="M275" s="1089"/>
      <c r="N275" s="1089"/>
      <c r="O275" s="1089"/>
      <c r="P275" s="1089"/>
      <c r="Q275" s="1090"/>
    </row>
    <row r="276" spans="1:17" ht="15" customHeight="1">
      <c r="A276" s="1109" t="s">
        <v>1182</v>
      </c>
      <c r="B276" s="1078"/>
      <c r="C276" s="1853" t="s">
        <v>1599</v>
      </c>
      <c r="D276" s="1853"/>
      <c r="E276" s="1853"/>
      <c r="F276" s="1853"/>
      <c r="G276" s="1081"/>
      <c r="H276" s="1081"/>
      <c r="I276" s="1083"/>
      <c r="J276" s="1081"/>
      <c r="K276" s="1084"/>
      <c r="L276" s="1078"/>
      <c r="M276" s="1078"/>
      <c r="N276" s="1078"/>
      <c r="O276" s="1078"/>
      <c r="P276" s="1078"/>
      <c r="Q276" s="1085"/>
    </row>
    <row r="277" spans="1:17" ht="33.75" customHeight="1">
      <c r="A277" s="1109"/>
      <c r="B277" s="1078"/>
      <c r="C277" s="1853"/>
      <c r="D277" s="1853"/>
      <c r="E277" s="1853"/>
      <c r="F277" s="1853"/>
      <c r="G277" s="1081"/>
      <c r="H277" s="1081"/>
      <c r="I277" s="1083"/>
      <c r="J277" s="1081"/>
      <c r="K277" s="1084"/>
      <c r="L277" s="1078"/>
      <c r="M277" s="1078"/>
      <c r="N277" s="1078"/>
      <c r="O277" s="1078"/>
      <c r="P277" s="1078"/>
      <c r="Q277" s="1085"/>
    </row>
    <row r="278" spans="1:17" ht="15" customHeight="1">
      <c r="A278" s="1109" t="s">
        <v>1183</v>
      </c>
      <c r="B278" s="1078"/>
      <c r="C278" s="1853" t="s">
        <v>1184</v>
      </c>
      <c r="D278" s="1853"/>
      <c r="E278" s="1853"/>
      <c r="F278" s="1853"/>
      <c r="G278" s="1081"/>
      <c r="H278" s="1081"/>
      <c r="I278" s="1083"/>
      <c r="J278" s="1081"/>
      <c r="K278" s="1084"/>
      <c r="L278" s="1078"/>
      <c r="M278" s="1078"/>
      <c r="N278" s="1078"/>
      <c r="O278" s="1078"/>
      <c r="P278" s="1078"/>
      <c r="Q278" s="1085"/>
    </row>
    <row r="279" spans="1:17" ht="15" customHeight="1">
      <c r="A279" s="1109" t="s">
        <v>1185</v>
      </c>
      <c r="B279" s="1078"/>
      <c r="C279" s="1854" t="s">
        <v>1186</v>
      </c>
      <c r="D279" s="1854"/>
      <c r="E279" s="1854"/>
      <c r="F279" s="1854"/>
      <c r="G279" s="1081"/>
      <c r="H279" s="1081" t="s">
        <v>83</v>
      </c>
      <c r="I279" s="1083"/>
      <c r="J279" s="1081"/>
      <c r="K279" s="1084"/>
      <c r="L279" s="1078"/>
      <c r="M279" s="1078"/>
      <c r="N279" s="1078"/>
      <c r="O279" s="1078"/>
      <c r="P279" s="1078"/>
      <c r="Q279" s="1085"/>
    </row>
    <row r="280" spans="1:17" ht="13">
      <c r="A280" s="1109"/>
      <c r="B280" s="1078"/>
      <c r="C280" s="1854"/>
      <c r="D280" s="1854"/>
      <c r="E280" s="1854"/>
      <c r="F280" s="1854"/>
      <c r="G280" s="1081"/>
      <c r="H280" s="1081"/>
      <c r="I280" s="1083"/>
      <c r="J280" s="1081"/>
      <c r="K280" s="1084"/>
      <c r="L280" s="1078"/>
      <c r="M280" s="1078"/>
      <c r="N280" s="1078"/>
      <c r="O280" s="1078"/>
      <c r="P280" s="1078"/>
      <c r="Q280" s="1085"/>
    </row>
    <row r="281" spans="1:17" ht="15" customHeight="1">
      <c r="A281" s="1109" t="s">
        <v>1187</v>
      </c>
      <c r="B281" s="1078"/>
      <c r="C281" s="1855" t="s">
        <v>1188</v>
      </c>
      <c r="D281" s="1855"/>
      <c r="E281" s="1855"/>
      <c r="F281" s="1855"/>
      <c r="G281" s="1110"/>
      <c r="H281" s="1110"/>
      <c r="I281" s="1110"/>
      <c r="J281" s="1110"/>
      <c r="K281" s="1084"/>
      <c r="L281" s="1078"/>
      <c r="M281" s="1078"/>
      <c r="N281" s="1078"/>
      <c r="O281" s="1078"/>
      <c r="P281" s="1078"/>
      <c r="Q281" s="1085"/>
    </row>
    <row r="282" spans="1:17" ht="13">
      <c r="A282" s="1109"/>
      <c r="B282" s="1078"/>
      <c r="C282" s="1855"/>
      <c r="D282" s="1855"/>
      <c r="E282" s="1855"/>
      <c r="F282" s="1855"/>
      <c r="G282" s="1110"/>
      <c r="H282" s="1110"/>
      <c r="I282" s="1110"/>
      <c r="J282" s="1110"/>
      <c r="K282" s="1084"/>
      <c r="L282" s="1078"/>
      <c r="M282" s="1078"/>
      <c r="N282" s="1078"/>
      <c r="O282" s="1078"/>
      <c r="P282" s="1078"/>
      <c r="Q282" s="1085"/>
    </row>
    <row r="283" spans="1:17" ht="13">
      <c r="A283" s="1109"/>
      <c r="B283" s="1078"/>
      <c r="C283" s="1855"/>
      <c r="D283" s="1855"/>
      <c r="E283" s="1855"/>
      <c r="F283" s="1855"/>
      <c r="G283" s="1110"/>
      <c r="H283" s="1110"/>
      <c r="I283" s="1110"/>
      <c r="J283" s="1110"/>
      <c r="K283" s="1084"/>
      <c r="L283" s="1078"/>
      <c r="M283" s="1078"/>
      <c r="N283" s="1078"/>
      <c r="O283" s="1078"/>
      <c r="P283" s="1078"/>
      <c r="Q283" s="1085"/>
    </row>
    <row r="284" spans="1:17" ht="13">
      <c r="A284" s="1109"/>
      <c r="B284" s="1078"/>
      <c r="C284" s="1855"/>
      <c r="D284" s="1855"/>
      <c r="E284" s="1855"/>
      <c r="F284" s="1855"/>
      <c r="G284" s="1110"/>
      <c r="H284" s="1110"/>
      <c r="I284" s="1110"/>
      <c r="J284" s="1110"/>
      <c r="K284" s="1084"/>
      <c r="L284" s="1078"/>
      <c r="M284" s="1078"/>
      <c r="N284" s="1078"/>
      <c r="O284" s="1078"/>
      <c r="P284" s="1078"/>
      <c r="Q284" s="1085"/>
    </row>
    <row r="285" spans="1:17" ht="13">
      <c r="A285" s="1109"/>
      <c r="B285" s="1078"/>
      <c r="C285" s="1855"/>
      <c r="D285" s="1855"/>
      <c r="E285" s="1855"/>
      <c r="F285" s="1855"/>
      <c r="G285" s="1110"/>
      <c r="H285" s="1110"/>
      <c r="I285" s="1110"/>
      <c r="J285" s="1110"/>
      <c r="K285" s="1084"/>
      <c r="L285" s="1078"/>
      <c r="M285" s="1078"/>
      <c r="N285" s="1078"/>
      <c r="O285" s="1078"/>
      <c r="P285" s="1078"/>
      <c r="Q285" s="1085"/>
    </row>
    <row r="286" spans="1:17" ht="15" customHeight="1">
      <c r="A286" s="1109" t="s">
        <v>1189</v>
      </c>
      <c r="B286" s="1078"/>
      <c r="C286" s="1855" t="s">
        <v>1190</v>
      </c>
      <c r="D286" s="1855"/>
      <c r="E286" s="1855"/>
      <c r="F286" s="1855"/>
      <c r="G286" s="1081"/>
      <c r="H286" s="1081"/>
      <c r="I286" s="1083"/>
      <c r="J286" s="1081"/>
      <c r="K286" s="1084"/>
      <c r="L286" s="1078"/>
      <c r="M286" s="1078"/>
      <c r="N286" s="1078"/>
      <c r="O286" s="1078"/>
      <c r="P286" s="1078"/>
      <c r="Q286" s="1085"/>
    </row>
    <row r="287" spans="1:17" ht="13">
      <c r="A287" s="1109"/>
      <c r="B287" s="1078"/>
      <c r="C287" s="1855"/>
      <c r="D287" s="1855"/>
      <c r="E287" s="1855"/>
      <c r="F287" s="1855"/>
      <c r="G287" s="1081"/>
      <c r="H287" s="1081"/>
      <c r="I287" s="1083"/>
      <c r="J287" s="1081"/>
      <c r="K287" s="1084"/>
      <c r="L287" s="1078"/>
      <c r="M287" s="1078"/>
      <c r="N287" s="1078"/>
      <c r="O287" s="1078"/>
      <c r="P287" s="1078"/>
      <c r="Q287" s="1085"/>
    </row>
    <row r="288" spans="1:17" ht="13">
      <c r="A288" s="1109"/>
      <c r="B288" s="1078"/>
      <c r="C288" s="1855"/>
      <c r="D288" s="1855"/>
      <c r="E288" s="1855"/>
      <c r="F288" s="1855"/>
      <c r="G288" s="1081"/>
      <c r="H288" s="1081"/>
      <c r="I288" s="1083"/>
      <c r="J288" s="1081"/>
      <c r="K288" s="1084"/>
      <c r="L288" s="1078"/>
      <c r="M288" s="1078"/>
      <c r="N288" s="1078"/>
      <c r="O288" s="1078"/>
      <c r="P288" s="1078"/>
      <c r="Q288" s="1085"/>
    </row>
    <row r="289" spans="1:17" ht="13">
      <c r="A289" s="1109"/>
      <c r="B289" s="1078"/>
      <c r="C289" s="1855"/>
      <c r="D289" s="1855"/>
      <c r="E289" s="1855"/>
      <c r="F289" s="1855"/>
      <c r="G289" s="1081"/>
      <c r="H289" s="1081"/>
      <c r="I289" s="1083"/>
      <c r="J289" s="1081"/>
      <c r="K289" s="1084"/>
      <c r="L289" s="1078"/>
      <c r="M289" s="1078"/>
      <c r="N289" s="1078"/>
      <c r="O289" s="1078"/>
      <c r="P289" s="1078"/>
      <c r="Q289" s="1085"/>
    </row>
    <row r="290" spans="1:17" ht="13">
      <c r="A290" s="1109"/>
      <c r="B290" s="1078"/>
      <c r="C290" s="1855"/>
      <c r="D290" s="1855"/>
      <c r="E290" s="1855"/>
      <c r="F290" s="1855"/>
      <c r="G290" s="1081"/>
      <c r="H290" s="1081"/>
      <c r="I290" s="1083"/>
      <c r="J290" s="1081"/>
      <c r="K290" s="1084"/>
      <c r="L290" s="1078"/>
      <c r="M290" s="1078"/>
      <c r="N290" s="1078"/>
      <c r="O290" s="1078"/>
      <c r="P290" s="1078"/>
      <c r="Q290" s="1085"/>
    </row>
    <row r="291" spans="1:17" ht="13">
      <c r="A291" s="1109"/>
      <c r="B291" s="1078"/>
      <c r="C291" s="1855"/>
      <c r="D291" s="1855"/>
      <c r="E291" s="1855"/>
      <c r="F291" s="1855"/>
      <c r="G291" s="1081"/>
      <c r="H291" s="1081"/>
      <c r="I291" s="1083"/>
      <c r="J291" s="1081"/>
      <c r="K291" s="1084"/>
      <c r="L291" s="1078"/>
      <c r="M291" s="1078"/>
      <c r="N291" s="1078"/>
      <c r="O291" s="1078"/>
      <c r="P291" s="1078"/>
      <c r="Q291" s="1085"/>
    </row>
    <row r="292" spans="1:17" ht="13">
      <c r="A292" s="1109"/>
      <c r="B292" s="1078"/>
      <c r="C292" s="1855"/>
      <c r="D292" s="1855"/>
      <c r="E292" s="1855"/>
      <c r="F292" s="1855"/>
      <c r="G292" s="1081"/>
      <c r="H292" s="1081"/>
      <c r="I292" s="1083"/>
      <c r="J292" s="1081"/>
      <c r="K292" s="1084"/>
      <c r="L292" s="1078"/>
      <c r="M292" s="1078"/>
      <c r="N292" s="1078"/>
      <c r="O292" s="1078"/>
      <c r="P292" s="1078"/>
      <c r="Q292" s="1085"/>
    </row>
    <row r="293" spans="1:17" ht="15" customHeight="1">
      <c r="A293" s="1109" t="s">
        <v>1191</v>
      </c>
      <c r="B293" s="1078"/>
      <c r="C293" s="1855" t="s">
        <v>1192</v>
      </c>
      <c r="D293" s="1855"/>
      <c r="E293" s="1855"/>
      <c r="F293" s="1855"/>
      <c r="G293" s="1081"/>
      <c r="H293" s="1081"/>
      <c r="I293" s="1083"/>
      <c r="J293" s="1081"/>
      <c r="K293" s="1084"/>
      <c r="L293" s="1078"/>
      <c r="M293" s="1078"/>
      <c r="N293" s="1078"/>
      <c r="O293" s="1078"/>
      <c r="P293" s="1078"/>
      <c r="Q293" s="1085"/>
    </row>
    <row r="294" spans="1:17" ht="13">
      <c r="A294" s="1109"/>
      <c r="B294" s="1078"/>
      <c r="C294" s="1855"/>
      <c r="D294" s="1855"/>
      <c r="E294" s="1855"/>
      <c r="F294" s="1855"/>
      <c r="G294" s="1081"/>
      <c r="H294" s="1081"/>
      <c r="I294" s="1083"/>
      <c r="J294" s="1081"/>
      <c r="K294" s="1084"/>
      <c r="L294" s="1078"/>
      <c r="M294" s="1078"/>
      <c r="N294" s="1078"/>
      <c r="O294" s="1078"/>
      <c r="P294" s="1078"/>
      <c r="Q294" s="1085"/>
    </row>
    <row r="295" spans="1:17" ht="13.5" thickBot="1">
      <c r="A295" s="1111"/>
      <c r="B295" s="1112"/>
      <c r="C295" s="1856"/>
      <c r="D295" s="1856"/>
      <c r="E295" s="1856"/>
      <c r="F295" s="1856"/>
      <c r="G295" s="1113"/>
      <c r="H295" s="1113"/>
      <c r="I295" s="1114"/>
      <c r="J295" s="1113"/>
      <c r="K295" s="1115"/>
      <c r="L295" s="1112"/>
      <c r="M295" s="1112"/>
      <c r="N295" s="1112"/>
      <c r="O295" s="1112"/>
      <c r="P295" s="1112"/>
      <c r="Q295" s="1116"/>
    </row>
    <row r="308" spans="3:3">
      <c r="C308" s="1117"/>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03">
    <mergeCell ref="C276:F277"/>
    <mergeCell ref="C278:F278"/>
    <mergeCell ref="C279:F280"/>
    <mergeCell ref="C281:F285"/>
    <mergeCell ref="C286:F292"/>
    <mergeCell ref="C293:F294"/>
    <mergeCell ref="C295:F295"/>
    <mergeCell ref="A229:F229"/>
    <mergeCell ref="A257:F257"/>
    <mergeCell ref="K257:Q257"/>
    <mergeCell ref="K259:Q259"/>
    <mergeCell ref="A247:F247"/>
    <mergeCell ref="A240:F240"/>
    <mergeCell ref="A220:F220"/>
    <mergeCell ref="A173:F173"/>
    <mergeCell ref="A179:F179"/>
    <mergeCell ref="H179:Q179"/>
    <mergeCell ref="G202:H202"/>
    <mergeCell ref="I202:J202"/>
    <mergeCell ref="K202:L202"/>
    <mergeCell ref="A195:F195"/>
    <mergeCell ref="H195:Q195"/>
    <mergeCell ref="H197:Q197"/>
    <mergeCell ref="G201:H201"/>
    <mergeCell ref="I201:J201"/>
    <mergeCell ref="K201:L201"/>
    <mergeCell ref="J233:P233"/>
    <mergeCell ref="A71:F71"/>
    <mergeCell ref="J71:Q71"/>
    <mergeCell ref="G205:H205"/>
    <mergeCell ref="I205:J205"/>
    <mergeCell ref="K205:L205"/>
    <mergeCell ref="A189:F189"/>
    <mergeCell ref="H189:Q189"/>
    <mergeCell ref="H191:Q191"/>
    <mergeCell ref="A209:F209"/>
    <mergeCell ref="H165:Q165"/>
    <mergeCell ref="H166:Q166"/>
    <mergeCell ref="A113:F113"/>
    <mergeCell ref="C115:F115"/>
    <mergeCell ref="C139:T141"/>
    <mergeCell ref="A145:F145"/>
    <mergeCell ref="H164:Q164"/>
    <mergeCell ref="H168:Q168"/>
    <mergeCell ref="H167:Q167"/>
    <mergeCell ref="H184:Q184"/>
    <mergeCell ref="G203:H203"/>
    <mergeCell ref="I203:J203"/>
    <mergeCell ref="K203:L203"/>
    <mergeCell ref="H77:Q77"/>
    <mergeCell ref="H79:Q79"/>
    <mergeCell ref="H81:Q81"/>
    <mergeCell ref="A158:F158"/>
    <mergeCell ref="H158:Q158"/>
    <mergeCell ref="H160:Q160"/>
    <mergeCell ref="H162:Q162"/>
    <mergeCell ref="H163:Q163"/>
    <mergeCell ref="A96:F96"/>
    <mergeCell ref="H84:Q84"/>
    <mergeCell ref="H85:Q85"/>
    <mergeCell ref="H86:Q86"/>
    <mergeCell ref="H87:Q87"/>
    <mergeCell ref="H88:Q88"/>
    <mergeCell ref="H89:Q89"/>
    <mergeCell ref="H82:Q82"/>
    <mergeCell ref="L67:Q67"/>
    <mergeCell ref="J38:Q38"/>
    <mergeCell ref="J36:Q36"/>
    <mergeCell ref="J40:Q40"/>
    <mergeCell ref="A44:F44"/>
    <mergeCell ref="J44:Q44"/>
    <mergeCell ref="J60:Q60"/>
    <mergeCell ref="J45:Q45"/>
    <mergeCell ref="J54:Q54"/>
    <mergeCell ref="A58:F58"/>
    <mergeCell ref="J46:Q46"/>
    <mergeCell ref="A50:F50"/>
    <mergeCell ref="J50:Q50"/>
    <mergeCell ref="J58:Q58"/>
    <mergeCell ref="J23:Q23"/>
    <mergeCell ref="J24:Q24"/>
    <mergeCell ref="J73:Q73"/>
    <mergeCell ref="A77:F77"/>
    <mergeCell ref="A5:F5"/>
    <mergeCell ref="J5:Q5"/>
    <mergeCell ref="J6:Q6"/>
    <mergeCell ref="J7:Q7"/>
    <mergeCell ref="J8:Q8"/>
    <mergeCell ref="J9:Q9"/>
    <mergeCell ref="A22:F22"/>
    <mergeCell ref="J22:Q22"/>
    <mergeCell ref="J11:Q11"/>
    <mergeCell ref="J13:Q13"/>
    <mergeCell ref="J15:Q15"/>
    <mergeCell ref="J18:Q18"/>
    <mergeCell ref="J37:Q37"/>
    <mergeCell ref="A33:F33"/>
    <mergeCell ref="J33:Q33"/>
    <mergeCell ref="J34:Q34"/>
    <mergeCell ref="J35:Q35"/>
    <mergeCell ref="A64:F64"/>
    <mergeCell ref="L64:Q64"/>
    <mergeCell ref="L66:Q66"/>
  </mergeCells>
  <phoneticPr fontId="52" type="noConversion"/>
  <pageMargins left="0.25" right="0.25" top="0.75" bottom="0.75" header="0.5" footer="0.5"/>
  <pageSetup scale="15" fitToHeight="3"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226"/>
  <sheetViews>
    <sheetView showGridLines="0" view="pageBreakPreview" topLeftCell="A19" zoomScale="99" zoomScaleNormal="100" zoomScaleSheetLayoutView="99" workbookViewId="0">
      <selection activeCell="P111" sqref="P111"/>
    </sheetView>
  </sheetViews>
  <sheetFormatPr defaultColWidth="9.1796875" defaultRowHeight="12.5"/>
  <cols>
    <col min="1" max="1" width="37" style="1488" customWidth="1"/>
    <col min="2" max="2" width="16" style="1488" bestFit="1" customWidth="1"/>
    <col min="3" max="3" width="5.81640625" style="1488" customWidth="1"/>
    <col min="4" max="4" width="16" style="1488" bestFit="1" customWidth="1"/>
    <col min="5" max="5" width="6.54296875" style="1488" customWidth="1"/>
    <col min="6" max="6" width="16" style="1488" bestFit="1" customWidth="1"/>
    <col min="7" max="7" width="6" style="1488" customWidth="1"/>
    <col min="8" max="8" width="11.1796875" style="1488" customWidth="1"/>
    <col min="9" max="9" width="5.81640625" style="1488" customWidth="1"/>
    <col min="10" max="10" width="9.7265625" style="1488" bestFit="1" customWidth="1"/>
    <col min="11" max="11" width="5.81640625" style="1488" customWidth="1"/>
    <col min="12" max="12" width="10.1796875" style="1488" customWidth="1"/>
    <col min="13" max="13" width="5.81640625" style="1488" customWidth="1"/>
    <col min="14" max="14" width="15" style="1488" bestFit="1" customWidth="1"/>
    <col min="15" max="15" width="5.453125" style="1488" customWidth="1"/>
    <col min="16" max="16" width="16" style="1488" bestFit="1" customWidth="1"/>
    <col min="17" max="16384" width="9.1796875" style="1488"/>
  </cols>
  <sheetData>
    <row r="1" spans="1:17" s="216" customFormat="1" ht="18">
      <c r="A1" s="1857" t="s">
        <v>1383</v>
      </c>
      <c r="B1" s="1858"/>
      <c r="C1" s="1858"/>
      <c r="D1" s="1858"/>
      <c r="E1" s="1858"/>
      <c r="F1" s="1858"/>
      <c r="G1" s="1858"/>
      <c r="H1" s="1858"/>
      <c r="I1" s="299"/>
      <c r="J1" s="299"/>
      <c r="K1" s="299"/>
      <c r="L1" s="299"/>
      <c r="M1" s="299"/>
    </row>
    <row r="2" spans="1:17" s="216" customFormat="1" ht="13">
      <c r="N2" s="217"/>
      <c r="O2" s="218"/>
      <c r="P2" s="219"/>
    </row>
    <row r="3" spans="1:17" s="216" customFormat="1" ht="13">
      <c r="A3" s="220" t="s">
        <v>467</v>
      </c>
      <c r="N3" s="217"/>
      <c r="O3" s="218"/>
      <c r="P3" s="219"/>
    </row>
    <row r="4" spans="1:17" s="216" customFormat="1" ht="13">
      <c r="A4" s="218"/>
      <c r="B4" s="218"/>
      <c r="C4" s="218"/>
      <c r="D4" s="218"/>
      <c r="E4" s="218"/>
      <c r="F4" s="218"/>
      <c r="G4" s="218"/>
      <c r="H4" s="218"/>
      <c r="I4" s="218"/>
      <c r="J4" s="218"/>
      <c r="K4" s="218"/>
      <c r="L4" s="218"/>
      <c r="M4" s="218"/>
      <c r="N4" s="218"/>
      <c r="O4" s="218"/>
      <c r="P4" s="219"/>
    </row>
    <row r="5" spans="1:17" s="216" customFormat="1"/>
    <row r="6" spans="1:17" s="216" customFormat="1" ht="13">
      <c r="A6" s="219"/>
      <c r="B6" s="221" t="s">
        <v>468</v>
      </c>
      <c r="C6" s="221"/>
      <c r="D6" s="222" t="s">
        <v>469</v>
      </c>
      <c r="E6" s="222"/>
      <c r="F6" s="222"/>
      <c r="G6" s="222"/>
      <c r="H6" s="222"/>
      <c r="I6" s="222"/>
      <c r="J6" s="222"/>
      <c r="K6" s="222"/>
      <c r="L6" s="222"/>
      <c r="M6" s="222"/>
      <c r="N6" s="222"/>
      <c r="O6" s="222"/>
      <c r="P6" s="221"/>
    </row>
    <row r="7" spans="1:17" s="216" customFormat="1" ht="13">
      <c r="A7" s="219"/>
      <c r="B7" s="221" t="s">
        <v>470</v>
      </c>
      <c r="C7" s="221"/>
      <c r="D7" s="222" t="s">
        <v>471</v>
      </c>
      <c r="E7" s="222"/>
      <c r="F7" s="222" t="s">
        <v>138</v>
      </c>
      <c r="G7" s="222"/>
      <c r="H7" s="221" t="s">
        <v>1005</v>
      </c>
      <c r="I7" s="302"/>
      <c r="J7" s="221" t="s">
        <v>1006</v>
      </c>
      <c r="K7" s="302"/>
      <c r="L7" s="221" t="s">
        <v>1007</v>
      </c>
      <c r="M7" s="221"/>
      <c r="N7" s="222" t="s">
        <v>472</v>
      </c>
      <c r="O7" s="222"/>
      <c r="P7" s="223" t="s">
        <v>42</v>
      </c>
    </row>
    <row r="8" spans="1:17" s="216" customFormat="1">
      <c r="A8" s="219"/>
      <c r="B8" s="224"/>
      <c r="C8" s="224"/>
      <c r="D8" s="225"/>
      <c r="E8" s="225"/>
      <c r="F8" s="225"/>
      <c r="G8" s="225"/>
      <c r="H8" s="225"/>
      <c r="I8" s="225"/>
      <c r="J8" s="225"/>
      <c r="K8" s="225"/>
      <c r="L8" s="225"/>
      <c r="M8" s="225"/>
      <c r="N8" s="225"/>
      <c r="O8" s="225"/>
      <c r="P8" s="226"/>
    </row>
    <row r="9" spans="1:17" s="216" customFormat="1" ht="14">
      <c r="A9" s="932" t="s">
        <v>1600</v>
      </c>
      <c r="B9" s="932">
        <v>2830125</v>
      </c>
      <c r="C9" s="932"/>
      <c r="D9" s="932">
        <v>2575025</v>
      </c>
      <c r="E9" s="932"/>
      <c r="F9" s="932">
        <v>4975157</v>
      </c>
      <c r="G9" s="932"/>
      <c r="H9" s="932">
        <v>0</v>
      </c>
      <c r="I9" s="932"/>
      <c r="J9" s="932">
        <v>0</v>
      </c>
      <c r="K9" s="932"/>
      <c r="L9" s="932">
        <v>0</v>
      </c>
      <c r="M9" s="932"/>
      <c r="N9" s="932">
        <v>5804</v>
      </c>
      <c r="O9" s="228"/>
      <c r="P9" s="228">
        <f>SUM(B9:N9)</f>
        <v>10386111</v>
      </c>
      <c r="Q9" s="229"/>
    </row>
    <row r="10" spans="1:17" s="216" customFormat="1" ht="14">
      <c r="A10" s="932"/>
      <c r="B10" s="932"/>
      <c r="C10" s="932"/>
      <c r="D10" s="932"/>
      <c r="E10" s="932"/>
      <c r="F10" s="932"/>
      <c r="G10" s="932"/>
      <c r="H10" s="932"/>
      <c r="I10" s="932"/>
      <c r="J10" s="932"/>
      <c r="K10" s="932"/>
      <c r="L10" s="932"/>
      <c r="M10" s="932"/>
      <c r="N10" s="932"/>
      <c r="O10" s="230"/>
      <c r="P10" s="228">
        <f t="shared" ref="P10:P31" si="0">SUM(B10:N10)</f>
        <v>0</v>
      </c>
      <c r="Q10" s="229"/>
    </row>
    <row r="11" spans="1:17" s="216" customFormat="1" ht="14">
      <c r="A11" s="932" t="s">
        <v>1601</v>
      </c>
      <c r="B11" s="932">
        <v>8039327</v>
      </c>
      <c r="C11" s="932"/>
      <c r="D11" s="932">
        <v>6619238</v>
      </c>
      <c r="E11" s="932"/>
      <c r="F11" s="932">
        <v>14768918</v>
      </c>
      <c r="G11" s="932"/>
      <c r="H11" s="932">
        <v>0</v>
      </c>
      <c r="I11" s="932"/>
      <c r="J11" s="932">
        <v>0</v>
      </c>
      <c r="K11" s="932"/>
      <c r="L11" s="932">
        <v>0</v>
      </c>
      <c r="M11" s="932"/>
      <c r="N11" s="932">
        <v>7355521</v>
      </c>
      <c r="O11" s="230"/>
      <c r="P11" s="228">
        <f t="shared" si="0"/>
        <v>36783004</v>
      </c>
      <c r="Q11" s="229"/>
    </row>
    <row r="12" spans="1:17" s="216" customFormat="1" ht="14">
      <c r="A12" s="932"/>
      <c r="B12" s="932"/>
      <c r="C12" s="932"/>
      <c r="D12" s="932"/>
      <c r="E12" s="932"/>
      <c r="F12" s="932"/>
      <c r="G12" s="932"/>
      <c r="H12" s="932"/>
      <c r="I12" s="932"/>
      <c r="J12" s="932"/>
      <c r="K12" s="932"/>
      <c r="L12" s="932"/>
      <c r="M12" s="932"/>
      <c r="N12" s="932"/>
      <c r="O12" s="230"/>
      <c r="P12" s="228">
        <f t="shared" si="0"/>
        <v>0</v>
      </c>
      <c r="Q12" s="229"/>
    </row>
    <row r="13" spans="1:17" s="216" customFormat="1" ht="14">
      <c r="A13" s="932" t="s">
        <v>1602</v>
      </c>
      <c r="B13" s="932">
        <v>6775655</v>
      </c>
      <c r="C13" s="932"/>
      <c r="D13" s="932">
        <v>5806633</v>
      </c>
      <c r="E13" s="932"/>
      <c r="F13" s="932">
        <v>10855543</v>
      </c>
      <c r="G13" s="932"/>
      <c r="H13" s="932">
        <v>0</v>
      </c>
      <c r="I13" s="932"/>
      <c r="J13" s="932">
        <v>0</v>
      </c>
      <c r="K13" s="932"/>
      <c r="L13" s="932">
        <v>0</v>
      </c>
      <c r="M13" s="932"/>
      <c r="N13" s="932">
        <v>17368</v>
      </c>
      <c r="O13" s="230"/>
      <c r="P13" s="228">
        <f t="shared" si="0"/>
        <v>23455199</v>
      </c>
      <c r="Q13" s="229"/>
    </row>
    <row r="14" spans="1:17" s="216" customFormat="1" ht="14">
      <c r="A14" s="932"/>
      <c r="B14" s="932"/>
      <c r="C14" s="932"/>
      <c r="D14" s="932"/>
      <c r="E14" s="932"/>
      <c r="F14" s="932"/>
      <c r="G14" s="932"/>
      <c r="H14" s="932"/>
      <c r="I14" s="932"/>
      <c r="J14" s="932"/>
      <c r="K14" s="932"/>
      <c r="L14" s="932"/>
      <c r="M14" s="932"/>
      <c r="N14" s="932"/>
      <c r="O14" s="230"/>
      <c r="P14" s="228">
        <f t="shared" si="0"/>
        <v>0</v>
      </c>
      <c r="Q14" s="229"/>
    </row>
    <row r="15" spans="1:17" s="216" customFormat="1" ht="14">
      <c r="A15" s="932" t="s">
        <v>1603</v>
      </c>
      <c r="B15" s="932">
        <v>2664941</v>
      </c>
      <c r="C15" s="932"/>
      <c r="D15" s="932">
        <v>1872962</v>
      </c>
      <c r="E15" s="932"/>
      <c r="F15" s="932">
        <v>4027942</v>
      </c>
      <c r="G15" s="932"/>
      <c r="H15" s="932">
        <v>0</v>
      </c>
      <c r="I15" s="932"/>
      <c r="J15" s="932">
        <v>0</v>
      </c>
      <c r="K15" s="932"/>
      <c r="L15" s="932">
        <v>0</v>
      </c>
      <c r="M15" s="932"/>
      <c r="N15" s="932">
        <v>0</v>
      </c>
      <c r="O15" s="230"/>
      <c r="P15" s="228">
        <f t="shared" si="0"/>
        <v>8565845</v>
      </c>
      <c r="Q15" s="229"/>
    </row>
    <row r="16" spans="1:17" s="216" customFormat="1" ht="14">
      <c r="A16" s="932"/>
      <c r="B16" s="932"/>
      <c r="C16" s="932"/>
      <c r="D16" s="932"/>
      <c r="E16" s="932"/>
      <c r="F16" s="932"/>
      <c r="G16" s="932"/>
      <c r="H16" s="932"/>
      <c r="I16" s="932"/>
      <c r="J16" s="932"/>
      <c r="K16" s="932"/>
      <c r="L16" s="932"/>
      <c r="M16" s="932"/>
      <c r="N16" s="932"/>
      <c r="O16" s="230"/>
      <c r="P16" s="228">
        <f t="shared" si="0"/>
        <v>0</v>
      </c>
      <c r="Q16" s="229"/>
    </row>
    <row r="17" spans="1:17" s="216" customFormat="1" ht="14">
      <c r="A17" s="932" t="s">
        <v>1604</v>
      </c>
      <c r="B17" s="932">
        <v>1826941</v>
      </c>
      <c r="C17" s="932"/>
      <c r="D17" s="932">
        <v>1279881</v>
      </c>
      <c r="E17" s="932"/>
      <c r="F17" s="932">
        <v>2396322</v>
      </c>
      <c r="G17" s="932"/>
      <c r="H17" s="932">
        <v>0</v>
      </c>
      <c r="I17" s="932"/>
      <c r="J17" s="932">
        <v>0</v>
      </c>
      <c r="K17" s="932"/>
      <c r="L17" s="932">
        <v>0</v>
      </c>
      <c r="M17" s="932"/>
      <c r="N17" s="932">
        <v>300759</v>
      </c>
      <c r="O17" s="230"/>
      <c r="P17" s="228">
        <f t="shared" si="0"/>
        <v>5803903</v>
      </c>
      <c r="Q17" s="229"/>
    </row>
    <row r="18" spans="1:17" s="216" customFormat="1" ht="14">
      <c r="A18" s="932"/>
      <c r="B18" s="932"/>
      <c r="C18" s="932"/>
      <c r="D18" s="932"/>
      <c r="E18" s="932"/>
      <c r="F18" s="932"/>
      <c r="G18" s="932"/>
      <c r="H18" s="932"/>
      <c r="I18" s="932"/>
      <c r="J18" s="932"/>
      <c r="K18" s="932"/>
      <c r="L18" s="932"/>
      <c r="M18" s="932"/>
      <c r="N18" s="932"/>
      <c r="O18" s="230"/>
      <c r="P18" s="228">
        <f t="shared" si="0"/>
        <v>0</v>
      </c>
      <c r="Q18" s="229"/>
    </row>
    <row r="19" spans="1:17" s="216" customFormat="1" ht="14">
      <c r="A19" s="932" t="s">
        <v>1605</v>
      </c>
      <c r="B19" s="932">
        <v>35816988</v>
      </c>
      <c r="C19" s="932"/>
      <c r="D19" s="932">
        <v>34425141</v>
      </c>
      <c r="E19" s="932"/>
      <c r="F19" s="932">
        <v>26855148</v>
      </c>
      <c r="G19" s="932"/>
      <c r="H19" s="932">
        <v>0</v>
      </c>
      <c r="I19" s="932"/>
      <c r="J19" s="932">
        <v>0</v>
      </c>
      <c r="K19" s="932"/>
      <c r="L19" s="932">
        <v>0</v>
      </c>
      <c r="M19" s="932"/>
      <c r="N19" s="932">
        <v>0</v>
      </c>
      <c r="O19" s="230"/>
      <c r="P19" s="228">
        <f t="shared" si="0"/>
        <v>97097277</v>
      </c>
      <c r="Q19" s="229"/>
    </row>
    <row r="20" spans="1:17" s="216" customFormat="1" ht="14">
      <c r="A20" s="932"/>
      <c r="B20" s="932"/>
      <c r="C20" s="932"/>
      <c r="D20" s="932"/>
      <c r="E20" s="932"/>
      <c r="F20" s="932"/>
      <c r="G20" s="932"/>
      <c r="H20" s="932"/>
      <c r="I20" s="932"/>
      <c r="J20" s="932"/>
      <c r="K20" s="932"/>
      <c r="L20" s="932"/>
      <c r="M20" s="932"/>
      <c r="N20" s="932"/>
      <c r="O20" s="230"/>
      <c r="P20" s="228">
        <f t="shared" si="0"/>
        <v>0</v>
      </c>
      <c r="Q20" s="229"/>
    </row>
    <row r="21" spans="1:17" s="216" customFormat="1" ht="14">
      <c r="A21" s="932" t="s">
        <v>1606</v>
      </c>
      <c r="B21" s="932">
        <v>11709010</v>
      </c>
      <c r="C21" s="932"/>
      <c r="D21" s="932">
        <v>11767657</v>
      </c>
      <c r="E21" s="932"/>
      <c r="F21" s="932">
        <v>17990102</v>
      </c>
      <c r="G21" s="932"/>
      <c r="H21" s="932">
        <v>0</v>
      </c>
      <c r="I21" s="932"/>
      <c r="J21" s="932">
        <v>0</v>
      </c>
      <c r="K21" s="932"/>
      <c r="L21" s="932">
        <v>0</v>
      </c>
      <c r="M21" s="932"/>
      <c r="N21" s="932">
        <v>3915</v>
      </c>
      <c r="O21" s="230"/>
      <c r="P21" s="228">
        <f t="shared" si="0"/>
        <v>41470684</v>
      </c>
      <c r="Q21" s="229"/>
    </row>
    <row r="22" spans="1:17" s="216" customFormat="1" ht="14">
      <c r="A22" s="932"/>
      <c r="B22" s="932"/>
      <c r="C22" s="932"/>
      <c r="D22" s="932"/>
      <c r="E22" s="932"/>
      <c r="F22" s="932"/>
      <c r="G22" s="932"/>
      <c r="H22" s="932"/>
      <c r="I22" s="932"/>
      <c r="J22" s="932"/>
      <c r="K22" s="932"/>
      <c r="L22" s="932"/>
      <c r="M22" s="932"/>
      <c r="N22" s="932"/>
      <c r="O22" s="230"/>
      <c r="P22" s="228">
        <f>SUM(B22:N22)</f>
        <v>0</v>
      </c>
      <c r="Q22" s="229"/>
    </row>
    <row r="23" spans="1:17" s="216" customFormat="1" ht="14">
      <c r="A23" s="932" t="s">
        <v>1607</v>
      </c>
      <c r="B23" s="932">
        <v>3167612</v>
      </c>
      <c r="C23" s="932"/>
      <c r="D23" s="932">
        <v>3045258</v>
      </c>
      <c r="E23" s="932"/>
      <c r="F23" s="932">
        <v>3697560</v>
      </c>
      <c r="G23" s="932"/>
      <c r="H23" s="932">
        <v>0</v>
      </c>
      <c r="I23" s="932"/>
      <c r="J23" s="932">
        <v>0</v>
      </c>
      <c r="K23" s="932"/>
      <c r="L23" s="932">
        <v>0</v>
      </c>
      <c r="M23" s="932"/>
      <c r="N23" s="932">
        <v>820</v>
      </c>
      <c r="O23" s="230"/>
      <c r="P23" s="228">
        <f t="shared" si="0"/>
        <v>9911250</v>
      </c>
      <c r="Q23" s="229"/>
    </row>
    <row r="24" spans="1:17" s="216" customFormat="1" ht="14">
      <c r="A24" s="932"/>
      <c r="B24" s="932"/>
      <c r="C24" s="932"/>
      <c r="D24" s="932"/>
      <c r="E24" s="932"/>
      <c r="F24" s="932"/>
      <c r="G24" s="932"/>
      <c r="H24" s="932"/>
      <c r="I24" s="932"/>
      <c r="J24" s="932"/>
      <c r="K24" s="932"/>
      <c r="L24" s="932"/>
      <c r="M24" s="932"/>
      <c r="N24" s="932"/>
      <c r="O24" s="230"/>
      <c r="P24" s="228">
        <f t="shared" si="0"/>
        <v>0</v>
      </c>
      <c r="Q24" s="229"/>
    </row>
    <row r="25" spans="1:17" s="216" customFormat="1" ht="14">
      <c r="A25" s="932" t="s">
        <v>1608</v>
      </c>
      <c r="B25" s="932">
        <v>1721966</v>
      </c>
      <c r="C25" s="932"/>
      <c r="D25" s="932">
        <v>1510728</v>
      </c>
      <c r="E25" s="932"/>
      <c r="F25" s="932">
        <v>2744840</v>
      </c>
      <c r="G25" s="932"/>
      <c r="H25" s="932">
        <v>0</v>
      </c>
      <c r="I25" s="932"/>
      <c r="J25" s="932">
        <v>0</v>
      </c>
      <c r="K25" s="932"/>
      <c r="L25" s="932">
        <v>0</v>
      </c>
      <c r="M25" s="932"/>
      <c r="N25" s="932">
        <v>2739</v>
      </c>
      <c r="O25" s="230"/>
      <c r="P25" s="228">
        <f t="shared" si="0"/>
        <v>5980273</v>
      </c>
      <c r="Q25" s="229"/>
    </row>
    <row r="26" spans="1:17" s="216" customFormat="1" ht="14">
      <c r="A26" s="932"/>
      <c r="B26" s="932"/>
      <c r="C26" s="932"/>
      <c r="D26" s="932"/>
      <c r="E26" s="932"/>
      <c r="F26" s="932"/>
      <c r="G26" s="932"/>
      <c r="H26" s="932"/>
      <c r="I26" s="932"/>
      <c r="J26" s="932"/>
      <c r="K26" s="932"/>
      <c r="L26" s="932"/>
      <c r="M26" s="932"/>
      <c r="N26" s="932"/>
      <c r="O26" s="230"/>
      <c r="P26" s="228">
        <f t="shared" si="0"/>
        <v>0</v>
      </c>
      <c r="Q26" s="229"/>
    </row>
    <row r="27" spans="1:17" s="216" customFormat="1" ht="14">
      <c r="A27" s="932" t="s">
        <v>1609</v>
      </c>
      <c r="B27" s="932">
        <v>8989315</v>
      </c>
      <c r="C27" s="932"/>
      <c r="D27" s="932">
        <v>7299720</v>
      </c>
      <c r="E27" s="932"/>
      <c r="F27" s="932">
        <v>9592915</v>
      </c>
      <c r="G27" s="932"/>
      <c r="H27" s="932">
        <v>0</v>
      </c>
      <c r="I27" s="932"/>
      <c r="J27" s="932">
        <v>0</v>
      </c>
      <c r="K27" s="932"/>
      <c r="L27" s="932">
        <v>0</v>
      </c>
      <c r="M27" s="932"/>
      <c r="N27" s="932">
        <v>28822</v>
      </c>
      <c r="O27" s="230"/>
      <c r="P27" s="228">
        <f t="shared" si="0"/>
        <v>25910772</v>
      </c>
      <c r="Q27" s="229"/>
    </row>
    <row r="28" spans="1:17" s="216" customFormat="1" ht="14">
      <c r="A28" s="932"/>
      <c r="B28" s="932"/>
      <c r="C28" s="932"/>
      <c r="D28" s="932"/>
      <c r="E28" s="932"/>
      <c r="F28" s="932"/>
      <c r="G28" s="932"/>
      <c r="H28" s="932"/>
      <c r="I28" s="932"/>
      <c r="J28" s="932"/>
      <c r="K28" s="932"/>
      <c r="L28" s="932"/>
      <c r="M28" s="932"/>
      <c r="N28" s="932"/>
      <c r="O28" s="230"/>
      <c r="P28" s="228">
        <f t="shared" si="0"/>
        <v>0</v>
      </c>
      <c r="Q28" s="229"/>
    </row>
    <row r="29" spans="1:17" s="216" customFormat="1" ht="14">
      <c r="A29" s="932" t="s">
        <v>1610</v>
      </c>
      <c r="B29" s="932">
        <v>36613040</v>
      </c>
      <c r="C29" s="932"/>
      <c r="D29" s="932">
        <v>28435636</v>
      </c>
      <c r="E29" s="932"/>
      <c r="F29" s="932">
        <v>47085755</v>
      </c>
      <c r="G29" s="932"/>
      <c r="H29" s="932">
        <v>141938</v>
      </c>
      <c r="I29" s="932"/>
      <c r="J29" s="932">
        <v>184747</v>
      </c>
      <c r="K29" s="932"/>
      <c r="L29" s="932">
        <v>75881</v>
      </c>
      <c r="M29" s="932"/>
      <c r="N29" s="932">
        <v>162</v>
      </c>
      <c r="O29" s="230"/>
      <c r="P29" s="228">
        <f t="shared" si="0"/>
        <v>112537159</v>
      </c>
      <c r="Q29" s="229"/>
    </row>
    <row r="30" spans="1:17" s="216" customFormat="1" ht="14">
      <c r="A30" s="932"/>
      <c r="B30" s="932"/>
      <c r="C30" s="932"/>
      <c r="D30" s="932"/>
      <c r="E30" s="932"/>
      <c r="F30" s="932"/>
      <c r="G30" s="932"/>
      <c r="H30" s="932"/>
      <c r="I30" s="932"/>
      <c r="J30" s="932"/>
      <c r="K30" s="932"/>
      <c r="L30" s="932"/>
      <c r="M30" s="932"/>
      <c r="N30" s="932"/>
      <c r="O30" s="230"/>
      <c r="P30" s="228">
        <f t="shared" si="0"/>
        <v>0</v>
      </c>
      <c r="Q30" s="229"/>
    </row>
    <row r="31" spans="1:17" s="216" customFormat="1" ht="14">
      <c r="A31" s="932" t="s">
        <v>1611</v>
      </c>
      <c r="B31" s="932">
        <v>657950</v>
      </c>
      <c r="C31" s="932"/>
      <c r="D31" s="932">
        <v>543578</v>
      </c>
      <c r="E31" s="932"/>
      <c r="F31" s="932">
        <v>1240318</v>
      </c>
      <c r="G31" s="932"/>
      <c r="H31" s="932">
        <v>0</v>
      </c>
      <c r="I31" s="932"/>
      <c r="J31" s="932">
        <v>0</v>
      </c>
      <c r="K31" s="932"/>
      <c r="L31" s="932">
        <v>0</v>
      </c>
      <c r="M31" s="932"/>
      <c r="N31" s="932">
        <v>142</v>
      </c>
      <c r="O31" s="230"/>
      <c r="P31" s="228">
        <f t="shared" si="0"/>
        <v>2441988</v>
      </c>
      <c r="Q31" s="229"/>
    </row>
    <row r="32" spans="1:17" s="216" customFormat="1">
      <c r="A32" s="231"/>
      <c r="B32" s="232"/>
      <c r="C32" s="232"/>
      <c r="D32" s="232"/>
      <c r="E32" s="232"/>
      <c r="F32" s="232"/>
      <c r="G32" s="232"/>
      <c r="H32" s="232"/>
      <c r="I32" s="232"/>
      <c r="J32" s="232"/>
      <c r="K32" s="232"/>
      <c r="L32" s="232"/>
      <c r="M32" s="232"/>
      <c r="N32" s="233"/>
      <c r="O32" s="233"/>
      <c r="P32" s="232"/>
      <c r="Q32" s="234"/>
    </row>
    <row r="33" spans="1:17" s="216" customFormat="1" ht="13.5" thickBot="1">
      <c r="A33" s="231" t="s">
        <v>42</v>
      </c>
      <c r="B33" s="235">
        <f>SUM(B9:B31)</f>
        <v>120812870</v>
      </c>
      <c r="C33" s="235"/>
      <c r="D33" s="235">
        <f t="shared" ref="D33:P33" si="1">SUM(D9:D31)</f>
        <v>105181457</v>
      </c>
      <c r="E33" s="235"/>
      <c r="F33" s="235">
        <f t="shared" si="1"/>
        <v>146230520</v>
      </c>
      <c r="G33" s="235"/>
      <c r="H33" s="235">
        <f t="shared" si="1"/>
        <v>141938</v>
      </c>
      <c r="I33" s="235"/>
      <c r="J33" s="235">
        <f t="shared" si="1"/>
        <v>184747</v>
      </c>
      <c r="K33" s="235"/>
      <c r="L33" s="235">
        <f t="shared" si="1"/>
        <v>75881</v>
      </c>
      <c r="M33" s="235"/>
      <c r="N33" s="235">
        <f t="shared" si="1"/>
        <v>7716052</v>
      </c>
      <c r="O33" s="235"/>
      <c r="P33" s="235">
        <f t="shared" si="1"/>
        <v>380343465</v>
      </c>
      <c r="Q33" s="234"/>
    </row>
    <row r="34" spans="1:17" s="216" customFormat="1" ht="13" thickTop="1">
      <c r="B34" s="232"/>
      <c r="C34" s="232"/>
      <c r="D34" s="232"/>
      <c r="E34" s="232"/>
      <c r="F34" s="232"/>
      <c r="G34" s="232"/>
      <c r="H34" s="232"/>
      <c r="I34" s="232"/>
      <c r="J34" s="232"/>
      <c r="K34" s="232"/>
      <c r="L34" s="232"/>
      <c r="M34" s="232"/>
      <c r="N34" s="233" t="s">
        <v>83</v>
      </c>
      <c r="O34" s="233"/>
      <c r="P34" s="232"/>
    </row>
    <row r="35" spans="1:17" s="216" customFormat="1" ht="13">
      <c r="B35" s="1673"/>
      <c r="C35" s="232"/>
      <c r="D35" s="232"/>
      <c r="E35" s="232"/>
      <c r="F35" s="232"/>
      <c r="G35" s="232"/>
      <c r="H35" s="232"/>
      <c r="I35" s="232"/>
      <c r="J35" s="232"/>
      <c r="K35" s="232"/>
      <c r="L35" s="232"/>
      <c r="M35" s="232"/>
      <c r="N35" s="233"/>
      <c r="O35" s="233"/>
      <c r="P35" s="232"/>
    </row>
    <row r="36" spans="1:17" s="216" customFormat="1">
      <c r="B36" s="232"/>
      <c r="C36" s="232"/>
      <c r="D36" s="232"/>
      <c r="E36" s="232"/>
      <c r="F36" s="232"/>
      <c r="G36" s="232"/>
      <c r="H36" s="232"/>
      <c r="I36" s="232"/>
      <c r="J36" s="232"/>
      <c r="K36" s="232"/>
      <c r="L36" s="232"/>
      <c r="M36" s="232"/>
      <c r="N36" s="233"/>
      <c r="O36" s="233"/>
      <c r="P36" s="232"/>
    </row>
    <row r="37" spans="1:17" s="216" customFormat="1">
      <c r="B37" s="232"/>
      <c r="C37" s="232"/>
      <c r="D37" s="232"/>
      <c r="E37" s="232"/>
      <c r="F37" s="232"/>
      <c r="G37" s="232"/>
      <c r="H37" s="232"/>
      <c r="I37" s="232"/>
      <c r="J37" s="232"/>
      <c r="K37" s="232"/>
      <c r="L37" s="232"/>
      <c r="M37" s="232"/>
      <c r="N37" s="233"/>
      <c r="O37" s="233"/>
      <c r="P37" s="232"/>
    </row>
    <row r="38" spans="1:17" s="216" customFormat="1">
      <c r="B38" s="232"/>
      <c r="C38" s="232"/>
      <c r="D38" s="232"/>
      <c r="E38" s="232"/>
      <c r="F38" s="232"/>
      <c r="G38" s="232"/>
      <c r="H38" s="232"/>
      <c r="I38" s="232"/>
      <c r="J38" s="232"/>
      <c r="K38" s="232"/>
      <c r="L38" s="232"/>
      <c r="M38" s="232"/>
      <c r="N38" s="233"/>
      <c r="O38" s="233"/>
      <c r="P38" s="232"/>
    </row>
    <row r="39" spans="1:17" s="216" customFormat="1">
      <c r="B39" s="232"/>
      <c r="C39" s="232"/>
      <c r="D39" s="232"/>
      <c r="E39" s="232"/>
      <c r="F39" s="232"/>
      <c r="G39" s="232"/>
      <c r="H39" s="232"/>
      <c r="I39" s="232"/>
      <c r="J39" s="232"/>
      <c r="K39" s="232"/>
      <c r="L39" s="232"/>
      <c r="M39" s="232"/>
      <c r="N39" s="233"/>
      <c r="O39" s="233"/>
      <c r="P39" s="232"/>
    </row>
    <row r="40" spans="1:17" s="216" customFormat="1">
      <c r="B40" s="232"/>
      <c r="C40" s="232"/>
      <c r="D40" s="232"/>
      <c r="E40" s="232"/>
      <c r="F40" s="232"/>
      <c r="G40" s="232"/>
      <c r="H40" s="232"/>
      <c r="I40" s="232"/>
      <c r="J40" s="232"/>
      <c r="K40" s="232"/>
      <c r="L40" s="232"/>
      <c r="M40" s="232"/>
      <c r="N40" s="233"/>
      <c r="O40" s="233"/>
      <c r="P40" s="232"/>
    </row>
    <row r="41" spans="1:17" s="216" customFormat="1">
      <c r="B41" s="232"/>
      <c r="C41" s="232"/>
      <c r="D41" s="232"/>
      <c r="E41" s="232"/>
      <c r="F41" s="232"/>
      <c r="G41" s="232"/>
      <c r="H41" s="232"/>
      <c r="I41" s="232"/>
      <c r="J41" s="232"/>
      <c r="K41" s="232"/>
      <c r="L41" s="232"/>
      <c r="M41" s="232"/>
      <c r="N41" s="233"/>
      <c r="O41" s="233"/>
      <c r="P41" s="232"/>
    </row>
    <row r="42" spans="1:17" s="216" customFormat="1">
      <c r="B42" s="232"/>
      <c r="C42" s="232"/>
      <c r="D42" s="232"/>
      <c r="E42" s="232"/>
      <c r="F42" s="232"/>
      <c r="G42" s="232"/>
      <c r="H42" s="232"/>
      <c r="I42" s="232"/>
      <c r="J42" s="232"/>
      <c r="K42" s="232"/>
      <c r="L42" s="232"/>
      <c r="M42" s="232"/>
      <c r="N42" s="233"/>
      <c r="O42" s="233"/>
      <c r="P42" s="232"/>
    </row>
    <row r="43" spans="1:17" s="216" customFormat="1">
      <c r="B43" s="232"/>
      <c r="C43" s="232"/>
      <c r="D43" s="232"/>
      <c r="E43" s="232"/>
      <c r="F43" s="232"/>
      <c r="G43" s="232"/>
      <c r="H43" s="232"/>
      <c r="I43" s="232"/>
      <c r="J43" s="232"/>
      <c r="K43" s="232"/>
      <c r="L43" s="232"/>
      <c r="M43" s="232"/>
      <c r="N43" s="233"/>
      <c r="O43" s="233"/>
      <c r="P43" s="232"/>
    </row>
    <row r="44" spans="1:17" s="216" customFormat="1">
      <c r="B44" s="232"/>
      <c r="C44" s="232"/>
      <c r="D44" s="232"/>
      <c r="E44" s="232"/>
      <c r="F44" s="232"/>
      <c r="G44" s="232"/>
      <c r="H44" s="232"/>
      <c r="I44" s="232"/>
      <c r="J44" s="232"/>
      <c r="K44" s="232"/>
      <c r="L44" s="232"/>
      <c r="M44" s="232"/>
      <c r="N44" s="233"/>
      <c r="O44" s="233"/>
      <c r="P44" s="232"/>
      <c r="Q44" s="1681"/>
    </row>
    <row r="45" spans="1:17" s="216" customFormat="1">
      <c r="B45" s="232"/>
      <c r="C45" s="232"/>
      <c r="D45" s="232"/>
      <c r="E45" s="232"/>
      <c r="F45" s="232"/>
      <c r="G45" s="232"/>
      <c r="H45" s="232"/>
      <c r="I45" s="232"/>
      <c r="J45" s="232"/>
      <c r="K45" s="232"/>
      <c r="L45" s="232"/>
      <c r="M45" s="232"/>
      <c r="N45" s="233"/>
      <c r="O45" s="233"/>
      <c r="P45" s="232"/>
    </row>
    <row r="46" spans="1:17" s="216" customFormat="1">
      <c r="B46" s="232"/>
      <c r="C46" s="232"/>
      <c r="D46" s="232"/>
      <c r="E46" s="232"/>
      <c r="F46" s="232"/>
      <c r="G46" s="232"/>
      <c r="H46" s="232"/>
      <c r="I46" s="232"/>
      <c r="J46" s="232"/>
      <c r="K46" s="232"/>
      <c r="L46" s="232"/>
      <c r="M46" s="232"/>
      <c r="N46" s="233"/>
      <c r="O46" s="233"/>
      <c r="P46" s="232"/>
    </row>
    <row r="47" spans="1:17" s="216" customFormat="1">
      <c r="B47" s="232"/>
      <c r="C47" s="232"/>
      <c r="D47" s="232"/>
      <c r="E47" s="232"/>
      <c r="F47" s="232"/>
      <c r="G47" s="232"/>
      <c r="H47" s="232"/>
      <c r="I47" s="232"/>
      <c r="J47" s="232"/>
      <c r="K47" s="232"/>
      <c r="L47" s="232"/>
      <c r="M47" s="232"/>
      <c r="N47" s="233"/>
      <c r="O47" s="233"/>
      <c r="P47" s="232"/>
    </row>
    <row r="48" spans="1:17" s="216" customFormat="1">
      <c r="B48" s="232"/>
      <c r="C48" s="232"/>
      <c r="D48" s="232"/>
      <c r="E48" s="232"/>
      <c r="F48" s="232"/>
      <c r="G48" s="232"/>
      <c r="H48" s="232"/>
      <c r="I48" s="232"/>
      <c r="J48" s="232"/>
      <c r="K48" s="232"/>
      <c r="L48" s="232"/>
      <c r="M48" s="232"/>
      <c r="N48" s="233"/>
      <c r="O48" s="233"/>
      <c r="P48" s="232"/>
    </row>
    <row r="49" spans="2:16" s="216" customFormat="1">
      <c r="B49" s="232"/>
      <c r="C49" s="232"/>
      <c r="D49" s="232"/>
      <c r="E49" s="232"/>
      <c r="F49" s="232"/>
      <c r="G49" s="232"/>
      <c r="H49" s="232"/>
      <c r="I49" s="232"/>
      <c r="J49" s="232"/>
      <c r="K49" s="232"/>
      <c r="L49" s="232"/>
      <c r="M49" s="232"/>
      <c r="N49" s="233"/>
      <c r="O49" s="233"/>
      <c r="P49" s="232"/>
    </row>
    <row r="50" spans="2:16" s="216" customFormat="1">
      <c r="B50" s="232"/>
      <c r="C50" s="232"/>
      <c r="D50" s="232"/>
      <c r="E50" s="232"/>
      <c r="F50" s="232"/>
      <c r="G50" s="232"/>
      <c r="H50" s="232"/>
      <c r="I50" s="232"/>
      <c r="J50" s="232"/>
      <c r="K50" s="232"/>
      <c r="L50" s="232"/>
      <c r="M50" s="232"/>
      <c r="N50" s="233"/>
      <c r="O50" s="233"/>
      <c r="P50" s="232"/>
    </row>
    <row r="51" spans="2:16" s="216" customFormat="1">
      <c r="B51" s="232"/>
      <c r="C51" s="232"/>
      <c r="D51" s="232"/>
      <c r="E51" s="232"/>
      <c r="F51" s="232"/>
      <c r="G51" s="232"/>
      <c r="H51" s="232"/>
      <c r="I51" s="232"/>
      <c r="J51" s="232"/>
      <c r="K51" s="232"/>
      <c r="L51" s="232"/>
      <c r="M51" s="232"/>
      <c r="N51" s="233"/>
      <c r="O51" s="233"/>
      <c r="P51" s="232"/>
    </row>
    <row r="52" spans="2:16" s="216" customFormat="1">
      <c r="B52" s="232"/>
      <c r="C52" s="232"/>
      <c r="D52" s="232"/>
      <c r="E52" s="232"/>
      <c r="F52" s="232"/>
      <c r="G52" s="232"/>
      <c r="H52" s="232"/>
      <c r="I52" s="232"/>
      <c r="J52" s="232"/>
      <c r="K52" s="232"/>
      <c r="L52" s="232"/>
      <c r="M52" s="232"/>
      <c r="N52" s="233"/>
      <c r="O52" s="233"/>
      <c r="P52" s="232"/>
    </row>
    <row r="53" spans="2:16" s="216" customFormat="1">
      <c r="B53" s="232"/>
      <c r="C53" s="232"/>
      <c r="D53" s="232"/>
      <c r="E53" s="232"/>
      <c r="F53" s="232"/>
      <c r="G53" s="232"/>
      <c r="H53" s="232"/>
      <c r="I53" s="232"/>
      <c r="J53" s="232"/>
      <c r="K53" s="232"/>
      <c r="L53" s="232"/>
      <c r="M53" s="232"/>
      <c r="N53" s="233"/>
      <c r="O53" s="233"/>
      <c r="P53" s="232"/>
    </row>
    <row r="54" spans="2:16" s="216" customFormat="1">
      <c r="B54" s="232"/>
      <c r="C54" s="232"/>
      <c r="D54" s="232"/>
      <c r="E54" s="232"/>
      <c r="F54" s="232"/>
      <c r="G54" s="232"/>
      <c r="H54" s="232"/>
      <c r="I54" s="232"/>
      <c r="J54" s="232"/>
      <c r="K54" s="232"/>
      <c r="L54" s="232"/>
      <c r="M54" s="232"/>
      <c r="N54" s="233"/>
      <c r="O54" s="233"/>
      <c r="P54" s="232"/>
    </row>
    <row r="55" spans="2:16" s="216" customFormat="1">
      <c r="B55" s="232"/>
      <c r="C55" s="232"/>
      <c r="D55" s="232"/>
      <c r="E55" s="232"/>
      <c r="F55" s="232"/>
      <c r="G55" s="232"/>
      <c r="H55" s="232"/>
      <c r="I55" s="232"/>
      <c r="J55" s="232"/>
      <c r="K55" s="232"/>
      <c r="L55" s="232"/>
      <c r="M55" s="232"/>
      <c r="N55" s="233"/>
      <c r="O55" s="233"/>
      <c r="P55" s="232"/>
    </row>
    <row r="56" spans="2:16" s="216" customFormat="1">
      <c r="B56" s="232"/>
      <c r="C56" s="232"/>
      <c r="D56" s="232"/>
      <c r="E56" s="232"/>
      <c r="F56" s="232"/>
      <c r="G56" s="232"/>
      <c r="H56" s="232"/>
      <c r="I56" s="232"/>
      <c r="J56" s="232"/>
      <c r="K56" s="232"/>
      <c r="L56" s="232"/>
      <c r="M56" s="232"/>
      <c r="N56" s="233"/>
      <c r="O56" s="233"/>
      <c r="P56" s="232"/>
    </row>
    <row r="57" spans="2:16" s="216" customFormat="1">
      <c r="B57" s="232"/>
      <c r="C57" s="232"/>
      <c r="D57" s="232"/>
      <c r="E57" s="232"/>
      <c r="F57" s="232"/>
      <c r="G57" s="232"/>
      <c r="H57" s="232"/>
      <c r="I57" s="232"/>
      <c r="J57" s="232"/>
      <c r="K57" s="232"/>
      <c r="L57" s="232"/>
      <c r="M57" s="232"/>
      <c r="N57" s="233"/>
      <c r="O57" s="233"/>
      <c r="P57" s="232"/>
    </row>
    <row r="58" spans="2:16" s="216" customFormat="1">
      <c r="B58" s="232"/>
      <c r="C58" s="232"/>
      <c r="D58" s="232"/>
      <c r="E58" s="232"/>
      <c r="F58" s="232"/>
      <c r="G58" s="232"/>
      <c r="H58" s="232"/>
      <c r="I58" s="232"/>
      <c r="J58" s="232"/>
      <c r="K58" s="232"/>
      <c r="L58" s="232"/>
      <c r="M58" s="232"/>
      <c r="N58" s="233"/>
      <c r="O58" s="233"/>
      <c r="P58" s="232"/>
    </row>
    <row r="59" spans="2:16" s="216" customFormat="1">
      <c r="B59" s="232"/>
      <c r="C59" s="232"/>
      <c r="D59" s="232"/>
      <c r="E59" s="232"/>
      <c r="F59" s="232"/>
      <c r="G59" s="232"/>
      <c r="H59" s="232"/>
      <c r="I59" s="232"/>
      <c r="J59" s="232"/>
      <c r="K59" s="232"/>
      <c r="L59" s="232"/>
      <c r="M59" s="232"/>
      <c r="N59" s="233"/>
      <c r="O59" s="233"/>
      <c r="P59" s="232"/>
    </row>
    <row r="60" spans="2:16" s="216" customFormat="1">
      <c r="B60" s="232"/>
      <c r="C60" s="232"/>
      <c r="D60" s="232"/>
      <c r="E60" s="232"/>
      <c r="F60" s="232"/>
      <c r="G60" s="232"/>
      <c r="H60" s="232"/>
      <c r="I60" s="232"/>
      <c r="J60" s="232"/>
      <c r="K60" s="232"/>
      <c r="L60" s="232"/>
      <c r="M60" s="232"/>
      <c r="N60" s="233"/>
      <c r="O60" s="233"/>
      <c r="P60" s="232"/>
    </row>
    <row r="61" spans="2:16" s="216" customFormat="1">
      <c r="B61" s="232"/>
      <c r="C61" s="232"/>
      <c r="D61" s="232"/>
      <c r="E61" s="232"/>
      <c r="F61" s="232"/>
      <c r="G61" s="232"/>
      <c r="H61" s="232"/>
      <c r="I61" s="232"/>
      <c r="J61" s="232"/>
      <c r="K61" s="232"/>
      <c r="L61" s="232"/>
      <c r="M61" s="232"/>
      <c r="N61" s="233"/>
      <c r="O61" s="233"/>
      <c r="P61" s="232"/>
    </row>
    <row r="62" spans="2:16" s="216" customFormat="1">
      <c r="B62" s="232"/>
      <c r="C62" s="232"/>
      <c r="D62" s="232"/>
      <c r="E62" s="232"/>
      <c r="F62" s="232"/>
      <c r="G62" s="232"/>
      <c r="H62" s="232"/>
      <c r="I62" s="232"/>
      <c r="J62" s="232"/>
      <c r="K62" s="232"/>
      <c r="L62" s="232"/>
      <c r="M62" s="232"/>
      <c r="N62" s="233"/>
      <c r="O62" s="233"/>
      <c r="P62" s="232"/>
    </row>
    <row r="63" spans="2:16" s="216" customFormat="1">
      <c r="B63" s="232"/>
      <c r="C63" s="232"/>
      <c r="D63" s="232"/>
      <c r="E63" s="232"/>
      <c r="F63" s="232"/>
      <c r="G63" s="232"/>
      <c r="H63" s="232"/>
      <c r="I63" s="232"/>
      <c r="J63" s="232"/>
      <c r="K63" s="232"/>
      <c r="L63" s="232"/>
      <c r="M63" s="232"/>
      <c r="N63" s="233"/>
      <c r="O63" s="233"/>
      <c r="P63" s="232"/>
    </row>
    <row r="64" spans="2:16" s="216" customFormat="1">
      <c r="B64" s="232"/>
      <c r="C64" s="232"/>
      <c r="D64" s="232"/>
      <c r="E64" s="232"/>
      <c r="F64" s="232"/>
      <c r="G64" s="232"/>
      <c r="H64" s="232"/>
      <c r="I64" s="232"/>
      <c r="J64" s="232"/>
      <c r="K64" s="232"/>
      <c r="L64" s="232"/>
      <c r="M64" s="232"/>
      <c r="N64" s="233"/>
      <c r="O64" s="233"/>
      <c r="P64" s="232"/>
    </row>
    <row r="65" spans="2:17" s="216" customFormat="1">
      <c r="B65" s="232"/>
      <c r="C65" s="232"/>
      <c r="D65" s="232"/>
      <c r="E65" s="232"/>
      <c r="F65" s="232"/>
      <c r="G65" s="232"/>
      <c r="H65" s="232"/>
      <c r="I65" s="232"/>
      <c r="J65" s="232"/>
      <c r="K65" s="232"/>
      <c r="L65" s="232"/>
      <c r="M65" s="232"/>
      <c r="N65" s="233"/>
      <c r="O65" s="233"/>
      <c r="P65" s="232"/>
    </row>
    <row r="66" spans="2:17" s="216" customFormat="1">
      <c r="B66" s="232"/>
      <c r="C66" s="232"/>
      <c r="D66" s="232"/>
      <c r="E66" s="232"/>
      <c r="F66" s="232"/>
      <c r="G66" s="232"/>
      <c r="H66" s="232"/>
      <c r="I66" s="232"/>
      <c r="J66" s="232"/>
      <c r="K66" s="232"/>
      <c r="L66" s="232"/>
      <c r="M66" s="232"/>
      <c r="N66" s="233"/>
      <c r="O66" s="233"/>
      <c r="P66" s="232"/>
    </row>
    <row r="67" spans="2:17" s="216" customFormat="1">
      <c r="B67" s="232"/>
      <c r="C67" s="232"/>
      <c r="D67" s="232"/>
      <c r="E67" s="232"/>
      <c r="F67" s="232"/>
      <c r="G67" s="232"/>
      <c r="H67" s="232"/>
      <c r="I67" s="232"/>
      <c r="J67" s="232"/>
      <c r="K67" s="232"/>
      <c r="L67" s="232"/>
      <c r="M67" s="232"/>
      <c r="N67" s="233"/>
      <c r="O67" s="233"/>
      <c r="P67" s="232"/>
    </row>
    <row r="68" spans="2:17" s="216" customFormat="1">
      <c r="B68" s="232"/>
      <c r="C68" s="232"/>
      <c r="D68" s="232"/>
      <c r="E68" s="232"/>
      <c r="F68" s="232"/>
      <c r="G68" s="232"/>
      <c r="H68" s="232"/>
      <c r="I68" s="232"/>
      <c r="J68" s="232"/>
      <c r="K68" s="232"/>
      <c r="L68" s="232"/>
      <c r="M68" s="232"/>
      <c r="N68" s="233"/>
      <c r="O68" s="233"/>
      <c r="P68" s="232"/>
    </row>
    <row r="69" spans="2:17" s="216" customFormat="1">
      <c r="B69" s="232"/>
      <c r="C69" s="232"/>
      <c r="D69" s="232"/>
      <c r="E69" s="232"/>
      <c r="F69" s="232"/>
      <c r="G69" s="232"/>
      <c r="H69" s="232"/>
      <c r="I69" s="232"/>
      <c r="J69" s="232"/>
      <c r="K69" s="232"/>
      <c r="L69" s="232"/>
      <c r="M69" s="232"/>
      <c r="N69" s="233"/>
      <c r="O69" s="233"/>
      <c r="P69" s="232"/>
    </row>
    <row r="70" spans="2:17" s="216" customFormat="1">
      <c r="B70" s="232"/>
      <c r="C70" s="232"/>
      <c r="D70" s="232"/>
      <c r="E70" s="232"/>
      <c r="F70" s="232"/>
      <c r="G70" s="232"/>
      <c r="H70" s="232"/>
      <c r="I70" s="232"/>
      <c r="J70" s="232"/>
      <c r="K70" s="232"/>
      <c r="L70" s="232"/>
      <c r="M70" s="232"/>
      <c r="N70" s="233"/>
      <c r="O70" s="233"/>
      <c r="P70" s="232"/>
    </row>
    <row r="71" spans="2:17" s="216" customFormat="1">
      <c r="B71" s="232"/>
      <c r="C71" s="232"/>
      <c r="D71" s="232"/>
      <c r="E71" s="232"/>
      <c r="F71" s="232"/>
      <c r="G71" s="232"/>
      <c r="H71" s="232"/>
      <c r="I71" s="232"/>
      <c r="J71" s="232"/>
      <c r="K71" s="232"/>
      <c r="L71" s="232"/>
      <c r="M71" s="232"/>
      <c r="N71" s="233"/>
      <c r="O71" s="233"/>
      <c r="P71" s="232"/>
    </row>
    <row r="72" spans="2:17" s="216" customFormat="1">
      <c r="B72" s="232"/>
      <c r="C72" s="232"/>
      <c r="D72" s="232"/>
      <c r="E72" s="232"/>
      <c r="F72" s="232"/>
      <c r="G72" s="232"/>
      <c r="H72" s="232"/>
      <c r="I72" s="232"/>
      <c r="J72" s="232"/>
      <c r="K72" s="232"/>
      <c r="L72" s="232"/>
      <c r="M72" s="232"/>
      <c r="N72" s="233"/>
      <c r="O72" s="233"/>
      <c r="P72" s="232"/>
    </row>
    <row r="73" spans="2:17" s="216" customFormat="1">
      <c r="B73" s="232"/>
      <c r="C73" s="232"/>
      <c r="D73" s="232"/>
      <c r="E73" s="232"/>
      <c r="F73" s="232"/>
      <c r="G73" s="232"/>
      <c r="H73" s="232"/>
      <c r="I73" s="232"/>
      <c r="J73" s="232"/>
      <c r="K73" s="232"/>
      <c r="L73" s="232"/>
      <c r="M73" s="232"/>
      <c r="N73" s="233"/>
      <c r="O73" s="233"/>
      <c r="P73" s="232"/>
    </row>
    <row r="74" spans="2:17" s="216" customFormat="1">
      <c r="B74" s="232"/>
      <c r="C74" s="232"/>
      <c r="D74" s="232"/>
      <c r="E74" s="232"/>
      <c r="F74" s="232"/>
      <c r="G74" s="232"/>
      <c r="H74" s="232"/>
      <c r="I74" s="232"/>
      <c r="J74" s="232"/>
      <c r="K74" s="232"/>
      <c r="L74" s="232"/>
      <c r="M74" s="232"/>
      <c r="N74" s="233"/>
      <c r="O74" s="233"/>
      <c r="P74" s="232"/>
    </row>
    <row r="75" spans="2:17" s="216" customFormat="1">
      <c r="B75" s="232"/>
      <c r="C75" s="232"/>
      <c r="D75" s="232"/>
      <c r="E75" s="232"/>
      <c r="F75" s="232"/>
      <c r="G75" s="232"/>
      <c r="H75" s="232"/>
      <c r="I75" s="232"/>
      <c r="J75" s="232"/>
      <c r="K75" s="232"/>
      <c r="L75" s="232"/>
      <c r="M75" s="232"/>
      <c r="N75" s="233"/>
      <c r="O75" s="233"/>
      <c r="P75" s="232"/>
      <c r="Q75" s="1681"/>
    </row>
    <row r="76" spans="2:17" s="216" customFormat="1">
      <c r="B76" s="232"/>
      <c r="C76" s="232"/>
      <c r="D76" s="232"/>
      <c r="E76" s="232"/>
      <c r="F76" s="232"/>
      <c r="G76" s="232"/>
      <c r="H76" s="232"/>
      <c r="I76" s="232"/>
      <c r="J76" s="232"/>
      <c r="K76" s="232"/>
      <c r="L76" s="232"/>
      <c r="M76" s="232"/>
      <c r="N76" s="233"/>
      <c r="O76" s="233"/>
      <c r="P76" s="232"/>
    </row>
    <row r="77" spans="2:17" s="216" customFormat="1">
      <c r="B77" s="232"/>
      <c r="C77" s="232"/>
      <c r="D77" s="232"/>
      <c r="E77" s="232"/>
      <c r="F77" s="232"/>
      <c r="G77" s="232"/>
      <c r="H77" s="232"/>
      <c r="I77" s="232"/>
      <c r="J77" s="232"/>
      <c r="K77" s="232"/>
      <c r="L77" s="232"/>
      <c r="M77" s="232"/>
      <c r="N77" s="233"/>
      <c r="O77" s="233"/>
      <c r="P77" s="232"/>
    </row>
    <row r="78" spans="2:17" s="216" customFormat="1">
      <c r="B78" s="232"/>
      <c r="C78" s="232"/>
      <c r="D78" s="232"/>
      <c r="E78" s="232"/>
      <c r="F78" s="232"/>
      <c r="G78" s="232"/>
      <c r="H78" s="232"/>
      <c r="I78" s="232"/>
      <c r="J78" s="232"/>
      <c r="K78" s="232"/>
      <c r="L78" s="232"/>
      <c r="M78" s="232"/>
      <c r="N78" s="233"/>
      <c r="O78" s="233"/>
      <c r="P78" s="232"/>
    </row>
    <row r="79" spans="2:17" s="216" customFormat="1">
      <c r="B79" s="232"/>
      <c r="C79" s="232"/>
      <c r="D79" s="232"/>
      <c r="E79" s="232"/>
      <c r="F79" s="232"/>
      <c r="G79" s="232"/>
      <c r="H79" s="232"/>
      <c r="I79" s="232"/>
      <c r="J79" s="232"/>
      <c r="K79" s="232"/>
      <c r="L79" s="232"/>
      <c r="M79" s="232"/>
      <c r="N79" s="233"/>
      <c r="O79" s="233"/>
      <c r="P79" s="232"/>
    </row>
    <row r="80" spans="2:17" s="216" customFormat="1">
      <c r="B80" s="232"/>
      <c r="C80" s="232"/>
      <c r="D80" s="232"/>
      <c r="E80" s="232"/>
      <c r="F80" s="232"/>
      <c r="G80" s="232"/>
      <c r="H80" s="232"/>
      <c r="I80" s="232"/>
      <c r="J80" s="232"/>
      <c r="K80" s="232"/>
      <c r="L80" s="232"/>
      <c r="M80" s="232"/>
      <c r="N80" s="233"/>
      <c r="O80" s="233"/>
      <c r="P80" s="232"/>
    </row>
    <row r="81" spans="2:16" s="216" customFormat="1">
      <c r="B81" s="232"/>
      <c r="C81" s="232"/>
      <c r="D81" s="232"/>
      <c r="E81" s="232"/>
      <c r="F81" s="232"/>
      <c r="G81" s="232"/>
      <c r="H81" s="232"/>
      <c r="I81" s="232"/>
      <c r="J81" s="232"/>
      <c r="K81" s="232"/>
      <c r="L81" s="232"/>
      <c r="M81" s="232"/>
      <c r="N81" s="233"/>
      <c r="O81" s="233"/>
      <c r="P81" s="232"/>
    </row>
    <row r="82" spans="2:16" s="216" customFormat="1">
      <c r="B82" s="232"/>
      <c r="C82" s="232"/>
      <c r="D82" s="232"/>
      <c r="E82" s="232"/>
      <c r="F82" s="232"/>
      <c r="G82" s="232"/>
      <c r="H82" s="232"/>
      <c r="I82" s="232"/>
      <c r="J82" s="232"/>
      <c r="K82" s="232"/>
      <c r="L82" s="232"/>
      <c r="M82" s="232"/>
      <c r="N82" s="233"/>
      <c r="O82" s="233"/>
      <c r="P82" s="232"/>
    </row>
    <row r="83" spans="2:16" s="216" customFormat="1">
      <c r="B83" s="232"/>
      <c r="C83" s="232"/>
      <c r="D83" s="232"/>
      <c r="E83" s="232"/>
      <c r="F83" s="232"/>
      <c r="G83" s="232"/>
      <c r="H83" s="232"/>
      <c r="I83" s="232"/>
      <c r="J83" s="232"/>
      <c r="K83" s="232"/>
      <c r="L83" s="232"/>
      <c r="M83" s="232"/>
      <c r="N83" s="233"/>
      <c r="O83" s="233"/>
      <c r="P83" s="232"/>
    </row>
    <row r="84" spans="2:16" s="216" customFormat="1">
      <c r="B84" s="232"/>
      <c r="C84" s="232"/>
      <c r="D84" s="232"/>
      <c r="E84" s="232"/>
      <c r="F84" s="232"/>
      <c r="G84" s="232"/>
      <c r="H84" s="232"/>
      <c r="I84" s="232"/>
      <c r="J84" s="232"/>
      <c r="K84" s="232"/>
      <c r="L84" s="232"/>
      <c r="M84" s="232"/>
      <c r="N84" s="233"/>
      <c r="O84" s="233"/>
      <c r="P84" s="232"/>
    </row>
    <row r="85" spans="2:16" s="216" customFormat="1">
      <c r="B85" s="232"/>
      <c r="C85" s="232"/>
      <c r="D85" s="232"/>
      <c r="E85" s="232"/>
      <c r="F85" s="232"/>
      <c r="G85" s="232"/>
      <c r="H85" s="232"/>
      <c r="I85" s="232"/>
      <c r="J85" s="232"/>
      <c r="K85" s="232"/>
      <c r="L85" s="232"/>
      <c r="M85" s="232"/>
      <c r="N85" s="233"/>
      <c r="O85" s="233"/>
      <c r="P85" s="232"/>
    </row>
    <row r="86" spans="2:16" s="216" customFormat="1">
      <c r="B86" s="232"/>
      <c r="C86" s="232"/>
      <c r="D86" s="232"/>
      <c r="E86" s="232"/>
      <c r="F86" s="232"/>
      <c r="G86" s="232"/>
      <c r="H86" s="232"/>
      <c r="I86" s="232"/>
      <c r="J86" s="232"/>
      <c r="K86" s="232"/>
      <c r="L86" s="232"/>
      <c r="M86" s="232"/>
      <c r="N86" s="233"/>
      <c r="O86" s="233"/>
      <c r="P86" s="232"/>
    </row>
    <row r="87" spans="2:16" s="216" customFormat="1">
      <c r="B87" s="232"/>
      <c r="C87" s="232"/>
      <c r="D87" s="232"/>
      <c r="E87" s="232"/>
      <c r="F87" s="232"/>
      <c r="G87" s="232"/>
      <c r="H87" s="232"/>
      <c r="I87" s="232"/>
      <c r="J87" s="232"/>
      <c r="K87" s="232"/>
      <c r="L87" s="232"/>
      <c r="M87" s="232"/>
      <c r="N87" s="233"/>
      <c r="O87" s="233"/>
      <c r="P87" s="232"/>
    </row>
    <row r="88" spans="2:16" s="216" customFormat="1">
      <c r="B88" s="232"/>
      <c r="C88" s="232"/>
      <c r="D88" s="232"/>
      <c r="E88" s="232"/>
      <c r="F88" s="232"/>
      <c r="G88" s="232"/>
      <c r="H88" s="232"/>
      <c r="I88" s="232"/>
      <c r="J88" s="232"/>
      <c r="K88" s="232"/>
      <c r="L88" s="232"/>
      <c r="M88" s="232"/>
      <c r="N88" s="233"/>
      <c r="O88" s="233"/>
      <c r="P88" s="232"/>
    </row>
    <row r="89" spans="2:16" s="216" customFormat="1">
      <c r="B89" s="232"/>
      <c r="C89" s="232"/>
      <c r="D89" s="232"/>
      <c r="E89" s="232"/>
      <c r="F89" s="232"/>
      <c r="G89" s="232"/>
      <c r="H89" s="232"/>
      <c r="I89" s="232"/>
      <c r="J89" s="232"/>
      <c r="K89" s="232"/>
      <c r="L89" s="232"/>
      <c r="M89" s="232"/>
      <c r="N89" s="233"/>
      <c r="O89" s="233"/>
      <c r="P89" s="232"/>
    </row>
    <row r="90" spans="2:16" s="216" customFormat="1">
      <c r="B90" s="232"/>
      <c r="C90" s="232"/>
      <c r="D90" s="232"/>
      <c r="E90" s="232"/>
      <c r="F90" s="232"/>
      <c r="G90" s="232"/>
      <c r="H90" s="232"/>
      <c r="I90" s="232"/>
      <c r="J90" s="232"/>
      <c r="K90" s="232"/>
      <c r="L90" s="232"/>
      <c r="M90" s="232"/>
      <c r="N90" s="233"/>
      <c r="O90" s="233"/>
      <c r="P90" s="232"/>
    </row>
    <row r="91" spans="2:16" s="216" customFormat="1">
      <c r="B91" s="232"/>
      <c r="C91" s="232"/>
      <c r="D91" s="232"/>
      <c r="E91" s="232"/>
      <c r="F91" s="232"/>
      <c r="G91" s="232"/>
      <c r="H91" s="232"/>
      <c r="I91" s="232"/>
      <c r="J91" s="232"/>
      <c r="K91" s="232"/>
      <c r="L91" s="232"/>
      <c r="M91" s="232"/>
      <c r="N91" s="233"/>
      <c r="O91" s="233"/>
      <c r="P91" s="232"/>
    </row>
    <row r="92" spans="2:16" s="216" customFormat="1">
      <c r="B92" s="232"/>
      <c r="C92" s="232"/>
      <c r="D92" s="232"/>
      <c r="E92" s="232"/>
      <c r="F92" s="232"/>
      <c r="G92" s="232"/>
      <c r="H92" s="232"/>
      <c r="I92" s="232"/>
      <c r="J92" s="232"/>
      <c r="K92" s="232"/>
      <c r="L92" s="232"/>
      <c r="M92" s="232"/>
      <c r="N92" s="233"/>
      <c r="O92" s="233"/>
      <c r="P92" s="232"/>
    </row>
    <row r="93" spans="2:16" s="216" customFormat="1">
      <c r="B93" s="232"/>
      <c r="C93" s="232"/>
      <c r="D93" s="232"/>
      <c r="E93" s="232"/>
      <c r="F93" s="232"/>
      <c r="G93" s="232"/>
      <c r="H93" s="232"/>
      <c r="I93" s="232"/>
      <c r="J93" s="232"/>
      <c r="K93" s="232"/>
      <c r="L93" s="232"/>
      <c r="M93" s="232"/>
      <c r="N93" s="233"/>
      <c r="O93" s="233"/>
      <c r="P93" s="232"/>
    </row>
    <row r="94" spans="2:16" s="216" customFormat="1">
      <c r="B94" s="232"/>
      <c r="C94" s="232"/>
      <c r="D94" s="232"/>
      <c r="E94" s="232"/>
      <c r="F94" s="232"/>
      <c r="G94" s="232"/>
      <c r="H94" s="232"/>
      <c r="I94" s="232"/>
      <c r="J94" s="232"/>
      <c r="K94" s="232"/>
      <c r="L94" s="232"/>
      <c r="M94" s="232"/>
      <c r="N94" s="233"/>
      <c r="O94" s="233"/>
      <c r="P94" s="232"/>
    </row>
    <row r="95" spans="2:16" s="216" customFormat="1">
      <c r="B95" s="232"/>
      <c r="C95" s="232"/>
      <c r="D95" s="232"/>
      <c r="E95" s="232"/>
      <c r="F95" s="232"/>
      <c r="G95" s="232"/>
      <c r="H95" s="232"/>
      <c r="I95" s="232"/>
      <c r="J95" s="232"/>
      <c r="K95" s="232"/>
      <c r="L95" s="232"/>
      <c r="M95" s="232"/>
      <c r="N95" s="233"/>
      <c r="O95" s="233"/>
      <c r="P95" s="232"/>
    </row>
    <row r="96" spans="2:16" s="216" customFormat="1">
      <c r="B96" s="232"/>
      <c r="C96" s="232"/>
      <c r="D96" s="232"/>
      <c r="E96" s="232"/>
      <c r="F96" s="232"/>
      <c r="G96" s="232"/>
      <c r="H96" s="232"/>
      <c r="I96" s="232"/>
      <c r="J96" s="232"/>
      <c r="K96" s="232"/>
      <c r="L96" s="232"/>
      <c r="M96" s="232"/>
      <c r="N96" s="233"/>
      <c r="O96" s="233"/>
      <c r="P96" s="232"/>
    </row>
    <row r="97" spans="2:16" s="216" customFormat="1">
      <c r="B97" s="232"/>
      <c r="C97" s="232"/>
      <c r="D97" s="232"/>
      <c r="E97" s="232"/>
      <c r="F97" s="232"/>
      <c r="G97" s="232"/>
      <c r="H97" s="232"/>
      <c r="I97" s="232"/>
      <c r="J97" s="232"/>
      <c r="K97" s="232"/>
      <c r="L97" s="232"/>
      <c r="M97" s="232"/>
      <c r="N97" s="233"/>
      <c r="O97" s="233"/>
      <c r="P97" s="232"/>
    </row>
    <row r="98" spans="2:16" s="216" customFormat="1">
      <c r="B98" s="232"/>
      <c r="C98" s="232"/>
      <c r="D98" s="232"/>
      <c r="E98" s="232"/>
      <c r="F98" s="232"/>
      <c r="G98" s="232"/>
      <c r="H98" s="232"/>
      <c r="I98" s="232"/>
      <c r="J98" s="232"/>
      <c r="K98" s="232"/>
      <c r="L98" s="232"/>
      <c r="M98" s="232"/>
      <c r="N98" s="233"/>
      <c r="O98" s="233"/>
      <c r="P98" s="232"/>
    </row>
    <row r="99" spans="2:16" s="216" customFormat="1">
      <c r="B99" s="232"/>
      <c r="C99" s="232"/>
      <c r="D99" s="232"/>
      <c r="E99" s="232"/>
      <c r="F99" s="232"/>
      <c r="G99" s="232"/>
      <c r="H99" s="232"/>
      <c r="I99" s="232"/>
      <c r="J99" s="232"/>
      <c r="K99" s="232"/>
      <c r="L99" s="232"/>
      <c r="M99" s="232"/>
      <c r="N99" s="233"/>
      <c r="O99" s="233"/>
      <c r="P99" s="232"/>
    </row>
    <row r="100" spans="2:16" s="216" customFormat="1">
      <c r="B100" s="232"/>
      <c r="C100" s="232"/>
      <c r="D100" s="232"/>
      <c r="E100" s="232"/>
      <c r="F100" s="232"/>
      <c r="G100" s="232"/>
      <c r="H100" s="232"/>
      <c r="I100" s="232"/>
      <c r="J100" s="232"/>
      <c r="K100" s="232"/>
      <c r="L100" s="232"/>
      <c r="M100" s="232"/>
      <c r="N100" s="233"/>
      <c r="O100" s="233"/>
      <c r="P100" s="232"/>
    </row>
    <row r="101" spans="2:16" s="216" customFormat="1">
      <c r="B101" s="232"/>
      <c r="C101" s="232"/>
      <c r="D101" s="232"/>
      <c r="E101" s="232"/>
      <c r="F101" s="232"/>
      <c r="G101" s="232"/>
      <c r="H101" s="232"/>
      <c r="I101" s="232"/>
      <c r="J101" s="232"/>
      <c r="K101" s="232"/>
      <c r="L101" s="232"/>
      <c r="M101" s="232"/>
      <c r="N101" s="233"/>
      <c r="O101" s="233"/>
      <c r="P101" s="232"/>
    </row>
    <row r="102" spans="2:16" s="216" customFormat="1">
      <c r="B102" s="232"/>
      <c r="C102" s="232"/>
      <c r="D102" s="232"/>
      <c r="E102" s="232"/>
      <c r="F102" s="232"/>
      <c r="G102" s="232"/>
      <c r="H102" s="232"/>
      <c r="I102" s="232"/>
      <c r="J102" s="232"/>
      <c r="K102" s="232"/>
      <c r="L102" s="232"/>
      <c r="M102" s="232"/>
      <c r="N102" s="233"/>
      <c r="O102" s="233"/>
      <c r="P102" s="232"/>
    </row>
    <row r="103" spans="2:16" s="216" customFormat="1">
      <c r="B103" s="232"/>
      <c r="C103" s="232"/>
      <c r="D103" s="232"/>
      <c r="E103" s="232"/>
      <c r="F103" s="232"/>
      <c r="G103" s="232"/>
      <c r="H103" s="232"/>
      <c r="I103" s="232"/>
      <c r="J103" s="232"/>
      <c r="K103" s="232"/>
      <c r="L103" s="232"/>
      <c r="M103" s="232"/>
      <c r="N103" s="233"/>
      <c r="O103" s="233"/>
      <c r="P103" s="232"/>
    </row>
    <row r="104" spans="2:16" s="216" customFormat="1">
      <c r="B104" s="232"/>
      <c r="C104" s="232"/>
      <c r="D104" s="232"/>
      <c r="E104" s="232"/>
      <c r="F104" s="232"/>
      <c r="G104" s="232"/>
      <c r="H104" s="232"/>
      <c r="I104" s="232"/>
      <c r="J104" s="232"/>
      <c r="K104" s="232"/>
      <c r="L104" s="232"/>
      <c r="M104" s="232"/>
      <c r="N104" s="233"/>
      <c r="O104" s="233"/>
      <c r="P104" s="232"/>
    </row>
    <row r="105" spans="2:16">
      <c r="B105" s="1489"/>
      <c r="C105" s="1489"/>
      <c r="D105" s="1489"/>
      <c r="E105" s="1489"/>
      <c r="F105" s="1489"/>
      <c r="G105" s="1489"/>
      <c r="H105" s="1489"/>
      <c r="I105" s="1489"/>
      <c r="J105" s="1489"/>
      <c r="K105" s="1489"/>
      <c r="L105" s="1489"/>
      <c r="M105" s="1489"/>
      <c r="N105" s="1490"/>
      <c r="O105" s="1490"/>
      <c r="P105" s="1489"/>
    </row>
    <row r="106" spans="2:16">
      <c r="B106" s="1489"/>
      <c r="C106" s="1489"/>
      <c r="D106" s="1489"/>
      <c r="E106" s="1489"/>
      <c r="F106" s="1489"/>
      <c r="G106" s="1489"/>
      <c r="H106" s="1489"/>
      <c r="I106" s="1489"/>
      <c r="J106" s="1489"/>
      <c r="K106" s="1489"/>
      <c r="L106" s="1489"/>
      <c r="M106" s="1489"/>
      <c r="N106" s="1490"/>
      <c r="O106" s="1490"/>
      <c r="P106" s="1489"/>
    </row>
    <row r="107" spans="2:16">
      <c r="B107" s="1489"/>
      <c r="C107" s="1489"/>
      <c r="D107" s="1489"/>
      <c r="E107" s="1489"/>
      <c r="F107" s="1489"/>
      <c r="G107" s="1489"/>
      <c r="H107" s="1489"/>
      <c r="I107" s="1489"/>
      <c r="J107" s="1489"/>
      <c r="K107" s="1489"/>
      <c r="L107" s="1489"/>
      <c r="M107" s="1489"/>
      <c r="N107" s="1490"/>
      <c r="O107" s="1490"/>
      <c r="P107" s="1489"/>
    </row>
    <row r="108" spans="2:16">
      <c r="B108" s="1489"/>
      <c r="C108" s="1489"/>
      <c r="D108" s="1489"/>
      <c r="E108" s="1489"/>
      <c r="F108" s="1489"/>
      <c r="G108" s="1489"/>
      <c r="H108" s="1489"/>
      <c r="I108" s="1489"/>
      <c r="J108" s="1489"/>
      <c r="K108" s="1489"/>
      <c r="L108" s="1489"/>
      <c r="M108" s="1489"/>
      <c r="N108" s="1490"/>
      <c r="O108" s="1490"/>
      <c r="P108" s="1489"/>
    </row>
    <row r="109" spans="2:16">
      <c r="B109" s="1489"/>
      <c r="C109" s="1489"/>
      <c r="D109" s="1489"/>
      <c r="E109" s="1489"/>
      <c r="F109" s="1489"/>
      <c r="G109" s="1489"/>
      <c r="H109" s="1489"/>
      <c r="I109" s="1489"/>
      <c r="J109" s="1489"/>
      <c r="K109" s="1489"/>
      <c r="L109" s="1489"/>
      <c r="M109" s="1489"/>
      <c r="N109" s="1490"/>
      <c r="O109" s="1490"/>
      <c r="P109" s="1489"/>
    </row>
    <row r="110" spans="2:16">
      <c r="B110" s="1489"/>
      <c r="C110" s="1489"/>
      <c r="D110" s="1489"/>
      <c r="E110" s="1489"/>
      <c r="F110" s="1489"/>
      <c r="G110" s="1489"/>
      <c r="H110" s="1489"/>
      <c r="I110" s="1489"/>
      <c r="J110" s="1489"/>
      <c r="K110" s="1489"/>
      <c r="L110" s="1489"/>
      <c r="M110" s="1489"/>
      <c r="N110" s="1490"/>
      <c r="O110" s="1490"/>
      <c r="P110" s="1489"/>
    </row>
    <row r="111" spans="2:16">
      <c r="B111" s="1489"/>
      <c r="C111" s="1489"/>
      <c r="D111" s="1489"/>
      <c r="E111" s="1489"/>
      <c r="F111" s="1489"/>
      <c r="G111" s="1489"/>
      <c r="H111" s="1489"/>
      <c r="I111" s="1489"/>
      <c r="J111" s="1489"/>
      <c r="K111" s="1489"/>
      <c r="L111" s="1489"/>
      <c r="M111" s="1489"/>
      <c r="N111" s="1490"/>
      <c r="O111" s="1490"/>
      <c r="P111" s="1489"/>
    </row>
    <row r="112" spans="2:16">
      <c r="B112" s="1489"/>
      <c r="C112" s="1489"/>
      <c r="D112" s="1489"/>
      <c r="E112" s="1489"/>
      <c r="F112" s="1489"/>
      <c r="G112" s="1489"/>
      <c r="H112" s="1489"/>
      <c r="I112" s="1489"/>
      <c r="J112" s="1489"/>
      <c r="K112" s="1489"/>
      <c r="L112" s="1489"/>
      <c r="M112" s="1489"/>
      <c r="N112" s="1490"/>
      <c r="O112" s="1490"/>
      <c r="P112" s="1489"/>
    </row>
    <row r="113" spans="2:16">
      <c r="B113" s="1489"/>
      <c r="C113" s="1489"/>
      <c r="D113" s="1489"/>
      <c r="E113" s="1489"/>
      <c r="F113" s="1489"/>
      <c r="G113" s="1489"/>
      <c r="H113" s="1489"/>
      <c r="I113" s="1489"/>
      <c r="J113" s="1489"/>
      <c r="K113" s="1489"/>
      <c r="L113" s="1489"/>
      <c r="M113" s="1489"/>
      <c r="N113" s="1490"/>
      <c r="O113" s="1490"/>
      <c r="P113" s="1489"/>
    </row>
    <row r="114" spans="2:16">
      <c r="B114" s="1489"/>
      <c r="C114" s="1489"/>
      <c r="D114" s="1489"/>
      <c r="E114" s="1489"/>
      <c r="F114" s="1489"/>
      <c r="G114" s="1489"/>
      <c r="H114" s="1489"/>
      <c r="I114" s="1489"/>
      <c r="J114" s="1489"/>
      <c r="K114" s="1489"/>
      <c r="L114" s="1489"/>
      <c r="M114" s="1489"/>
      <c r="N114" s="1490"/>
      <c r="O114" s="1490"/>
      <c r="P114" s="1489"/>
    </row>
    <row r="115" spans="2:16">
      <c r="B115" s="1489"/>
      <c r="C115" s="1489"/>
      <c r="D115" s="1489"/>
      <c r="E115" s="1489"/>
      <c r="F115" s="1489"/>
      <c r="G115" s="1489"/>
      <c r="H115" s="1489"/>
      <c r="I115" s="1489"/>
      <c r="J115" s="1489"/>
      <c r="K115" s="1489"/>
      <c r="L115" s="1489"/>
      <c r="M115" s="1489"/>
      <c r="N115" s="1490"/>
      <c r="O115" s="1490"/>
      <c r="P115" s="1489"/>
    </row>
    <row r="116" spans="2:16">
      <c r="B116" s="1489"/>
      <c r="C116" s="1489"/>
      <c r="D116" s="1489"/>
      <c r="E116" s="1489"/>
      <c r="F116" s="1489"/>
      <c r="G116" s="1489"/>
      <c r="H116" s="1489"/>
      <c r="I116" s="1489"/>
      <c r="J116" s="1489"/>
      <c r="K116" s="1489"/>
      <c r="L116" s="1489"/>
      <c r="M116" s="1489"/>
      <c r="N116" s="1490"/>
      <c r="O116" s="1490"/>
      <c r="P116" s="1489"/>
    </row>
    <row r="117" spans="2:16">
      <c r="B117" s="1489"/>
      <c r="C117" s="1489"/>
      <c r="D117" s="1489"/>
      <c r="E117" s="1489"/>
      <c r="F117" s="1489"/>
      <c r="G117" s="1489"/>
      <c r="H117" s="1489"/>
      <c r="I117" s="1489"/>
      <c r="J117" s="1489"/>
      <c r="K117" s="1489"/>
      <c r="L117" s="1489"/>
      <c r="M117" s="1489"/>
      <c r="N117" s="1490"/>
      <c r="O117" s="1490"/>
      <c r="P117" s="1489"/>
    </row>
    <row r="118" spans="2:16">
      <c r="B118" s="1489"/>
      <c r="C118" s="1489"/>
      <c r="D118" s="1489"/>
      <c r="E118" s="1489"/>
      <c r="F118" s="1489"/>
      <c r="G118" s="1489"/>
      <c r="H118" s="1489"/>
      <c r="I118" s="1489"/>
      <c r="J118" s="1489"/>
      <c r="K118" s="1489"/>
      <c r="L118" s="1489"/>
      <c r="M118" s="1489"/>
      <c r="N118" s="1490"/>
      <c r="O118" s="1490"/>
      <c r="P118" s="1489"/>
    </row>
    <row r="119" spans="2:16">
      <c r="B119" s="1489"/>
      <c r="C119" s="1489"/>
      <c r="D119" s="1489"/>
      <c r="E119" s="1489"/>
      <c r="F119" s="1489"/>
      <c r="G119" s="1489"/>
      <c r="H119" s="1489"/>
      <c r="I119" s="1489"/>
      <c r="J119" s="1489"/>
      <c r="K119" s="1489"/>
      <c r="L119" s="1489"/>
      <c r="M119" s="1489"/>
      <c r="N119" s="1490"/>
      <c r="O119" s="1490"/>
      <c r="P119" s="1489"/>
    </row>
    <row r="120" spans="2:16">
      <c r="B120" s="1489"/>
      <c r="C120" s="1489"/>
      <c r="D120" s="1489"/>
      <c r="E120" s="1489"/>
      <c r="F120" s="1489"/>
      <c r="G120" s="1489"/>
      <c r="H120" s="1489"/>
      <c r="I120" s="1489"/>
      <c r="J120" s="1489"/>
      <c r="K120" s="1489"/>
      <c r="L120" s="1489"/>
      <c r="M120" s="1489"/>
      <c r="N120" s="1490"/>
      <c r="O120" s="1490"/>
      <c r="P120" s="1489"/>
    </row>
    <row r="121" spans="2:16">
      <c r="B121" s="1489"/>
      <c r="C121" s="1489"/>
      <c r="D121" s="1489"/>
      <c r="E121" s="1489"/>
      <c r="F121" s="1489"/>
      <c r="G121" s="1489"/>
      <c r="H121" s="1489"/>
      <c r="I121" s="1489"/>
      <c r="J121" s="1489"/>
      <c r="K121" s="1489"/>
      <c r="L121" s="1489"/>
      <c r="M121" s="1489"/>
      <c r="N121" s="1490"/>
      <c r="O121" s="1490"/>
      <c r="P121" s="1489"/>
    </row>
    <row r="122" spans="2:16">
      <c r="B122" s="1489"/>
      <c r="C122" s="1489"/>
      <c r="D122" s="1489"/>
      <c r="E122" s="1489"/>
      <c r="F122" s="1489"/>
      <c r="G122" s="1489"/>
      <c r="H122" s="1489"/>
      <c r="I122" s="1489"/>
      <c r="J122" s="1489"/>
      <c r="K122" s="1489"/>
      <c r="L122" s="1489"/>
      <c r="M122" s="1489"/>
      <c r="N122" s="1490"/>
      <c r="O122" s="1490"/>
      <c r="P122" s="1489"/>
    </row>
    <row r="123" spans="2:16">
      <c r="B123" s="1489"/>
      <c r="C123" s="1489"/>
      <c r="D123" s="1489"/>
      <c r="E123" s="1489"/>
      <c r="F123" s="1489"/>
      <c r="G123" s="1489"/>
      <c r="H123" s="1489"/>
      <c r="I123" s="1489"/>
      <c r="J123" s="1489"/>
      <c r="K123" s="1489"/>
      <c r="L123" s="1489"/>
      <c r="M123" s="1489"/>
      <c r="N123" s="1490"/>
      <c r="O123" s="1490"/>
      <c r="P123" s="1489"/>
    </row>
    <row r="124" spans="2:16">
      <c r="B124" s="1489"/>
      <c r="C124" s="1489"/>
      <c r="D124" s="1489"/>
      <c r="E124" s="1489"/>
      <c r="F124" s="1489"/>
      <c r="G124" s="1489"/>
      <c r="H124" s="1489"/>
      <c r="I124" s="1489"/>
      <c r="J124" s="1489"/>
      <c r="K124" s="1489"/>
      <c r="L124" s="1489"/>
      <c r="M124" s="1489"/>
      <c r="N124" s="1490"/>
      <c r="O124" s="1490"/>
      <c r="P124" s="1489"/>
    </row>
    <row r="125" spans="2:16">
      <c r="B125" s="1489"/>
      <c r="C125" s="1489"/>
      <c r="D125" s="1489"/>
      <c r="E125" s="1489"/>
      <c r="F125" s="1489"/>
      <c r="G125" s="1489"/>
      <c r="H125" s="1489"/>
      <c r="I125" s="1489"/>
      <c r="J125" s="1489"/>
      <c r="K125" s="1489"/>
      <c r="L125" s="1489"/>
      <c r="M125" s="1489"/>
      <c r="N125" s="1490"/>
      <c r="O125" s="1490"/>
      <c r="P125" s="1489"/>
    </row>
    <row r="126" spans="2:16">
      <c r="B126" s="1489"/>
      <c r="C126" s="1489"/>
      <c r="D126" s="1489"/>
      <c r="E126" s="1489"/>
      <c r="F126" s="1489"/>
      <c r="G126" s="1489"/>
      <c r="H126" s="1489"/>
      <c r="I126" s="1489"/>
      <c r="J126" s="1489"/>
      <c r="K126" s="1489"/>
      <c r="L126" s="1489"/>
      <c r="M126" s="1489"/>
      <c r="N126" s="1490"/>
      <c r="O126" s="1490"/>
      <c r="P126" s="1489"/>
    </row>
    <row r="127" spans="2:16">
      <c r="B127" s="1489"/>
      <c r="C127" s="1489"/>
      <c r="D127" s="1489"/>
      <c r="E127" s="1489"/>
      <c r="F127" s="1489"/>
      <c r="G127" s="1489"/>
      <c r="H127" s="1489"/>
      <c r="I127" s="1489"/>
      <c r="J127" s="1489"/>
      <c r="K127" s="1489"/>
      <c r="L127" s="1489"/>
      <c r="M127" s="1489"/>
      <c r="N127" s="1490"/>
      <c r="O127" s="1490"/>
      <c r="P127" s="1489"/>
    </row>
    <row r="128" spans="2:16">
      <c r="B128" s="1489"/>
      <c r="C128" s="1489"/>
      <c r="D128" s="1489"/>
      <c r="E128" s="1489"/>
      <c r="F128" s="1489"/>
      <c r="G128" s="1489"/>
      <c r="H128" s="1489"/>
      <c r="I128" s="1489"/>
      <c r="J128" s="1489"/>
      <c r="K128" s="1489"/>
      <c r="L128" s="1489"/>
      <c r="M128" s="1489"/>
      <c r="N128" s="1490"/>
      <c r="O128" s="1490"/>
      <c r="P128" s="1489"/>
    </row>
    <row r="129" spans="2:16">
      <c r="B129" s="1489"/>
      <c r="C129" s="1489"/>
      <c r="D129" s="1489"/>
      <c r="E129" s="1489"/>
      <c r="F129" s="1489"/>
      <c r="G129" s="1489"/>
      <c r="H129" s="1489"/>
      <c r="I129" s="1489"/>
      <c r="J129" s="1489"/>
      <c r="K129" s="1489"/>
      <c r="L129" s="1489"/>
      <c r="M129" s="1489"/>
      <c r="N129" s="1490"/>
      <c r="O129" s="1490"/>
      <c r="P129" s="1489"/>
    </row>
    <row r="130" spans="2:16">
      <c r="B130" s="1489"/>
      <c r="C130" s="1489"/>
      <c r="D130" s="1489"/>
      <c r="E130" s="1489"/>
      <c r="F130" s="1489"/>
      <c r="G130" s="1489"/>
      <c r="H130" s="1489"/>
      <c r="I130" s="1489"/>
      <c r="J130" s="1489"/>
      <c r="K130" s="1489"/>
      <c r="L130" s="1489"/>
      <c r="M130" s="1489"/>
      <c r="N130" s="1490"/>
      <c r="O130" s="1490"/>
      <c r="P130" s="1489"/>
    </row>
    <row r="131" spans="2:16">
      <c r="B131" s="1489"/>
      <c r="C131" s="1489"/>
      <c r="D131" s="1489"/>
      <c r="E131" s="1489"/>
      <c r="F131" s="1489"/>
      <c r="G131" s="1489"/>
      <c r="H131" s="1489"/>
      <c r="I131" s="1489"/>
      <c r="J131" s="1489"/>
      <c r="K131" s="1489"/>
      <c r="L131" s="1489"/>
      <c r="M131" s="1489"/>
      <c r="N131" s="1490"/>
      <c r="O131" s="1490"/>
      <c r="P131" s="1489"/>
    </row>
    <row r="132" spans="2:16">
      <c r="B132" s="1489"/>
      <c r="C132" s="1489"/>
      <c r="D132" s="1489"/>
      <c r="E132" s="1489"/>
      <c r="F132" s="1489"/>
      <c r="G132" s="1489"/>
      <c r="H132" s="1489"/>
      <c r="I132" s="1489"/>
      <c r="J132" s="1489"/>
      <c r="K132" s="1489"/>
      <c r="L132" s="1489"/>
      <c r="M132" s="1489"/>
      <c r="N132" s="1490"/>
      <c r="O132" s="1490"/>
      <c r="P132" s="1489"/>
    </row>
    <row r="133" spans="2:16">
      <c r="B133" s="1489"/>
      <c r="C133" s="1489"/>
      <c r="D133" s="1489"/>
      <c r="E133" s="1489"/>
      <c r="F133" s="1489"/>
      <c r="G133" s="1489"/>
      <c r="H133" s="1489"/>
      <c r="I133" s="1489"/>
      <c r="J133" s="1489"/>
      <c r="K133" s="1489"/>
      <c r="L133" s="1489"/>
      <c r="M133" s="1489"/>
      <c r="N133" s="1490"/>
      <c r="O133" s="1490"/>
      <c r="P133" s="1489"/>
    </row>
    <row r="134" spans="2:16">
      <c r="B134" s="1489"/>
      <c r="C134" s="1489"/>
      <c r="D134" s="1489"/>
      <c r="E134" s="1489"/>
      <c r="F134" s="1489"/>
      <c r="G134" s="1489"/>
      <c r="H134" s="1489"/>
      <c r="I134" s="1489"/>
      <c r="J134" s="1489"/>
      <c r="K134" s="1489"/>
      <c r="L134" s="1489"/>
      <c r="M134" s="1489"/>
      <c r="N134" s="1490"/>
      <c r="O134" s="1490"/>
      <c r="P134" s="1489"/>
    </row>
    <row r="135" spans="2:16">
      <c r="B135" s="1489"/>
      <c r="C135" s="1489"/>
      <c r="D135" s="1489"/>
      <c r="E135" s="1489"/>
      <c r="F135" s="1489"/>
      <c r="G135" s="1489"/>
      <c r="H135" s="1489"/>
      <c r="I135" s="1489"/>
      <c r="J135" s="1489"/>
      <c r="K135" s="1489"/>
      <c r="L135" s="1489"/>
      <c r="M135" s="1489"/>
      <c r="N135" s="1490"/>
      <c r="O135" s="1490"/>
      <c r="P135" s="1489"/>
    </row>
    <row r="136" spans="2:16">
      <c r="B136" s="1489"/>
      <c r="C136" s="1489"/>
      <c r="D136" s="1489"/>
      <c r="E136" s="1489"/>
      <c r="F136" s="1489"/>
      <c r="G136" s="1489"/>
      <c r="H136" s="1489"/>
      <c r="I136" s="1489"/>
      <c r="J136" s="1489"/>
      <c r="K136" s="1489"/>
      <c r="L136" s="1489"/>
      <c r="M136" s="1489"/>
      <c r="N136" s="1490"/>
      <c r="O136" s="1490"/>
      <c r="P136" s="1489"/>
    </row>
    <row r="137" spans="2:16">
      <c r="B137" s="1489"/>
      <c r="C137" s="1489"/>
      <c r="D137" s="1489"/>
      <c r="E137" s="1489"/>
      <c r="F137" s="1489"/>
      <c r="G137" s="1489"/>
      <c r="H137" s="1489"/>
      <c r="I137" s="1489"/>
      <c r="J137" s="1489"/>
      <c r="K137" s="1489"/>
      <c r="L137" s="1489"/>
      <c r="M137" s="1489"/>
      <c r="N137" s="1490"/>
      <c r="O137" s="1490"/>
      <c r="P137" s="1489"/>
    </row>
    <row r="138" spans="2:16">
      <c r="B138" s="1489"/>
      <c r="C138" s="1489"/>
      <c r="D138" s="1489"/>
      <c r="E138" s="1489"/>
      <c r="F138" s="1489"/>
      <c r="G138" s="1489"/>
      <c r="H138" s="1489"/>
      <c r="I138" s="1489"/>
      <c r="J138" s="1489"/>
      <c r="K138" s="1489"/>
      <c r="L138" s="1489"/>
      <c r="M138" s="1489"/>
      <c r="N138" s="1490"/>
      <c r="O138" s="1490"/>
      <c r="P138" s="1489"/>
    </row>
    <row r="139" spans="2:16">
      <c r="B139" s="1489"/>
      <c r="C139" s="1489"/>
      <c r="D139" s="1489"/>
      <c r="E139" s="1489"/>
      <c r="F139" s="1489"/>
      <c r="G139" s="1489"/>
      <c r="H139" s="1489"/>
      <c r="I139" s="1489"/>
      <c r="J139" s="1489"/>
      <c r="K139" s="1489"/>
      <c r="L139" s="1489"/>
      <c r="M139" s="1489"/>
      <c r="N139" s="1490"/>
      <c r="O139" s="1490"/>
      <c r="P139" s="1489"/>
    </row>
    <row r="140" spans="2:16">
      <c r="B140" s="1489"/>
      <c r="C140" s="1489"/>
      <c r="D140" s="1489"/>
      <c r="E140" s="1489"/>
      <c r="F140" s="1489"/>
      <c r="G140" s="1489"/>
      <c r="H140" s="1489"/>
      <c r="I140" s="1489"/>
      <c r="J140" s="1489"/>
      <c r="K140" s="1489"/>
      <c r="L140" s="1489"/>
      <c r="M140" s="1489"/>
      <c r="N140" s="1490"/>
      <c r="O140" s="1490"/>
      <c r="P140" s="1489"/>
    </row>
    <row r="141" spans="2:16">
      <c r="B141" s="1489"/>
      <c r="C141" s="1489"/>
      <c r="D141" s="1489"/>
      <c r="E141" s="1489"/>
      <c r="F141" s="1489"/>
      <c r="G141" s="1489"/>
      <c r="H141" s="1489"/>
      <c r="I141" s="1489"/>
      <c r="J141" s="1489"/>
      <c r="K141" s="1489"/>
      <c r="L141" s="1489"/>
      <c r="M141" s="1489"/>
      <c r="N141" s="1490"/>
      <c r="O141" s="1490"/>
      <c r="P141" s="1489"/>
    </row>
    <row r="142" spans="2:16">
      <c r="B142" s="1489"/>
      <c r="C142" s="1489"/>
      <c r="D142" s="1489"/>
      <c r="E142" s="1489"/>
      <c r="F142" s="1489"/>
      <c r="G142" s="1489"/>
      <c r="H142" s="1489"/>
      <c r="I142" s="1489"/>
      <c r="J142" s="1489"/>
      <c r="K142" s="1489"/>
      <c r="L142" s="1489"/>
      <c r="M142" s="1489"/>
      <c r="N142" s="1490"/>
      <c r="O142" s="1490"/>
      <c r="P142" s="1489"/>
    </row>
    <row r="143" spans="2:16">
      <c r="B143" s="1489"/>
      <c r="C143" s="1489"/>
      <c r="D143" s="1489"/>
      <c r="E143" s="1489"/>
      <c r="F143" s="1489"/>
      <c r="G143" s="1489"/>
      <c r="H143" s="1489"/>
      <c r="I143" s="1489"/>
      <c r="J143" s="1489"/>
      <c r="K143" s="1489"/>
      <c r="L143" s="1489"/>
      <c r="M143" s="1489"/>
      <c r="N143" s="1490"/>
      <c r="O143" s="1490"/>
      <c r="P143" s="1489"/>
    </row>
    <row r="144" spans="2:16">
      <c r="B144" s="1489"/>
      <c r="C144" s="1489"/>
      <c r="D144" s="1489"/>
      <c r="E144" s="1489"/>
      <c r="F144" s="1489"/>
      <c r="G144" s="1489"/>
      <c r="H144" s="1489"/>
      <c r="I144" s="1489"/>
      <c r="J144" s="1489"/>
      <c r="K144" s="1489"/>
      <c r="L144" s="1489"/>
      <c r="M144" s="1489"/>
      <c r="N144" s="1490"/>
      <c r="O144" s="1490"/>
      <c r="P144" s="1489"/>
    </row>
    <row r="145" spans="2:16">
      <c r="B145" s="1489"/>
      <c r="C145" s="1489"/>
      <c r="D145" s="1489"/>
      <c r="E145" s="1489"/>
      <c r="F145" s="1489"/>
      <c r="G145" s="1489"/>
      <c r="H145" s="1489"/>
      <c r="I145" s="1489"/>
      <c r="J145" s="1489"/>
      <c r="K145" s="1489"/>
      <c r="L145" s="1489"/>
      <c r="M145" s="1489"/>
      <c r="N145" s="1490"/>
      <c r="O145" s="1490"/>
      <c r="P145" s="1489"/>
    </row>
    <row r="146" spans="2:16">
      <c r="B146" s="1489"/>
      <c r="C146" s="1489"/>
      <c r="D146" s="1489"/>
      <c r="E146" s="1489"/>
      <c r="F146" s="1489"/>
      <c r="G146" s="1489"/>
      <c r="H146" s="1489"/>
      <c r="I146" s="1489"/>
      <c r="J146" s="1489"/>
      <c r="K146" s="1489"/>
      <c r="L146" s="1489"/>
      <c r="M146" s="1489"/>
      <c r="N146" s="1490"/>
      <c r="O146" s="1490"/>
      <c r="P146" s="1489"/>
    </row>
    <row r="147" spans="2:16">
      <c r="B147" s="1489"/>
      <c r="C147" s="1489"/>
      <c r="D147" s="1489"/>
      <c r="E147" s="1489"/>
      <c r="F147" s="1489"/>
      <c r="G147" s="1489"/>
      <c r="H147" s="1489"/>
      <c r="I147" s="1489"/>
      <c r="J147" s="1489"/>
      <c r="K147" s="1489"/>
      <c r="L147" s="1489"/>
      <c r="M147" s="1489"/>
      <c r="N147" s="1490"/>
      <c r="O147" s="1490"/>
      <c r="P147" s="1489"/>
    </row>
    <row r="148" spans="2:16">
      <c r="B148" s="1489"/>
      <c r="C148" s="1489"/>
      <c r="D148" s="1489"/>
      <c r="E148" s="1489"/>
      <c r="F148" s="1489"/>
      <c r="G148" s="1489"/>
      <c r="H148" s="1489"/>
      <c r="I148" s="1489"/>
      <c r="J148" s="1489"/>
      <c r="K148" s="1489"/>
      <c r="L148" s="1489"/>
      <c r="M148" s="1489"/>
      <c r="N148" s="1490"/>
      <c r="O148" s="1490"/>
      <c r="P148" s="1489"/>
    </row>
    <row r="149" spans="2:16">
      <c r="B149" s="1489"/>
      <c r="C149" s="1489"/>
      <c r="D149" s="1489"/>
      <c r="E149" s="1489"/>
      <c r="F149" s="1489"/>
      <c r="G149" s="1489"/>
      <c r="H149" s="1489"/>
      <c r="I149" s="1489"/>
      <c r="J149" s="1489"/>
      <c r="K149" s="1489"/>
      <c r="L149" s="1489"/>
      <c r="M149" s="1489"/>
      <c r="N149" s="1490"/>
      <c r="O149" s="1490"/>
      <c r="P149" s="1489"/>
    </row>
    <row r="150" spans="2:16">
      <c r="B150" s="1489"/>
      <c r="C150" s="1489"/>
      <c r="D150" s="1489"/>
      <c r="E150" s="1489"/>
      <c r="F150" s="1489"/>
      <c r="G150" s="1489"/>
      <c r="H150" s="1489"/>
      <c r="I150" s="1489"/>
      <c r="J150" s="1489"/>
      <c r="K150" s="1489"/>
      <c r="L150" s="1489"/>
      <c r="M150" s="1489"/>
      <c r="N150" s="1490"/>
      <c r="O150" s="1490"/>
      <c r="P150" s="1489"/>
    </row>
    <row r="151" spans="2:16">
      <c r="B151" s="1489"/>
      <c r="C151" s="1489"/>
      <c r="D151" s="1489"/>
      <c r="E151" s="1489"/>
      <c r="F151" s="1489"/>
      <c r="G151" s="1489"/>
      <c r="H151" s="1489"/>
      <c r="I151" s="1489"/>
      <c r="J151" s="1489"/>
      <c r="K151" s="1489"/>
      <c r="L151" s="1489"/>
      <c r="M151" s="1489"/>
      <c r="N151" s="1490"/>
      <c r="O151" s="1490"/>
      <c r="P151" s="1489"/>
    </row>
    <row r="152" spans="2:16">
      <c r="B152" s="1489"/>
      <c r="C152" s="1489"/>
      <c r="D152" s="1489"/>
      <c r="E152" s="1489"/>
      <c r="F152" s="1489"/>
      <c r="G152" s="1489"/>
      <c r="H152" s="1489"/>
      <c r="I152" s="1489"/>
      <c r="J152" s="1489"/>
      <c r="K152" s="1489"/>
      <c r="L152" s="1489"/>
      <c r="M152" s="1489"/>
      <c r="N152" s="1490"/>
      <c r="O152" s="1490"/>
      <c r="P152" s="1489"/>
    </row>
    <row r="153" spans="2:16">
      <c r="B153" s="1489"/>
      <c r="C153" s="1489"/>
      <c r="D153" s="1489"/>
      <c r="E153" s="1489"/>
      <c r="F153" s="1489"/>
      <c r="G153" s="1489"/>
      <c r="H153" s="1489"/>
      <c r="I153" s="1489"/>
      <c r="J153" s="1489"/>
      <c r="K153" s="1489"/>
      <c r="L153" s="1489"/>
      <c r="M153" s="1489"/>
      <c r="N153" s="1490"/>
      <c r="O153" s="1490"/>
      <c r="P153" s="1489"/>
    </row>
    <row r="154" spans="2:16">
      <c r="B154" s="1489"/>
      <c r="C154" s="1489"/>
      <c r="D154" s="1489"/>
      <c r="E154" s="1489"/>
      <c r="F154" s="1489"/>
      <c r="G154" s="1489"/>
      <c r="H154" s="1489"/>
      <c r="I154" s="1489"/>
      <c r="J154" s="1489"/>
      <c r="K154" s="1489"/>
      <c r="L154" s="1489"/>
      <c r="M154" s="1489"/>
      <c r="N154" s="1490"/>
      <c r="O154" s="1490"/>
      <c r="P154" s="1489"/>
    </row>
    <row r="155" spans="2:16">
      <c r="B155" s="1489"/>
      <c r="C155" s="1489"/>
      <c r="D155" s="1489"/>
      <c r="E155" s="1489"/>
      <c r="F155" s="1489"/>
      <c r="G155" s="1489"/>
      <c r="H155" s="1489"/>
      <c r="I155" s="1489"/>
      <c r="J155" s="1489"/>
      <c r="K155" s="1489"/>
      <c r="L155" s="1489"/>
      <c r="M155" s="1489"/>
      <c r="N155" s="1490"/>
      <c r="O155" s="1490"/>
      <c r="P155" s="1489"/>
    </row>
    <row r="156" spans="2:16">
      <c r="B156" s="1489"/>
      <c r="C156" s="1489"/>
      <c r="D156" s="1489"/>
      <c r="E156" s="1489"/>
      <c r="F156" s="1489"/>
      <c r="G156" s="1489"/>
      <c r="H156" s="1489"/>
      <c r="I156" s="1489"/>
      <c r="J156" s="1489"/>
      <c r="K156" s="1489"/>
      <c r="L156" s="1489"/>
      <c r="M156" s="1489"/>
      <c r="N156" s="1490"/>
      <c r="O156" s="1490"/>
      <c r="P156" s="1489"/>
    </row>
    <row r="157" spans="2:16">
      <c r="B157" s="1489"/>
      <c r="C157" s="1489"/>
      <c r="D157" s="1489"/>
      <c r="E157" s="1489"/>
      <c r="F157" s="1489"/>
      <c r="G157" s="1489"/>
      <c r="H157" s="1489"/>
      <c r="I157" s="1489"/>
      <c r="J157" s="1489"/>
      <c r="K157" s="1489"/>
      <c r="L157" s="1489"/>
      <c r="M157" s="1489"/>
      <c r="N157" s="1490"/>
      <c r="O157" s="1490"/>
      <c r="P157" s="1489"/>
    </row>
    <row r="158" spans="2:16">
      <c r="B158" s="1489"/>
      <c r="C158" s="1489"/>
      <c r="D158" s="1489"/>
      <c r="E158" s="1489"/>
      <c r="F158" s="1489"/>
      <c r="G158" s="1489"/>
      <c r="H158" s="1489"/>
      <c r="I158" s="1489"/>
      <c r="J158" s="1489"/>
      <c r="K158" s="1489"/>
      <c r="L158" s="1489"/>
      <c r="M158" s="1489"/>
      <c r="N158" s="1490"/>
      <c r="O158" s="1490"/>
      <c r="P158" s="1489"/>
    </row>
    <row r="159" spans="2:16">
      <c r="B159" s="1489"/>
      <c r="C159" s="1489"/>
      <c r="D159" s="1489"/>
      <c r="E159" s="1489"/>
      <c r="F159" s="1489"/>
      <c r="G159" s="1489"/>
      <c r="H159" s="1489"/>
      <c r="I159" s="1489"/>
      <c r="J159" s="1489"/>
      <c r="K159" s="1489"/>
      <c r="L159" s="1489"/>
      <c r="M159" s="1489"/>
      <c r="N159" s="1490"/>
      <c r="O159" s="1490"/>
      <c r="P159" s="1489"/>
    </row>
    <row r="160" spans="2:16">
      <c r="B160" s="1489"/>
      <c r="C160" s="1489"/>
      <c r="D160" s="1489"/>
      <c r="E160" s="1489"/>
      <c r="F160" s="1489"/>
      <c r="G160" s="1489"/>
      <c r="H160" s="1489"/>
      <c r="I160" s="1489"/>
      <c r="J160" s="1489"/>
      <c r="K160" s="1489"/>
      <c r="L160" s="1489"/>
      <c r="M160" s="1489"/>
      <c r="N160" s="1490"/>
      <c r="O160" s="1490"/>
      <c r="P160" s="1489"/>
    </row>
    <row r="161" spans="2:16">
      <c r="B161" s="1489"/>
      <c r="C161" s="1489"/>
      <c r="D161" s="1489"/>
      <c r="E161" s="1489"/>
      <c r="F161" s="1489"/>
      <c r="G161" s="1489"/>
      <c r="H161" s="1489"/>
      <c r="I161" s="1489"/>
      <c r="J161" s="1489"/>
      <c r="K161" s="1489"/>
      <c r="L161" s="1489"/>
      <c r="M161" s="1489"/>
      <c r="N161" s="1490"/>
      <c r="O161" s="1490"/>
      <c r="P161" s="1489"/>
    </row>
    <row r="162" spans="2:16">
      <c r="B162" s="1489"/>
      <c r="C162" s="1489"/>
      <c r="D162" s="1489"/>
      <c r="E162" s="1489"/>
      <c r="F162" s="1489"/>
      <c r="G162" s="1489"/>
      <c r="H162" s="1489"/>
      <c r="I162" s="1489"/>
      <c r="J162" s="1489"/>
      <c r="K162" s="1489"/>
      <c r="L162" s="1489"/>
      <c r="M162" s="1489"/>
      <c r="N162" s="1490"/>
      <c r="O162" s="1490"/>
      <c r="P162" s="1489"/>
    </row>
    <row r="163" spans="2:16">
      <c r="B163" s="1489"/>
      <c r="C163" s="1489"/>
      <c r="D163" s="1489"/>
      <c r="E163" s="1489"/>
      <c r="F163" s="1489"/>
      <c r="G163" s="1489"/>
      <c r="H163" s="1489"/>
      <c r="I163" s="1489"/>
      <c r="J163" s="1489"/>
      <c r="K163" s="1489"/>
      <c r="L163" s="1489"/>
      <c r="M163" s="1489"/>
      <c r="N163" s="1490"/>
      <c r="O163" s="1490"/>
      <c r="P163" s="1489"/>
    </row>
    <row r="164" spans="2:16">
      <c r="B164" s="1489"/>
      <c r="C164" s="1489"/>
      <c r="D164" s="1489"/>
      <c r="E164" s="1489"/>
      <c r="F164" s="1489"/>
      <c r="G164" s="1489"/>
      <c r="H164" s="1489"/>
      <c r="I164" s="1489"/>
      <c r="J164" s="1489"/>
      <c r="K164" s="1489"/>
      <c r="L164" s="1489"/>
      <c r="M164" s="1489"/>
      <c r="N164" s="1490"/>
      <c r="O164" s="1490"/>
      <c r="P164" s="1489"/>
    </row>
    <row r="165" spans="2:16">
      <c r="B165" s="1489"/>
      <c r="C165" s="1489"/>
      <c r="D165" s="1489"/>
      <c r="E165" s="1489"/>
      <c r="F165" s="1489"/>
      <c r="G165" s="1489"/>
      <c r="H165" s="1489"/>
      <c r="I165" s="1489"/>
      <c r="J165" s="1489"/>
      <c r="K165" s="1489"/>
      <c r="L165" s="1489"/>
      <c r="M165" s="1489"/>
      <c r="N165" s="1490"/>
      <c r="O165" s="1490"/>
      <c r="P165" s="1489"/>
    </row>
    <row r="166" spans="2:16">
      <c r="B166" s="1489"/>
      <c r="C166" s="1489"/>
      <c r="D166" s="1489"/>
      <c r="E166" s="1489"/>
      <c r="F166" s="1489"/>
      <c r="G166" s="1489"/>
      <c r="H166" s="1489"/>
      <c r="I166" s="1489"/>
      <c r="J166" s="1489"/>
      <c r="K166" s="1489"/>
      <c r="L166" s="1489"/>
      <c r="M166" s="1489"/>
      <c r="N166" s="1490"/>
      <c r="O166" s="1490"/>
      <c r="P166" s="1489"/>
    </row>
    <row r="167" spans="2:16">
      <c r="B167" s="1489"/>
      <c r="C167" s="1489"/>
      <c r="D167" s="1489"/>
      <c r="E167" s="1489"/>
      <c r="F167" s="1489"/>
      <c r="G167" s="1489"/>
      <c r="H167" s="1489"/>
      <c r="I167" s="1489"/>
      <c r="J167" s="1489"/>
      <c r="K167" s="1489"/>
      <c r="L167" s="1489"/>
      <c r="M167" s="1489"/>
      <c r="N167" s="1490"/>
      <c r="O167" s="1490"/>
      <c r="P167" s="1489"/>
    </row>
    <row r="168" spans="2:16">
      <c r="B168" s="1489"/>
      <c r="C168" s="1489"/>
      <c r="D168" s="1489"/>
      <c r="E168" s="1489"/>
      <c r="F168" s="1489"/>
      <c r="G168" s="1489"/>
      <c r="H168" s="1489"/>
      <c r="I168" s="1489"/>
      <c r="J168" s="1489"/>
      <c r="K168" s="1489"/>
      <c r="L168" s="1489"/>
      <c r="M168" s="1489"/>
      <c r="N168" s="1490"/>
      <c r="O168" s="1490"/>
      <c r="P168" s="1489"/>
    </row>
    <row r="169" spans="2:16">
      <c r="B169" s="1489"/>
      <c r="C169" s="1489"/>
      <c r="D169" s="1489"/>
      <c r="E169" s="1489"/>
      <c r="F169" s="1489"/>
      <c r="G169" s="1489"/>
      <c r="H169" s="1489"/>
      <c r="I169" s="1489"/>
      <c r="J169" s="1489"/>
      <c r="K169" s="1489"/>
      <c r="L169" s="1489"/>
      <c r="M169" s="1489"/>
      <c r="N169" s="1490"/>
      <c r="O169" s="1490"/>
      <c r="P169" s="1489"/>
    </row>
    <row r="170" spans="2:16">
      <c r="B170" s="1489"/>
      <c r="C170" s="1489"/>
      <c r="D170" s="1489"/>
      <c r="E170" s="1489"/>
      <c r="F170" s="1489"/>
      <c r="G170" s="1489"/>
      <c r="H170" s="1489"/>
      <c r="I170" s="1489"/>
      <c r="J170" s="1489"/>
      <c r="K170" s="1489"/>
      <c r="L170" s="1489"/>
      <c r="M170" s="1489"/>
      <c r="N170" s="1490"/>
      <c r="O170" s="1490"/>
      <c r="P170" s="1489"/>
    </row>
    <row r="171" spans="2:16">
      <c r="B171" s="1489"/>
      <c r="C171" s="1489"/>
      <c r="D171" s="1489"/>
      <c r="E171" s="1489"/>
      <c r="F171" s="1489"/>
      <c r="G171" s="1489"/>
      <c r="H171" s="1489"/>
      <c r="I171" s="1489"/>
      <c r="J171" s="1489"/>
      <c r="K171" s="1489"/>
      <c r="L171" s="1489"/>
      <c r="M171" s="1489"/>
      <c r="N171" s="1490"/>
      <c r="O171" s="1490"/>
      <c r="P171" s="1489"/>
    </row>
    <row r="172" spans="2:16">
      <c r="B172" s="1489"/>
      <c r="C172" s="1489"/>
      <c r="D172" s="1489"/>
      <c r="E172" s="1489"/>
      <c r="F172" s="1489"/>
      <c r="G172" s="1489"/>
      <c r="H172" s="1489"/>
      <c r="I172" s="1489"/>
      <c r="J172" s="1489"/>
      <c r="K172" s="1489"/>
      <c r="L172" s="1489"/>
      <c r="M172" s="1489"/>
      <c r="N172" s="1490"/>
      <c r="O172" s="1490"/>
      <c r="P172" s="1489"/>
    </row>
    <row r="173" spans="2:16">
      <c r="B173" s="1489"/>
      <c r="C173" s="1489"/>
      <c r="D173" s="1489"/>
      <c r="E173" s="1489"/>
      <c r="F173" s="1489"/>
      <c r="G173" s="1489"/>
      <c r="H173" s="1489"/>
      <c r="I173" s="1489"/>
      <c r="J173" s="1489"/>
      <c r="K173" s="1489"/>
      <c r="L173" s="1489"/>
      <c r="M173" s="1489"/>
      <c r="N173" s="1490"/>
      <c r="O173" s="1490"/>
      <c r="P173" s="1489"/>
    </row>
    <row r="174" spans="2:16">
      <c r="B174" s="1489"/>
      <c r="C174" s="1489"/>
      <c r="D174" s="1489"/>
      <c r="E174" s="1489"/>
      <c r="F174" s="1489"/>
      <c r="G174" s="1489"/>
      <c r="H174" s="1489"/>
      <c r="I174" s="1489"/>
      <c r="J174" s="1489"/>
      <c r="K174" s="1489"/>
      <c r="L174" s="1489"/>
      <c r="M174" s="1489"/>
      <c r="N174" s="1490"/>
      <c r="O174" s="1490"/>
      <c r="P174" s="1489"/>
    </row>
    <row r="175" spans="2:16">
      <c r="B175" s="1489"/>
      <c r="C175" s="1489"/>
      <c r="D175" s="1489"/>
      <c r="E175" s="1489"/>
      <c r="F175" s="1489"/>
      <c r="G175" s="1489"/>
      <c r="H175" s="1489"/>
      <c r="I175" s="1489"/>
      <c r="J175" s="1489"/>
      <c r="K175" s="1489"/>
      <c r="L175" s="1489"/>
      <c r="M175" s="1489"/>
      <c r="N175" s="1490"/>
      <c r="O175" s="1490"/>
      <c r="P175" s="1489"/>
    </row>
    <row r="176" spans="2:16">
      <c r="B176" s="1489"/>
      <c r="C176" s="1489"/>
      <c r="D176" s="1489"/>
      <c r="E176" s="1489"/>
      <c r="F176" s="1489"/>
      <c r="G176" s="1489"/>
      <c r="H176" s="1489"/>
      <c r="I176" s="1489"/>
      <c r="J176" s="1489"/>
      <c r="K176" s="1489"/>
      <c r="L176" s="1489"/>
      <c r="M176" s="1489"/>
      <c r="N176" s="1490"/>
      <c r="O176" s="1490"/>
      <c r="P176" s="1489"/>
    </row>
    <row r="177" spans="2:16">
      <c r="B177" s="1489"/>
      <c r="C177" s="1489"/>
      <c r="D177" s="1489"/>
      <c r="E177" s="1489"/>
      <c r="F177" s="1489"/>
      <c r="G177" s="1489"/>
      <c r="H177" s="1489"/>
      <c r="I177" s="1489"/>
      <c r="J177" s="1489"/>
      <c r="K177" s="1489"/>
      <c r="L177" s="1489"/>
      <c r="M177" s="1489"/>
      <c r="N177" s="1490"/>
      <c r="O177" s="1490"/>
      <c r="P177" s="1489"/>
    </row>
    <row r="178" spans="2:16">
      <c r="B178" s="1489"/>
      <c r="C178" s="1489"/>
      <c r="D178" s="1489"/>
      <c r="E178" s="1489"/>
      <c r="F178" s="1489"/>
      <c r="G178" s="1489"/>
      <c r="H178" s="1489"/>
      <c r="I178" s="1489"/>
      <c r="J178" s="1489"/>
      <c r="K178" s="1489"/>
      <c r="L178" s="1489"/>
      <c r="M178" s="1489"/>
      <c r="N178" s="1490"/>
      <c r="O178" s="1490"/>
      <c r="P178" s="1489"/>
    </row>
    <row r="179" spans="2:16">
      <c r="B179" s="1489"/>
      <c r="C179" s="1489"/>
      <c r="D179" s="1489"/>
      <c r="E179" s="1489"/>
      <c r="F179" s="1489"/>
      <c r="G179" s="1489"/>
      <c r="H179" s="1489"/>
      <c r="I179" s="1489"/>
      <c r="J179" s="1489"/>
      <c r="K179" s="1489"/>
      <c r="L179" s="1489"/>
      <c r="M179" s="1489"/>
      <c r="N179" s="1490"/>
      <c r="O179" s="1490"/>
      <c r="P179" s="1489"/>
    </row>
    <row r="180" spans="2:16">
      <c r="B180" s="1489"/>
      <c r="C180" s="1489"/>
      <c r="D180" s="1489"/>
      <c r="E180" s="1489"/>
      <c r="F180" s="1489"/>
      <c r="G180" s="1489"/>
      <c r="H180" s="1489"/>
      <c r="I180" s="1489"/>
      <c r="J180" s="1489"/>
      <c r="K180" s="1489"/>
      <c r="L180" s="1489"/>
      <c r="M180" s="1489"/>
      <c r="N180" s="1490"/>
      <c r="O180" s="1490"/>
      <c r="P180" s="1489"/>
    </row>
    <row r="181" spans="2:16">
      <c r="B181" s="1489"/>
      <c r="C181" s="1489"/>
      <c r="D181" s="1489"/>
      <c r="E181" s="1489"/>
      <c r="F181" s="1489"/>
      <c r="G181" s="1489"/>
      <c r="H181" s="1489"/>
      <c r="I181" s="1489"/>
      <c r="J181" s="1489"/>
      <c r="K181" s="1489"/>
      <c r="L181" s="1489"/>
      <c r="M181" s="1489"/>
      <c r="N181" s="1490"/>
      <c r="O181" s="1490"/>
      <c r="P181" s="1489"/>
    </row>
    <row r="182" spans="2:16">
      <c r="B182" s="1489"/>
      <c r="C182" s="1489"/>
      <c r="D182" s="1489"/>
      <c r="E182" s="1489"/>
      <c r="F182" s="1489"/>
      <c r="G182" s="1489"/>
      <c r="H182" s="1489"/>
      <c r="I182" s="1489"/>
      <c r="J182" s="1489"/>
      <c r="K182" s="1489"/>
      <c r="L182" s="1489"/>
      <c r="M182" s="1489"/>
      <c r="N182" s="1490"/>
      <c r="O182" s="1490"/>
      <c r="P182" s="1489"/>
    </row>
    <row r="183" spans="2:16">
      <c r="B183" s="1489"/>
      <c r="C183" s="1489"/>
      <c r="D183" s="1489"/>
      <c r="E183" s="1489"/>
      <c r="F183" s="1489"/>
      <c r="G183" s="1489"/>
      <c r="H183" s="1489"/>
      <c r="I183" s="1489"/>
      <c r="J183" s="1489"/>
      <c r="K183" s="1489"/>
      <c r="L183" s="1489"/>
      <c r="M183" s="1489"/>
      <c r="N183" s="1490"/>
      <c r="O183" s="1490"/>
      <c r="P183" s="1489"/>
    </row>
    <row r="184" spans="2:16">
      <c r="B184" s="1489"/>
      <c r="C184" s="1489"/>
      <c r="D184" s="1489"/>
      <c r="E184" s="1489"/>
      <c r="F184" s="1489"/>
      <c r="G184" s="1489"/>
      <c r="H184" s="1489"/>
      <c r="I184" s="1489"/>
      <c r="J184" s="1489"/>
      <c r="K184" s="1489"/>
      <c r="L184" s="1489"/>
      <c r="M184" s="1489"/>
      <c r="N184" s="1490"/>
      <c r="O184" s="1490"/>
      <c r="P184" s="1489"/>
    </row>
    <row r="185" spans="2:16">
      <c r="B185" s="1489"/>
      <c r="C185" s="1489"/>
      <c r="D185" s="1489"/>
      <c r="E185" s="1489"/>
      <c r="F185" s="1489"/>
      <c r="G185" s="1489"/>
      <c r="H185" s="1489"/>
      <c r="I185" s="1489"/>
      <c r="J185" s="1489"/>
      <c r="K185" s="1489"/>
      <c r="L185" s="1489"/>
      <c r="M185" s="1489"/>
      <c r="N185" s="1490"/>
      <c r="O185" s="1490"/>
      <c r="P185" s="1489"/>
    </row>
    <row r="186" spans="2:16">
      <c r="B186" s="1489"/>
      <c r="C186" s="1489"/>
      <c r="D186" s="1489"/>
      <c r="E186" s="1489"/>
      <c r="F186" s="1489"/>
      <c r="G186" s="1489"/>
      <c r="H186" s="1489"/>
      <c r="I186" s="1489"/>
      <c r="J186" s="1489"/>
      <c r="K186" s="1489"/>
      <c r="L186" s="1489"/>
      <c r="M186" s="1489"/>
      <c r="N186" s="1490"/>
      <c r="O186" s="1490"/>
      <c r="P186" s="1489"/>
    </row>
    <row r="187" spans="2:16">
      <c r="B187" s="1489"/>
      <c r="C187" s="1489"/>
      <c r="D187" s="1489"/>
      <c r="E187" s="1489"/>
      <c r="F187" s="1489"/>
      <c r="G187" s="1489"/>
      <c r="H187" s="1489"/>
      <c r="I187" s="1489"/>
      <c r="J187" s="1489"/>
      <c r="K187" s="1489"/>
      <c r="L187" s="1489"/>
      <c r="M187" s="1489"/>
      <c r="N187" s="1490"/>
      <c r="O187" s="1490"/>
      <c r="P187" s="1489"/>
    </row>
    <row r="188" spans="2:16">
      <c r="B188" s="1489"/>
      <c r="C188" s="1489"/>
      <c r="D188" s="1489"/>
      <c r="E188" s="1489"/>
      <c r="F188" s="1489"/>
      <c r="G188" s="1489"/>
      <c r="H188" s="1489"/>
      <c r="I188" s="1489"/>
      <c r="J188" s="1489"/>
      <c r="K188" s="1489"/>
      <c r="L188" s="1489"/>
      <c r="M188" s="1489"/>
      <c r="N188" s="1490"/>
      <c r="O188" s="1490"/>
      <c r="P188" s="1489"/>
    </row>
    <row r="189" spans="2:16">
      <c r="B189" s="1489"/>
      <c r="C189" s="1489"/>
      <c r="D189" s="1489"/>
      <c r="E189" s="1489"/>
      <c r="F189" s="1489"/>
      <c r="G189" s="1489"/>
      <c r="H189" s="1489"/>
      <c r="I189" s="1489"/>
      <c r="J189" s="1489"/>
      <c r="K189" s="1489"/>
      <c r="L189" s="1489"/>
      <c r="M189" s="1489"/>
      <c r="N189" s="1490"/>
      <c r="O189" s="1490"/>
      <c r="P189" s="1489"/>
    </row>
    <row r="190" spans="2:16">
      <c r="B190" s="1489"/>
      <c r="C190" s="1489"/>
      <c r="D190" s="1489"/>
      <c r="E190" s="1489"/>
      <c r="F190" s="1489"/>
      <c r="G190" s="1489"/>
      <c r="H190" s="1489"/>
      <c r="I190" s="1489"/>
      <c r="J190" s="1489"/>
      <c r="K190" s="1489"/>
      <c r="L190" s="1489"/>
      <c r="M190" s="1489"/>
      <c r="N190" s="1490"/>
      <c r="O190" s="1490"/>
      <c r="P190" s="1489"/>
    </row>
    <row r="191" spans="2:16">
      <c r="B191" s="1489"/>
      <c r="C191" s="1489"/>
      <c r="D191" s="1489"/>
      <c r="E191" s="1489"/>
      <c r="F191" s="1489"/>
      <c r="G191" s="1489"/>
      <c r="H191" s="1489"/>
      <c r="I191" s="1489"/>
      <c r="J191" s="1489"/>
      <c r="K191" s="1489"/>
      <c r="L191" s="1489"/>
      <c r="M191" s="1489"/>
      <c r="N191" s="1490"/>
      <c r="O191" s="1490"/>
      <c r="P191" s="1489"/>
    </row>
    <row r="192" spans="2:16">
      <c r="B192" s="1489"/>
      <c r="C192" s="1489"/>
      <c r="D192" s="1489"/>
      <c r="E192" s="1489"/>
      <c r="F192" s="1489"/>
      <c r="G192" s="1489"/>
      <c r="H192" s="1489"/>
      <c r="I192" s="1489"/>
      <c r="J192" s="1489"/>
      <c r="K192" s="1489"/>
      <c r="L192" s="1489"/>
      <c r="M192" s="1489"/>
      <c r="N192" s="1490"/>
      <c r="O192" s="1490"/>
      <c r="P192" s="1489"/>
    </row>
    <row r="193" spans="1:16">
      <c r="B193" s="1489"/>
      <c r="C193" s="1489"/>
      <c r="D193" s="1489"/>
      <c r="E193" s="1489"/>
      <c r="F193" s="1489"/>
      <c r="G193" s="1489"/>
      <c r="H193" s="1489"/>
      <c r="I193" s="1489"/>
      <c r="J193" s="1489"/>
      <c r="K193" s="1489"/>
      <c r="L193" s="1489"/>
      <c r="M193" s="1489"/>
      <c r="N193" s="1490"/>
      <c r="O193" s="1490"/>
      <c r="P193" s="1489"/>
    </row>
    <row r="194" spans="1:16">
      <c r="B194" s="1489"/>
      <c r="C194" s="1489"/>
      <c r="D194" s="1489"/>
      <c r="E194" s="1489"/>
      <c r="F194" s="1489"/>
      <c r="G194" s="1489"/>
      <c r="H194" s="1489"/>
      <c r="I194" s="1489"/>
      <c r="J194" s="1489"/>
      <c r="K194" s="1489"/>
      <c r="L194" s="1489"/>
      <c r="M194" s="1489"/>
      <c r="N194" s="1490"/>
      <c r="O194" s="1490"/>
      <c r="P194" s="1489"/>
    </row>
    <row r="195" spans="1:16">
      <c r="B195" s="1489"/>
      <c r="C195" s="1489"/>
      <c r="D195" s="1489"/>
      <c r="E195" s="1489"/>
      <c r="F195" s="1489"/>
      <c r="G195" s="1489"/>
      <c r="H195" s="1489"/>
      <c r="I195" s="1489"/>
      <c r="J195" s="1489"/>
      <c r="K195" s="1489"/>
      <c r="L195" s="1489"/>
      <c r="M195" s="1489"/>
      <c r="N195" s="1490"/>
      <c r="O195" s="1490"/>
      <c r="P195" s="1489"/>
    </row>
    <row r="196" spans="1:16">
      <c r="A196" s="1491"/>
      <c r="B196" s="1489"/>
      <c r="C196" s="1489"/>
      <c r="D196" s="1489"/>
      <c r="E196" s="1489"/>
      <c r="F196" s="1489"/>
      <c r="G196" s="1489"/>
      <c r="H196" s="1489"/>
      <c r="I196" s="1489"/>
      <c r="J196" s="1489"/>
      <c r="K196" s="1489"/>
      <c r="L196" s="1489"/>
      <c r="M196" s="1489"/>
      <c r="N196" s="1489"/>
      <c r="O196" s="1489"/>
      <c r="P196" s="1489"/>
    </row>
    <row r="197" spans="1:16">
      <c r="A197" s="1491"/>
      <c r="B197" s="1489"/>
      <c r="C197" s="1489"/>
      <c r="D197" s="1489"/>
      <c r="E197" s="1489"/>
      <c r="F197" s="1489"/>
      <c r="G197" s="1489"/>
      <c r="H197" s="1489"/>
      <c r="I197" s="1489"/>
      <c r="J197" s="1489"/>
      <c r="K197" s="1489"/>
      <c r="L197" s="1489"/>
      <c r="M197" s="1489"/>
      <c r="N197" s="1489"/>
      <c r="O197" s="1489"/>
      <c r="P197" s="1489"/>
    </row>
    <row r="198" spans="1:16">
      <c r="A198" s="1491"/>
      <c r="B198" s="1492"/>
      <c r="C198" s="1492"/>
      <c r="D198" s="1492"/>
      <c r="E198" s="1492"/>
      <c r="F198" s="1492"/>
      <c r="G198" s="1492"/>
      <c r="H198" s="1492"/>
      <c r="I198" s="1492"/>
      <c r="J198" s="1492"/>
      <c r="K198" s="1492"/>
      <c r="L198" s="1492"/>
      <c r="M198" s="1492"/>
      <c r="N198" s="1489"/>
      <c r="O198" s="1489"/>
      <c r="P198" s="1489"/>
    </row>
    <row r="199" spans="1:16">
      <c r="A199" s="1491"/>
      <c r="B199" s="1489"/>
      <c r="C199" s="1489"/>
      <c r="D199" s="1489"/>
      <c r="E199" s="1489"/>
      <c r="F199" s="1489"/>
      <c r="G199" s="1489"/>
      <c r="H199" s="1489"/>
      <c r="I199" s="1489"/>
      <c r="J199" s="1489"/>
      <c r="K199" s="1489"/>
      <c r="L199" s="1489"/>
      <c r="M199" s="1489"/>
      <c r="N199" s="1489"/>
      <c r="O199" s="1489"/>
      <c r="P199" s="1489"/>
    </row>
    <row r="200" spans="1:16">
      <c r="A200" s="1491"/>
      <c r="B200" s="1489"/>
      <c r="C200" s="1489"/>
      <c r="D200" s="1489"/>
      <c r="E200" s="1489"/>
      <c r="F200" s="1489"/>
      <c r="G200" s="1489"/>
      <c r="H200" s="1489"/>
      <c r="I200" s="1489"/>
      <c r="J200" s="1489"/>
      <c r="K200" s="1489"/>
      <c r="L200" s="1489"/>
      <c r="M200" s="1489"/>
      <c r="N200" s="1489"/>
      <c r="O200" s="1489"/>
      <c r="P200" s="1489"/>
    </row>
    <row r="201" spans="1:16">
      <c r="A201" s="1491"/>
      <c r="B201" s="1489"/>
      <c r="C201" s="1489"/>
      <c r="D201" s="1489"/>
      <c r="E201" s="1489"/>
      <c r="F201" s="1489"/>
      <c r="G201" s="1489"/>
      <c r="H201" s="1489"/>
      <c r="I201" s="1489"/>
      <c r="J201" s="1489"/>
      <c r="K201" s="1489"/>
      <c r="L201" s="1489"/>
      <c r="M201" s="1489"/>
      <c r="N201" s="1489"/>
      <c r="O201" s="1489"/>
      <c r="P201" s="1489"/>
    </row>
    <row r="202" spans="1:16">
      <c r="A202" s="1491"/>
      <c r="B202" s="1489"/>
      <c r="C202" s="1489"/>
      <c r="D202" s="1489"/>
      <c r="E202" s="1489"/>
      <c r="F202" s="1489"/>
      <c r="G202" s="1489"/>
      <c r="H202" s="1489"/>
      <c r="I202" s="1489"/>
      <c r="J202" s="1489"/>
      <c r="K202" s="1489"/>
      <c r="L202" s="1489"/>
      <c r="M202" s="1489"/>
      <c r="N202" s="1489"/>
      <c r="O202" s="1489"/>
      <c r="P202" s="1489"/>
    </row>
    <row r="203" spans="1:16">
      <c r="A203" s="1491"/>
      <c r="B203" s="1489"/>
      <c r="C203" s="1489"/>
      <c r="D203" s="1489"/>
      <c r="E203" s="1489"/>
      <c r="F203" s="1489"/>
      <c r="G203" s="1489"/>
      <c r="H203" s="1489"/>
      <c r="I203" s="1489"/>
      <c r="J203" s="1489"/>
      <c r="K203" s="1489"/>
      <c r="L203" s="1489"/>
      <c r="M203" s="1489"/>
      <c r="N203" s="1489"/>
      <c r="O203" s="1489"/>
      <c r="P203" s="1489"/>
    </row>
    <row r="204" spans="1:16">
      <c r="A204" s="1491"/>
      <c r="B204" s="1489"/>
      <c r="C204" s="1489"/>
      <c r="D204" s="1489"/>
      <c r="E204" s="1489"/>
      <c r="F204" s="1489"/>
      <c r="G204" s="1489"/>
      <c r="H204" s="1489"/>
      <c r="I204" s="1489"/>
      <c r="J204" s="1489"/>
      <c r="K204" s="1489"/>
      <c r="L204" s="1489"/>
      <c r="M204" s="1489"/>
      <c r="N204" s="1489"/>
      <c r="O204" s="1489"/>
      <c r="P204" s="1489"/>
    </row>
    <row r="205" spans="1:16">
      <c r="A205" s="1491"/>
      <c r="B205" s="1489"/>
      <c r="C205" s="1489"/>
      <c r="D205" s="1489"/>
      <c r="E205" s="1489"/>
      <c r="F205" s="1489"/>
      <c r="G205" s="1489"/>
      <c r="H205" s="1489"/>
      <c r="I205" s="1489"/>
      <c r="J205" s="1489"/>
      <c r="K205" s="1489"/>
      <c r="L205" s="1489"/>
      <c r="M205" s="1489"/>
      <c r="N205" s="1489"/>
      <c r="O205" s="1489"/>
      <c r="P205" s="1489"/>
    </row>
    <row r="206" spans="1:16">
      <c r="A206" s="1491"/>
      <c r="B206" s="1489"/>
      <c r="C206" s="1489"/>
      <c r="D206" s="1489"/>
      <c r="E206" s="1489"/>
      <c r="F206" s="1489"/>
      <c r="G206" s="1489"/>
      <c r="H206" s="1489"/>
      <c r="I206" s="1489"/>
      <c r="J206" s="1489"/>
      <c r="K206" s="1489"/>
      <c r="L206" s="1489"/>
      <c r="M206" s="1489"/>
      <c r="N206" s="1489"/>
      <c r="O206" s="1489"/>
      <c r="P206" s="1489"/>
    </row>
    <row r="207" spans="1:16">
      <c r="A207" s="1491"/>
      <c r="B207" s="1489"/>
      <c r="C207" s="1489"/>
      <c r="D207" s="1489"/>
      <c r="E207" s="1489"/>
      <c r="F207" s="1489"/>
      <c r="G207" s="1489"/>
      <c r="H207" s="1489"/>
      <c r="I207" s="1489"/>
      <c r="J207" s="1489"/>
      <c r="K207" s="1489"/>
      <c r="L207" s="1489"/>
      <c r="M207" s="1489"/>
      <c r="N207" s="1489"/>
      <c r="O207" s="1489"/>
      <c r="P207" s="1489"/>
    </row>
    <row r="208" spans="1:16">
      <c r="A208" s="1491"/>
      <c r="B208" s="1489"/>
      <c r="C208" s="1489"/>
      <c r="D208" s="1489"/>
      <c r="E208" s="1489"/>
      <c r="F208" s="1489"/>
      <c r="G208" s="1489"/>
      <c r="H208" s="1489"/>
      <c r="I208" s="1489"/>
      <c r="J208" s="1489"/>
      <c r="K208" s="1489"/>
      <c r="L208" s="1489"/>
      <c r="M208" s="1489"/>
      <c r="N208" s="1489"/>
      <c r="O208" s="1489"/>
      <c r="P208" s="1489"/>
    </row>
    <row r="209" spans="1:16">
      <c r="A209" s="1491"/>
      <c r="B209" s="1489"/>
      <c r="C209" s="1489"/>
      <c r="D209" s="1489"/>
      <c r="E209" s="1489"/>
      <c r="F209" s="1489"/>
      <c r="G209" s="1489"/>
      <c r="H209" s="1489"/>
      <c r="I209" s="1489"/>
      <c r="J209" s="1489"/>
      <c r="K209" s="1489"/>
      <c r="L209" s="1489"/>
      <c r="M209" s="1489"/>
      <c r="N209" s="1489"/>
      <c r="O209" s="1489"/>
      <c r="P209" s="1489"/>
    </row>
    <row r="210" spans="1:16">
      <c r="A210" s="1491"/>
      <c r="B210" s="1489"/>
      <c r="C210" s="1489"/>
      <c r="D210" s="1489"/>
      <c r="E210" s="1489"/>
      <c r="F210" s="1489"/>
      <c r="G210" s="1489"/>
      <c r="H210" s="1489"/>
      <c r="I210" s="1489"/>
      <c r="J210" s="1489"/>
      <c r="K210" s="1489"/>
      <c r="L210" s="1489"/>
      <c r="M210" s="1489"/>
      <c r="N210" s="1489"/>
      <c r="O210" s="1489"/>
      <c r="P210" s="1489"/>
    </row>
    <row r="211" spans="1:16">
      <c r="A211" s="1491"/>
      <c r="B211" s="1489"/>
      <c r="C211" s="1489"/>
      <c r="D211" s="1489"/>
      <c r="E211" s="1489"/>
      <c r="F211" s="1489"/>
      <c r="G211" s="1489"/>
      <c r="H211" s="1489"/>
      <c r="I211" s="1489"/>
      <c r="J211" s="1489"/>
      <c r="K211" s="1489"/>
      <c r="L211" s="1489"/>
      <c r="M211" s="1489"/>
      <c r="N211" s="1489"/>
      <c r="O211" s="1489"/>
      <c r="P211" s="1489"/>
    </row>
    <row r="212" spans="1:16">
      <c r="A212" s="1491"/>
      <c r="B212" s="1489"/>
      <c r="C212" s="1489"/>
      <c r="D212" s="1489"/>
      <c r="E212" s="1489"/>
      <c r="F212" s="1489"/>
      <c r="G212" s="1489"/>
      <c r="H212" s="1489"/>
      <c r="I212" s="1489"/>
      <c r="J212" s="1489"/>
      <c r="K212" s="1489"/>
      <c r="L212" s="1489"/>
      <c r="M212" s="1489"/>
      <c r="N212" s="1489"/>
      <c r="O212" s="1489"/>
      <c r="P212" s="1489"/>
    </row>
    <row r="213" spans="1:16">
      <c r="A213" s="1491"/>
      <c r="B213" s="1489"/>
      <c r="C213" s="1489"/>
      <c r="D213" s="1489"/>
      <c r="E213" s="1489"/>
      <c r="F213" s="1489"/>
      <c r="G213" s="1489"/>
      <c r="H213" s="1489"/>
      <c r="I213" s="1489"/>
      <c r="J213" s="1489"/>
      <c r="K213" s="1489"/>
      <c r="L213" s="1489"/>
      <c r="M213" s="1489"/>
      <c r="N213" s="1489"/>
      <c r="O213" s="1489"/>
      <c r="P213" s="1489"/>
    </row>
    <row r="214" spans="1:16">
      <c r="A214" s="1491"/>
      <c r="B214" s="1489"/>
      <c r="C214" s="1489"/>
      <c r="D214" s="1489"/>
      <c r="E214" s="1489"/>
      <c r="F214" s="1489"/>
      <c r="G214" s="1489"/>
      <c r="H214" s="1489"/>
      <c r="I214" s="1489"/>
      <c r="J214" s="1489"/>
      <c r="K214" s="1489"/>
      <c r="L214" s="1489"/>
      <c r="M214" s="1489"/>
      <c r="N214" s="1489"/>
      <c r="O214" s="1489"/>
      <c r="P214" s="1489"/>
    </row>
    <row r="215" spans="1:16">
      <c r="A215" s="1491"/>
      <c r="B215" s="1489"/>
      <c r="C215" s="1489"/>
      <c r="D215" s="1489"/>
      <c r="E215" s="1489"/>
      <c r="F215" s="1489"/>
      <c r="G215" s="1489"/>
      <c r="H215" s="1489"/>
      <c r="I215" s="1489"/>
      <c r="J215" s="1489"/>
      <c r="K215" s="1489"/>
      <c r="L215" s="1489"/>
      <c r="M215" s="1489"/>
      <c r="N215" s="1489"/>
      <c r="O215" s="1489"/>
      <c r="P215" s="1489"/>
    </row>
    <row r="216" spans="1:16">
      <c r="A216" s="1491"/>
      <c r="B216" s="1489"/>
      <c r="C216" s="1489"/>
      <c r="D216" s="1489"/>
      <c r="E216" s="1489"/>
      <c r="F216" s="1489"/>
      <c r="G216" s="1489"/>
      <c r="H216" s="1489"/>
      <c r="I216" s="1489"/>
      <c r="J216" s="1489"/>
      <c r="K216" s="1489"/>
      <c r="L216" s="1489"/>
      <c r="M216" s="1489"/>
      <c r="N216" s="1489"/>
      <c r="O216" s="1489"/>
      <c r="P216" s="1489"/>
    </row>
    <row r="217" spans="1:16">
      <c r="A217" s="1491"/>
      <c r="B217" s="1489"/>
      <c r="C217" s="1489"/>
      <c r="D217" s="1489"/>
      <c r="E217" s="1489"/>
      <c r="F217" s="1489"/>
      <c r="G217" s="1489"/>
      <c r="H217" s="1489"/>
      <c r="I217" s="1489"/>
      <c r="J217" s="1489"/>
      <c r="K217" s="1489"/>
      <c r="L217" s="1489"/>
      <c r="M217" s="1489"/>
      <c r="N217" s="1489"/>
      <c r="O217" s="1489"/>
      <c r="P217" s="1489"/>
    </row>
    <row r="218" spans="1:16">
      <c r="A218" s="1491"/>
      <c r="B218" s="1489"/>
      <c r="C218" s="1489"/>
      <c r="D218" s="1489"/>
      <c r="E218" s="1489"/>
      <c r="F218" s="1489"/>
      <c r="G218" s="1489"/>
      <c r="H218" s="1489"/>
      <c r="I218" s="1489"/>
      <c r="J218" s="1489"/>
      <c r="K218" s="1489"/>
      <c r="L218" s="1489"/>
      <c r="M218" s="1489"/>
      <c r="N218" s="1489"/>
      <c r="O218" s="1489"/>
      <c r="P218" s="1489"/>
    </row>
    <row r="219" spans="1:16">
      <c r="A219" s="1491"/>
      <c r="B219" s="1489"/>
      <c r="C219" s="1489"/>
      <c r="D219" s="1489"/>
      <c r="E219" s="1489"/>
      <c r="F219" s="1489"/>
      <c r="G219" s="1489"/>
      <c r="H219" s="1489"/>
      <c r="I219" s="1489"/>
      <c r="J219" s="1489"/>
      <c r="K219" s="1489"/>
      <c r="L219" s="1489"/>
      <c r="M219" s="1489"/>
      <c r="N219" s="1489"/>
      <c r="O219" s="1489"/>
      <c r="P219" s="1489"/>
    </row>
    <row r="220" spans="1:16">
      <c r="A220" s="1491"/>
      <c r="B220" s="1489"/>
      <c r="C220" s="1489"/>
      <c r="D220" s="1489"/>
      <c r="E220" s="1489"/>
      <c r="F220" s="1489"/>
      <c r="G220" s="1489"/>
      <c r="H220" s="1489"/>
      <c r="I220" s="1489"/>
      <c r="J220" s="1489"/>
      <c r="K220" s="1489"/>
      <c r="L220" s="1489"/>
      <c r="M220" s="1489"/>
      <c r="N220" s="1489"/>
      <c r="O220" s="1489"/>
      <c r="P220" s="1489"/>
    </row>
    <row r="221" spans="1:16">
      <c r="A221" s="1491"/>
      <c r="B221" s="1489"/>
      <c r="C221" s="1489"/>
      <c r="D221" s="1489"/>
      <c r="E221" s="1489"/>
      <c r="F221" s="1489"/>
      <c r="G221" s="1489"/>
      <c r="H221" s="1489"/>
      <c r="I221" s="1489"/>
      <c r="J221" s="1489"/>
      <c r="K221" s="1489"/>
      <c r="L221" s="1489"/>
      <c r="M221" s="1489"/>
      <c r="N221" s="1489"/>
      <c r="O221" s="1489"/>
      <c r="P221" s="1489"/>
    </row>
    <row r="222" spans="1:16">
      <c r="A222" s="1491"/>
      <c r="B222" s="1489"/>
      <c r="C222" s="1489"/>
      <c r="D222" s="1489"/>
      <c r="E222" s="1489"/>
      <c r="F222" s="1489"/>
      <c r="G222" s="1489"/>
      <c r="H222" s="1489"/>
      <c r="I222" s="1489"/>
      <c r="J222" s="1489"/>
      <c r="K222" s="1489"/>
      <c r="L222" s="1489"/>
      <c r="M222" s="1489"/>
      <c r="N222" s="1489"/>
      <c r="O222" s="1489"/>
      <c r="P222" s="1489"/>
    </row>
    <row r="223" spans="1:16">
      <c r="A223" s="1491"/>
      <c r="B223" s="1489"/>
      <c r="C223" s="1489"/>
      <c r="D223" s="1489"/>
      <c r="E223" s="1489"/>
      <c r="F223" s="1489"/>
      <c r="G223" s="1489"/>
      <c r="H223" s="1489"/>
      <c r="I223" s="1489"/>
      <c r="J223" s="1489"/>
      <c r="K223" s="1489"/>
      <c r="L223" s="1489"/>
      <c r="M223" s="1489"/>
      <c r="N223" s="1489"/>
      <c r="O223" s="1489"/>
      <c r="P223" s="1489"/>
    </row>
    <row r="224" spans="1:16">
      <c r="A224" s="1491"/>
      <c r="B224" s="1489"/>
      <c r="C224" s="1489"/>
      <c r="D224" s="1489"/>
      <c r="E224" s="1489"/>
      <c r="F224" s="1489"/>
      <c r="G224" s="1489"/>
      <c r="H224" s="1489"/>
      <c r="I224" s="1489"/>
      <c r="J224" s="1489"/>
      <c r="K224" s="1489"/>
      <c r="L224" s="1489"/>
      <c r="M224" s="1489"/>
      <c r="N224" s="1489"/>
      <c r="O224" s="1489"/>
      <c r="P224" s="1489"/>
    </row>
    <row r="225" spans="1:16">
      <c r="A225" s="1493"/>
      <c r="B225" s="1494"/>
      <c r="C225" s="1494"/>
      <c r="D225" s="1494"/>
      <c r="E225" s="1494"/>
      <c r="F225" s="1494"/>
      <c r="G225" s="1494"/>
      <c r="H225" s="1494"/>
      <c r="I225" s="1494"/>
      <c r="J225" s="1494"/>
      <c r="K225" s="1494"/>
      <c r="L225" s="1494"/>
      <c r="M225" s="1494"/>
      <c r="N225" s="1494"/>
      <c r="O225" s="1494"/>
      <c r="P225" s="1494"/>
    </row>
    <row r="226" spans="1:16">
      <c r="A226" s="1491"/>
      <c r="B226" s="1489"/>
      <c r="C226" s="1489"/>
      <c r="D226" s="1489"/>
      <c r="E226" s="1489"/>
      <c r="F226" s="1489"/>
      <c r="G226" s="1489"/>
      <c r="H226" s="1489"/>
      <c r="I226" s="1489"/>
      <c r="J226" s="1489"/>
      <c r="K226" s="1489"/>
      <c r="L226" s="1489"/>
      <c r="M226" s="1489"/>
      <c r="N226" s="1489"/>
      <c r="O226" s="1489"/>
      <c r="P226" s="1489"/>
    </row>
  </sheetData>
  <customSheetViews>
    <customSheetView guid="{E6D9E970-926F-4F3B-8D36-41EB74ECFD6A}" showGridLines="0" fitToPage="1" topLeftCell="A13">
      <selection activeCell="H24" sqref="H24"/>
      <rowBreaks count="2" manualBreakCount="2">
        <brk id="42" max="16383" man="1"/>
        <brk id="99" max="16383" man="1"/>
      </rowBreaks>
      <pageMargins left="0.5" right="0.5" top="1" bottom="0.5" header="0.5" footer="0.5"/>
      <printOptions horizontalCentered="1"/>
      <pageSetup scale="64" fitToHeight="3" orientation="portrait" r:id="rId1"/>
      <headerFooter alignWithMargins="0"/>
    </customSheetView>
  </customSheetViews>
  <mergeCells count="1">
    <mergeCell ref="A1:H1"/>
  </mergeCells>
  <printOptions horizontalCentered="1"/>
  <pageMargins left="0.5" right="0.5" top="1" bottom="0.5" header="0.5" footer="0.5"/>
  <pageSetup scale="49" fitToHeight="3" orientation="portrait" r:id="rId2"/>
  <headerFooter alignWithMargins="0"/>
  <rowBreaks count="1" manualBreakCount="1">
    <brk id="72" max="1638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2DA0C-D881-4513-A0B8-E5C32F2D4672}">
  <sheetPr>
    <pageSetUpPr fitToPage="1"/>
  </sheetPr>
  <dimension ref="A1:P202"/>
  <sheetViews>
    <sheetView showGridLines="0" view="pageBreakPreview" zoomScale="99" zoomScaleNormal="100" zoomScaleSheetLayoutView="99" workbookViewId="0">
      <selection sqref="A1:XFD1048576"/>
    </sheetView>
  </sheetViews>
  <sheetFormatPr defaultColWidth="9.1796875" defaultRowHeight="12.5"/>
  <cols>
    <col min="1" max="1" width="32.7265625" style="302" customWidth="1"/>
    <col min="2" max="2" width="16" style="302" bestFit="1" customWidth="1"/>
    <col min="3" max="3" width="5.1796875" style="302" customWidth="1"/>
    <col min="4" max="4" width="16" style="302" bestFit="1" customWidth="1"/>
    <col min="5" max="5" width="4.7265625" style="302" customWidth="1"/>
    <col min="6" max="6" width="17" style="302" bestFit="1" customWidth="1"/>
    <col min="7" max="7" width="3.26953125" style="302" customWidth="1"/>
    <col min="8" max="8" width="17" style="302" bestFit="1" customWidth="1"/>
    <col min="9" max="9" width="4.453125" style="302" customWidth="1"/>
    <col min="10" max="10" width="17" style="302" bestFit="1" customWidth="1"/>
    <col min="11" max="11" width="3.7265625" style="302" customWidth="1"/>
    <col min="12" max="12" width="17" style="302" bestFit="1" customWidth="1"/>
    <col min="13" max="13" width="4.1796875" style="302" customWidth="1"/>
    <col min="14" max="14" width="17" style="302" bestFit="1" customWidth="1"/>
    <col min="15" max="15" width="3.54296875" style="302" customWidth="1"/>
    <col min="16" max="16" width="18.7265625" style="302" bestFit="1" customWidth="1"/>
    <col min="17" max="16384" width="9.1796875" style="302"/>
  </cols>
  <sheetData>
    <row r="1" spans="1:16" ht="18">
      <c r="A1" s="1859" t="s">
        <v>1383</v>
      </c>
      <c r="B1" s="1860"/>
      <c r="C1" s="1860"/>
      <c r="D1" s="1860"/>
      <c r="E1" s="1860"/>
      <c r="F1" s="1860"/>
      <c r="G1" s="1860"/>
      <c r="H1" s="1860"/>
    </row>
    <row r="2" spans="1:16" ht="13">
      <c r="H2" s="590"/>
      <c r="I2" s="591"/>
      <c r="J2" s="14"/>
    </row>
    <row r="3" spans="1:16" ht="13">
      <c r="A3" s="592" t="s">
        <v>1004</v>
      </c>
      <c r="H3" s="590"/>
      <c r="I3" s="591"/>
      <c r="J3" s="14"/>
    </row>
    <row r="4" spans="1:16" s="1125" customFormat="1" ht="13">
      <c r="A4" s="591"/>
      <c r="B4" s="591"/>
      <c r="C4" s="591"/>
      <c r="D4" s="591"/>
      <c r="E4" s="591"/>
      <c r="F4" s="591"/>
      <c r="G4" s="591"/>
      <c r="H4" s="591"/>
      <c r="I4" s="591"/>
      <c r="J4" s="219"/>
    </row>
    <row r="5" spans="1:16" s="1125" customFormat="1" ht="14.5">
      <c r="A5"/>
      <c r="B5" s="221" t="s">
        <v>468</v>
      </c>
      <c r="C5" s="221"/>
      <c r="D5" s="221" t="s">
        <v>469</v>
      </c>
      <c r="E5" s="221"/>
      <c r="F5" s="221"/>
      <c r="G5" s="221"/>
      <c r="H5" s="221"/>
      <c r="I5" s="221"/>
      <c r="J5" s="221"/>
      <c r="K5" s="221"/>
      <c r="L5" s="221"/>
      <c r="M5" s="221"/>
      <c r="N5" s="221"/>
      <c r="O5" s="221"/>
      <c r="P5" s="221"/>
    </row>
    <row r="6" spans="1:16" s="1125" customFormat="1" ht="14.5">
      <c r="A6"/>
      <c r="B6" s="221" t="s">
        <v>470</v>
      </c>
      <c r="C6" s="221"/>
      <c r="D6" s="221" t="s">
        <v>471</v>
      </c>
      <c r="E6" s="221"/>
      <c r="F6" s="221" t="s">
        <v>138</v>
      </c>
      <c r="G6" s="221"/>
      <c r="H6" s="221" t="s">
        <v>1005</v>
      </c>
      <c r="J6" s="221" t="s">
        <v>1006</v>
      </c>
      <c r="L6" s="221" t="s">
        <v>1007</v>
      </c>
      <c r="M6" s="221"/>
      <c r="N6" s="221" t="s">
        <v>472</v>
      </c>
      <c r="O6" s="221"/>
      <c r="P6" s="221" t="s">
        <v>42</v>
      </c>
    </row>
    <row r="7" spans="1:16" s="1125" customFormat="1" ht="14.5">
      <c r="A7"/>
      <c r="B7" s="1126"/>
      <c r="C7" s="1126"/>
      <c r="D7" s="1126"/>
      <c r="E7" s="1126"/>
      <c r="F7" s="1126"/>
      <c r="G7" s="1126"/>
      <c r="H7" s="1126"/>
      <c r="I7" s="1126"/>
      <c r="J7" s="1126"/>
      <c r="K7" s="1126"/>
      <c r="L7" s="1126"/>
      <c r="M7" s="1126"/>
      <c r="N7" s="1126"/>
      <c r="O7" s="224"/>
      <c r="P7" s="303"/>
    </row>
    <row r="8" spans="1:16" s="1125" customFormat="1">
      <c r="A8" s="932" t="s">
        <v>1886</v>
      </c>
      <c r="B8" s="932">
        <v>181959.02000000002</v>
      </c>
      <c r="C8" s="932"/>
      <c r="D8" s="932">
        <v>149775.14000000001</v>
      </c>
      <c r="E8" s="932"/>
      <c r="F8" s="932">
        <v>295363.7300000001</v>
      </c>
      <c r="G8" s="932"/>
      <c r="H8" s="932">
        <v>485553.75</v>
      </c>
      <c r="I8" s="932"/>
      <c r="J8" s="932">
        <v>1056011.43</v>
      </c>
      <c r="K8" s="932"/>
      <c r="L8" s="932">
        <v>523202.37</v>
      </c>
      <c r="M8" s="932"/>
      <c r="N8" s="932">
        <v>476216.34999999963</v>
      </c>
      <c r="O8" s="593"/>
      <c r="P8" s="1731">
        <f t="shared" ref="P8:P28" si="0">SUM(B8:O8)</f>
        <v>3168081.79</v>
      </c>
    </row>
    <row r="9" spans="1:16" s="1125" customFormat="1">
      <c r="A9" s="932" t="s">
        <v>1887</v>
      </c>
      <c r="B9" s="932">
        <v>1079200.1499999999</v>
      </c>
      <c r="C9" s="932"/>
      <c r="D9" s="932">
        <v>898023.57</v>
      </c>
      <c r="E9" s="932"/>
      <c r="F9" s="932">
        <v>1762931.66</v>
      </c>
      <c r="G9" s="932"/>
      <c r="H9" s="932">
        <v>2864329.3200000003</v>
      </c>
      <c r="I9" s="932"/>
      <c r="J9" s="932">
        <v>6297137.4300000006</v>
      </c>
      <c r="K9" s="932"/>
      <c r="L9" s="932">
        <v>2892667.5799999996</v>
      </c>
      <c r="M9" s="932"/>
      <c r="N9" s="932">
        <v>2311291.4299999997</v>
      </c>
      <c r="O9" s="593"/>
      <c r="P9" s="1731">
        <f t="shared" si="0"/>
        <v>18105581.140000001</v>
      </c>
    </row>
    <row r="10" spans="1:16" s="1125" customFormat="1">
      <c r="A10" s="932" t="s">
        <v>1888</v>
      </c>
      <c r="B10" s="932">
        <v>192329.68</v>
      </c>
      <c r="C10" s="932"/>
      <c r="D10" s="932">
        <v>361699.28</v>
      </c>
      <c r="E10" s="932"/>
      <c r="F10" s="932">
        <v>330802.15999999997</v>
      </c>
      <c r="G10" s="932"/>
      <c r="H10" s="932">
        <v>537153.53</v>
      </c>
      <c r="I10" s="932"/>
      <c r="J10" s="932">
        <v>1260731.8300000003</v>
      </c>
      <c r="K10" s="932"/>
      <c r="L10" s="932">
        <v>544745.83000000007</v>
      </c>
      <c r="M10" s="932"/>
      <c r="N10" s="932">
        <v>37577666.210000001</v>
      </c>
      <c r="O10" s="593"/>
      <c r="P10" s="1731">
        <f t="shared" si="0"/>
        <v>40805128.520000003</v>
      </c>
    </row>
    <row r="11" spans="1:16" s="1125" customFormat="1">
      <c r="A11" s="932" t="s">
        <v>1889</v>
      </c>
      <c r="B11" s="932">
        <v>461605.3</v>
      </c>
      <c r="C11" s="932"/>
      <c r="D11" s="932">
        <v>385469.25</v>
      </c>
      <c r="E11" s="932"/>
      <c r="F11" s="932">
        <v>817766.58000000007</v>
      </c>
      <c r="G11" s="932"/>
      <c r="H11" s="932">
        <v>1337694.6000000001</v>
      </c>
      <c r="I11" s="932"/>
      <c r="J11" s="932">
        <v>2883515.52</v>
      </c>
      <c r="K11" s="932"/>
      <c r="L11" s="932">
        <v>1349333.78</v>
      </c>
      <c r="M11" s="932"/>
      <c r="N11" s="932">
        <v>2155343.5700000012</v>
      </c>
      <c r="O11" s="593"/>
      <c r="P11" s="1731">
        <f t="shared" si="0"/>
        <v>9390728.6000000015</v>
      </c>
    </row>
    <row r="12" spans="1:16" s="1125" customFormat="1">
      <c r="A12" s="932" t="s">
        <v>1890</v>
      </c>
      <c r="B12" s="932">
        <v>987250.25</v>
      </c>
      <c r="C12" s="932"/>
      <c r="D12" s="932">
        <v>457001.76</v>
      </c>
      <c r="E12" s="932"/>
      <c r="F12" s="932">
        <v>897513.45</v>
      </c>
      <c r="G12" s="932"/>
      <c r="H12" s="932">
        <v>3177761.1899999995</v>
      </c>
      <c r="I12" s="932"/>
      <c r="J12" s="932">
        <v>3058624.27</v>
      </c>
      <c r="K12" s="932"/>
      <c r="L12" s="932">
        <v>2241212.4400000004</v>
      </c>
      <c r="M12" s="932"/>
      <c r="N12" s="932">
        <v>904845.38000000082</v>
      </c>
      <c r="O12" s="593"/>
      <c r="P12" s="1731">
        <f t="shared" si="0"/>
        <v>11724208.74</v>
      </c>
    </row>
    <row r="13" spans="1:16" s="1125" customFormat="1">
      <c r="A13" s="932" t="s">
        <v>1891</v>
      </c>
      <c r="B13" s="932">
        <v>695228.21</v>
      </c>
      <c r="C13" s="932"/>
      <c r="D13" s="932">
        <v>577410.85</v>
      </c>
      <c r="E13" s="932"/>
      <c r="F13" s="932">
        <v>1134453</v>
      </c>
      <c r="G13" s="932"/>
      <c r="H13" s="932">
        <v>1843612.91</v>
      </c>
      <c r="I13" s="932"/>
      <c r="J13" s="932">
        <v>3857769.8899999997</v>
      </c>
      <c r="K13" s="932"/>
      <c r="L13" s="932">
        <v>1857546.72</v>
      </c>
      <c r="M13" s="932"/>
      <c r="N13" s="932">
        <v>125168.04000000283</v>
      </c>
      <c r="O13" s="593"/>
      <c r="P13" s="1731">
        <f t="shared" si="0"/>
        <v>10091189.620000003</v>
      </c>
    </row>
    <row r="14" spans="1:16" s="1125" customFormat="1">
      <c r="A14" s="932" t="s">
        <v>1892</v>
      </c>
      <c r="B14" s="932">
        <v>3553393.2199999997</v>
      </c>
      <c r="C14" s="932"/>
      <c r="D14" s="932">
        <v>2931298.67</v>
      </c>
      <c r="E14" s="932"/>
      <c r="F14" s="932">
        <v>5786775.3600000003</v>
      </c>
      <c r="G14" s="932"/>
      <c r="H14" s="932">
        <v>9465640.9199999999</v>
      </c>
      <c r="I14" s="932"/>
      <c r="J14" s="932">
        <v>19647052.779999997</v>
      </c>
      <c r="K14" s="932"/>
      <c r="L14" s="932">
        <v>9524948.290000001</v>
      </c>
      <c r="M14" s="932"/>
      <c r="N14" s="932">
        <v>3399129.1700000018</v>
      </c>
      <c r="O14" s="593"/>
      <c r="P14" s="1731">
        <f t="shared" si="0"/>
        <v>54308238.410000004</v>
      </c>
    </row>
    <row r="15" spans="1:16" s="1125" customFormat="1">
      <c r="A15" s="932" t="s">
        <v>1893</v>
      </c>
      <c r="B15" s="932">
        <v>8474248.2699999996</v>
      </c>
      <c r="C15" s="932"/>
      <c r="D15" s="932">
        <v>5003991.5299999993</v>
      </c>
      <c r="E15" s="932"/>
      <c r="F15" s="932">
        <v>11023775.810000001</v>
      </c>
      <c r="G15" s="932"/>
      <c r="H15" s="932">
        <v>17891193.940000001</v>
      </c>
      <c r="I15" s="932"/>
      <c r="J15" s="932">
        <v>24868369.209999997</v>
      </c>
      <c r="K15" s="932"/>
      <c r="L15" s="932">
        <v>19090741.550000001</v>
      </c>
      <c r="M15" s="932"/>
      <c r="N15" s="932">
        <v>2866047.3900000304</v>
      </c>
      <c r="O15" s="593"/>
      <c r="P15" s="1731">
        <f t="shared" si="0"/>
        <v>89218367.700000018</v>
      </c>
    </row>
    <row r="16" spans="1:16" s="1125" customFormat="1">
      <c r="A16" s="932" t="s">
        <v>1894</v>
      </c>
      <c r="B16" s="932">
        <v>0</v>
      </c>
      <c r="C16" s="932"/>
      <c r="D16" s="932">
        <v>0</v>
      </c>
      <c r="E16" s="932"/>
      <c r="F16" s="932">
        <v>0</v>
      </c>
      <c r="G16" s="932"/>
      <c r="H16" s="932">
        <v>0</v>
      </c>
      <c r="I16" s="932"/>
      <c r="J16" s="932">
        <v>0</v>
      </c>
      <c r="K16" s="932"/>
      <c r="L16" s="932">
        <v>0</v>
      </c>
      <c r="M16" s="932"/>
      <c r="N16" s="932">
        <v>6037.23</v>
      </c>
      <c r="O16" s="593"/>
      <c r="P16" s="1731">
        <f t="shared" si="0"/>
        <v>6037.23</v>
      </c>
    </row>
    <row r="17" spans="1:16" s="1125" customFormat="1">
      <c r="A17" s="932" t="s">
        <v>1895</v>
      </c>
      <c r="B17" s="932">
        <v>8815148.2400000002</v>
      </c>
      <c r="C17" s="932"/>
      <c r="D17" s="932">
        <v>7445764.5</v>
      </c>
      <c r="E17" s="932"/>
      <c r="F17" s="932">
        <v>14917992.620000003</v>
      </c>
      <c r="G17" s="932"/>
      <c r="H17" s="932">
        <v>22316812.039999999</v>
      </c>
      <c r="I17" s="932"/>
      <c r="J17" s="932">
        <v>39983820.789999999</v>
      </c>
      <c r="K17" s="932"/>
      <c r="L17" s="932">
        <v>20603842.330000002</v>
      </c>
      <c r="M17" s="932"/>
      <c r="N17" s="932">
        <v>20017585.969999984</v>
      </c>
      <c r="O17" s="593"/>
      <c r="P17" s="1731">
        <f t="shared" si="0"/>
        <v>134100966.48999998</v>
      </c>
    </row>
    <row r="18" spans="1:16" s="1125" customFormat="1">
      <c r="A18" s="932" t="s">
        <v>1896</v>
      </c>
      <c r="B18" s="932">
        <v>484431.35</v>
      </c>
      <c r="C18" s="932"/>
      <c r="D18" s="932">
        <v>454633.61999999988</v>
      </c>
      <c r="E18" s="932"/>
      <c r="F18" s="932">
        <v>707454.24000000011</v>
      </c>
      <c r="G18" s="932"/>
      <c r="H18" s="932">
        <v>1332138.8700000001</v>
      </c>
      <c r="I18" s="932"/>
      <c r="J18" s="932">
        <v>2423784.7400000002</v>
      </c>
      <c r="K18" s="932"/>
      <c r="L18" s="932">
        <v>1239830.4300000002</v>
      </c>
      <c r="M18" s="932"/>
      <c r="N18" s="932">
        <v>1790420.4399999864</v>
      </c>
      <c r="O18" s="593"/>
      <c r="P18" s="1731">
        <f t="shared" si="0"/>
        <v>8432693.6899999864</v>
      </c>
    </row>
    <row r="19" spans="1:16" s="1125" customFormat="1">
      <c r="A19" s="932" t="s">
        <v>1897</v>
      </c>
      <c r="B19" s="932">
        <v>2250269.8199999998</v>
      </c>
      <c r="C19" s="932"/>
      <c r="D19" s="932">
        <v>1877943.09</v>
      </c>
      <c r="E19" s="932"/>
      <c r="F19" s="932">
        <v>3686813.1599999997</v>
      </c>
      <c r="G19" s="932"/>
      <c r="H19" s="932">
        <v>5887238.3399999989</v>
      </c>
      <c r="I19" s="932"/>
      <c r="J19" s="932">
        <v>16578498.960000001</v>
      </c>
      <c r="K19" s="932"/>
      <c r="L19" s="932">
        <v>5927719.4800000004</v>
      </c>
      <c r="M19" s="932"/>
      <c r="N19" s="932">
        <v>5969127.2799999863</v>
      </c>
      <c r="O19" s="593"/>
      <c r="P19" s="1731">
        <f t="shared" si="0"/>
        <v>42177610.129999988</v>
      </c>
    </row>
    <row r="20" spans="1:16" s="1125" customFormat="1">
      <c r="A20" s="932" t="s">
        <v>1898</v>
      </c>
      <c r="B20" s="932">
        <v>2913968.2199999997</v>
      </c>
      <c r="C20" s="932"/>
      <c r="D20" s="932">
        <v>2038434.8699999999</v>
      </c>
      <c r="E20" s="932"/>
      <c r="F20" s="932">
        <v>4420980.1100000003</v>
      </c>
      <c r="G20" s="932"/>
      <c r="H20" s="932">
        <v>9695196.7000000011</v>
      </c>
      <c r="I20" s="932"/>
      <c r="J20" s="932">
        <v>19872890.979999997</v>
      </c>
      <c r="K20" s="932"/>
      <c r="L20" s="932">
        <v>8893750.290000001</v>
      </c>
      <c r="M20" s="932"/>
      <c r="N20" s="932">
        <v>6874385.5600000024</v>
      </c>
      <c r="O20" s="593"/>
      <c r="P20" s="1731">
        <f t="shared" si="0"/>
        <v>54709606.729999997</v>
      </c>
    </row>
    <row r="21" spans="1:16" s="1125" customFormat="1">
      <c r="A21" s="932" t="s">
        <v>1899</v>
      </c>
      <c r="B21" s="932">
        <v>81536584.360000014</v>
      </c>
      <c r="C21" s="932"/>
      <c r="D21" s="932">
        <v>84098053.700000003</v>
      </c>
      <c r="E21" s="932"/>
      <c r="F21" s="932">
        <v>117082448.20999996</v>
      </c>
      <c r="G21" s="932"/>
      <c r="H21" s="932">
        <v>239417572.94</v>
      </c>
      <c r="I21" s="932"/>
      <c r="J21" s="932">
        <v>465254621</v>
      </c>
      <c r="K21" s="932"/>
      <c r="L21" s="932">
        <v>227599697.77000001</v>
      </c>
      <c r="M21" s="932"/>
      <c r="N21" s="932">
        <v>52883696.289999962</v>
      </c>
      <c r="O21" s="593"/>
      <c r="P21" s="1731">
        <f t="shared" si="0"/>
        <v>1267872674.27</v>
      </c>
    </row>
    <row r="22" spans="1:16" s="1125" customFormat="1">
      <c r="A22" s="932" t="s">
        <v>1900</v>
      </c>
      <c r="B22" s="932">
        <v>237706.90999999997</v>
      </c>
      <c r="C22" s="932"/>
      <c r="D22" s="932">
        <v>198207.61000000004</v>
      </c>
      <c r="E22" s="932"/>
      <c r="F22" s="932">
        <v>389448.55</v>
      </c>
      <c r="G22" s="932"/>
      <c r="H22" s="932">
        <v>631648.03</v>
      </c>
      <c r="I22" s="932"/>
      <c r="J22" s="932">
        <v>1340051.3099999998</v>
      </c>
      <c r="K22" s="932"/>
      <c r="L22" s="932">
        <v>637290.69999999995</v>
      </c>
      <c r="M22" s="932"/>
      <c r="N22" s="932">
        <v>368632.85999999987</v>
      </c>
      <c r="O22" s="593"/>
      <c r="P22" s="1731">
        <f t="shared" si="0"/>
        <v>3802985.97</v>
      </c>
    </row>
    <row r="23" spans="1:16" s="1125" customFormat="1">
      <c r="A23" s="932" t="s">
        <v>1901</v>
      </c>
      <c r="B23" s="932">
        <v>1630322.29</v>
      </c>
      <c r="C23" s="932"/>
      <c r="D23" s="932">
        <v>1414406.68</v>
      </c>
      <c r="E23" s="932"/>
      <c r="F23" s="932">
        <v>2540135.13</v>
      </c>
      <c r="G23" s="932"/>
      <c r="H23" s="932">
        <v>3366248.7700000005</v>
      </c>
      <c r="I23" s="932"/>
      <c r="J23" s="932">
        <v>6367977.5500000007</v>
      </c>
      <c r="K23" s="932"/>
      <c r="L23" s="932">
        <v>3875824.1100000003</v>
      </c>
      <c r="M23" s="932"/>
      <c r="N23" s="932">
        <v>1980372.7299999967</v>
      </c>
      <c r="O23" s="593"/>
      <c r="P23" s="1731">
        <f t="shared" si="0"/>
        <v>21175287.259999998</v>
      </c>
    </row>
    <row r="24" spans="1:16" s="1125" customFormat="1">
      <c r="A24" s="932" t="s">
        <v>1902</v>
      </c>
      <c r="B24" s="932">
        <v>499757.94999999995</v>
      </c>
      <c r="C24" s="932"/>
      <c r="D24" s="932">
        <v>474624.45</v>
      </c>
      <c r="E24" s="932"/>
      <c r="F24" s="932">
        <v>658463.57999999996</v>
      </c>
      <c r="G24" s="932"/>
      <c r="H24" s="932">
        <v>1007937.96</v>
      </c>
      <c r="I24" s="932"/>
      <c r="J24" s="932">
        <v>3861619</v>
      </c>
      <c r="K24" s="932"/>
      <c r="L24" s="932">
        <v>1074069.67</v>
      </c>
      <c r="M24" s="932"/>
      <c r="N24" s="932">
        <v>650995.11000000127</v>
      </c>
      <c r="O24" s="593"/>
      <c r="P24" s="1731">
        <f t="shared" si="0"/>
        <v>8227467.7200000007</v>
      </c>
    </row>
    <row r="25" spans="1:16" s="1125" customFormat="1">
      <c r="A25" s="932" t="s">
        <v>1903</v>
      </c>
      <c r="B25" s="932">
        <v>299949.67</v>
      </c>
      <c r="C25" s="932"/>
      <c r="D25" s="932">
        <v>252567.52000000002</v>
      </c>
      <c r="E25" s="932"/>
      <c r="F25" s="932">
        <v>493088.18000000005</v>
      </c>
      <c r="G25" s="932"/>
      <c r="H25" s="932">
        <v>802030.97000000009</v>
      </c>
      <c r="I25" s="932"/>
      <c r="J25" s="932">
        <v>1714231.2599999998</v>
      </c>
      <c r="K25" s="932"/>
      <c r="L25" s="932">
        <v>809410.40999999992</v>
      </c>
      <c r="M25" s="932"/>
      <c r="N25" s="932">
        <v>933131.01000000071</v>
      </c>
      <c r="O25" s="593"/>
      <c r="P25" s="1731">
        <f t="shared" si="0"/>
        <v>5304409.0200000005</v>
      </c>
    </row>
    <row r="26" spans="1:16" s="1125" customFormat="1">
      <c r="A26" s="932" t="s">
        <v>1904</v>
      </c>
      <c r="B26" s="932">
        <v>1605035.8000000003</v>
      </c>
      <c r="C26" s="932"/>
      <c r="D26" s="932">
        <v>1591400.6</v>
      </c>
      <c r="E26" s="932"/>
      <c r="F26" s="932">
        <v>3512815.84</v>
      </c>
      <c r="G26" s="932"/>
      <c r="H26" s="932">
        <v>4102490.2700000009</v>
      </c>
      <c r="I26" s="932"/>
      <c r="J26" s="932">
        <v>11894095.239999998</v>
      </c>
      <c r="K26" s="932"/>
      <c r="L26" s="932">
        <v>5141473.07</v>
      </c>
      <c r="M26" s="932"/>
      <c r="N26" s="932">
        <v>4828643.0799999945</v>
      </c>
      <c r="O26" s="593"/>
      <c r="P26" s="1731">
        <f t="shared" si="0"/>
        <v>32675953.899999995</v>
      </c>
    </row>
    <row r="27" spans="1:16" s="1125" customFormat="1">
      <c r="A27" s="932" t="s">
        <v>1905</v>
      </c>
      <c r="B27" s="932">
        <v>-92.58</v>
      </c>
      <c r="C27" s="932"/>
      <c r="D27" s="932">
        <v>-82.73</v>
      </c>
      <c r="E27" s="932"/>
      <c r="F27" s="932">
        <v>-156.46</v>
      </c>
      <c r="G27" s="932"/>
      <c r="H27" s="932">
        <v>-251.64</v>
      </c>
      <c r="I27" s="932"/>
      <c r="J27" s="932">
        <v>-267.25000000000006</v>
      </c>
      <c r="K27" s="932"/>
      <c r="L27" s="932">
        <v>-255.41</v>
      </c>
      <c r="M27" s="932"/>
      <c r="N27" s="932">
        <v>-38.819999999999936</v>
      </c>
      <c r="O27" s="593"/>
      <c r="P27" s="1731">
        <f t="shared" si="0"/>
        <v>-1144.8900000000001</v>
      </c>
    </row>
    <row r="28" spans="1:16" s="1125" customFormat="1" ht="14">
      <c r="A28" s="266"/>
      <c r="B28" s="1126"/>
      <c r="C28" s="1126"/>
      <c r="D28" s="1126"/>
      <c r="E28" s="1126"/>
      <c r="F28" s="1126"/>
      <c r="G28" s="1126"/>
      <c r="H28" s="1126"/>
      <c r="I28" s="1126"/>
      <c r="J28" s="1126"/>
      <c r="K28" s="1126"/>
      <c r="L28" s="1126"/>
      <c r="M28" s="1126"/>
      <c r="N28" s="1126"/>
      <c r="O28" s="593"/>
      <c r="P28" s="1731">
        <f t="shared" si="0"/>
        <v>0</v>
      </c>
    </row>
    <row r="29" spans="1:16" s="1125" customFormat="1" ht="14.5" thickBot="1">
      <c r="A29" s="850" t="s">
        <v>42</v>
      </c>
      <c r="B29" s="235">
        <f>SUM(B7:B28)</f>
        <v>115898296.13000003</v>
      </c>
      <c r="C29" s="235"/>
      <c r="D29" s="235">
        <f t="shared" ref="D29:P29" si="1">SUM(D7:D28)</f>
        <v>110610623.95999999</v>
      </c>
      <c r="E29" s="235"/>
      <c r="F29" s="235">
        <f t="shared" si="1"/>
        <v>170458864.91</v>
      </c>
      <c r="G29" s="235"/>
      <c r="H29" s="235">
        <f t="shared" si="1"/>
        <v>326162003.40999997</v>
      </c>
      <c r="I29" s="235"/>
      <c r="J29" s="235">
        <f t="shared" si="1"/>
        <v>632220535.93999982</v>
      </c>
      <c r="K29" s="235"/>
      <c r="L29" s="235">
        <f t="shared" si="1"/>
        <v>313827051.41000003</v>
      </c>
      <c r="M29" s="235"/>
      <c r="N29" s="235">
        <f t="shared" si="1"/>
        <v>146118696.27999994</v>
      </c>
      <c r="O29" s="235"/>
      <c r="P29" s="235">
        <f t="shared" si="1"/>
        <v>1815296072.04</v>
      </c>
    </row>
    <row r="30" spans="1:16" s="1125" customFormat="1" ht="14.5" thickTop="1">
      <c r="A30" s="266"/>
      <c r="B30" s="1127"/>
      <c r="C30" s="1128"/>
      <c r="D30" s="1127"/>
      <c r="E30" s="1129"/>
      <c r="F30" s="1127"/>
      <c r="G30" s="1129"/>
      <c r="H30" s="1127"/>
      <c r="I30" s="304"/>
      <c r="J30" s="1127"/>
      <c r="K30" s="304"/>
      <c r="L30" s="1127"/>
      <c r="M30" s="304"/>
      <c r="N30" s="1127"/>
      <c r="P30" s="1130"/>
    </row>
    <row r="31" spans="1:16" s="266" customFormat="1" ht="14"/>
    <row r="32" spans="1:16" s="266" customFormat="1" ht="14"/>
    <row r="33" spans="1:12" s="1125" customFormat="1" ht="14">
      <c r="A33" s="227"/>
      <c r="B33" s="1131"/>
      <c r="C33" s="1132"/>
      <c r="D33" s="1131"/>
      <c r="E33" s="1131"/>
      <c r="F33" s="1131"/>
      <c r="G33" s="1131"/>
      <c r="H33" s="1126"/>
      <c r="I33" s="594"/>
      <c r="J33" s="595"/>
      <c r="K33" s="229"/>
    </row>
    <row r="34" spans="1:12" s="1125" customFormat="1" ht="14">
      <c r="A34" s="227"/>
      <c r="B34" s="1126"/>
      <c r="C34" s="1132"/>
      <c r="D34" s="1126"/>
      <c r="E34" s="1131"/>
      <c r="F34" s="1126"/>
      <c r="G34" s="1131"/>
      <c r="H34" s="1126"/>
      <c r="I34" s="594"/>
      <c r="J34" s="595"/>
      <c r="K34" s="229"/>
    </row>
    <row r="35" spans="1:12" s="1125" customFormat="1" ht="14">
      <c r="A35" s="227"/>
      <c r="B35" s="1131"/>
      <c r="C35" s="1132"/>
      <c r="D35" s="1131"/>
      <c r="E35" s="1131"/>
      <c r="F35" s="1131"/>
      <c r="G35" s="1131"/>
      <c r="H35" s="1126"/>
      <c r="I35" s="594"/>
      <c r="J35" s="595"/>
      <c r="K35" s="229"/>
    </row>
    <row r="36" spans="1:12" s="1125" customFormat="1" ht="14">
      <c r="A36" s="227"/>
      <c r="B36" s="1126"/>
      <c r="C36" s="1132"/>
      <c r="D36" s="1126"/>
      <c r="E36" s="1131"/>
      <c r="F36" s="1126"/>
      <c r="G36" s="1131"/>
      <c r="H36" s="1126"/>
      <c r="I36" s="594"/>
      <c r="J36" s="595"/>
      <c r="K36" s="229"/>
    </row>
    <row r="37" spans="1:12" s="1125" customFormat="1" ht="14">
      <c r="A37" s="227"/>
      <c r="B37" s="1131"/>
      <c r="C37" s="1132"/>
      <c r="D37" s="1131"/>
      <c r="E37" s="1131"/>
      <c r="F37" s="1131"/>
      <c r="G37" s="1131"/>
      <c r="H37" s="1126"/>
      <c r="I37" s="594"/>
      <c r="J37" s="595"/>
      <c r="K37" s="229"/>
    </row>
    <row r="38" spans="1:12" s="1125" customFormat="1" ht="14">
      <c r="A38" s="227"/>
      <c r="B38" s="1126"/>
      <c r="C38" s="1132"/>
      <c r="D38" s="1126"/>
      <c r="E38" s="1131"/>
      <c r="F38" s="1126"/>
      <c r="G38" s="1131"/>
      <c r="H38" s="1126"/>
      <c r="I38" s="594"/>
      <c r="J38" s="595"/>
      <c r="K38" s="229"/>
    </row>
    <row r="39" spans="1:12" s="1125" customFormat="1" ht="14">
      <c r="A39" s="227"/>
      <c r="B39" s="1131"/>
      <c r="C39" s="1132"/>
      <c r="D39" s="1131"/>
      <c r="E39" s="1131"/>
      <c r="F39" s="1131"/>
      <c r="G39" s="1131"/>
      <c r="H39" s="1126"/>
      <c r="I39" s="594"/>
      <c r="J39" s="595"/>
      <c r="K39" s="229"/>
    </row>
    <row r="40" spans="1:12" s="1125" customFormat="1" ht="14">
      <c r="A40" s="227"/>
      <c r="B40" s="1126"/>
      <c r="C40" s="1132"/>
      <c r="D40" s="1126"/>
      <c r="E40" s="1131"/>
      <c r="F40" s="1126"/>
      <c r="G40" s="1131"/>
      <c r="H40" s="1126"/>
      <c r="I40" s="594"/>
      <c r="J40" s="595"/>
      <c r="K40" s="229"/>
    </row>
    <row r="41" spans="1:12" s="1125" customFormat="1" ht="14">
      <c r="A41" s="227"/>
      <c r="B41" s="1131"/>
      <c r="C41" s="1132"/>
      <c r="D41" s="1131"/>
      <c r="E41" s="1131"/>
      <c r="F41" s="1131"/>
      <c r="G41" s="1131"/>
      <c r="H41" s="1133"/>
      <c r="I41" s="594"/>
      <c r="J41" s="595"/>
      <c r="K41" s="229"/>
    </row>
    <row r="42" spans="1:12" s="1125" customFormat="1" ht="14">
      <c r="A42" s="266"/>
      <c r="B42" s="266"/>
      <c r="C42" s="266"/>
      <c r="D42" s="266"/>
      <c r="E42" s="266"/>
      <c r="F42" s="266"/>
      <c r="G42" s="266"/>
      <c r="H42" s="266"/>
      <c r="I42" s="266"/>
      <c r="J42" s="266"/>
      <c r="K42" s="266"/>
      <c r="L42" s="266"/>
    </row>
    <row r="43" spans="1:12" s="1125" customFormat="1" ht="14">
      <c r="A43" s="266"/>
      <c r="B43" s="266"/>
      <c r="C43" s="266"/>
      <c r="D43" s="266"/>
      <c r="E43" s="266"/>
      <c r="F43" s="266"/>
      <c r="G43" s="266"/>
      <c r="H43" s="266"/>
      <c r="I43" s="266"/>
      <c r="J43" s="266"/>
      <c r="K43" s="266"/>
      <c r="L43" s="266"/>
    </row>
    <row r="44" spans="1:12" s="1125" customFormat="1" ht="14">
      <c r="A44" s="266"/>
      <c r="B44" s="266"/>
      <c r="C44" s="266"/>
      <c r="D44" s="266"/>
      <c r="E44" s="266"/>
      <c r="F44" s="266"/>
      <c r="G44" s="266"/>
      <c r="H44" s="266"/>
      <c r="I44" s="266"/>
      <c r="J44" s="266"/>
      <c r="K44" s="266"/>
      <c r="L44" s="266"/>
    </row>
    <row r="45" spans="1:12" s="1125" customFormat="1" ht="14">
      <c r="A45" s="266"/>
      <c r="B45" s="266"/>
      <c r="C45" s="266"/>
      <c r="D45" s="266"/>
      <c r="E45" s="266"/>
      <c r="F45" s="266"/>
      <c r="G45" s="266"/>
      <c r="H45" s="266"/>
      <c r="I45" s="266"/>
      <c r="J45" s="266"/>
      <c r="K45" s="266"/>
      <c r="L45" s="266"/>
    </row>
    <row r="46" spans="1:12" s="1125" customFormat="1">
      <c r="B46" s="1134"/>
      <c r="C46" s="1134"/>
      <c r="D46" s="1134"/>
      <c r="E46" s="1134"/>
      <c r="F46" s="1134"/>
      <c r="G46" s="1134"/>
      <c r="H46" s="1135"/>
      <c r="I46" s="1135"/>
      <c r="J46" s="1134"/>
    </row>
    <row r="47" spans="1:12" s="1125" customFormat="1">
      <c r="B47" s="1134"/>
      <c r="C47" s="1134"/>
      <c r="D47" s="1134"/>
      <c r="E47" s="1134"/>
      <c r="F47" s="1134"/>
      <c r="G47" s="1134"/>
      <c r="H47" s="1135"/>
      <c r="I47" s="1135"/>
      <c r="J47" s="1134"/>
    </row>
    <row r="48" spans="1:12" s="1125" customFormat="1">
      <c r="B48" s="1134"/>
      <c r="C48" s="1134"/>
      <c r="D48" s="1134"/>
      <c r="E48" s="1134"/>
      <c r="F48" s="1134"/>
      <c r="G48" s="1134"/>
      <c r="H48" s="1135"/>
      <c r="I48" s="1135"/>
      <c r="J48" s="1134"/>
    </row>
    <row r="49" spans="2:10" s="1125" customFormat="1">
      <c r="B49" s="1134"/>
      <c r="C49" s="1134"/>
      <c r="D49" s="1134"/>
      <c r="E49" s="1134"/>
      <c r="F49" s="1134"/>
      <c r="G49" s="1134"/>
      <c r="H49" s="1135"/>
      <c r="I49" s="1135"/>
      <c r="J49" s="1134"/>
    </row>
    <row r="50" spans="2:10" s="1125" customFormat="1">
      <c r="B50" s="1134"/>
      <c r="C50" s="1134"/>
      <c r="D50" s="1134"/>
      <c r="E50" s="1134"/>
      <c r="F50" s="1134"/>
      <c r="G50" s="1134"/>
      <c r="H50" s="1135"/>
      <c r="I50" s="1135"/>
      <c r="J50" s="1134"/>
    </row>
    <row r="51" spans="2:10" s="1125" customFormat="1">
      <c r="B51" s="1134"/>
      <c r="C51" s="1134"/>
      <c r="D51" s="1134"/>
      <c r="E51" s="1134"/>
      <c r="F51" s="1134"/>
      <c r="G51" s="1134"/>
      <c r="H51" s="1135"/>
      <c r="I51" s="1135"/>
      <c r="J51" s="1134"/>
    </row>
    <row r="52" spans="2:10" s="1125" customFormat="1">
      <c r="B52" s="1134"/>
      <c r="C52" s="1134"/>
      <c r="D52" s="1134"/>
      <c r="E52" s="1134"/>
      <c r="F52" s="1134"/>
      <c r="G52" s="1134"/>
      <c r="H52" s="1135"/>
      <c r="I52" s="1135"/>
      <c r="J52" s="1134"/>
    </row>
    <row r="53" spans="2:10" s="1125" customFormat="1">
      <c r="B53" s="1134"/>
      <c r="C53" s="1134"/>
      <c r="D53" s="1134"/>
      <c r="E53" s="1134"/>
      <c r="F53" s="1134"/>
      <c r="G53" s="1134"/>
      <c r="H53" s="1135"/>
      <c r="I53" s="1135"/>
      <c r="J53" s="1134"/>
    </row>
    <row r="54" spans="2:10" s="1125" customFormat="1">
      <c r="B54" s="1134"/>
      <c r="C54" s="1134"/>
      <c r="D54" s="1134"/>
      <c r="E54" s="1134"/>
      <c r="F54" s="1134"/>
      <c r="G54" s="1134"/>
      <c r="H54" s="1135"/>
      <c r="I54" s="1135"/>
      <c r="J54" s="1134"/>
    </row>
    <row r="55" spans="2:10" s="1125" customFormat="1">
      <c r="B55" s="1134"/>
      <c r="C55" s="1134"/>
      <c r="D55" s="1134"/>
      <c r="E55" s="1134"/>
      <c r="F55" s="1134"/>
      <c r="G55" s="1134"/>
      <c r="H55" s="1135"/>
      <c r="I55" s="1135"/>
      <c r="J55" s="1134"/>
    </row>
    <row r="56" spans="2:10" s="1125" customFormat="1">
      <c r="B56" s="1134"/>
      <c r="C56" s="1134"/>
      <c r="D56" s="1134"/>
      <c r="E56" s="1134"/>
      <c r="F56" s="1134"/>
      <c r="G56" s="1134"/>
      <c r="H56" s="1135"/>
      <c r="I56" s="1135"/>
      <c r="J56" s="1134"/>
    </row>
    <row r="57" spans="2:10" s="1125" customFormat="1">
      <c r="B57" s="1134"/>
      <c r="C57" s="1134"/>
      <c r="D57" s="1134"/>
      <c r="E57" s="1134"/>
      <c r="F57" s="1134"/>
      <c r="G57" s="1134"/>
      <c r="H57" s="1135"/>
      <c r="I57" s="1135"/>
      <c r="J57" s="1134"/>
    </row>
    <row r="58" spans="2:10" s="1125" customFormat="1">
      <c r="B58" s="1134"/>
      <c r="C58" s="1134"/>
      <c r="D58" s="1134"/>
      <c r="E58" s="1134"/>
      <c r="F58" s="1134"/>
      <c r="G58" s="1134"/>
      <c r="H58" s="1135"/>
      <c r="I58" s="1135"/>
      <c r="J58" s="1134"/>
    </row>
    <row r="59" spans="2:10" s="1125" customFormat="1">
      <c r="B59" s="1134"/>
      <c r="C59" s="1134"/>
      <c r="D59" s="1134"/>
      <c r="E59" s="1134"/>
      <c r="F59" s="1134"/>
      <c r="G59" s="1134"/>
      <c r="H59" s="1135"/>
      <c r="I59" s="1135"/>
      <c r="J59" s="1134"/>
    </row>
    <row r="60" spans="2:10" s="1125" customFormat="1">
      <c r="B60" s="1134"/>
      <c r="C60" s="1134"/>
      <c r="D60" s="1134"/>
      <c r="E60" s="1134"/>
      <c r="F60" s="1134"/>
      <c r="G60" s="1134"/>
      <c r="H60" s="1135"/>
      <c r="I60" s="1135"/>
      <c r="J60" s="1134"/>
    </row>
    <row r="61" spans="2:10" s="1125" customFormat="1">
      <c r="B61" s="1134"/>
      <c r="C61" s="1134"/>
      <c r="D61" s="1134"/>
      <c r="E61" s="1134"/>
      <c r="F61" s="1134"/>
      <c r="G61" s="1134"/>
      <c r="H61" s="1135"/>
      <c r="I61" s="1135"/>
      <c r="J61" s="1134"/>
    </row>
    <row r="62" spans="2:10" s="1125" customFormat="1">
      <c r="B62" s="1134"/>
      <c r="C62" s="1134"/>
      <c r="D62" s="1134"/>
      <c r="E62" s="1134"/>
      <c r="F62" s="1134"/>
      <c r="G62" s="1134"/>
      <c r="H62" s="1135"/>
      <c r="I62" s="1135"/>
      <c r="J62" s="1134"/>
    </row>
    <row r="63" spans="2:10" s="1125" customFormat="1">
      <c r="B63" s="1134"/>
      <c r="C63" s="1134"/>
      <c r="D63" s="1134"/>
      <c r="E63" s="1134"/>
      <c r="F63" s="1134"/>
      <c r="G63" s="1134"/>
      <c r="H63" s="1135"/>
      <c r="I63" s="1135"/>
      <c r="J63" s="1134"/>
    </row>
    <row r="64" spans="2:10" s="1125" customFormat="1">
      <c r="B64" s="1134"/>
      <c r="C64" s="1134"/>
      <c r="D64" s="1134"/>
      <c r="E64" s="1134"/>
      <c r="F64" s="1134"/>
      <c r="G64" s="1134"/>
      <c r="H64" s="1135"/>
      <c r="I64" s="1135"/>
      <c r="J64" s="1134"/>
    </row>
    <row r="65" spans="2:10" s="1125" customFormat="1">
      <c r="B65" s="1134"/>
      <c r="C65" s="1134"/>
      <c r="D65" s="1134"/>
      <c r="E65" s="1134"/>
      <c r="F65" s="1134"/>
      <c r="G65" s="1134"/>
      <c r="H65" s="1135"/>
      <c r="I65" s="1135"/>
      <c r="J65" s="1134"/>
    </row>
    <row r="66" spans="2:10" s="1125" customFormat="1">
      <c r="B66" s="1134"/>
      <c r="C66" s="1134"/>
      <c r="D66" s="1134"/>
      <c r="E66" s="1134"/>
      <c r="F66" s="1134"/>
      <c r="G66" s="1134"/>
      <c r="H66" s="1135"/>
      <c r="I66" s="1135"/>
      <c r="J66" s="1134"/>
    </row>
    <row r="67" spans="2:10" s="1125" customFormat="1">
      <c r="B67" s="1134"/>
      <c r="C67" s="1134"/>
      <c r="D67" s="1134"/>
      <c r="E67" s="1134"/>
      <c r="F67" s="1134"/>
      <c r="G67" s="1134"/>
      <c r="H67" s="1135"/>
      <c r="I67" s="1135"/>
      <c r="J67" s="1134"/>
    </row>
    <row r="68" spans="2:10" s="1125" customFormat="1">
      <c r="B68" s="1134"/>
      <c r="C68" s="1134"/>
      <c r="D68" s="1134"/>
      <c r="E68" s="1134"/>
      <c r="F68" s="1134"/>
      <c r="G68" s="1134"/>
      <c r="H68" s="1135"/>
      <c r="I68" s="1135"/>
      <c r="J68" s="1134"/>
    </row>
    <row r="69" spans="2:10" s="1125" customFormat="1">
      <c r="B69" s="1134"/>
      <c r="C69" s="1134"/>
      <c r="D69" s="1134"/>
      <c r="E69" s="1134"/>
      <c r="F69" s="1134"/>
      <c r="G69" s="1134"/>
      <c r="H69" s="1135"/>
      <c r="I69" s="1135"/>
      <c r="J69" s="1134"/>
    </row>
    <row r="70" spans="2:10" s="1125" customFormat="1">
      <c r="B70" s="1134"/>
      <c r="C70" s="1134"/>
      <c r="D70" s="1134"/>
      <c r="E70" s="1134"/>
      <c r="F70" s="1134"/>
      <c r="G70" s="1134"/>
      <c r="H70" s="1135"/>
      <c r="I70" s="1135"/>
      <c r="J70" s="1134"/>
    </row>
    <row r="71" spans="2:10" s="1125" customFormat="1">
      <c r="B71" s="1134"/>
      <c r="C71" s="1134"/>
      <c r="D71" s="1134"/>
      <c r="E71" s="1134"/>
      <c r="F71" s="1134"/>
      <c r="G71" s="1134"/>
      <c r="H71" s="1135"/>
      <c r="I71" s="1135"/>
      <c r="J71" s="1134"/>
    </row>
    <row r="72" spans="2:10" s="1125" customFormat="1">
      <c r="B72" s="1134"/>
      <c r="C72" s="1134"/>
      <c r="D72" s="1134"/>
      <c r="E72" s="1134"/>
      <c r="F72" s="1134"/>
      <c r="G72" s="1134"/>
      <c r="H72" s="1135"/>
      <c r="I72" s="1135"/>
      <c r="J72" s="1134"/>
    </row>
    <row r="73" spans="2:10" s="1125" customFormat="1">
      <c r="B73" s="1134"/>
      <c r="C73" s="1134"/>
      <c r="D73" s="1134"/>
      <c r="E73" s="1134"/>
      <c r="F73" s="1134"/>
      <c r="G73" s="1134"/>
      <c r="H73" s="1135"/>
      <c r="I73" s="1135"/>
      <c r="J73" s="1134"/>
    </row>
    <row r="74" spans="2:10" s="1125" customFormat="1">
      <c r="B74" s="1134"/>
      <c r="C74" s="1134"/>
      <c r="D74" s="1134"/>
      <c r="E74" s="1134"/>
      <c r="F74" s="1134"/>
      <c r="G74" s="1134"/>
      <c r="H74" s="1135"/>
      <c r="I74" s="1135"/>
      <c r="J74" s="1134"/>
    </row>
    <row r="75" spans="2:10" s="1125" customFormat="1">
      <c r="B75" s="1134"/>
      <c r="C75" s="1134"/>
      <c r="D75" s="1134"/>
      <c r="E75" s="1134"/>
      <c r="F75" s="1134"/>
      <c r="G75" s="1134"/>
      <c r="H75" s="1135"/>
      <c r="I75" s="1135"/>
      <c r="J75" s="1134"/>
    </row>
    <row r="76" spans="2:10" s="1125" customFormat="1">
      <c r="B76" s="1134"/>
      <c r="C76" s="1134"/>
      <c r="D76" s="1134"/>
      <c r="E76" s="1134"/>
      <c r="F76" s="1134"/>
      <c r="G76" s="1134"/>
      <c r="H76" s="1135"/>
      <c r="I76" s="1135"/>
      <c r="J76" s="1134"/>
    </row>
    <row r="77" spans="2:10" s="1125" customFormat="1">
      <c r="B77" s="1134"/>
      <c r="C77" s="1134"/>
      <c r="D77" s="1134"/>
      <c r="E77" s="1134"/>
      <c r="F77" s="1134"/>
      <c r="G77" s="1134"/>
      <c r="H77" s="1135"/>
      <c r="I77" s="1135"/>
      <c r="J77" s="1134"/>
    </row>
    <row r="78" spans="2:10" s="1125" customFormat="1">
      <c r="B78" s="1134"/>
      <c r="C78" s="1134"/>
      <c r="D78" s="1134"/>
      <c r="E78" s="1134"/>
      <c r="F78" s="1134"/>
      <c r="G78" s="1134"/>
      <c r="H78" s="1135"/>
      <c r="I78" s="1135"/>
      <c r="J78" s="1134"/>
    </row>
    <row r="79" spans="2:10" s="1125" customFormat="1">
      <c r="B79" s="1134"/>
      <c r="C79" s="1134"/>
      <c r="D79" s="1134"/>
      <c r="E79" s="1134"/>
      <c r="F79" s="1134"/>
      <c r="G79" s="1134"/>
      <c r="H79" s="1135"/>
      <c r="I79" s="1135"/>
      <c r="J79" s="1134"/>
    </row>
    <row r="80" spans="2:10" s="1125" customFormat="1">
      <c r="B80" s="1134"/>
      <c r="C80" s="1134"/>
      <c r="D80" s="1134"/>
      <c r="E80" s="1134"/>
      <c r="F80" s="1134"/>
      <c r="G80" s="1134"/>
      <c r="H80" s="1135"/>
      <c r="I80" s="1135"/>
      <c r="J80" s="1134"/>
    </row>
    <row r="81" spans="2:10" s="1125" customFormat="1">
      <c r="B81" s="1134"/>
      <c r="C81" s="1134"/>
      <c r="D81" s="1134"/>
      <c r="E81" s="1134"/>
      <c r="F81" s="1134"/>
      <c r="G81" s="1134"/>
      <c r="H81" s="1135"/>
      <c r="I81" s="1135"/>
      <c r="J81" s="1134"/>
    </row>
    <row r="82" spans="2:10" s="1125" customFormat="1">
      <c r="B82" s="1134"/>
      <c r="C82" s="1134"/>
      <c r="D82" s="1134"/>
      <c r="E82" s="1134"/>
      <c r="F82" s="1134"/>
      <c r="G82" s="1134"/>
      <c r="H82" s="1135"/>
      <c r="I82" s="1135"/>
      <c r="J82" s="1134"/>
    </row>
    <row r="83" spans="2:10" s="1125" customFormat="1">
      <c r="B83" s="1134"/>
      <c r="C83" s="1134"/>
      <c r="D83" s="1134"/>
      <c r="E83" s="1134"/>
      <c r="F83" s="1134"/>
      <c r="G83" s="1134"/>
      <c r="H83" s="1135"/>
      <c r="I83" s="1135"/>
      <c r="J83" s="1134"/>
    </row>
    <row r="84" spans="2:10" s="1125" customFormat="1">
      <c r="B84" s="1134"/>
      <c r="C84" s="1134"/>
      <c r="D84" s="1134"/>
      <c r="E84" s="1134"/>
      <c r="F84" s="1134"/>
      <c r="G84" s="1134"/>
      <c r="H84" s="1135"/>
      <c r="I84" s="1135"/>
      <c r="J84" s="1134"/>
    </row>
    <row r="85" spans="2:10" s="1125" customFormat="1">
      <c r="B85" s="1134"/>
      <c r="C85" s="1134"/>
      <c r="D85" s="1134"/>
      <c r="E85" s="1134"/>
      <c r="F85" s="1134"/>
      <c r="G85" s="1134"/>
      <c r="H85" s="1135"/>
      <c r="I85" s="1135"/>
      <c r="J85" s="1134"/>
    </row>
    <row r="86" spans="2:10" s="1125" customFormat="1">
      <c r="B86" s="1134"/>
      <c r="C86" s="1134"/>
      <c r="D86" s="1134"/>
      <c r="E86" s="1134"/>
      <c r="F86" s="1134"/>
      <c r="G86" s="1134"/>
      <c r="H86" s="1135"/>
      <c r="I86" s="1135"/>
      <c r="J86" s="1134"/>
    </row>
    <row r="87" spans="2:10" s="1125" customFormat="1">
      <c r="B87" s="1134"/>
      <c r="C87" s="1134"/>
      <c r="D87" s="1134"/>
      <c r="E87" s="1134"/>
      <c r="F87" s="1134"/>
      <c r="G87" s="1134"/>
      <c r="H87" s="1135"/>
      <c r="I87" s="1135"/>
      <c r="J87" s="1134"/>
    </row>
    <row r="88" spans="2:10" s="1125" customFormat="1">
      <c r="B88" s="1134"/>
      <c r="C88" s="1134"/>
      <c r="D88" s="1134"/>
      <c r="E88" s="1134"/>
      <c r="F88" s="1134"/>
      <c r="G88" s="1134"/>
      <c r="H88" s="1135"/>
      <c r="I88" s="1135"/>
      <c r="J88" s="1134"/>
    </row>
    <row r="89" spans="2:10" s="1125" customFormat="1">
      <c r="B89" s="1134"/>
      <c r="C89" s="1134"/>
      <c r="D89" s="1134"/>
      <c r="E89" s="1134"/>
      <c r="F89" s="1134"/>
      <c r="G89" s="1134"/>
      <c r="H89" s="1135"/>
      <c r="I89" s="1135"/>
      <c r="J89" s="1134"/>
    </row>
    <row r="90" spans="2:10" s="1125" customFormat="1">
      <c r="B90" s="1134"/>
      <c r="C90" s="1134"/>
      <c r="D90" s="1134"/>
      <c r="E90" s="1134"/>
      <c r="F90" s="1134"/>
      <c r="G90" s="1134"/>
      <c r="H90" s="1135"/>
      <c r="I90" s="1135"/>
      <c r="J90" s="1134"/>
    </row>
    <row r="91" spans="2:10" s="1125" customFormat="1">
      <c r="B91" s="1134"/>
      <c r="C91" s="1134"/>
      <c r="D91" s="1134"/>
      <c r="E91" s="1134"/>
      <c r="F91" s="1134"/>
      <c r="G91" s="1134"/>
      <c r="H91" s="1135"/>
      <c r="I91" s="1135"/>
      <c r="J91" s="1134"/>
    </row>
    <row r="92" spans="2:10" s="1125" customFormat="1">
      <c r="B92" s="1134"/>
      <c r="C92" s="1134"/>
      <c r="D92" s="1134"/>
      <c r="E92" s="1134"/>
      <c r="F92" s="1134"/>
      <c r="G92" s="1134"/>
      <c r="H92" s="1135"/>
      <c r="I92" s="1135"/>
      <c r="J92" s="1134"/>
    </row>
    <row r="93" spans="2:10" s="1125" customFormat="1">
      <c r="B93" s="1134"/>
      <c r="C93" s="1134"/>
      <c r="D93" s="1134"/>
      <c r="E93" s="1134"/>
      <c r="F93" s="1134"/>
      <c r="G93" s="1134"/>
      <c r="H93" s="1135"/>
      <c r="I93" s="1135"/>
      <c r="J93" s="1134"/>
    </row>
    <row r="94" spans="2:10" s="1125" customFormat="1">
      <c r="B94" s="1134"/>
      <c r="C94" s="1134"/>
      <c r="D94" s="1134"/>
      <c r="E94" s="1134"/>
      <c r="F94" s="1134"/>
      <c r="G94" s="1134"/>
      <c r="H94" s="1135"/>
      <c r="I94" s="1135"/>
      <c r="J94" s="1134"/>
    </row>
    <row r="95" spans="2:10" s="1125" customFormat="1">
      <c r="B95" s="1134"/>
      <c r="C95" s="1134"/>
      <c r="D95" s="1134"/>
      <c r="E95" s="1134"/>
      <c r="F95" s="1134"/>
      <c r="G95" s="1134"/>
      <c r="H95" s="1135"/>
      <c r="I95" s="1135"/>
      <c r="J95" s="1134"/>
    </row>
    <row r="96" spans="2:10" s="1125" customFormat="1">
      <c r="B96" s="1134"/>
      <c r="C96" s="1134"/>
      <c r="D96" s="1134"/>
      <c r="E96" s="1134"/>
      <c r="F96" s="1134"/>
      <c r="G96" s="1134"/>
      <c r="H96" s="1135"/>
      <c r="I96" s="1135"/>
      <c r="J96" s="1134"/>
    </row>
    <row r="97" spans="2:10" s="1125" customFormat="1">
      <c r="B97" s="1134"/>
      <c r="C97" s="1134"/>
      <c r="D97" s="1134"/>
      <c r="E97" s="1134"/>
      <c r="F97" s="1134"/>
      <c r="G97" s="1134"/>
      <c r="H97" s="1135"/>
      <c r="I97" s="1135"/>
      <c r="J97" s="1134"/>
    </row>
    <row r="98" spans="2:10" s="1125" customFormat="1">
      <c r="B98" s="1134"/>
      <c r="C98" s="1134"/>
      <c r="D98" s="1134"/>
      <c r="E98" s="1134"/>
      <c r="F98" s="1134"/>
      <c r="G98" s="1134"/>
      <c r="H98" s="1135"/>
      <c r="I98" s="1135"/>
      <c r="J98" s="1134"/>
    </row>
    <row r="99" spans="2:10" s="1125" customFormat="1">
      <c r="B99" s="1134"/>
      <c r="C99" s="1134"/>
      <c r="D99" s="1134"/>
      <c r="E99" s="1134"/>
      <c r="F99" s="1134"/>
      <c r="G99" s="1134"/>
      <c r="H99" s="1135"/>
      <c r="I99" s="1135"/>
      <c r="J99" s="1134"/>
    </row>
    <row r="100" spans="2:10" s="1125" customFormat="1">
      <c r="B100" s="1134"/>
      <c r="C100" s="1134"/>
      <c r="D100" s="1134"/>
      <c r="E100" s="1134"/>
      <c r="F100" s="1134"/>
      <c r="G100" s="1134"/>
      <c r="H100" s="1135"/>
      <c r="I100" s="1135"/>
      <c r="J100" s="1134"/>
    </row>
    <row r="101" spans="2:10" s="1125" customFormat="1">
      <c r="B101" s="1134"/>
      <c r="C101" s="1134"/>
      <c r="D101" s="1134"/>
      <c r="E101" s="1134"/>
      <c r="F101" s="1134"/>
      <c r="G101" s="1134"/>
      <c r="H101" s="1135"/>
      <c r="I101" s="1135"/>
      <c r="J101" s="1134"/>
    </row>
    <row r="102" spans="2:10" s="1125" customFormat="1">
      <c r="B102" s="1134"/>
      <c r="C102" s="1134"/>
      <c r="D102" s="1134"/>
      <c r="E102" s="1134"/>
      <c r="F102" s="1134"/>
      <c r="G102" s="1134"/>
      <c r="H102" s="1135"/>
      <c r="I102" s="1135"/>
      <c r="J102" s="1134"/>
    </row>
    <row r="103" spans="2:10" s="1125" customFormat="1">
      <c r="B103" s="1134"/>
      <c r="C103" s="1134"/>
      <c r="D103" s="1134"/>
      <c r="E103" s="1134"/>
      <c r="F103" s="1134"/>
      <c r="G103" s="1134"/>
      <c r="H103" s="1135"/>
      <c r="I103" s="1135"/>
      <c r="J103" s="1134"/>
    </row>
    <row r="104" spans="2:10" s="1125" customFormat="1">
      <c r="B104" s="1134"/>
      <c r="C104" s="1134"/>
      <c r="D104" s="1134"/>
      <c r="E104" s="1134"/>
      <c r="F104" s="1134"/>
      <c r="G104" s="1134"/>
      <c r="H104" s="1135"/>
      <c r="I104" s="1135"/>
      <c r="J104" s="1134"/>
    </row>
    <row r="105" spans="2:10" s="1125" customFormat="1">
      <c r="B105" s="1134"/>
      <c r="C105" s="1134"/>
      <c r="D105" s="1134"/>
      <c r="E105" s="1134"/>
      <c r="F105" s="1134"/>
      <c r="G105" s="1134"/>
      <c r="H105" s="1135"/>
      <c r="I105" s="1135"/>
      <c r="J105" s="1134"/>
    </row>
    <row r="106" spans="2:10" s="1125" customFormat="1">
      <c r="B106" s="1134"/>
      <c r="C106" s="1134"/>
      <c r="D106" s="1134"/>
      <c r="E106" s="1134"/>
      <c r="F106" s="1134"/>
      <c r="G106" s="1134"/>
      <c r="H106" s="1135"/>
      <c r="I106" s="1135"/>
      <c r="J106" s="1134"/>
    </row>
    <row r="107" spans="2:10" s="1125" customFormat="1">
      <c r="B107" s="1134"/>
      <c r="C107" s="1134"/>
      <c r="D107" s="1134"/>
      <c r="E107" s="1134"/>
      <c r="F107" s="1134"/>
      <c r="G107" s="1134"/>
      <c r="H107" s="1135"/>
      <c r="I107" s="1135"/>
      <c r="J107" s="1134"/>
    </row>
    <row r="108" spans="2:10" s="1125" customFormat="1">
      <c r="B108" s="1134"/>
      <c r="C108" s="1134"/>
      <c r="D108" s="1134"/>
      <c r="E108" s="1134"/>
      <c r="F108" s="1134"/>
      <c r="G108" s="1134"/>
      <c r="H108" s="1135"/>
      <c r="I108" s="1135"/>
      <c r="J108" s="1134"/>
    </row>
    <row r="109" spans="2:10" s="1125" customFormat="1">
      <c r="B109" s="1134"/>
      <c r="C109" s="1134"/>
      <c r="D109" s="1134"/>
      <c r="E109" s="1134"/>
      <c r="F109" s="1134"/>
      <c r="G109" s="1134"/>
      <c r="H109" s="1135"/>
      <c r="I109" s="1135"/>
      <c r="J109" s="1134"/>
    </row>
    <row r="110" spans="2:10" s="1125" customFormat="1">
      <c r="B110" s="1134"/>
      <c r="C110" s="1134"/>
      <c r="D110" s="1134"/>
      <c r="E110" s="1134"/>
      <c r="F110" s="1134"/>
      <c r="G110" s="1134"/>
      <c r="H110" s="1135"/>
      <c r="I110" s="1135"/>
      <c r="J110" s="1134"/>
    </row>
    <row r="111" spans="2:10" s="1125" customFormat="1">
      <c r="B111" s="1134"/>
      <c r="C111" s="1134"/>
      <c r="D111" s="1134"/>
      <c r="E111" s="1134"/>
      <c r="F111" s="1134"/>
      <c r="G111" s="1134"/>
      <c r="H111" s="1135"/>
      <c r="I111" s="1135"/>
      <c r="J111" s="1134"/>
    </row>
    <row r="112" spans="2:10" s="1125" customFormat="1">
      <c r="B112" s="1134"/>
      <c r="C112" s="1134"/>
      <c r="D112" s="1134"/>
      <c r="E112" s="1134"/>
      <c r="F112" s="1134"/>
      <c r="G112" s="1134"/>
      <c r="H112" s="1135"/>
      <c r="I112" s="1135"/>
      <c r="J112" s="1134"/>
    </row>
    <row r="113" spans="2:10" s="1125" customFormat="1">
      <c r="B113" s="1134"/>
      <c r="C113" s="1134"/>
      <c r="D113" s="1134"/>
      <c r="E113" s="1134"/>
      <c r="F113" s="1134"/>
      <c r="G113" s="1134"/>
      <c r="H113" s="1135"/>
      <c r="I113" s="1135"/>
      <c r="J113" s="1134"/>
    </row>
    <row r="114" spans="2:10" s="1125" customFormat="1">
      <c r="B114" s="1134"/>
      <c r="C114" s="1134"/>
      <c r="D114" s="1134"/>
      <c r="E114" s="1134"/>
      <c r="F114" s="1134"/>
      <c r="G114" s="1134"/>
      <c r="H114" s="1135"/>
      <c r="I114" s="1135"/>
      <c r="J114" s="1134"/>
    </row>
    <row r="115" spans="2:10" s="1125" customFormat="1">
      <c r="B115" s="1134"/>
      <c r="C115" s="1134"/>
      <c r="D115" s="1134"/>
      <c r="E115" s="1134"/>
      <c r="F115" s="1134"/>
      <c r="G115" s="1134"/>
      <c r="H115" s="1135"/>
      <c r="I115" s="1135"/>
      <c r="J115" s="1134"/>
    </row>
    <row r="116" spans="2:10" s="1125" customFormat="1">
      <c r="B116" s="1134"/>
      <c r="C116" s="1134"/>
      <c r="D116" s="1134"/>
      <c r="E116" s="1134"/>
      <c r="F116" s="1134"/>
      <c r="G116" s="1134"/>
      <c r="H116" s="1135"/>
      <c r="I116" s="1135"/>
      <c r="J116" s="1134"/>
    </row>
    <row r="117" spans="2:10" s="1125" customFormat="1">
      <c r="B117" s="1134"/>
      <c r="C117" s="1134"/>
      <c r="D117" s="1134"/>
      <c r="E117" s="1134"/>
      <c r="F117" s="1134"/>
      <c r="G117" s="1134"/>
      <c r="H117" s="1135"/>
      <c r="I117" s="1135"/>
      <c r="J117" s="1134"/>
    </row>
    <row r="118" spans="2:10" s="1125" customFormat="1">
      <c r="B118" s="1134"/>
      <c r="C118" s="1134"/>
      <c r="D118" s="1134"/>
      <c r="E118" s="1134"/>
      <c r="F118" s="1134"/>
      <c r="G118" s="1134"/>
      <c r="H118" s="1135"/>
      <c r="I118" s="1135"/>
      <c r="J118" s="1134"/>
    </row>
    <row r="119" spans="2:10" s="1125" customFormat="1">
      <c r="B119" s="1134"/>
      <c r="C119" s="1134"/>
      <c r="D119" s="1134"/>
      <c r="E119" s="1134"/>
      <c r="F119" s="1134"/>
      <c r="G119" s="1134"/>
      <c r="H119" s="1135"/>
      <c r="I119" s="1135"/>
      <c r="J119" s="1134"/>
    </row>
    <row r="120" spans="2:10" s="1125" customFormat="1">
      <c r="B120" s="1134"/>
      <c r="C120" s="1134"/>
      <c r="D120" s="1134"/>
      <c r="E120" s="1134"/>
      <c r="F120" s="1134"/>
      <c r="G120" s="1134"/>
      <c r="H120" s="1135"/>
      <c r="I120" s="1135"/>
      <c r="J120" s="1134"/>
    </row>
    <row r="121" spans="2:10" s="1125" customFormat="1">
      <c r="B121" s="1134"/>
      <c r="C121" s="1134"/>
      <c r="D121" s="1134"/>
      <c r="E121" s="1134"/>
      <c r="F121" s="1134"/>
      <c r="G121" s="1134"/>
      <c r="H121" s="1135"/>
      <c r="I121" s="1135"/>
      <c r="J121" s="1134"/>
    </row>
    <row r="122" spans="2:10" s="1125" customFormat="1">
      <c r="B122" s="1134"/>
      <c r="C122" s="1134"/>
      <c r="D122" s="1134"/>
      <c r="E122" s="1134"/>
      <c r="F122" s="1134"/>
      <c r="G122" s="1134"/>
      <c r="H122" s="1135"/>
      <c r="I122" s="1135"/>
      <c r="J122" s="1134"/>
    </row>
    <row r="123" spans="2:10" s="1125" customFormat="1">
      <c r="B123" s="1134"/>
      <c r="C123" s="1134"/>
      <c r="D123" s="1134"/>
      <c r="E123" s="1134"/>
      <c r="F123" s="1134"/>
      <c r="G123" s="1134"/>
      <c r="H123" s="1135"/>
      <c r="I123" s="1135"/>
      <c r="J123" s="1134"/>
    </row>
    <row r="124" spans="2:10" s="1125" customFormat="1">
      <c r="B124" s="1134"/>
      <c r="C124" s="1134"/>
      <c r="D124" s="1134"/>
      <c r="E124" s="1134"/>
      <c r="F124" s="1134"/>
      <c r="G124" s="1134"/>
      <c r="H124" s="1135"/>
      <c r="I124" s="1135"/>
      <c r="J124" s="1134"/>
    </row>
    <row r="125" spans="2:10" s="1125" customFormat="1">
      <c r="B125" s="1134"/>
      <c r="C125" s="1134"/>
      <c r="D125" s="1134"/>
      <c r="E125" s="1134"/>
      <c r="F125" s="1134"/>
      <c r="G125" s="1134"/>
      <c r="H125" s="1135"/>
      <c r="I125" s="1135"/>
      <c r="J125" s="1134"/>
    </row>
    <row r="126" spans="2:10">
      <c r="B126" s="596"/>
      <c r="C126" s="596"/>
      <c r="D126" s="596"/>
      <c r="E126" s="596"/>
      <c r="F126" s="596"/>
      <c r="G126" s="596"/>
      <c r="H126" s="597"/>
      <c r="I126" s="597"/>
      <c r="J126" s="596"/>
    </row>
    <row r="127" spans="2:10">
      <c r="B127" s="596"/>
      <c r="C127" s="596"/>
      <c r="D127" s="596"/>
      <c r="E127" s="596"/>
      <c r="F127" s="596"/>
      <c r="G127" s="596"/>
      <c r="H127" s="597"/>
      <c r="I127" s="597"/>
      <c r="J127" s="596"/>
    </row>
    <row r="128" spans="2:10">
      <c r="B128" s="596"/>
      <c r="C128" s="596"/>
      <c r="D128" s="596"/>
      <c r="E128" s="596"/>
      <c r="F128" s="596"/>
      <c r="G128" s="596"/>
      <c r="H128" s="597"/>
      <c r="I128" s="597"/>
      <c r="J128" s="596"/>
    </row>
    <row r="129" spans="2:10">
      <c r="B129" s="596"/>
      <c r="C129" s="596"/>
      <c r="D129" s="596"/>
      <c r="E129" s="596"/>
      <c r="F129" s="596"/>
      <c r="G129" s="596"/>
      <c r="H129" s="597"/>
      <c r="I129" s="597"/>
      <c r="J129" s="596"/>
    </row>
    <row r="130" spans="2:10">
      <c r="B130" s="596"/>
      <c r="C130" s="596"/>
      <c r="D130" s="596"/>
      <c r="E130" s="596"/>
      <c r="F130" s="596"/>
      <c r="G130" s="596"/>
      <c r="H130" s="597"/>
      <c r="I130" s="597"/>
      <c r="J130" s="596"/>
    </row>
    <row r="131" spans="2:10">
      <c r="B131" s="596"/>
      <c r="C131" s="596"/>
      <c r="D131" s="596"/>
      <c r="E131" s="596"/>
      <c r="F131" s="596"/>
      <c r="G131" s="596"/>
      <c r="H131" s="597"/>
      <c r="I131" s="597"/>
      <c r="J131" s="596"/>
    </row>
    <row r="132" spans="2:10">
      <c r="B132" s="596"/>
      <c r="C132" s="596"/>
      <c r="D132" s="596"/>
      <c r="E132" s="596"/>
      <c r="F132" s="596"/>
      <c r="G132" s="596"/>
      <c r="H132" s="597"/>
      <c r="I132" s="597"/>
      <c r="J132" s="596"/>
    </row>
    <row r="133" spans="2:10">
      <c r="B133" s="596"/>
      <c r="C133" s="596"/>
      <c r="D133" s="596"/>
      <c r="E133" s="596"/>
      <c r="F133" s="596"/>
      <c r="G133" s="596"/>
      <c r="H133" s="597"/>
      <c r="I133" s="597"/>
      <c r="J133" s="596"/>
    </row>
    <row r="134" spans="2:10">
      <c r="B134" s="596"/>
      <c r="C134" s="596"/>
      <c r="D134" s="596"/>
      <c r="E134" s="596"/>
      <c r="F134" s="596"/>
      <c r="G134" s="596"/>
      <c r="H134" s="597"/>
      <c r="I134" s="597"/>
      <c r="J134" s="596"/>
    </row>
    <row r="135" spans="2:10">
      <c r="B135" s="596"/>
      <c r="C135" s="596"/>
      <c r="D135" s="596"/>
      <c r="E135" s="596"/>
      <c r="F135" s="596"/>
      <c r="G135" s="596"/>
      <c r="H135" s="597"/>
      <c r="I135" s="597"/>
      <c r="J135" s="596"/>
    </row>
    <row r="136" spans="2:10">
      <c r="B136" s="596"/>
      <c r="C136" s="596"/>
      <c r="D136" s="596"/>
      <c r="E136" s="596"/>
      <c r="F136" s="596"/>
      <c r="G136" s="596"/>
      <c r="H136" s="597"/>
      <c r="I136" s="597"/>
      <c r="J136" s="596"/>
    </row>
    <row r="137" spans="2:10">
      <c r="B137" s="596"/>
      <c r="C137" s="596"/>
      <c r="D137" s="596"/>
      <c r="E137" s="596"/>
      <c r="F137" s="596"/>
      <c r="G137" s="596"/>
      <c r="H137" s="597"/>
      <c r="I137" s="597"/>
      <c r="J137" s="596"/>
    </row>
    <row r="138" spans="2:10">
      <c r="B138" s="596"/>
      <c r="C138" s="596"/>
      <c r="D138" s="596"/>
      <c r="E138" s="596"/>
      <c r="F138" s="596"/>
      <c r="G138" s="596"/>
      <c r="H138" s="597"/>
      <c r="I138" s="597"/>
      <c r="J138" s="596"/>
    </row>
    <row r="139" spans="2:10">
      <c r="B139" s="596"/>
      <c r="C139" s="596"/>
      <c r="D139" s="596"/>
      <c r="E139" s="596"/>
      <c r="F139" s="596"/>
      <c r="G139" s="596"/>
      <c r="H139" s="597"/>
      <c r="I139" s="597"/>
      <c r="J139" s="596"/>
    </row>
    <row r="140" spans="2:10">
      <c r="B140" s="596"/>
      <c r="C140" s="596"/>
      <c r="D140" s="596"/>
      <c r="E140" s="596"/>
      <c r="F140" s="596"/>
      <c r="G140" s="596"/>
      <c r="H140" s="597"/>
      <c r="I140" s="597"/>
      <c r="J140" s="596"/>
    </row>
    <row r="141" spans="2:10">
      <c r="B141" s="596"/>
      <c r="C141" s="596"/>
      <c r="D141" s="596"/>
      <c r="E141" s="596"/>
      <c r="F141" s="596"/>
      <c r="G141" s="596"/>
      <c r="H141" s="597"/>
      <c r="I141" s="597"/>
      <c r="J141" s="596"/>
    </row>
    <row r="142" spans="2:10">
      <c r="B142" s="596"/>
      <c r="C142" s="596"/>
      <c r="D142" s="596"/>
      <c r="E142" s="596"/>
      <c r="F142" s="596"/>
      <c r="G142" s="596"/>
      <c r="H142" s="597"/>
      <c r="I142" s="597"/>
      <c r="J142" s="596"/>
    </row>
    <row r="143" spans="2:10">
      <c r="B143" s="596"/>
      <c r="C143" s="596"/>
      <c r="D143" s="596"/>
      <c r="E143" s="596"/>
      <c r="F143" s="596"/>
      <c r="G143" s="596"/>
      <c r="H143" s="597"/>
      <c r="I143" s="597"/>
      <c r="J143" s="596"/>
    </row>
    <row r="144" spans="2:10">
      <c r="B144" s="596"/>
      <c r="C144" s="596"/>
      <c r="D144" s="596"/>
      <c r="E144" s="596"/>
      <c r="F144" s="596"/>
      <c r="G144" s="596"/>
      <c r="H144" s="597"/>
      <c r="I144" s="597"/>
      <c r="J144" s="596"/>
    </row>
    <row r="145" spans="2:10">
      <c r="B145" s="596"/>
      <c r="C145" s="596"/>
      <c r="D145" s="596"/>
      <c r="E145" s="596"/>
      <c r="F145" s="596"/>
      <c r="G145" s="596"/>
      <c r="H145" s="597"/>
      <c r="I145" s="597"/>
      <c r="J145" s="596"/>
    </row>
    <row r="146" spans="2:10">
      <c r="B146" s="596"/>
      <c r="C146" s="596"/>
      <c r="D146" s="596"/>
      <c r="E146" s="596"/>
      <c r="F146" s="596"/>
      <c r="G146" s="596"/>
      <c r="H146" s="597"/>
      <c r="I146" s="597"/>
      <c r="J146" s="596"/>
    </row>
    <row r="147" spans="2:10">
      <c r="B147" s="596"/>
      <c r="C147" s="596"/>
      <c r="D147" s="596"/>
      <c r="E147" s="596"/>
      <c r="F147" s="596"/>
      <c r="G147" s="596"/>
      <c r="H147" s="597"/>
      <c r="I147" s="597"/>
      <c r="J147" s="596"/>
    </row>
    <row r="148" spans="2:10">
      <c r="B148" s="596"/>
      <c r="C148" s="596"/>
      <c r="D148" s="596"/>
      <c r="E148" s="596"/>
      <c r="F148" s="596"/>
      <c r="G148" s="596"/>
      <c r="H148" s="597"/>
      <c r="I148" s="597"/>
      <c r="J148" s="596"/>
    </row>
    <row r="149" spans="2:10">
      <c r="B149" s="596"/>
      <c r="C149" s="596"/>
      <c r="D149" s="596"/>
      <c r="E149" s="596"/>
      <c r="F149" s="596"/>
      <c r="G149" s="596"/>
      <c r="H149" s="597"/>
      <c r="I149" s="597"/>
      <c r="J149" s="596"/>
    </row>
    <row r="150" spans="2:10">
      <c r="B150" s="596"/>
      <c r="C150" s="596"/>
      <c r="D150" s="596"/>
      <c r="E150" s="596"/>
      <c r="F150" s="596"/>
      <c r="G150" s="596"/>
      <c r="H150" s="597"/>
      <c r="I150" s="597"/>
      <c r="J150" s="596"/>
    </row>
    <row r="151" spans="2:10">
      <c r="B151" s="596"/>
      <c r="C151" s="596"/>
      <c r="D151" s="596"/>
      <c r="E151" s="596"/>
      <c r="F151" s="596"/>
      <c r="G151" s="596"/>
      <c r="H151" s="597"/>
      <c r="I151" s="597"/>
      <c r="J151" s="596"/>
    </row>
    <row r="152" spans="2:10">
      <c r="B152" s="596"/>
      <c r="C152" s="596"/>
      <c r="D152" s="596"/>
      <c r="E152" s="596"/>
      <c r="F152" s="596"/>
      <c r="G152" s="596"/>
      <c r="H152" s="597"/>
      <c r="I152" s="597"/>
      <c r="J152" s="596"/>
    </row>
    <row r="153" spans="2:10">
      <c r="B153" s="596"/>
      <c r="C153" s="596"/>
      <c r="D153" s="596"/>
      <c r="E153" s="596"/>
      <c r="F153" s="596"/>
      <c r="G153" s="596"/>
      <c r="H153" s="597"/>
      <c r="I153" s="597"/>
      <c r="J153" s="596"/>
    </row>
    <row r="154" spans="2:10">
      <c r="B154" s="596"/>
      <c r="C154" s="596"/>
      <c r="D154" s="596"/>
      <c r="E154" s="596"/>
      <c r="F154" s="596"/>
      <c r="G154" s="596"/>
      <c r="H154" s="597"/>
      <c r="I154" s="597"/>
      <c r="J154" s="596"/>
    </row>
    <row r="155" spans="2:10">
      <c r="B155" s="596"/>
      <c r="C155" s="596"/>
      <c r="D155" s="596"/>
      <c r="E155" s="596"/>
      <c r="F155" s="596"/>
      <c r="G155" s="596"/>
      <c r="H155" s="597"/>
      <c r="I155" s="597"/>
      <c r="J155" s="596"/>
    </row>
    <row r="156" spans="2:10">
      <c r="B156" s="596"/>
      <c r="C156" s="596"/>
      <c r="D156" s="596"/>
      <c r="E156" s="596"/>
      <c r="F156" s="596"/>
      <c r="G156" s="596"/>
      <c r="H156" s="597"/>
      <c r="I156" s="597"/>
      <c r="J156" s="596"/>
    </row>
    <row r="157" spans="2:10">
      <c r="B157" s="596"/>
      <c r="C157" s="596"/>
      <c r="D157" s="596"/>
      <c r="E157" s="596"/>
      <c r="F157" s="596"/>
      <c r="G157" s="596"/>
      <c r="H157" s="597"/>
      <c r="I157" s="597"/>
      <c r="J157" s="596"/>
    </row>
    <row r="158" spans="2:10">
      <c r="B158" s="596"/>
      <c r="C158" s="596"/>
      <c r="D158" s="596"/>
      <c r="E158" s="596"/>
      <c r="F158" s="596"/>
      <c r="G158" s="596"/>
      <c r="H158" s="597"/>
      <c r="I158" s="597"/>
      <c r="J158" s="596"/>
    </row>
    <row r="159" spans="2:10">
      <c r="B159" s="596"/>
      <c r="C159" s="596"/>
      <c r="D159" s="596"/>
      <c r="E159" s="596"/>
      <c r="F159" s="596"/>
      <c r="G159" s="596"/>
      <c r="H159" s="597"/>
      <c r="I159" s="597"/>
      <c r="J159" s="596"/>
    </row>
    <row r="160" spans="2:10">
      <c r="B160" s="596"/>
      <c r="C160" s="596"/>
      <c r="D160" s="596"/>
      <c r="E160" s="596"/>
      <c r="F160" s="596"/>
      <c r="G160" s="596"/>
      <c r="H160" s="597"/>
      <c r="I160" s="597"/>
      <c r="J160" s="596"/>
    </row>
    <row r="161" spans="1:10">
      <c r="B161" s="596"/>
      <c r="C161" s="596"/>
      <c r="D161" s="596"/>
      <c r="E161" s="596"/>
      <c r="F161" s="596"/>
      <c r="G161" s="596"/>
      <c r="H161" s="597"/>
      <c r="I161" s="597"/>
      <c r="J161" s="596"/>
    </row>
    <row r="162" spans="1:10">
      <c r="B162" s="596"/>
      <c r="C162" s="596"/>
      <c r="D162" s="596"/>
      <c r="E162" s="596"/>
      <c r="F162" s="596"/>
      <c r="G162" s="596"/>
      <c r="H162" s="597"/>
      <c r="I162" s="597"/>
      <c r="J162" s="596"/>
    </row>
    <row r="163" spans="1:10">
      <c r="B163" s="596"/>
      <c r="C163" s="596"/>
      <c r="D163" s="596"/>
      <c r="E163" s="596"/>
      <c r="F163" s="596"/>
      <c r="G163" s="596"/>
      <c r="H163" s="597"/>
      <c r="I163" s="597"/>
      <c r="J163" s="596"/>
    </row>
    <row r="164" spans="1:10">
      <c r="B164" s="596"/>
      <c r="C164" s="596"/>
      <c r="D164" s="596"/>
      <c r="E164" s="596"/>
      <c r="F164" s="596"/>
      <c r="G164" s="596"/>
      <c r="H164" s="597"/>
      <c r="I164" s="597"/>
      <c r="J164" s="596"/>
    </row>
    <row r="165" spans="1:10">
      <c r="B165" s="596"/>
      <c r="C165" s="596"/>
      <c r="D165" s="596"/>
      <c r="E165" s="596"/>
      <c r="F165" s="596"/>
      <c r="G165" s="596"/>
      <c r="H165" s="597"/>
      <c r="I165" s="597"/>
      <c r="J165" s="596"/>
    </row>
    <row r="166" spans="1:10">
      <c r="B166" s="596"/>
      <c r="C166" s="596"/>
      <c r="D166" s="596"/>
      <c r="E166" s="596"/>
      <c r="F166" s="596"/>
      <c r="G166" s="596"/>
      <c r="H166" s="597"/>
      <c r="I166" s="597"/>
      <c r="J166" s="596"/>
    </row>
    <row r="167" spans="1:10">
      <c r="B167" s="596"/>
      <c r="C167" s="596"/>
      <c r="D167" s="596"/>
      <c r="E167" s="596"/>
      <c r="F167" s="596"/>
      <c r="G167" s="596"/>
      <c r="H167" s="597"/>
      <c r="I167" s="597"/>
      <c r="J167" s="596"/>
    </row>
    <row r="168" spans="1:10">
      <c r="B168" s="596"/>
      <c r="C168" s="596"/>
      <c r="D168" s="596"/>
      <c r="E168" s="596"/>
      <c r="F168" s="596"/>
      <c r="G168" s="596"/>
      <c r="H168" s="597"/>
      <c r="I168" s="597"/>
      <c r="J168" s="596"/>
    </row>
    <row r="169" spans="1:10">
      <c r="B169" s="596"/>
      <c r="C169" s="596"/>
      <c r="D169" s="596"/>
      <c r="E169" s="596"/>
      <c r="F169" s="596"/>
      <c r="G169" s="596"/>
      <c r="H169" s="597"/>
      <c r="I169" s="597"/>
      <c r="J169" s="596"/>
    </row>
    <row r="170" spans="1:10">
      <c r="B170" s="596"/>
      <c r="C170" s="596"/>
      <c r="D170" s="596"/>
      <c r="E170" s="596"/>
      <c r="F170" s="596"/>
      <c r="G170" s="596"/>
      <c r="H170" s="597"/>
      <c r="I170" s="597"/>
      <c r="J170" s="596"/>
    </row>
    <row r="171" spans="1:10">
      <c r="B171" s="596"/>
      <c r="C171" s="596"/>
      <c r="D171" s="596"/>
      <c r="E171" s="596"/>
      <c r="F171" s="596"/>
      <c r="G171" s="596"/>
      <c r="H171" s="597"/>
      <c r="I171" s="597"/>
      <c r="J171" s="596"/>
    </row>
    <row r="172" spans="1:10">
      <c r="A172" s="598"/>
      <c r="B172" s="596"/>
      <c r="C172" s="596"/>
      <c r="D172" s="596"/>
      <c r="E172" s="596"/>
      <c r="F172" s="596"/>
      <c r="G172" s="596"/>
      <c r="H172" s="596"/>
      <c r="I172" s="596"/>
      <c r="J172" s="596"/>
    </row>
    <row r="173" spans="1:10">
      <c r="A173" s="598"/>
      <c r="B173" s="596"/>
      <c r="C173" s="596"/>
      <c r="D173" s="596"/>
      <c r="E173" s="596"/>
      <c r="F173" s="596"/>
      <c r="G173" s="596"/>
      <c r="H173" s="596"/>
      <c r="I173" s="596"/>
      <c r="J173" s="596"/>
    </row>
    <row r="174" spans="1:10">
      <c r="A174" s="598"/>
      <c r="B174" s="599"/>
      <c r="C174" s="599"/>
      <c r="D174" s="599"/>
      <c r="E174" s="599"/>
      <c r="F174" s="599"/>
      <c r="G174" s="599"/>
      <c r="H174" s="596"/>
      <c r="I174" s="596"/>
      <c r="J174" s="596"/>
    </row>
    <row r="175" spans="1:10">
      <c r="A175" s="598"/>
      <c r="B175" s="596"/>
      <c r="C175" s="596"/>
      <c r="D175" s="596"/>
      <c r="E175" s="596"/>
      <c r="F175" s="596"/>
      <c r="G175" s="596"/>
      <c r="H175" s="596"/>
      <c r="I175" s="596"/>
      <c r="J175" s="596"/>
    </row>
    <row r="176" spans="1:10">
      <c r="A176" s="598"/>
      <c r="B176" s="596"/>
      <c r="C176" s="596"/>
      <c r="D176" s="596"/>
      <c r="E176" s="596"/>
      <c r="F176" s="596"/>
      <c r="G176" s="596"/>
      <c r="H176" s="596"/>
      <c r="I176" s="596"/>
      <c r="J176" s="596"/>
    </row>
    <row r="177" spans="1:10">
      <c r="A177" s="598"/>
      <c r="B177" s="596"/>
      <c r="C177" s="596"/>
      <c r="D177" s="596"/>
      <c r="E177" s="596"/>
      <c r="F177" s="596"/>
      <c r="G177" s="596"/>
      <c r="H177" s="596"/>
      <c r="I177" s="596"/>
      <c r="J177" s="596"/>
    </row>
    <row r="178" spans="1:10">
      <c r="A178" s="598"/>
      <c r="B178" s="596"/>
      <c r="C178" s="596"/>
      <c r="D178" s="596"/>
      <c r="E178" s="596"/>
      <c r="F178" s="596"/>
      <c r="G178" s="596"/>
      <c r="H178" s="596"/>
      <c r="I178" s="596"/>
      <c r="J178" s="596"/>
    </row>
    <row r="179" spans="1:10">
      <c r="A179" s="598"/>
      <c r="B179" s="596"/>
      <c r="C179" s="596"/>
      <c r="D179" s="596"/>
      <c r="E179" s="596"/>
      <c r="F179" s="596"/>
      <c r="G179" s="596"/>
      <c r="H179" s="596"/>
      <c r="I179" s="596"/>
      <c r="J179" s="596"/>
    </row>
    <row r="180" spans="1:10">
      <c r="A180" s="598"/>
      <c r="B180" s="596"/>
      <c r="C180" s="596"/>
      <c r="D180" s="596"/>
      <c r="E180" s="596"/>
      <c r="F180" s="596"/>
      <c r="G180" s="596"/>
      <c r="H180" s="596"/>
      <c r="I180" s="596"/>
      <c r="J180" s="596"/>
    </row>
    <row r="181" spans="1:10">
      <c r="A181" s="598"/>
      <c r="B181" s="596"/>
      <c r="C181" s="596"/>
      <c r="D181" s="596"/>
      <c r="E181" s="596"/>
      <c r="F181" s="596"/>
      <c r="G181" s="596"/>
      <c r="H181" s="596"/>
      <c r="I181" s="596"/>
      <c r="J181" s="596"/>
    </row>
    <row r="182" spans="1:10">
      <c r="A182" s="598"/>
      <c r="B182" s="596"/>
      <c r="C182" s="596"/>
      <c r="D182" s="596"/>
      <c r="E182" s="596"/>
      <c r="F182" s="596"/>
      <c r="G182" s="596"/>
      <c r="H182" s="596"/>
      <c r="I182" s="596"/>
      <c r="J182" s="596"/>
    </row>
    <row r="183" spans="1:10">
      <c r="A183" s="598"/>
      <c r="B183" s="596"/>
      <c r="C183" s="596"/>
      <c r="D183" s="596"/>
      <c r="E183" s="596"/>
      <c r="F183" s="596"/>
      <c r="G183" s="596"/>
      <c r="H183" s="596"/>
      <c r="I183" s="596"/>
      <c r="J183" s="596"/>
    </row>
    <row r="184" spans="1:10">
      <c r="A184" s="598"/>
      <c r="B184" s="596"/>
      <c r="C184" s="596"/>
      <c r="D184" s="596"/>
      <c r="E184" s="596"/>
      <c r="F184" s="596"/>
      <c r="G184" s="596"/>
      <c r="H184" s="596"/>
      <c r="I184" s="596"/>
      <c r="J184" s="596"/>
    </row>
    <row r="185" spans="1:10">
      <c r="A185" s="598"/>
      <c r="B185" s="596"/>
      <c r="C185" s="596"/>
      <c r="D185" s="596"/>
      <c r="E185" s="596"/>
      <c r="F185" s="596"/>
      <c r="G185" s="596"/>
      <c r="H185" s="596"/>
      <c r="I185" s="596"/>
      <c r="J185" s="596"/>
    </row>
    <row r="186" spans="1:10">
      <c r="A186" s="598"/>
      <c r="B186" s="596"/>
      <c r="C186" s="596"/>
      <c r="D186" s="596"/>
      <c r="E186" s="596"/>
      <c r="F186" s="596"/>
      <c r="G186" s="596"/>
      <c r="H186" s="596"/>
      <c r="I186" s="596"/>
      <c r="J186" s="596"/>
    </row>
    <row r="187" spans="1:10">
      <c r="A187" s="598"/>
      <c r="B187" s="596"/>
      <c r="C187" s="596"/>
      <c r="D187" s="596"/>
      <c r="E187" s="596"/>
      <c r="F187" s="596"/>
      <c r="G187" s="596"/>
      <c r="H187" s="596"/>
      <c r="I187" s="596"/>
      <c r="J187" s="596"/>
    </row>
    <row r="188" spans="1:10">
      <c r="A188" s="598"/>
      <c r="B188" s="596"/>
      <c r="C188" s="596"/>
      <c r="D188" s="596"/>
      <c r="E188" s="596"/>
      <c r="F188" s="596"/>
      <c r="G188" s="596"/>
      <c r="H188" s="596"/>
      <c r="I188" s="596"/>
      <c r="J188" s="596"/>
    </row>
    <row r="189" spans="1:10">
      <c r="A189" s="598"/>
      <c r="B189" s="596"/>
      <c r="C189" s="596"/>
      <c r="D189" s="596"/>
      <c r="E189" s="596"/>
      <c r="F189" s="596"/>
      <c r="G189" s="596"/>
      <c r="H189" s="596"/>
      <c r="I189" s="596"/>
      <c r="J189" s="596"/>
    </row>
    <row r="190" spans="1:10">
      <c r="A190" s="598"/>
      <c r="B190" s="596"/>
      <c r="C190" s="596"/>
      <c r="D190" s="596"/>
      <c r="E190" s="596"/>
      <c r="F190" s="596"/>
      <c r="G190" s="596"/>
      <c r="H190" s="596"/>
      <c r="I190" s="596"/>
      <c r="J190" s="596"/>
    </row>
    <row r="191" spans="1:10">
      <c r="A191" s="598"/>
      <c r="B191" s="596"/>
      <c r="C191" s="596"/>
      <c r="D191" s="596"/>
      <c r="E191" s="596"/>
      <c r="F191" s="596"/>
      <c r="G191" s="596"/>
      <c r="H191" s="596"/>
      <c r="I191" s="596"/>
      <c r="J191" s="596"/>
    </row>
    <row r="192" spans="1:10">
      <c r="A192" s="598"/>
      <c r="B192" s="596"/>
      <c r="C192" s="596"/>
      <c r="D192" s="596"/>
      <c r="E192" s="596"/>
      <c r="F192" s="596"/>
      <c r="G192" s="596"/>
      <c r="H192" s="596"/>
      <c r="I192" s="596"/>
      <c r="J192" s="596"/>
    </row>
    <row r="193" spans="1:10">
      <c r="A193" s="598"/>
      <c r="B193" s="596"/>
      <c r="C193" s="596"/>
      <c r="D193" s="596"/>
      <c r="E193" s="596"/>
      <c r="F193" s="596"/>
      <c r="G193" s="596"/>
      <c r="H193" s="596"/>
      <c r="I193" s="596"/>
      <c r="J193" s="596"/>
    </row>
    <row r="194" spans="1:10">
      <c r="A194" s="598"/>
      <c r="B194" s="596"/>
      <c r="C194" s="596"/>
      <c r="D194" s="596"/>
      <c r="E194" s="596"/>
      <c r="F194" s="596"/>
      <c r="G194" s="596"/>
      <c r="H194" s="596"/>
      <c r="I194" s="596"/>
      <c r="J194" s="596"/>
    </row>
    <row r="195" spans="1:10">
      <c r="A195" s="598"/>
      <c r="B195" s="596"/>
      <c r="C195" s="596"/>
      <c r="D195" s="596"/>
      <c r="E195" s="596"/>
      <c r="F195" s="596"/>
      <c r="G195" s="596"/>
      <c r="H195" s="596"/>
      <c r="I195" s="596"/>
      <c r="J195" s="596"/>
    </row>
    <row r="196" spans="1:10">
      <c r="A196" s="598"/>
      <c r="B196" s="596"/>
      <c r="C196" s="596"/>
      <c r="D196" s="596"/>
      <c r="E196" s="596"/>
      <c r="F196" s="596"/>
      <c r="G196" s="596"/>
      <c r="H196" s="596"/>
      <c r="I196" s="596"/>
      <c r="J196" s="596"/>
    </row>
    <row r="197" spans="1:10">
      <c r="A197" s="598"/>
      <c r="B197" s="596"/>
      <c r="C197" s="596"/>
      <c r="D197" s="596"/>
      <c r="E197" s="596"/>
      <c r="F197" s="596"/>
      <c r="G197" s="596"/>
      <c r="H197" s="596"/>
      <c r="I197" s="596"/>
      <c r="J197" s="596"/>
    </row>
    <row r="198" spans="1:10">
      <c r="A198" s="598"/>
      <c r="B198" s="596"/>
      <c r="C198" s="596"/>
      <c r="D198" s="596"/>
      <c r="E198" s="596"/>
      <c r="F198" s="596"/>
      <c r="G198" s="596"/>
      <c r="H198" s="596"/>
      <c r="I198" s="596"/>
      <c r="J198" s="596"/>
    </row>
    <row r="199" spans="1:10">
      <c r="A199" s="598"/>
      <c r="B199" s="596"/>
      <c r="C199" s="596"/>
      <c r="D199" s="596"/>
      <c r="E199" s="596"/>
      <c r="F199" s="596"/>
      <c r="G199" s="596"/>
      <c r="H199" s="596"/>
      <c r="I199" s="596"/>
      <c r="J199" s="596"/>
    </row>
    <row r="200" spans="1:10">
      <c r="A200" s="598"/>
      <c r="B200" s="596"/>
      <c r="C200" s="596"/>
      <c r="D200" s="596"/>
      <c r="E200" s="596"/>
      <c r="F200" s="596"/>
      <c r="G200" s="596"/>
      <c r="H200" s="596"/>
      <c r="I200" s="596"/>
      <c r="J200" s="596"/>
    </row>
    <row r="201" spans="1:10">
      <c r="A201" s="14"/>
      <c r="B201" s="600"/>
      <c r="C201" s="600"/>
      <c r="D201" s="600"/>
      <c r="E201" s="600"/>
      <c r="F201" s="600"/>
      <c r="G201" s="600"/>
      <c r="H201" s="600"/>
      <c r="I201" s="600"/>
      <c r="J201" s="600"/>
    </row>
    <row r="202" spans="1:10">
      <c r="A202" s="598"/>
      <c r="B202" s="596"/>
      <c r="C202" s="596"/>
      <c r="D202" s="596"/>
      <c r="E202" s="596"/>
      <c r="F202" s="596"/>
      <c r="G202" s="596"/>
      <c r="H202" s="596"/>
      <c r="I202" s="596"/>
      <c r="J202" s="596"/>
    </row>
  </sheetData>
  <mergeCells count="1">
    <mergeCell ref="A1:H1"/>
  </mergeCells>
  <printOptions horizontalCentered="1"/>
  <pageMargins left="0.5" right="0.5" top="1" bottom="0.5" header="0.5" footer="0.5"/>
  <pageSetup scale="48" fitToHeight="3" orientation="portrait" r:id="rId1"/>
  <headerFooter alignWithMargins="0"/>
  <rowBreaks count="2" manualBreakCount="2">
    <brk id="45" max="16383" man="1"/>
    <brk id="10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V133"/>
  <sheetViews>
    <sheetView view="pageBreakPreview" topLeftCell="A37" zoomScale="50" zoomScaleNormal="80" zoomScaleSheetLayoutView="50" workbookViewId="0">
      <selection activeCell="A91" sqref="A1:XFD1048576"/>
    </sheetView>
  </sheetViews>
  <sheetFormatPr defaultColWidth="11.453125" defaultRowHeight="12.5"/>
  <cols>
    <col min="1" max="1" width="7.7265625" style="1136" customWidth="1"/>
    <col min="2" max="2" width="1.81640625" style="1136" customWidth="1"/>
    <col min="3" max="3" width="55" style="1136" customWidth="1"/>
    <col min="4" max="4" width="17.7265625" style="1136" customWidth="1"/>
    <col min="5" max="5" width="22.54296875" style="1136" customWidth="1"/>
    <col min="6" max="6" width="16.81640625" style="1136" customWidth="1"/>
    <col min="7" max="7" width="18.54296875" style="1136" customWidth="1"/>
    <col min="8" max="8" width="31.453125" style="1136" customWidth="1"/>
    <col min="9" max="9" width="17.7265625" style="1136" customWidth="1"/>
    <col min="10" max="10" width="18.54296875" style="1136" customWidth="1"/>
    <col min="11" max="11" width="17.453125" style="1136" customWidth="1"/>
    <col min="12" max="12" width="17.7265625" style="1136" customWidth="1"/>
    <col min="13" max="13" width="15.453125" style="1136" customWidth="1"/>
    <col min="14" max="14" width="16.26953125" style="1136" customWidth="1"/>
    <col min="15" max="15" width="18.54296875" style="1136" customWidth="1"/>
    <col min="16" max="16" width="15.26953125" style="1136" customWidth="1"/>
    <col min="17" max="17" width="16.7265625" style="1136" customWidth="1"/>
    <col min="18" max="18" width="16" style="1136" customWidth="1"/>
    <col min="19" max="19" width="16.7265625" style="1136" customWidth="1"/>
    <col min="20" max="20" width="14.54296875" style="1138" bestFit="1" customWidth="1"/>
    <col min="21" max="16384" width="11.453125" style="1136"/>
  </cols>
  <sheetData>
    <row r="1" spans="1:21" ht="18">
      <c r="D1" s="1139"/>
      <c r="E1" s="1139"/>
      <c r="F1" s="1139"/>
      <c r="G1" s="553" t="str">
        <f>'ATT H-3D'!$A$4</f>
        <v>Delmarva Power &amp; Light Company</v>
      </c>
      <c r="H1" s="1139"/>
      <c r="I1" s="1139"/>
      <c r="J1" s="1139"/>
      <c r="K1" s="1140"/>
      <c r="L1" s="1141"/>
      <c r="M1" s="1142"/>
      <c r="N1" s="1142"/>
      <c r="O1" s="1142"/>
      <c r="P1" s="1142"/>
      <c r="Q1" s="1142"/>
      <c r="R1" s="1143"/>
      <c r="S1" s="1143"/>
      <c r="T1" s="1144"/>
      <c r="U1" s="1143"/>
    </row>
    <row r="2" spans="1:21" ht="15.5">
      <c r="D2" s="1139"/>
      <c r="E2" s="1145" t="s">
        <v>83</v>
      </c>
      <c r="F2" s="1145"/>
      <c r="G2" s="1241" t="s">
        <v>276</v>
      </c>
      <c r="H2" s="1145"/>
      <c r="I2" s="1145"/>
      <c r="J2" s="1145"/>
      <c r="K2" s="1140"/>
      <c r="P2" s="1143"/>
      <c r="Q2" s="1140"/>
      <c r="R2" s="1143"/>
      <c r="S2" s="1147"/>
      <c r="T2" s="1144"/>
      <c r="U2" s="1143"/>
    </row>
    <row r="3" spans="1:21" ht="15.5">
      <c r="C3" s="1143"/>
      <c r="D3" s="1143"/>
      <c r="E3" s="1143"/>
      <c r="F3" s="1143"/>
      <c r="G3" s="1242" t="s">
        <v>1160</v>
      </c>
      <c r="H3" s="1143"/>
      <c r="I3" s="1143"/>
      <c r="J3" s="1143"/>
      <c r="K3" s="1143"/>
      <c r="P3" s="1143"/>
      <c r="Q3" s="1143"/>
      <c r="R3" s="1143"/>
      <c r="S3" s="1148"/>
      <c r="T3" s="1144"/>
      <c r="U3" s="1143"/>
    </row>
    <row r="4" spans="1:21">
      <c r="A4" s="1146"/>
      <c r="C4" s="1143"/>
      <c r="D4" s="1143"/>
      <c r="E4" s="1143"/>
      <c r="F4" s="1143"/>
      <c r="G4" s="1146"/>
      <c r="H4" s="1143"/>
      <c r="I4" s="1143"/>
      <c r="J4" s="1143"/>
      <c r="K4" s="1143"/>
      <c r="L4" s="1143"/>
      <c r="M4" s="1143"/>
      <c r="N4" s="1143"/>
      <c r="O4" s="1143"/>
      <c r="P4" s="1143"/>
      <c r="Q4" s="1143"/>
      <c r="R4" s="1143"/>
      <c r="S4" s="1148"/>
      <c r="T4" s="1144"/>
      <c r="U4" s="1143"/>
    </row>
    <row r="5" spans="1:21">
      <c r="A5" s="1146"/>
      <c r="C5" s="1143"/>
      <c r="D5" s="1143"/>
      <c r="E5" s="1143"/>
      <c r="F5" s="1143"/>
      <c r="G5" s="1149"/>
      <c r="H5" s="1143"/>
      <c r="I5" s="1143"/>
      <c r="J5" s="1143"/>
      <c r="K5" s="1143"/>
      <c r="L5" s="1143"/>
      <c r="M5" s="1143"/>
      <c r="N5" s="1143"/>
      <c r="O5" s="1143"/>
      <c r="P5" s="1143"/>
      <c r="Q5" s="1143"/>
      <c r="R5" s="1143"/>
      <c r="S5" s="1148"/>
      <c r="T5" s="1144"/>
      <c r="U5" s="1143"/>
    </row>
    <row r="6" spans="1:21">
      <c r="A6" s="1146"/>
      <c r="C6" s="1143" t="s">
        <v>1461</v>
      </c>
      <c r="D6" s="1143"/>
      <c r="E6" s="1143"/>
      <c r="F6" s="1143"/>
      <c r="G6" s="1149"/>
      <c r="H6" s="1143"/>
      <c r="I6" s="1143"/>
      <c r="J6" s="1143"/>
      <c r="K6" s="1143"/>
      <c r="L6" s="1143"/>
      <c r="M6" s="1143"/>
      <c r="N6" s="1143"/>
      <c r="O6" s="1143"/>
      <c r="P6" s="1143"/>
      <c r="Q6" s="1143"/>
      <c r="R6" s="1143"/>
      <c r="S6" s="1148"/>
      <c r="T6" s="1144"/>
      <c r="U6" s="1143"/>
    </row>
    <row r="7" spans="1:21">
      <c r="A7" s="1146"/>
      <c r="C7" s="1143"/>
      <c r="D7" s="1143"/>
      <c r="E7" s="1143"/>
      <c r="F7" s="1143"/>
      <c r="G7" s="1149"/>
      <c r="L7" s="1143"/>
      <c r="M7" s="1143"/>
      <c r="N7" s="1143"/>
      <c r="O7" s="1143"/>
      <c r="P7" s="1143"/>
      <c r="Q7" s="1143"/>
      <c r="R7" s="1143"/>
      <c r="S7" s="1143"/>
      <c r="T7" s="940"/>
      <c r="U7" s="1143"/>
    </row>
    <row r="8" spans="1:21">
      <c r="A8" s="1146"/>
      <c r="C8" s="1143"/>
      <c r="D8" s="1143"/>
      <c r="E8" s="1143"/>
      <c r="F8" s="1143"/>
      <c r="G8" s="1143"/>
      <c r="L8" s="1150"/>
      <c r="M8" s="1150"/>
      <c r="N8" s="1150"/>
      <c r="O8" s="1150"/>
      <c r="P8" s="1143"/>
      <c r="Q8" s="1143"/>
      <c r="R8" s="1143"/>
      <c r="S8" s="1143"/>
      <c r="T8" s="940"/>
      <c r="U8" s="1143"/>
    </row>
    <row r="9" spans="1:21">
      <c r="C9" s="1151" t="s">
        <v>541</v>
      </c>
      <c r="D9" s="1151"/>
      <c r="E9" s="1151" t="s">
        <v>542</v>
      </c>
      <c r="F9" s="1151"/>
      <c r="I9" s="1151" t="s">
        <v>543</v>
      </c>
      <c r="L9" s="1152" t="s">
        <v>544</v>
      </c>
      <c r="M9" s="1152"/>
      <c r="N9" s="1152"/>
      <c r="O9" s="1152"/>
      <c r="P9" s="1145"/>
      <c r="Q9" s="1152"/>
      <c r="R9" s="1145"/>
      <c r="S9" s="1152"/>
      <c r="U9" s="1153"/>
    </row>
    <row r="10" spans="1:21" ht="13">
      <c r="C10" s="1153"/>
      <c r="D10" s="1153"/>
      <c r="E10" s="1154" t="s">
        <v>1462</v>
      </c>
      <c r="F10" s="1154"/>
      <c r="I10" s="1145"/>
      <c r="P10" s="1145"/>
      <c r="R10" s="1145"/>
      <c r="S10" s="1151"/>
      <c r="T10" s="1155"/>
      <c r="U10" s="1153"/>
    </row>
    <row r="11" spans="1:21" ht="13">
      <c r="A11" s="1146" t="s">
        <v>545</v>
      </c>
      <c r="C11" s="1153"/>
      <c r="D11" s="1153"/>
      <c r="E11" s="1156" t="s">
        <v>546</v>
      </c>
      <c r="F11" s="1156"/>
      <c r="I11" s="1157" t="s">
        <v>208</v>
      </c>
      <c r="L11" s="1157" t="s">
        <v>216</v>
      </c>
      <c r="M11" s="1157"/>
      <c r="N11" s="1157"/>
      <c r="O11" s="1157"/>
      <c r="P11" s="1145"/>
      <c r="R11" s="1143"/>
      <c r="S11" s="1158"/>
      <c r="T11" s="1155"/>
      <c r="U11" s="1153"/>
    </row>
    <row r="12" spans="1:21" ht="13">
      <c r="A12" s="1146" t="s">
        <v>547</v>
      </c>
      <c r="C12" s="1159"/>
      <c r="D12" s="1159"/>
      <c r="E12" s="1145"/>
      <c r="F12" s="1145"/>
      <c r="I12" s="1145"/>
      <c r="L12" s="1145"/>
      <c r="M12" s="1145"/>
      <c r="N12" s="1145"/>
      <c r="O12" s="1145"/>
      <c r="P12" s="1145"/>
      <c r="Q12" s="1145"/>
      <c r="R12" s="1143"/>
      <c r="S12" s="1145"/>
      <c r="U12" s="1153"/>
    </row>
    <row r="13" spans="1:21" ht="13">
      <c r="A13" s="1160"/>
      <c r="C13" s="1153"/>
      <c r="D13" s="1153"/>
      <c r="E13" s="1145"/>
      <c r="F13" s="1145"/>
      <c r="I13" s="1145"/>
      <c r="L13" s="1145"/>
      <c r="M13" s="1145"/>
      <c r="N13" s="1145"/>
      <c r="O13" s="1145"/>
      <c r="P13" s="1145"/>
      <c r="Q13" s="1145"/>
      <c r="R13" s="1143"/>
      <c r="S13" s="1145"/>
      <c r="U13" s="1153"/>
    </row>
    <row r="14" spans="1:21">
      <c r="A14" s="1161">
        <v>1</v>
      </c>
      <c r="C14" s="1153" t="s">
        <v>548</v>
      </c>
      <c r="D14" s="1153"/>
      <c r="E14" s="1162" t="s">
        <v>759</v>
      </c>
      <c r="F14" s="1161"/>
      <c r="I14" s="1138">
        <f>+'9 - Rate Base'!C26</f>
        <v>1858953079.6881201</v>
      </c>
      <c r="P14" s="1145"/>
      <c r="Q14" s="1145"/>
      <c r="R14" s="1143"/>
      <c r="S14" s="1145"/>
      <c r="U14" s="1153"/>
    </row>
    <row r="15" spans="1:21" ht="15.5">
      <c r="A15" s="1161">
        <v>2</v>
      </c>
      <c r="C15" s="1153" t="s">
        <v>549</v>
      </c>
      <c r="D15" s="1153"/>
      <c r="E15" s="1162" t="s">
        <v>1559</v>
      </c>
      <c r="F15" s="1161"/>
      <c r="I15" s="1138">
        <f>+'9 - Rate Base'!K26</f>
        <v>1389121340.0927351</v>
      </c>
      <c r="M15" s="691"/>
      <c r="P15" s="1145"/>
      <c r="Q15" s="1145"/>
      <c r="R15" s="1143"/>
      <c r="S15" s="1145"/>
      <c r="U15" s="1153"/>
    </row>
    <row r="16" spans="1:21">
      <c r="A16" s="1161"/>
      <c r="E16" s="1162"/>
      <c r="F16" s="1161"/>
      <c r="P16" s="1145"/>
      <c r="Q16" s="1145"/>
      <c r="R16" s="1143"/>
      <c r="S16" s="1145"/>
      <c r="U16" s="1153"/>
    </row>
    <row r="17" spans="1:21">
      <c r="A17" s="1161"/>
      <c r="C17" s="1153" t="s">
        <v>550</v>
      </c>
      <c r="D17" s="1153"/>
      <c r="E17" s="1162"/>
      <c r="F17" s="1161"/>
      <c r="I17" s="1145"/>
      <c r="L17" s="1145"/>
      <c r="M17" s="1145"/>
      <c r="N17" s="1145"/>
      <c r="O17" s="1145"/>
      <c r="P17" s="1145"/>
      <c r="Q17" s="1145"/>
      <c r="R17" s="1145"/>
      <c r="S17" s="1145"/>
      <c r="U17" s="1153"/>
    </row>
    <row r="18" spans="1:21">
      <c r="A18" s="1161">
        <v>3</v>
      </c>
      <c r="C18" s="1153" t="s">
        <v>551</v>
      </c>
      <c r="D18" s="1153"/>
      <c r="E18" s="1162" t="s">
        <v>1463</v>
      </c>
      <c r="F18" s="1161"/>
      <c r="I18" s="1138">
        <f>+'ATT H-3D'!H179</f>
        <v>37977526.53629303</v>
      </c>
      <c r="P18" s="1145"/>
      <c r="Q18" s="1145"/>
      <c r="R18" s="1145"/>
      <c r="S18" s="1145"/>
      <c r="U18" s="1153"/>
    </row>
    <row r="19" spans="1:21" ht="13">
      <c r="A19" s="1161">
        <v>4</v>
      </c>
      <c r="C19" s="1153" t="s">
        <v>552</v>
      </c>
      <c r="D19" s="1153"/>
      <c r="E19" s="1162" t="s">
        <v>553</v>
      </c>
      <c r="F19" s="1161"/>
      <c r="I19" s="1163">
        <f>IF(I$14=0,0,I18/I$14)</f>
        <v>2.042952398920396E-2</v>
      </c>
      <c r="L19" s="1164">
        <f>I19</f>
        <v>2.042952398920396E-2</v>
      </c>
      <c r="M19" s="1165"/>
      <c r="N19" s="1165"/>
      <c r="O19" s="1165"/>
      <c r="P19" s="1145"/>
      <c r="Q19" s="1166"/>
      <c r="R19" s="1167"/>
      <c r="S19" s="1168"/>
      <c r="U19" s="1153"/>
    </row>
    <row r="20" spans="1:21" ht="13">
      <c r="A20" s="1161"/>
      <c r="C20" s="1153"/>
      <c r="D20" s="1153"/>
      <c r="E20" s="1162"/>
      <c r="F20" s="1161"/>
      <c r="I20" s="1169"/>
      <c r="L20" s="1164"/>
      <c r="M20" s="1165"/>
      <c r="N20" s="1165"/>
      <c r="O20" s="1165"/>
      <c r="P20" s="1145"/>
      <c r="Q20" s="1166"/>
      <c r="R20" s="1167"/>
      <c r="S20" s="1168"/>
      <c r="U20" s="1153"/>
    </row>
    <row r="21" spans="1:21" ht="13">
      <c r="A21" s="1152"/>
      <c r="C21" s="1153" t="s">
        <v>554</v>
      </c>
      <c r="D21" s="1153"/>
      <c r="E21" s="1170"/>
      <c r="F21" s="1171"/>
      <c r="I21" s="1145"/>
      <c r="L21" s="1163"/>
      <c r="M21" s="1145"/>
      <c r="N21" s="1145"/>
      <c r="O21" s="1145"/>
      <c r="P21" s="1145"/>
      <c r="Q21" s="1166"/>
      <c r="R21" s="1167"/>
      <c r="S21" s="1168"/>
      <c r="U21" s="1153"/>
    </row>
    <row r="22" spans="1:21" ht="13">
      <c r="A22" s="1152" t="s">
        <v>555</v>
      </c>
      <c r="C22" s="1153" t="s">
        <v>556</v>
      </c>
      <c r="D22" s="1153"/>
      <c r="E22" s="1172" t="s">
        <v>1464</v>
      </c>
      <c r="F22" s="1161"/>
      <c r="I22" s="1138">
        <f>+'ATT H-3D'!H195+'ATT H-3D'!H201</f>
        <v>5732236.2382676927</v>
      </c>
      <c r="L22" s="1163"/>
      <c r="P22" s="1145"/>
      <c r="Q22" s="1166"/>
      <c r="R22" s="1167"/>
      <c r="S22" s="1168"/>
      <c r="U22" s="1153"/>
    </row>
    <row r="23" spans="1:21" ht="13">
      <c r="A23" s="1152" t="s">
        <v>557</v>
      </c>
      <c r="C23" s="1153" t="s">
        <v>558</v>
      </c>
      <c r="D23" s="1153"/>
      <c r="E23" s="1162" t="s">
        <v>559</v>
      </c>
      <c r="F23" s="1161"/>
      <c r="I23" s="1173">
        <f>IF(I22=0,0,I22/I14)</f>
        <v>3.0835830666739584E-3</v>
      </c>
      <c r="J23" s="1173"/>
      <c r="K23" s="1173"/>
      <c r="L23" s="1164">
        <f>I23</f>
        <v>3.0835830666739584E-3</v>
      </c>
      <c r="M23" s="1165"/>
      <c r="N23" s="1165"/>
      <c r="O23" s="1165"/>
      <c r="P23" s="1145"/>
      <c r="Q23" s="1166"/>
      <c r="R23" s="1167"/>
      <c r="S23" s="1168"/>
      <c r="U23" s="1153"/>
    </row>
    <row r="24" spans="1:21" ht="13">
      <c r="A24" s="1161"/>
      <c r="C24" s="1153"/>
      <c r="D24" s="1153"/>
      <c r="E24" s="1162"/>
      <c r="F24" s="1161"/>
      <c r="I24" s="1173"/>
      <c r="J24" s="1173"/>
      <c r="K24" s="1173"/>
      <c r="L24" s="1164"/>
      <c r="M24" s="1165"/>
      <c r="N24" s="1165"/>
      <c r="O24" s="1165"/>
      <c r="P24" s="1145"/>
      <c r="Q24" s="1166"/>
      <c r="R24" s="1167"/>
      <c r="S24" s="1168"/>
      <c r="U24" s="1153"/>
    </row>
    <row r="25" spans="1:21">
      <c r="A25" s="1152"/>
      <c r="C25" s="1153" t="s">
        <v>560</v>
      </c>
      <c r="D25" s="1153"/>
      <c r="E25" s="1170"/>
      <c r="F25" s="1171"/>
      <c r="I25" s="1173"/>
      <c r="J25" s="1173"/>
      <c r="K25" s="1173"/>
      <c r="L25" s="1163"/>
      <c r="M25" s="1145"/>
      <c r="N25" s="1145"/>
      <c r="O25" s="1145"/>
      <c r="P25" s="1145"/>
      <c r="Q25" s="1145"/>
      <c r="R25" s="1145"/>
      <c r="S25" s="1145"/>
      <c r="U25" s="1153"/>
    </row>
    <row r="26" spans="1:21" ht="13">
      <c r="A26" s="1152" t="s">
        <v>561</v>
      </c>
      <c r="C26" s="1153" t="s">
        <v>562</v>
      </c>
      <c r="D26" s="1153"/>
      <c r="E26" s="1162" t="s">
        <v>1465</v>
      </c>
      <c r="F26" s="1161"/>
      <c r="I26" s="1138">
        <f>+'ATT H-3D'!H210</f>
        <v>12937075.68536674</v>
      </c>
      <c r="J26" s="1173"/>
      <c r="K26" s="1173"/>
      <c r="L26" s="1163"/>
      <c r="P26" s="1145"/>
      <c r="Q26" s="1158"/>
      <c r="R26" s="1145"/>
      <c r="S26" s="1161"/>
      <c r="T26" s="1155"/>
      <c r="U26" s="1153"/>
    </row>
    <row r="27" spans="1:21" ht="13">
      <c r="A27" s="1152" t="s">
        <v>563</v>
      </c>
      <c r="C27" s="1153" t="s">
        <v>564</v>
      </c>
      <c r="D27" s="1153"/>
      <c r="E27" s="1162" t="s">
        <v>565</v>
      </c>
      <c r="F27" s="1161"/>
      <c r="I27" s="1173">
        <f>IF(I26=0,0,I26/I14)</f>
        <v>6.9593341686371218E-3</v>
      </c>
      <c r="J27" s="1173"/>
      <c r="K27" s="1173"/>
      <c r="L27" s="1164">
        <f>I27</f>
        <v>6.9593341686371218E-3</v>
      </c>
      <c r="M27" s="1165"/>
      <c r="N27" s="1165"/>
      <c r="O27" s="1165"/>
      <c r="P27" s="1145"/>
      <c r="Q27" s="1166"/>
      <c r="R27" s="1145"/>
      <c r="S27" s="1168"/>
      <c r="T27" s="1155"/>
      <c r="U27" s="1153"/>
    </row>
    <row r="28" spans="1:21">
      <c r="A28" s="1152"/>
      <c r="C28" s="1153"/>
      <c r="D28" s="1153"/>
      <c r="E28" s="1162"/>
      <c r="F28" s="1161"/>
      <c r="I28" s="1145"/>
      <c r="L28" s="1163"/>
      <c r="M28" s="1145"/>
      <c r="N28" s="1145"/>
      <c r="O28" s="1145"/>
      <c r="P28" s="1145"/>
      <c r="U28" s="1153"/>
    </row>
    <row r="29" spans="1:21">
      <c r="A29" s="1152" t="s">
        <v>566</v>
      </c>
      <c r="C29" s="1153" t="s">
        <v>737</v>
      </c>
      <c r="D29" s="1153"/>
      <c r="E29" s="1162" t="s">
        <v>1466</v>
      </c>
      <c r="F29" s="1161"/>
      <c r="I29" s="1138">
        <f>-'ATT H-3D'!H306</f>
        <v>-9893336.6573195569</v>
      </c>
      <c r="L29" s="1163"/>
      <c r="M29" s="1145"/>
      <c r="N29" s="1145"/>
      <c r="O29" s="1145"/>
      <c r="P29" s="1145"/>
      <c r="U29" s="1153"/>
    </row>
    <row r="30" spans="1:21">
      <c r="A30" s="1152" t="s">
        <v>567</v>
      </c>
      <c r="C30" s="1153" t="s">
        <v>568</v>
      </c>
      <c r="D30" s="1153"/>
      <c r="E30" s="1162" t="s">
        <v>569</v>
      </c>
      <c r="F30" s="1161"/>
      <c r="I30" s="1163">
        <f>IF(I$14=0,0,I29/I$14)</f>
        <v>-5.3219937422946577E-3</v>
      </c>
      <c r="L30" s="1163">
        <f>+I30</f>
        <v>-5.3219937422946577E-3</v>
      </c>
      <c r="M30" s="1145"/>
      <c r="N30" s="1145"/>
      <c r="O30" s="1145"/>
      <c r="P30" s="1145"/>
      <c r="U30" s="1153"/>
    </row>
    <row r="31" spans="1:21">
      <c r="A31" s="1152"/>
      <c r="C31" s="1153"/>
      <c r="D31" s="1153"/>
      <c r="E31" s="1162"/>
      <c r="F31" s="1161"/>
      <c r="I31" s="1145"/>
      <c r="L31" s="1163"/>
      <c r="M31" s="1145"/>
      <c r="N31" s="1145"/>
      <c r="O31" s="1145"/>
      <c r="P31" s="1145"/>
      <c r="U31" s="1153"/>
    </row>
    <row r="32" spans="1:21" ht="13">
      <c r="A32" s="1174" t="s">
        <v>570</v>
      </c>
      <c r="B32" s="1175"/>
      <c r="C32" s="1159" t="s">
        <v>571</v>
      </c>
      <c r="D32" s="1159"/>
      <c r="E32" s="1176" t="s">
        <v>572</v>
      </c>
      <c r="F32" s="1154"/>
      <c r="I32" s="1167"/>
      <c r="L32" s="1177">
        <f>L19+L23+L27+L30</f>
        <v>2.5150447482220385E-2</v>
      </c>
      <c r="M32" s="1178"/>
      <c r="N32" s="1178"/>
      <c r="O32" s="1178"/>
      <c r="P32" s="1145"/>
      <c r="U32" s="1153"/>
    </row>
    <row r="33" spans="1:21">
      <c r="A33" s="1152"/>
      <c r="C33" s="1153"/>
      <c r="D33" s="1153"/>
      <c r="E33" s="1162"/>
      <c r="F33" s="1161"/>
      <c r="I33" s="1145"/>
      <c r="L33" s="1163"/>
      <c r="M33" s="1145"/>
      <c r="N33" s="1145"/>
      <c r="O33" s="1145"/>
      <c r="P33" s="1145"/>
      <c r="Q33" s="1145"/>
      <c r="R33" s="1145"/>
      <c r="S33" s="1179"/>
      <c r="U33" s="1153"/>
    </row>
    <row r="34" spans="1:21">
      <c r="A34" s="1152"/>
      <c r="B34" s="1180"/>
      <c r="C34" s="1145" t="s">
        <v>540</v>
      </c>
      <c r="D34" s="1145"/>
      <c r="E34" s="1162"/>
      <c r="F34" s="1161"/>
      <c r="I34" s="1145"/>
      <c r="L34" s="1163"/>
      <c r="M34" s="1145"/>
      <c r="N34" s="1145"/>
      <c r="O34" s="1145"/>
      <c r="P34" s="1181"/>
      <c r="Q34" s="1180"/>
      <c r="T34" s="1155"/>
      <c r="U34" s="1145" t="s">
        <v>83</v>
      </c>
    </row>
    <row r="35" spans="1:21">
      <c r="A35" s="1152" t="s">
        <v>573</v>
      </c>
      <c r="B35" s="1180"/>
      <c r="C35" s="1145" t="s">
        <v>186</v>
      </c>
      <c r="D35" s="1145"/>
      <c r="E35" s="1162" t="s">
        <v>1467</v>
      </c>
      <c r="F35" s="1161"/>
      <c r="I35" s="1138">
        <f>+'ATT H-3D'!H293</f>
        <v>6898682.8427752871</v>
      </c>
      <c r="L35" s="1163"/>
      <c r="M35" s="1145"/>
      <c r="N35" s="1145"/>
      <c r="O35" s="1145"/>
      <c r="P35" s="1181"/>
      <c r="Q35" s="1180"/>
      <c r="T35" s="1155"/>
      <c r="U35" s="1145"/>
    </row>
    <row r="36" spans="1:21">
      <c r="A36" s="1152" t="s">
        <v>574</v>
      </c>
      <c r="B36" s="1180"/>
      <c r="C36" s="1145" t="s">
        <v>575</v>
      </c>
      <c r="D36" s="1145"/>
      <c r="E36" s="1162" t="s">
        <v>576</v>
      </c>
      <c r="F36" s="1161"/>
      <c r="I36" s="1173">
        <f>IF(I15=0,0,I35/I15)</f>
        <v>4.9662204759698993E-3</v>
      </c>
      <c r="L36" s="1164">
        <f>I36</f>
        <v>4.9662204759698993E-3</v>
      </c>
      <c r="M36" s="1165"/>
      <c r="N36" s="1165"/>
      <c r="O36" s="1165"/>
      <c r="P36" s="1181"/>
      <c r="Q36" s="1180"/>
      <c r="R36" s="1145"/>
      <c r="S36" s="1145"/>
      <c r="T36" s="1155"/>
      <c r="U36" s="1145"/>
    </row>
    <row r="37" spans="1:21">
      <c r="A37" s="1152"/>
      <c r="C37" s="1145"/>
      <c r="D37" s="1145"/>
      <c r="E37" s="1162"/>
      <c r="F37" s="1161"/>
      <c r="I37" s="1145"/>
      <c r="L37" s="1163"/>
      <c r="M37" s="1145"/>
      <c r="N37" s="1145"/>
      <c r="O37" s="1145"/>
      <c r="P37" s="1145"/>
      <c r="R37" s="1143"/>
      <c r="S37" s="1145"/>
      <c r="T37" s="940"/>
      <c r="U37" s="1153"/>
    </row>
    <row r="38" spans="1:21">
      <c r="A38" s="1152"/>
      <c r="C38" s="1153" t="s">
        <v>577</v>
      </c>
      <c r="D38" s="1153"/>
      <c r="E38" s="1182"/>
      <c r="F38" s="1183"/>
      <c r="L38" s="1163"/>
      <c r="P38" s="1145"/>
      <c r="R38" s="1145"/>
      <c r="S38" s="1145"/>
      <c r="U38" s="1153"/>
    </row>
    <row r="39" spans="1:21">
      <c r="A39" s="1152" t="s">
        <v>578</v>
      </c>
      <c r="C39" s="1153" t="s">
        <v>579</v>
      </c>
      <c r="D39" s="1153"/>
      <c r="E39" s="1162" t="s">
        <v>1468</v>
      </c>
      <c r="F39" s="1161"/>
      <c r="I39" s="1138">
        <f>+'ATT H-3D'!H292</f>
        <v>77466803.586141795</v>
      </c>
      <c r="L39" s="1163"/>
      <c r="M39" s="1145"/>
      <c r="N39" s="1145"/>
      <c r="O39" s="1145"/>
      <c r="P39" s="1145"/>
      <c r="R39" s="1145"/>
      <c r="S39" s="1145"/>
      <c r="U39" s="1153"/>
    </row>
    <row r="40" spans="1:21">
      <c r="A40" s="1152" t="s">
        <v>580</v>
      </c>
      <c r="B40" s="1180"/>
      <c r="C40" s="1145" t="s">
        <v>581</v>
      </c>
      <c r="D40" s="1145"/>
      <c r="E40" s="1162" t="s">
        <v>582</v>
      </c>
      <c r="F40" s="1161"/>
      <c r="I40" s="1173">
        <f>IF(I15=0,0,I39/I15)</f>
        <v>5.5766765184796785E-2</v>
      </c>
      <c r="L40" s="1164">
        <f>I40</f>
        <v>5.5766765184796785E-2</v>
      </c>
      <c r="M40" s="1165"/>
      <c r="N40" s="1165"/>
      <c r="O40" s="1165"/>
      <c r="P40" s="1145"/>
      <c r="S40" s="1184"/>
      <c r="T40" s="1155"/>
      <c r="U40" s="1145"/>
    </row>
    <row r="41" spans="1:21">
      <c r="A41" s="1152"/>
      <c r="C41" s="1153"/>
      <c r="D41" s="1153"/>
      <c r="E41" s="1162"/>
      <c r="F41" s="1161"/>
      <c r="I41" s="1145"/>
      <c r="L41" s="1163"/>
      <c r="M41" s="1145"/>
      <c r="N41" s="1145"/>
      <c r="O41" s="1145"/>
      <c r="P41" s="1145"/>
      <c r="Q41" s="1183"/>
      <c r="R41" s="1145"/>
      <c r="S41" s="1145"/>
      <c r="U41" s="1153"/>
    </row>
    <row r="42" spans="1:21" ht="13">
      <c r="A42" s="1174" t="s">
        <v>583</v>
      </c>
      <c r="B42" s="1175"/>
      <c r="C42" s="1159" t="s">
        <v>584</v>
      </c>
      <c r="D42" s="1159"/>
      <c r="E42" s="1176" t="s">
        <v>585</v>
      </c>
      <c r="F42" s="1154"/>
      <c r="I42" s="1173">
        <f>+I40+I36</f>
        <v>6.0732985660766681E-2</v>
      </c>
      <c r="L42" s="1177">
        <f>L36+L40</f>
        <v>6.0732985660766681E-2</v>
      </c>
      <c r="M42" s="1178"/>
      <c r="N42" s="1178"/>
      <c r="O42" s="1178"/>
      <c r="P42" s="1145"/>
      <c r="Q42" s="1183"/>
      <c r="R42" s="1145"/>
      <c r="S42" s="1145"/>
      <c r="U42" s="1153"/>
    </row>
    <row r="43" spans="1:21">
      <c r="P43" s="1185"/>
      <c r="Q43" s="1185"/>
      <c r="R43" s="1145"/>
      <c r="S43" s="1145"/>
      <c r="U43" s="1153"/>
    </row>
    <row r="44" spans="1:21">
      <c r="P44" s="1185"/>
      <c r="Q44" s="1185"/>
      <c r="R44" s="1145"/>
      <c r="S44" s="1145"/>
      <c r="U44" s="1153"/>
    </row>
    <row r="45" spans="1:21" ht="13">
      <c r="A45" s="1186"/>
      <c r="C45" s="1152"/>
      <c r="D45" s="1152"/>
      <c r="E45" s="1682"/>
      <c r="F45" s="1171"/>
      <c r="G45" s="1145"/>
      <c r="J45" s="1169"/>
      <c r="P45" s="1145"/>
      <c r="Q45" s="1166"/>
      <c r="R45" s="1187"/>
      <c r="S45" s="1145"/>
      <c r="T45" s="1155"/>
      <c r="U45" s="1145"/>
    </row>
    <row r="46" spans="1:21">
      <c r="A46" s="1146"/>
      <c r="G46" s="1145"/>
      <c r="P46" s="1145"/>
      <c r="Q46" s="1145"/>
      <c r="R46" s="1145"/>
      <c r="S46" s="1145"/>
      <c r="T46" s="1155"/>
      <c r="U46" s="1145" t="s">
        <v>83</v>
      </c>
    </row>
    <row r="47" spans="1:21">
      <c r="Q47" s="1137"/>
    </row>
    <row r="48" spans="1:21">
      <c r="Q48" s="1137"/>
    </row>
    <row r="50" spans="1:21">
      <c r="A50" s="1146"/>
      <c r="G50" s="1145"/>
      <c r="P50" s="1145"/>
      <c r="Q50" s="1137"/>
      <c r="R50" s="1145"/>
      <c r="S50" s="1143"/>
      <c r="U50" s="1153"/>
    </row>
    <row r="51" spans="1:21" ht="18">
      <c r="A51" s="1146"/>
      <c r="C51" s="1153"/>
      <c r="D51" s="1153"/>
      <c r="G51" s="553" t="str">
        <f>'ATT H-3D'!$A$4</f>
        <v>Delmarva Power &amp; Light Company</v>
      </c>
      <c r="H51" s="1171"/>
      <c r="P51" s="1145"/>
      <c r="Q51" s="1137"/>
      <c r="R51" s="1145"/>
      <c r="U51" s="1153"/>
    </row>
    <row r="52" spans="1:21" ht="15.5">
      <c r="A52" s="1146"/>
      <c r="C52" s="1153"/>
      <c r="D52" s="1153"/>
      <c r="G52" s="1313" t="s">
        <v>276</v>
      </c>
      <c r="H52" s="1171"/>
      <c r="L52" s="1145"/>
      <c r="M52" s="1145"/>
      <c r="N52" s="1145"/>
      <c r="O52" s="1145"/>
      <c r="P52" s="1145"/>
      <c r="R52" s="1145"/>
      <c r="S52" s="1143"/>
      <c r="U52" s="1153"/>
    </row>
    <row r="53" spans="1:21" ht="14.25" customHeight="1">
      <c r="A53" s="1146"/>
      <c r="G53" s="1242" t="s">
        <v>1160</v>
      </c>
      <c r="P53" s="1145"/>
      <c r="R53" s="1145"/>
      <c r="S53" s="1143"/>
      <c r="U53" s="1153"/>
    </row>
    <row r="54" spans="1:21">
      <c r="A54" s="1146"/>
      <c r="G54" s="1171"/>
      <c r="H54" s="1171"/>
      <c r="P54" s="1145"/>
      <c r="Q54" s="1145"/>
      <c r="R54" s="1145"/>
      <c r="S54" s="1143"/>
      <c r="U54" s="1153"/>
    </row>
    <row r="55" spans="1:21">
      <c r="A55" s="1146"/>
      <c r="E55" s="1153"/>
      <c r="F55" s="1153"/>
      <c r="G55" s="1153"/>
      <c r="H55" s="1153"/>
      <c r="I55" s="1153"/>
      <c r="J55" s="1153"/>
      <c r="K55" s="1153"/>
      <c r="L55" s="1153"/>
      <c r="M55" s="1153"/>
      <c r="N55" s="1153"/>
      <c r="O55" s="1153"/>
      <c r="P55" s="1153"/>
      <c r="Q55" s="1153"/>
      <c r="R55" s="1145"/>
      <c r="S55" s="1143"/>
      <c r="U55" s="1153"/>
    </row>
    <row r="56" spans="1:21" ht="13">
      <c r="A56" s="1146"/>
      <c r="E56" s="1159"/>
      <c r="F56" s="1159"/>
      <c r="H56" s="1153"/>
      <c r="I56" s="1143"/>
      <c r="J56" s="1143"/>
      <c r="K56" s="1143"/>
      <c r="L56" s="1143"/>
      <c r="M56" s="1143"/>
      <c r="N56" s="1143"/>
      <c r="O56" s="1143"/>
      <c r="P56" s="1145"/>
      <c r="Q56" s="1145"/>
      <c r="R56" s="1145"/>
      <c r="S56" s="1143"/>
      <c r="U56" s="1153"/>
    </row>
    <row r="57" spans="1:21" ht="13">
      <c r="A57" s="1146"/>
      <c r="E57" s="1159"/>
      <c r="F57" s="1159"/>
      <c r="G57" s="1159"/>
      <c r="H57" s="1153"/>
      <c r="I57" s="1143"/>
      <c r="J57" s="1143"/>
      <c r="K57" s="1143"/>
      <c r="L57" s="1143"/>
      <c r="M57" s="1143"/>
      <c r="N57" s="1143"/>
      <c r="O57" s="1143"/>
      <c r="P57" s="1145"/>
      <c r="Q57" s="1145"/>
      <c r="R57" s="1145"/>
      <c r="S57" s="1143"/>
      <c r="U57" s="1153"/>
    </row>
    <row r="58" spans="1:21" ht="13">
      <c r="A58" s="1146"/>
      <c r="C58" s="1188">
        <v>-1</v>
      </c>
      <c r="D58" s="1188">
        <v>-2</v>
      </c>
      <c r="E58" s="1188">
        <v>-3</v>
      </c>
      <c r="F58" s="1188">
        <v>-4</v>
      </c>
      <c r="G58" s="1188">
        <v>-5</v>
      </c>
      <c r="H58" s="1188">
        <v>-6</v>
      </c>
      <c r="I58" s="1188">
        <v>-7</v>
      </c>
      <c r="J58" s="1188">
        <v>-8</v>
      </c>
      <c r="K58" s="1188">
        <v>-9</v>
      </c>
      <c r="L58" s="1188">
        <v>-10</v>
      </c>
      <c r="M58" s="1188">
        <v>-11</v>
      </c>
      <c r="N58" s="1188">
        <v>-12</v>
      </c>
      <c r="O58" s="1188">
        <v>-13</v>
      </c>
      <c r="P58" s="1189" t="s">
        <v>586</v>
      </c>
      <c r="Q58" s="1189" t="s">
        <v>587</v>
      </c>
      <c r="U58" s="1153"/>
    </row>
    <row r="59" spans="1:21" ht="53.25" customHeight="1">
      <c r="A59" s="1190" t="s">
        <v>588</v>
      </c>
      <c r="B59" s="1191"/>
      <c r="C59" s="1192" t="s">
        <v>1161</v>
      </c>
      <c r="D59" s="1193" t="s">
        <v>1162</v>
      </c>
      <c r="E59" s="1194" t="s">
        <v>591</v>
      </c>
      <c r="F59" s="1194" t="s">
        <v>571</v>
      </c>
      <c r="G59" s="1195" t="s">
        <v>592</v>
      </c>
      <c r="H59" s="1194" t="s">
        <v>593</v>
      </c>
      <c r="I59" s="1194" t="s">
        <v>584</v>
      </c>
      <c r="J59" s="1195" t="s">
        <v>594</v>
      </c>
      <c r="K59" s="1194" t="s">
        <v>595</v>
      </c>
      <c r="L59" s="1196" t="s">
        <v>596</v>
      </c>
      <c r="M59" s="1196" t="s">
        <v>597</v>
      </c>
      <c r="N59" s="1196" t="s">
        <v>598</v>
      </c>
      <c r="O59" s="1196" t="s">
        <v>599</v>
      </c>
      <c r="P59" s="1196" t="s">
        <v>600</v>
      </c>
      <c r="Q59" s="1196" t="s">
        <v>601</v>
      </c>
      <c r="U59" s="1153"/>
    </row>
    <row r="60" spans="1:21" ht="46.5" customHeight="1">
      <c r="A60" s="1197"/>
      <c r="B60" s="1198"/>
      <c r="C60" s="1198"/>
      <c r="D60" s="1198"/>
      <c r="E60" s="1199" t="s">
        <v>64</v>
      </c>
      <c r="F60" s="1199" t="s">
        <v>602</v>
      </c>
      <c r="G60" s="1200" t="s">
        <v>603</v>
      </c>
      <c r="H60" s="1199" t="s">
        <v>604</v>
      </c>
      <c r="I60" s="1199" t="s">
        <v>605</v>
      </c>
      <c r="J60" s="1200" t="s">
        <v>606</v>
      </c>
      <c r="K60" s="1199" t="s">
        <v>607</v>
      </c>
      <c r="L60" s="1200" t="s">
        <v>608</v>
      </c>
      <c r="M60" s="1199" t="s">
        <v>609</v>
      </c>
      <c r="N60" s="1201" t="s">
        <v>1377</v>
      </c>
      <c r="O60" s="1202" t="s">
        <v>610</v>
      </c>
      <c r="P60" s="1203" t="s">
        <v>611</v>
      </c>
      <c r="Q60" s="1202" t="s">
        <v>710</v>
      </c>
      <c r="U60" s="1153"/>
    </row>
    <row r="61" spans="1:21">
      <c r="A61" s="1204"/>
      <c r="B61" s="1143"/>
      <c r="C61" s="1143"/>
      <c r="D61" s="1143"/>
      <c r="E61" s="1143"/>
      <c r="F61" s="1143"/>
      <c r="G61" s="1205"/>
      <c r="H61" s="1143"/>
      <c r="I61" s="1143"/>
      <c r="J61" s="1205"/>
      <c r="K61" s="1143"/>
      <c r="L61" s="1205"/>
      <c r="M61" s="1206"/>
      <c r="N61" s="1205"/>
      <c r="O61" s="1205"/>
      <c r="P61" s="1145"/>
      <c r="Q61" s="1207"/>
      <c r="U61" s="1153"/>
    </row>
    <row r="62" spans="1:21">
      <c r="A62" s="1208" t="s">
        <v>199</v>
      </c>
      <c r="B62" s="1209"/>
      <c r="C62" s="1209" t="s">
        <v>612</v>
      </c>
      <c r="D62" s="1210" t="s">
        <v>613</v>
      </c>
      <c r="E62" s="1211">
        <f>+'9 - Rate Base'!C26-SUM('6-Project Rev Req'!E63:E79)</f>
        <v>1757852505.6881201</v>
      </c>
      <c r="F62" s="1173">
        <f t="shared" ref="F62:F75" si="0">$L$32</f>
        <v>2.5150447482220385E-2</v>
      </c>
      <c r="G62" s="1212">
        <f t="shared" ref="G62:G74" si="1">E62*F62</f>
        <v>44210777.125798576</v>
      </c>
      <c r="H62" s="1211">
        <f>+'9 - Rate Base'!K26-SUM(H63:H78)</f>
        <v>1315515013.7606874</v>
      </c>
      <c r="I62" s="1173">
        <f>$L$42</f>
        <v>6.0732985660766681E-2</v>
      </c>
      <c r="J62" s="1212">
        <f>H62*I62</f>
        <v>79895154.467251107</v>
      </c>
      <c r="K62" s="1213">
        <f>+'ATT H-3D'!H185-SUM('6-Project Rev Req'!K63:K78)</f>
        <v>51255195.171428569</v>
      </c>
      <c r="L62" s="1212">
        <f>G62+J62+K62</f>
        <v>175361126.76447824</v>
      </c>
      <c r="M62" s="1214">
        <v>0</v>
      </c>
      <c r="N62" s="1212">
        <v>0</v>
      </c>
      <c r="O62" s="1212">
        <f>+L62+N62</f>
        <v>175361126.76447824</v>
      </c>
      <c r="P62" s="1214"/>
      <c r="Q62" s="1212">
        <f t="shared" ref="Q62:Q74" si="2">+O62+P62</f>
        <v>175361126.76447824</v>
      </c>
    </row>
    <row r="63" spans="1:21">
      <c r="A63" s="1208" t="s">
        <v>158</v>
      </c>
      <c r="B63" s="1209"/>
      <c r="C63" s="1215" t="s">
        <v>1906</v>
      </c>
      <c r="D63" s="1215" t="s">
        <v>1907</v>
      </c>
      <c r="E63" s="1211">
        <f>+'7 - Cap Add WS '!E31</f>
        <v>14689101</v>
      </c>
      <c r="F63" s="1173">
        <f t="shared" si="0"/>
        <v>2.5150447482220385E-2</v>
      </c>
      <c r="G63" s="1212">
        <f t="shared" si="1"/>
        <v>369437.46326153091</v>
      </c>
      <c r="H63" s="1211">
        <f>AVERAGE('7 - Cap Add WS '!G61,'7 - Cap Add WS '!G63)</f>
        <v>9652837.8000000045</v>
      </c>
      <c r="I63" s="1173">
        <f t="shared" ref="I63:I75" si="3">$L$42</f>
        <v>6.0732985660766681E-2</v>
      </c>
      <c r="J63" s="1212">
        <f t="shared" ref="J63:J74" si="4">H63*I63</f>
        <v>586245.65969310689</v>
      </c>
      <c r="K63" s="1213">
        <f>+'7 - Cap Add WS '!F63</f>
        <v>419688.6</v>
      </c>
      <c r="L63" s="1212">
        <f t="shared" ref="L63" si="5">G63+J63+K63</f>
        <v>1375371.7229546378</v>
      </c>
      <c r="M63" s="1214">
        <f>+'7 - Cap Add WS '!E28</f>
        <v>150</v>
      </c>
      <c r="N63" s="1212">
        <f>+'7 - Cap Add WS '!H65-'7 - Cap Add WS '!H64</f>
        <v>74160.865366792073</v>
      </c>
      <c r="O63" s="1212">
        <f>+L63+N63</f>
        <v>1449532.5883214299</v>
      </c>
      <c r="P63" s="1214"/>
      <c r="Q63" s="1212">
        <f t="shared" si="2"/>
        <v>1449532.5883214299</v>
      </c>
    </row>
    <row r="64" spans="1:21">
      <c r="A64" s="1208" t="s">
        <v>200</v>
      </c>
      <c r="B64" s="1209"/>
      <c r="C64" s="1215" t="s">
        <v>1908</v>
      </c>
      <c r="D64" s="1215" t="s">
        <v>1909</v>
      </c>
      <c r="E64" s="1211">
        <f>+'7 - Cap Add WS '!I31</f>
        <v>3099104</v>
      </c>
      <c r="F64" s="1173">
        <f t="shared" si="0"/>
        <v>2.5150447482220385E-2</v>
      </c>
      <c r="G64" s="1212">
        <f t="shared" si="1"/>
        <v>77943.852393939116</v>
      </c>
      <c r="H64" s="1211">
        <f>AVERAGE('7 - Cap Add WS '!K61,'7 - Cap Add WS '!K63)</f>
        <v>2036554.0571428575</v>
      </c>
      <c r="I64" s="1173">
        <f t="shared" si="3"/>
        <v>6.0732985660766681E-2</v>
      </c>
      <c r="J64" s="1212">
        <f t="shared" si="4"/>
        <v>123686.00834983337</v>
      </c>
      <c r="K64" s="1213">
        <f>+'7 - Cap Add WS '!J63</f>
        <v>88545.828571428574</v>
      </c>
      <c r="L64" s="1212">
        <f>G64+J64+K64</f>
        <v>290175.68931520102</v>
      </c>
      <c r="M64" s="1214">
        <f>+'7 - Cap Add WS '!I28</f>
        <v>150</v>
      </c>
      <c r="N64" s="1212">
        <f>+'7 - Cap Add WS '!L65-'7 - Cap Add WS '!L64</f>
        <v>15646.446607024234</v>
      </c>
      <c r="O64" s="1212">
        <f t="shared" ref="O64:O74" si="6">+L64+N64</f>
        <v>305822.13592222525</v>
      </c>
      <c r="P64" s="1214"/>
      <c r="Q64" s="1212">
        <f t="shared" si="2"/>
        <v>305822.13592222525</v>
      </c>
    </row>
    <row r="65" spans="1:17">
      <c r="A65" s="1208" t="s">
        <v>201</v>
      </c>
      <c r="B65" s="1209"/>
      <c r="C65" s="1215" t="s">
        <v>1908</v>
      </c>
      <c r="D65" s="1215" t="s">
        <v>1910</v>
      </c>
      <c r="E65" s="1211">
        <f>+'7 - Cap Add WS '!M31</f>
        <v>2418717</v>
      </c>
      <c r="F65" s="1173">
        <f t="shared" si="0"/>
        <v>2.5150447482220385E-2</v>
      </c>
      <c r="G65" s="1212">
        <f t="shared" si="1"/>
        <v>60831.814882853643</v>
      </c>
      <c r="H65" s="1211">
        <f>AVERAGE('7 - Cap Add WS '!O61,'7 - Cap Add WS '!O63)</f>
        <v>1589442.6</v>
      </c>
      <c r="I65" s="1173">
        <f t="shared" si="3"/>
        <v>6.0732985660766681E-2</v>
      </c>
      <c r="J65" s="1212">
        <f t="shared" si="4"/>
        <v>96531.594634411711</v>
      </c>
      <c r="K65" s="1213">
        <f>+'7 - Cap Add WS '!N63</f>
        <v>69106.2</v>
      </c>
      <c r="L65" s="1212">
        <f>G65+J65+K65</f>
        <v>226469.60951726534</v>
      </c>
      <c r="M65" s="1214">
        <f>+'7 - Cap Add WS '!M28</f>
        <v>150</v>
      </c>
      <c r="N65" s="1212">
        <f>+'7 - Cap Add WS '!P65-'7 - Cap Add WS '!P64</f>
        <v>12211.376706945593</v>
      </c>
      <c r="O65" s="1212">
        <f t="shared" si="6"/>
        <v>238680.98622421094</v>
      </c>
      <c r="P65" s="1214"/>
      <c r="Q65" s="1212">
        <f t="shared" si="2"/>
        <v>238680.98622421094</v>
      </c>
    </row>
    <row r="66" spans="1:17">
      <c r="A66" s="1208" t="s">
        <v>202</v>
      </c>
      <c r="B66" s="1209"/>
      <c r="C66" s="1215" t="s">
        <v>1911</v>
      </c>
      <c r="D66" s="1215" t="s">
        <v>1912</v>
      </c>
      <c r="E66" s="1211">
        <f>+'7 - Cap Add WS '!Q31</f>
        <v>6414723</v>
      </c>
      <c r="F66" s="1173">
        <f t="shared" si="0"/>
        <v>2.5150447482220385E-2</v>
      </c>
      <c r="G66" s="1212">
        <f t="shared" si="1"/>
        <v>161333.1539244912</v>
      </c>
      <c r="H66" s="1211">
        <f>AVERAGE('7 - Cap Add WS '!S61,'7 - Cap Add WS '!S63)</f>
        <v>4398667.2000000011</v>
      </c>
      <c r="I66" s="1173">
        <f t="shared" si="3"/>
        <v>6.0732985660766681E-2</v>
      </c>
      <c r="J66" s="1212">
        <f t="shared" si="4"/>
        <v>267144.19198408478</v>
      </c>
      <c r="K66" s="1213">
        <f>+'7 - Cap Add WS '!R63</f>
        <v>183277.8</v>
      </c>
      <c r="L66" s="1212">
        <f t="shared" ref="L66:L74" si="7">G66+J66+K66</f>
        <v>611755.14590857597</v>
      </c>
      <c r="M66" s="1214">
        <f>+'7 - Cap Add WS '!Q28</f>
        <v>150</v>
      </c>
      <c r="N66" s="1212">
        <f>+'7 - Cap Add WS '!T65-'7 - Cap Add WS '!T64</f>
        <v>33892.338674795581</v>
      </c>
      <c r="O66" s="1212">
        <f t="shared" si="6"/>
        <v>645647.48458337155</v>
      </c>
      <c r="P66" s="1214"/>
      <c r="Q66" s="1212">
        <f t="shared" si="2"/>
        <v>645647.48458337155</v>
      </c>
    </row>
    <row r="67" spans="1:17">
      <c r="A67" s="1208" t="s">
        <v>203</v>
      </c>
      <c r="B67" s="1209"/>
      <c r="C67" s="1215" t="s">
        <v>1913</v>
      </c>
      <c r="D67" s="1215" t="s">
        <v>1914</v>
      </c>
      <c r="E67" s="1211">
        <f>+'7 - Cap Add WS '!U31</f>
        <v>8379558</v>
      </c>
      <c r="F67" s="1173">
        <f t="shared" si="0"/>
        <v>2.5150447482220385E-2</v>
      </c>
      <c r="G67" s="1212">
        <f t="shared" si="1"/>
        <v>210749.63340321969</v>
      </c>
      <c r="H67" s="1211">
        <f>AVERAGE('7 - Cap Add WS '!W61,'7 - Cap Add WS '!W63)</f>
        <v>5865690.6000000034</v>
      </c>
      <c r="I67" s="1173">
        <f t="shared" si="3"/>
        <v>6.0732985660766681E-2</v>
      </c>
      <c r="J67" s="1212">
        <f t="shared" si="4"/>
        <v>356240.90310029412</v>
      </c>
      <c r="K67" s="1213">
        <f>+'7 - Cap Add WS '!V63</f>
        <v>239415.94285714286</v>
      </c>
      <c r="L67" s="1212">
        <f t="shared" si="7"/>
        <v>806406.4793606567</v>
      </c>
      <c r="M67" s="1214">
        <f>+'7 - Cap Add WS '!U28</f>
        <v>150</v>
      </c>
      <c r="N67" s="1212">
        <f>+'7 - Cap Add WS '!X65-'7 - Cap Add WS '!X64</f>
        <v>45257.447812998085</v>
      </c>
      <c r="O67" s="1212">
        <f t="shared" si="6"/>
        <v>851663.92717365478</v>
      </c>
      <c r="P67" s="1214"/>
      <c r="Q67" s="1212">
        <f t="shared" si="2"/>
        <v>851663.92717365478</v>
      </c>
    </row>
    <row r="68" spans="1:17">
      <c r="A68" s="1208" t="s">
        <v>204</v>
      </c>
      <c r="B68" s="1209"/>
      <c r="C68" s="1215" t="s">
        <v>1915</v>
      </c>
      <c r="D68" s="1215" t="s">
        <v>1916</v>
      </c>
      <c r="E68" s="1211">
        <f>+'7 - Cap Add WS '!Y31</f>
        <v>14504530</v>
      </c>
      <c r="F68" s="1173">
        <f t="shared" si="0"/>
        <v>2.5150447482220385E-2</v>
      </c>
      <c r="G68" s="1212">
        <f t="shared" si="1"/>
        <v>364795.42001929006</v>
      </c>
      <c r="H68" s="1211">
        <f>AVERAGE('7 - Cap Add WS '!AA61,'7 - Cap Add WS '!AA63)</f>
        <v>10049567.214285705</v>
      </c>
      <c r="I68" s="1173">
        <f t="shared" si="3"/>
        <v>6.0732985660766681E-2</v>
      </c>
      <c r="J68" s="1212">
        <f t="shared" si="4"/>
        <v>610340.22152212472</v>
      </c>
      <c r="K68" s="1213">
        <f>+'7 - Cap Add WS '!Z63</f>
        <v>414415.14285714284</v>
      </c>
      <c r="L68" s="1212">
        <f t="shared" si="7"/>
        <v>1389550.7843985576</v>
      </c>
      <c r="M68" s="1214">
        <f>+'7 - Cap Add WS '!Y28</f>
        <v>150</v>
      </c>
      <c r="N68" s="1212">
        <f>+'7 - Cap Add WS '!AB65-'7 - Cap Add WS '!AB64</f>
        <v>77486.523008890916</v>
      </c>
      <c r="O68" s="1212">
        <f t="shared" si="6"/>
        <v>1467037.3074074485</v>
      </c>
      <c r="P68" s="1214"/>
      <c r="Q68" s="1212">
        <f t="shared" si="2"/>
        <v>1467037.3074074485</v>
      </c>
    </row>
    <row r="69" spans="1:17">
      <c r="A69" s="1208" t="s">
        <v>614</v>
      </c>
      <c r="B69" s="1209"/>
      <c r="C69" s="1215" t="s">
        <v>1917</v>
      </c>
      <c r="D69" s="1215" t="s">
        <v>1918</v>
      </c>
      <c r="E69" s="1211">
        <f>+'7 - Cap Add WS '!AC31</f>
        <v>6681345</v>
      </c>
      <c r="F69" s="1173">
        <f t="shared" si="0"/>
        <v>2.5150447482220385E-2</v>
      </c>
      <c r="G69" s="1212">
        <f t="shared" si="1"/>
        <v>168038.81653309576</v>
      </c>
      <c r="H69" s="1211">
        <f>AVERAGE('7 - Cap Add WS '!AE61,'7 - Cap Add WS '!AE63)</f>
        <v>4804205.2142857108</v>
      </c>
      <c r="I69" s="1173">
        <f t="shared" si="3"/>
        <v>6.0732985660766681E-2</v>
      </c>
      <c r="J69" s="1212">
        <f t="shared" si="4"/>
        <v>291773.72639059462</v>
      </c>
      <c r="K69" s="1213">
        <f>+'7 - Cap Add WS '!AD63</f>
        <v>190895.57142857142</v>
      </c>
      <c r="L69" s="1212">
        <f t="shared" si="7"/>
        <v>650708.11435226188</v>
      </c>
      <c r="M69" s="1214">
        <f>+'7 - Cap Add WS '!AC28</f>
        <v>150</v>
      </c>
      <c r="N69" s="1212">
        <f>+'7 - Cap Add WS '!AF65-'7 - Cap Add WS '!AF64</f>
        <v>37131.466646254645</v>
      </c>
      <c r="O69" s="1212">
        <f t="shared" si="6"/>
        <v>687839.58099851653</v>
      </c>
      <c r="P69" s="1214"/>
      <c r="Q69" s="1212">
        <f t="shared" si="2"/>
        <v>687839.58099851653</v>
      </c>
    </row>
    <row r="70" spans="1:17">
      <c r="A70" s="1208" t="s">
        <v>615</v>
      </c>
      <c r="B70" s="1209"/>
      <c r="C70" s="1215" t="s">
        <v>1919</v>
      </c>
      <c r="D70" s="1215" t="s">
        <v>1920</v>
      </c>
      <c r="E70" s="1211">
        <f>+'7 - Cap Add WS '!AG31</f>
        <v>217662</v>
      </c>
      <c r="F70" s="1173">
        <f t="shared" si="0"/>
        <v>2.5150447482220385E-2</v>
      </c>
      <c r="G70" s="1212">
        <f t="shared" si="1"/>
        <v>5474.2966998750535</v>
      </c>
      <c r="H70" s="1211">
        <f>AVERAGE('7 - Cap Add WS '!AI61,'7 - Cap Add WS '!AI63)</f>
        <v>161691.77142857155</v>
      </c>
      <c r="I70" s="1173">
        <f t="shared" si="3"/>
        <v>6.0732985660766681E-2</v>
      </c>
      <c r="J70" s="1212">
        <f t="shared" si="4"/>
        <v>9820.0240356353988</v>
      </c>
      <c r="K70" s="1213">
        <f>+'7 - Cap Add WS '!AH63</f>
        <v>6218.9142857142861</v>
      </c>
      <c r="L70" s="1212">
        <f t="shared" si="7"/>
        <v>21513.23502122474</v>
      </c>
      <c r="M70" s="1214">
        <f>+'7 - Cap Add WS '!AG28</f>
        <v>0</v>
      </c>
      <c r="N70" s="1212">
        <f>IF(M70=150,#REF!-#REF!,0)</f>
        <v>0</v>
      </c>
      <c r="O70" s="1212">
        <f t="shared" si="6"/>
        <v>21513.23502122474</v>
      </c>
      <c r="P70" s="1214"/>
      <c r="Q70" s="1212">
        <f t="shared" si="2"/>
        <v>21513.23502122474</v>
      </c>
    </row>
    <row r="71" spans="1:17">
      <c r="A71" s="1208" t="s">
        <v>616</v>
      </c>
      <c r="B71" s="1209"/>
      <c r="C71" s="1216" t="s">
        <v>1921</v>
      </c>
      <c r="D71" s="1216" t="s">
        <v>1922</v>
      </c>
      <c r="E71" s="1211">
        <f>+'7 - Cap Add WS '!AK31</f>
        <v>5055041</v>
      </c>
      <c r="F71" s="1173">
        <f t="shared" si="0"/>
        <v>2.5150447482220385E-2</v>
      </c>
      <c r="G71" s="1212">
        <f t="shared" si="1"/>
        <v>127136.54319097081</v>
      </c>
      <c r="H71" s="1211">
        <f>AVERAGE('7 - Cap Add WS '!AM61,'7 - Cap Add WS '!AM63)</f>
        <v>3755173.3142857123</v>
      </c>
      <c r="I71" s="1173">
        <f t="shared" si="3"/>
        <v>6.0732985660766681E-2</v>
      </c>
      <c r="J71" s="1212">
        <f t="shared" si="4"/>
        <v>228062.88705020785</v>
      </c>
      <c r="K71" s="1213">
        <f>+'7 - Cap Add WS '!AL63</f>
        <v>144429.74285714285</v>
      </c>
      <c r="L71" s="1212">
        <f t="shared" si="7"/>
        <v>499629.17309832154</v>
      </c>
      <c r="M71" s="1214">
        <f>+'7 - Cap Add WS '!AK28</f>
        <v>0</v>
      </c>
      <c r="N71" s="1212">
        <f>IF(M71=150,#REF!-#REF!,0)</f>
        <v>0</v>
      </c>
      <c r="O71" s="1212">
        <f t="shared" si="6"/>
        <v>499629.17309832154</v>
      </c>
      <c r="P71" s="1214"/>
      <c r="Q71" s="1212">
        <f t="shared" si="2"/>
        <v>499629.17309832154</v>
      </c>
    </row>
    <row r="72" spans="1:17">
      <c r="A72" s="1208" t="s">
        <v>617</v>
      </c>
      <c r="B72" s="1209"/>
      <c r="C72" s="1216" t="s">
        <v>1923</v>
      </c>
      <c r="D72" s="1216" t="s">
        <v>1924</v>
      </c>
      <c r="E72" s="1211">
        <f>+'7 - Cap Add WS '!AO31</f>
        <v>16372433</v>
      </c>
      <c r="F72" s="1173">
        <f t="shared" si="0"/>
        <v>2.5150447482220385E-2</v>
      </c>
      <c r="G72" s="1212">
        <f t="shared" si="1"/>
        <v>411774.01632267196</v>
      </c>
      <c r="H72" s="1211">
        <f>AVERAGE('7 - Cap Add WS '!AQ61,'7 - Cap Add WS '!AQ63)</f>
        <v>12396270.699999994</v>
      </c>
      <c r="I72" s="1173">
        <f t="shared" si="3"/>
        <v>6.0732985660766681E-2</v>
      </c>
      <c r="J72" s="1212">
        <f t="shared" si="4"/>
        <v>752862.53067008173</v>
      </c>
      <c r="K72" s="1213">
        <f>+'7 - Cap Add WS '!AP63</f>
        <v>467783.8</v>
      </c>
      <c r="L72" s="1212">
        <f t="shared" si="7"/>
        <v>1632420.3469927537</v>
      </c>
      <c r="M72" s="1214">
        <f>+'7 - Cap Add WS '!AO28</f>
        <v>150</v>
      </c>
      <c r="N72" s="1212">
        <f>+'7 - Cap Add WS '!AR65-'7 - Cap Add WS '!AR64</f>
        <v>96115.702054372523</v>
      </c>
      <c r="O72" s="1212">
        <f t="shared" si="6"/>
        <v>1728536.0490471262</v>
      </c>
      <c r="P72" s="1214"/>
      <c r="Q72" s="1212">
        <f t="shared" si="2"/>
        <v>1728536.0490471262</v>
      </c>
    </row>
    <row r="73" spans="1:17">
      <c r="A73" s="1208" t="s">
        <v>618</v>
      </c>
      <c r="B73" s="1209"/>
      <c r="C73" s="1216" t="s">
        <v>1925</v>
      </c>
      <c r="D73" s="1216" t="s">
        <v>1926</v>
      </c>
      <c r="E73" s="1211">
        <f>+'7 - Cap Add WS '!AS31</f>
        <v>10567349</v>
      </c>
      <c r="F73" s="1173">
        <f t="shared" si="0"/>
        <v>2.5150447482220385E-2</v>
      </c>
      <c r="G73" s="1212">
        <f t="shared" si="1"/>
        <v>265773.55605079408</v>
      </c>
      <c r="H73" s="1211">
        <f>AVERAGE('7 - Cap Add WS '!AU61,'7 - Cap Add WS '!AU63)</f>
        <v>8101634.2333333362</v>
      </c>
      <c r="I73" s="1173">
        <f t="shared" si="3"/>
        <v>6.0732985660766681E-2</v>
      </c>
      <c r="J73" s="1212">
        <f t="shared" si="4"/>
        <v>492036.43572180998</v>
      </c>
      <c r="K73" s="1213">
        <f>+'7 - Cap Add WS '!AT63</f>
        <v>301924.25714285712</v>
      </c>
      <c r="L73" s="1212">
        <f t="shared" si="7"/>
        <v>1059734.2489154611</v>
      </c>
      <c r="M73" s="1214">
        <f>+'7 - Cap Add WS '!AS28</f>
        <v>0</v>
      </c>
      <c r="N73" s="1212"/>
      <c r="O73" s="1212">
        <f t="shared" si="6"/>
        <v>1059734.2489154611</v>
      </c>
      <c r="P73" s="1214"/>
      <c r="Q73" s="1212">
        <f t="shared" si="2"/>
        <v>1059734.2489154611</v>
      </c>
    </row>
    <row r="74" spans="1:17">
      <c r="A74" s="1208" t="s">
        <v>619</v>
      </c>
      <c r="B74" s="1209"/>
      <c r="C74" s="1216" t="s">
        <v>1927</v>
      </c>
      <c r="D74" s="1216" t="s">
        <v>1928</v>
      </c>
      <c r="E74" s="1211">
        <f>+'7 - Cap Add WS '!AW31</f>
        <v>7246743</v>
      </c>
      <c r="F74" s="1173">
        <f t="shared" si="0"/>
        <v>2.5150447482220385E-2</v>
      </c>
      <c r="G74" s="1212">
        <f t="shared" si="1"/>
        <v>182258.82923864821</v>
      </c>
      <c r="H74" s="1211">
        <f>AVERAGE('7 - Cap Add WS '!AY61,'7 - Cap Add WS '!AY63)</f>
        <v>5444214.4463333338</v>
      </c>
      <c r="I74" s="1173">
        <f t="shared" si="3"/>
        <v>6.0732985660766681E-2</v>
      </c>
      <c r="J74" s="1212">
        <f t="shared" si="4"/>
        <v>330643.39790330117</v>
      </c>
      <c r="K74" s="1213">
        <f>+'7 - Cap Add WS '!AX63</f>
        <v>207049.8</v>
      </c>
      <c r="L74" s="1212">
        <f t="shared" si="7"/>
        <v>719952.02714194939</v>
      </c>
      <c r="M74" s="1214">
        <f>+'7 - Cap Add WS '!AW28</f>
        <v>0</v>
      </c>
      <c r="N74" s="1212"/>
      <c r="O74" s="1212">
        <f t="shared" si="6"/>
        <v>719952.02714194939</v>
      </c>
      <c r="P74" s="1214"/>
      <c r="Q74" s="1212">
        <f t="shared" si="2"/>
        <v>719952.02714194939</v>
      </c>
    </row>
    <row r="75" spans="1:17" ht="75">
      <c r="A75" s="1136" t="s">
        <v>620</v>
      </c>
      <c r="B75" s="1209"/>
      <c r="C75" s="1627" t="s">
        <v>1877</v>
      </c>
      <c r="D75" s="1217" t="s">
        <v>1929</v>
      </c>
      <c r="E75" s="1211">
        <f>+'7 - Cap Add WS '!BA31</f>
        <v>5454268</v>
      </c>
      <c r="F75" s="1173">
        <f t="shared" si="0"/>
        <v>2.5150447482220385E-2</v>
      </c>
      <c r="G75" s="1212">
        <f t="shared" ref="G75" si="8">E75*F75</f>
        <v>137177.28088795522</v>
      </c>
      <c r="H75" s="1211">
        <f>AVERAGE('7 - Cap Add WS '!BC61,'7 - Cap Add WS '!BC63)</f>
        <v>5350377.1809523813</v>
      </c>
      <c r="I75" s="1173">
        <f t="shared" si="3"/>
        <v>6.0732985660766681E-2</v>
      </c>
      <c r="J75" s="1212">
        <f t="shared" ref="J75" si="9">H75*I75</f>
        <v>324944.38061047421</v>
      </c>
      <c r="K75" s="1213">
        <f>+'7 - Cap Add WS '!BB63</f>
        <v>155836.22857142857</v>
      </c>
      <c r="L75" s="1212">
        <f t="shared" ref="L75" si="10">G75+J75+K75</f>
        <v>617957.89006985794</v>
      </c>
      <c r="M75" s="1214">
        <f>+'7 - Cap Add WS '!BA28</f>
        <v>0</v>
      </c>
      <c r="N75" s="1212"/>
      <c r="O75" s="1212">
        <f t="shared" ref="O75" si="11">+L75+N75</f>
        <v>617957.89006985794</v>
      </c>
      <c r="P75" s="1214"/>
      <c r="Q75" s="1212">
        <f t="shared" ref="Q75" si="12">+O75+P75</f>
        <v>617957.89006985794</v>
      </c>
    </row>
    <row r="76" spans="1:17">
      <c r="A76" s="1208" t="s">
        <v>621</v>
      </c>
      <c r="B76" s="1209"/>
      <c r="C76" s="1216"/>
      <c r="D76" s="1217"/>
      <c r="E76" s="1211"/>
      <c r="F76" s="1173"/>
      <c r="G76" s="1212"/>
      <c r="H76" s="1211"/>
      <c r="I76" s="1173"/>
      <c r="J76" s="1212"/>
      <c r="K76" s="1213"/>
      <c r="L76" s="1212"/>
      <c r="M76" s="1214"/>
      <c r="N76" s="1212"/>
      <c r="O76" s="1212"/>
      <c r="P76" s="1214"/>
      <c r="Q76" s="1212"/>
    </row>
    <row r="77" spans="1:17">
      <c r="A77" s="1208" t="s">
        <v>622</v>
      </c>
      <c r="B77" s="1209"/>
      <c r="C77" s="1216"/>
      <c r="D77" s="1217"/>
      <c r="E77" s="1211"/>
      <c r="F77" s="1173"/>
      <c r="G77" s="1212"/>
      <c r="H77" s="1211"/>
      <c r="I77" s="1173"/>
      <c r="J77" s="1212"/>
      <c r="K77" s="1213"/>
      <c r="L77" s="1212"/>
      <c r="M77" s="1214"/>
      <c r="N77" s="1212"/>
      <c r="O77" s="1212"/>
      <c r="P77" s="1214"/>
      <c r="Q77" s="1212"/>
    </row>
    <row r="78" spans="1:17">
      <c r="A78" s="1208" t="s">
        <v>623</v>
      </c>
      <c r="B78" s="1209"/>
      <c r="C78" s="1216"/>
      <c r="D78" s="1217"/>
      <c r="E78" s="1211"/>
      <c r="F78" s="1173"/>
      <c r="G78" s="1212"/>
      <c r="H78" s="1211"/>
      <c r="I78" s="1173"/>
      <c r="J78" s="1212"/>
      <c r="K78" s="1213"/>
      <c r="L78" s="1212"/>
      <c r="M78" s="1214"/>
      <c r="N78" s="1212"/>
      <c r="O78" s="1212"/>
      <c r="P78" s="1214"/>
      <c r="Q78" s="1212"/>
    </row>
    <row r="79" spans="1:17">
      <c r="A79" s="1208" t="s">
        <v>624</v>
      </c>
      <c r="B79" s="1209"/>
      <c r="C79" s="1216"/>
      <c r="D79" s="1217"/>
      <c r="E79" s="1211"/>
      <c r="F79" s="1173"/>
      <c r="G79" s="1212"/>
      <c r="H79" s="1211"/>
      <c r="I79" s="1173"/>
      <c r="J79" s="1212"/>
      <c r="K79" s="1213"/>
      <c r="L79" s="1212"/>
      <c r="M79" s="1214"/>
      <c r="N79" s="1212"/>
      <c r="O79" s="1212"/>
      <c r="P79" s="1214"/>
      <c r="Q79" s="1212"/>
    </row>
    <row r="80" spans="1:17">
      <c r="A80" s="1208" t="s">
        <v>625</v>
      </c>
      <c r="B80" s="1209"/>
      <c r="C80" s="1216"/>
      <c r="D80" s="1217"/>
      <c r="E80" s="1211"/>
      <c r="F80" s="1173"/>
      <c r="G80" s="1218"/>
      <c r="H80" s="1211"/>
      <c r="I80" s="1173"/>
      <c r="J80" s="1212"/>
      <c r="K80" s="1213"/>
      <c r="L80" s="1212"/>
      <c r="M80" s="1214"/>
      <c r="N80" s="1212"/>
      <c r="O80" s="1212"/>
      <c r="P80" s="1213"/>
      <c r="Q80" s="1212"/>
    </row>
    <row r="81" spans="1:18">
      <c r="A81" s="1136" t="s">
        <v>626</v>
      </c>
      <c r="B81" s="1209"/>
      <c r="C81" s="1219"/>
      <c r="D81" s="1217"/>
      <c r="E81" s="1211"/>
      <c r="F81" s="1173"/>
      <c r="G81" s="1218"/>
      <c r="H81" s="1211"/>
      <c r="I81" s="1173"/>
      <c r="J81" s="1212"/>
      <c r="K81" s="1213"/>
      <c r="L81" s="1212"/>
      <c r="M81" s="1214"/>
      <c r="N81" s="1212"/>
      <c r="O81" s="1212"/>
      <c r="P81" s="1213"/>
      <c r="Q81" s="1212"/>
    </row>
    <row r="82" spans="1:18">
      <c r="A82" s="1208" t="s">
        <v>627</v>
      </c>
      <c r="B82" s="1209"/>
      <c r="C82" s="1216"/>
      <c r="D82" s="1217"/>
      <c r="E82" s="1211"/>
      <c r="F82" s="1173"/>
      <c r="G82" s="1218"/>
      <c r="H82" s="1211"/>
      <c r="I82" s="1173"/>
      <c r="J82" s="1212"/>
      <c r="K82" s="1213"/>
      <c r="L82" s="1212"/>
      <c r="M82" s="1214"/>
      <c r="N82" s="1212"/>
      <c r="O82" s="1212"/>
      <c r="P82" s="1213"/>
      <c r="Q82" s="1212"/>
    </row>
    <row r="83" spans="1:18">
      <c r="A83" s="1208" t="s">
        <v>628</v>
      </c>
      <c r="B83" s="1209"/>
      <c r="C83" s="1216"/>
      <c r="D83" s="1217"/>
      <c r="E83" s="1211"/>
      <c r="F83" s="1173"/>
      <c r="G83" s="1218"/>
      <c r="H83" s="1211"/>
      <c r="I83" s="1173"/>
      <c r="J83" s="1212"/>
      <c r="K83" s="1213"/>
      <c r="L83" s="1212"/>
      <c r="M83" s="1214"/>
      <c r="N83" s="1212"/>
      <c r="O83" s="1212"/>
      <c r="P83" s="1213"/>
      <c r="Q83" s="1212"/>
    </row>
    <row r="84" spans="1:18">
      <c r="A84" s="1208" t="s">
        <v>629</v>
      </c>
      <c r="C84" s="1216"/>
      <c r="D84" s="1217"/>
      <c r="E84" s="1211"/>
      <c r="F84" s="1173"/>
      <c r="G84" s="1218"/>
      <c r="H84" s="1211"/>
      <c r="I84" s="1173"/>
      <c r="J84" s="1212"/>
      <c r="K84" s="1213"/>
      <c r="L84" s="1212"/>
      <c r="M84" s="1214"/>
      <c r="N84" s="1212"/>
      <c r="O84" s="1212"/>
      <c r="P84" s="1213"/>
      <c r="Q84" s="1212"/>
    </row>
    <row r="85" spans="1:18">
      <c r="A85" s="1208" t="s">
        <v>630</v>
      </c>
      <c r="C85" s="1219"/>
      <c r="D85" s="1220"/>
      <c r="E85" s="1211"/>
      <c r="F85" s="1173"/>
      <c r="G85" s="1218"/>
      <c r="H85" s="1221"/>
      <c r="I85" s="1173"/>
      <c r="J85" s="1212"/>
      <c r="K85" s="1222"/>
      <c r="L85" s="1212"/>
      <c r="M85" s="1214"/>
      <c r="N85" s="1212"/>
      <c r="O85" s="1212"/>
      <c r="P85" s="1213"/>
      <c r="Q85" s="1212"/>
    </row>
    <row r="86" spans="1:18">
      <c r="A86" s="1208" t="s">
        <v>631</v>
      </c>
      <c r="C86" s="1219"/>
      <c r="D86" s="1219"/>
      <c r="E86" s="1211"/>
      <c r="F86" s="1173"/>
      <c r="G86" s="1218"/>
      <c r="H86" s="1211"/>
      <c r="I86" s="1173"/>
      <c r="J86" s="1212"/>
      <c r="K86" s="1213"/>
      <c r="L86" s="1212"/>
      <c r="M86" s="1214"/>
      <c r="N86" s="1212"/>
      <c r="O86" s="1212"/>
      <c r="P86" s="1213"/>
      <c r="Q86" s="1212"/>
    </row>
    <row r="87" spans="1:18">
      <c r="A87" s="1223"/>
      <c r="C87" s="1219"/>
      <c r="D87" s="1219"/>
      <c r="E87" s="1211"/>
      <c r="F87" s="1173"/>
      <c r="G87" s="1218"/>
      <c r="H87" s="1211"/>
      <c r="I87" s="1173"/>
      <c r="J87" s="1212"/>
      <c r="K87" s="1213"/>
      <c r="L87" s="1212"/>
      <c r="M87" s="1214"/>
      <c r="N87" s="1212"/>
      <c r="O87" s="1212"/>
      <c r="P87" s="1213"/>
      <c r="Q87" s="1212"/>
    </row>
    <row r="88" spans="1:18">
      <c r="A88" s="1224"/>
      <c r="B88" s="1225"/>
      <c r="C88" s="1226"/>
      <c r="D88" s="1226"/>
      <c r="E88" s="1226"/>
      <c r="F88" s="1225"/>
      <c r="G88" s="1227"/>
      <c r="H88" s="1226"/>
      <c r="I88" s="1225"/>
      <c r="J88" s="1228"/>
      <c r="K88" s="1229"/>
      <c r="L88" s="1228"/>
      <c r="M88" s="1230"/>
      <c r="N88" s="1231"/>
      <c r="O88" s="1231"/>
      <c r="P88" s="1229"/>
      <c r="Q88" s="1228"/>
    </row>
    <row r="89" spans="1:18" ht="13">
      <c r="A89" s="1174" t="s">
        <v>632</v>
      </c>
      <c r="B89" s="1180"/>
      <c r="C89" s="1153" t="s">
        <v>633</v>
      </c>
      <c r="D89" s="1153"/>
      <c r="E89" s="1138">
        <f>SUM(E62:E88)</f>
        <v>1858953079.6881201</v>
      </c>
      <c r="F89" s="1138"/>
      <c r="G89" s="1138">
        <f>SUM(G62:G88)</f>
        <v>46753501.802607901</v>
      </c>
      <c r="H89" s="1138">
        <f>SUM(H62:H88)</f>
        <v>1389121340.0927348</v>
      </c>
      <c r="I89" s="1145"/>
      <c r="J89" s="1138">
        <f t="shared" ref="J89:O89" si="13">SUM(J62:J88)</f>
        <v>84365486.428917095</v>
      </c>
      <c r="K89" s="1138">
        <f t="shared" si="13"/>
        <v>54143783</v>
      </c>
      <c r="L89" s="1138">
        <f t="shared" si="13"/>
        <v>185262771.231525</v>
      </c>
      <c r="M89" s="1138"/>
      <c r="N89" s="1138">
        <f t="shared" si="13"/>
        <v>391902.16687807365</v>
      </c>
      <c r="O89" s="1138">
        <f t="shared" si="13"/>
        <v>185654673.39840302</v>
      </c>
      <c r="P89" s="1138">
        <f>SUM(P62:P88)</f>
        <v>0</v>
      </c>
      <c r="Q89" s="1138">
        <f>SUM(Q62:Q88)</f>
        <v>185654673.39840302</v>
      </c>
    </row>
    <row r="90" spans="1:18">
      <c r="E90" s="1138"/>
      <c r="F90" s="1138"/>
      <c r="G90" s="1138"/>
      <c r="H90" s="1138"/>
      <c r="I90" s="1138"/>
      <c r="J90" s="1138"/>
      <c r="K90" s="1138"/>
      <c r="L90" s="1173"/>
    </row>
    <row r="91" spans="1:18">
      <c r="A91" s="1232"/>
      <c r="E91" s="1138"/>
      <c r="F91" s="1138"/>
      <c r="G91" s="1138"/>
      <c r="H91" s="1138"/>
      <c r="I91" s="1138"/>
      <c r="J91" s="1138"/>
      <c r="K91" s="1138"/>
      <c r="L91" s="1173"/>
      <c r="M91" s="1184"/>
      <c r="N91" s="1184"/>
      <c r="O91" s="1184"/>
    </row>
    <row r="92" spans="1:18">
      <c r="K92" s="1180"/>
      <c r="L92" s="1180"/>
      <c r="M92" s="1180"/>
      <c r="N92" s="1180"/>
      <c r="O92" s="1180"/>
    </row>
    <row r="93" spans="1:18">
      <c r="K93" s="1180"/>
      <c r="L93" s="1180"/>
      <c r="M93" s="1180"/>
      <c r="N93" s="1180"/>
      <c r="O93" s="1180"/>
    </row>
    <row r="94" spans="1:18">
      <c r="A94" s="1136" t="s">
        <v>634</v>
      </c>
    </row>
    <row r="95" spans="1:18" ht="13" thickBot="1">
      <c r="A95" s="1233" t="s">
        <v>635</v>
      </c>
    </row>
    <row r="96" spans="1:18">
      <c r="A96" s="1234" t="s">
        <v>9</v>
      </c>
      <c r="C96" s="1863" t="s">
        <v>1564</v>
      </c>
      <c r="D96" s="1863"/>
      <c r="E96" s="1863"/>
      <c r="F96" s="1863"/>
      <c r="G96" s="1863"/>
      <c r="H96" s="1863"/>
      <c r="I96" s="1863"/>
      <c r="J96" s="1863"/>
      <c r="K96" s="1863"/>
      <c r="L96" s="1863"/>
      <c r="M96" s="1863"/>
      <c r="N96" s="1863"/>
      <c r="O96" s="1863"/>
      <c r="P96" s="1863"/>
      <c r="Q96" s="1863"/>
      <c r="R96" s="1235"/>
    </row>
    <row r="97" spans="1:17">
      <c r="A97" s="1234" t="s">
        <v>10</v>
      </c>
      <c r="C97" s="1863" t="s">
        <v>636</v>
      </c>
      <c r="D97" s="1863"/>
      <c r="E97" s="1863"/>
      <c r="F97" s="1863"/>
      <c r="G97" s="1863"/>
      <c r="H97" s="1863"/>
      <c r="I97" s="1863"/>
      <c r="J97" s="1863"/>
      <c r="K97" s="1863"/>
      <c r="L97" s="1863"/>
      <c r="M97" s="1863"/>
      <c r="N97" s="1863"/>
      <c r="O97" s="1863"/>
      <c r="P97" s="1863"/>
      <c r="Q97" s="1863"/>
    </row>
    <row r="98" spans="1:17">
      <c r="A98" s="1234" t="s">
        <v>11</v>
      </c>
      <c r="C98" s="1864" t="s">
        <v>637</v>
      </c>
      <c r="D98" s="1864"/>
      <c r="E98" s="1864"/>
      <c r="F98" s="1864"/>
      <c r="G98" s="1864"/>
      <c r="H98" s="1864"/>
      <c r="I98" s="1864"/>
      <c r="J98" s="1864"/>
      <c r="K98" s="1864"/>
      <c r="L98" s="1864"/>
      <c r="M98" s="1864"/>
      <c r="N98" s="1864"/>
      <c r="O98" s="1864"/>
      <c r="P98" s="1864"/>
      <c r="Q98" s="1864"/>
    </row>
    <row r="99" spans="1:17">
      <c r="C99" s="1136" t="s">
        <v>638</v>
      </c>
    </row>
    <row r="100" spans="1:17">
      <c r="A100" s="1234" t="s">
        <v>14</v>
      </c>
      <c r="C100" s="1864" t="s">
        <v>639</v>
      </c>
      <c r="D100" s="1864"/>
      <c r="E100" s="1864"/>
      <c r="F100" s="1864"/>
      <c r="G100" s="1864"/>
      <c r="H100" s="1864"/>
      <c r="I100" s="1864"/>
      <c r="J100" s="1864"/>
      <c r="K100" s="1864"/>
      <c r="L100" s="1864"/>
      <c r="M100" s="1864"/>
      <c r="N100" s="1864"/>
      <c r="O100" s="1864"/>
      <c r="P100" s="1864"/>
      <c r="Q100" s="1864"/>
    </row>
    <row r="101" spans="1:17">
      <c r="A101" s="1171" t="s">
        <v>134</v>
      </c>
      <c r="C101" s="1861" t="s">
        <v>640</v>
      </c>
      <c r="D101" s="1861"/>
      <c r="E101" s="1861"/>
      <c r="F101" s="1861"/>
      <c r="G101" s="1861"/>
      <c r="H101" s="1861"/>
      <c r="I101" s="1861"/>
      <c r="J101" s="1861"/>
      <c r="K101" s="1861"/>
      <c r="L101" s="1861"/>
      <c r="M101" s="1861"/>
      <c r="N101" s="1861"/>
      <c r="O101" s="1861"/>
      <c r="P101" s="1861"/>
      <c r="Q101" s="1861"/>
    </row>
    <row r="102" spans="1:17">
      <c r="A102" s="1171" t="s">
        <v>135</v>
      </c>
      <c r="C102" s="1861" t="s">
        <v>641</v>
      </c>
      <c r="D102" s="1861"/>
      <c r="E102" s="1861"/>
      <c r="F102" s="1861"/>
      <c r="G102" s="1861"/>
      <c r="H102" s="1861"/>
      <c r="I102" s="1861"/>
      <c r="J102" s="1861"/>
      <c r="K102" s="1861"/>
      <c r="L102" s="1861"/>
      <c r="M102" s="1861"/>
      <c r="N102" s="1861"/>
      <c r="O102" s="1861"/>
      <c r="P102" s="1861"/>
      <c r="Q102" s="1861"/>
    </row>
    <row r="103" spans="1:17">
      <c r="A103" s="1171" t="s">
        <v>136</v>
      </c>
      <c r="C103" s="1861" t="s">
        <v>642</v>
      </c>
      <c r="D103" s="1861"/>
      <c r="E103" s="1861"/>
      <c r="F103" s="1861"/>
      <c r="G103" s="1861"/>
      <c r="H103" s="1861"/>
      <c r="I103" s="1861"/>
      <c r="J103" s="1861"/>
      <c r="K103" s="1861"/>
      <c r="L103" s="1861"/>
      <c r="M103" s="1861"/>
      <c r="N103" s="1861"/>
      <c r="O103" s="1861"/>
      <c r="P103" s="1861"/>
      <c r="Q103" s="1861"/>
    </row>
    <row r="104" spans="1:17">
      <c r="A104" s="1171" t="s">
        <v>514</v>
      </c>
      <c r="C104" s="1861" t="s">
        <v>643</v>
      </c>
      <c r="D104" s="1861"/>
      <c r="E104" s="1861"/>
      <c r="F104" s="1861"/>
      <c r="G104" s="1861"/>
      <c r="H104" s="1861"/>
      <c r="I104" s="1861"/>
      <c r="J104" s="1861"/>
      <c r="K104" s="1861"/>
      <c r="L104" s="1861"/>
      <c r="M104" s="1861"/>
      <c r="N104" s="1861"/>
      <c r="O104" s="1861"/>
      <c r="P104" s="1861"/>
      <c r="Q104" s="1861"/>
    </row>
    <row r="105" spans="1:17">
      <c r="A105" s="1171" t="s">
        <v>446</v>
      </c>
      <c r="C105" s="1136" t="s">
        <v>644</v>
      </c>
    </row>
    <row r="106" spans="1:17">
      <c r="A106" s="1152" t="s">
        <v>447</v>
      </c>
      <c r="C106" s="1136" t="s">
        <v>645</v>
      </c>
      <c r="P106" s="1145"/>
      <c r="Q106" s="1187"/>
    </row>
    <row r="107" spans="1:17" ht="13">
      <c r="A107" s="1152" t="s">
        <v>448</v>
      </c>
      <c r="C107" s="1136" t="s">
        <v>646</v>
      </c>
      <c r="D107" s="1152"/>
      <c r="E107" s="1171"/>
      <c r="F107" s="1171"/>
      <c r="G107" s="1145"/>
      <c r="J107" s="1169"/>
      <c r="P107" s="1145"/>
      <c r="Q107" s="1166"/>
    </row>
    <row r="108" spans="1:17" ht="13">
      <c r="A108" s="1171" t="s">
        <v>452</v>
      </c>
      <c r="C108" s="1236" t="s">
        <v>1469</v>
      </c>
      <c r="G108" s="1237"/>
    </row>
    <row r="109" spans="1:17" ht="13">
      <c r="A109" s="1171" t="s">
        <v>454</v>
      </c>
      <c r="C109" s="1136" t="s">
        <v>647</v>
      </c>
      <c r="K109" s="1237"/>
    </row>
    <row r="110" spans="1:17">
      <c r="A110" s="1171" t="s">
        <v>457</v>
      </c>
      <c r="C110" s="1136" t="s">
        <v>648</v>
      </c>
    </row>
    <row r="111" spans="1:17">
      <c r="C111" s="1136" t="s">
        <v>649</v>
      </c>
    </row>
    <row r="112" spans="1:17" ht="12.75" customHeight="1">
      <c r="A112" s="1171" t="s">
        <v>458</v>
      </c>
      <c r="C112" s="1862" t="s">
        <v>1378</v>
      </c>
      <c r="D112" s="1862"/>
      <c r="E112" s="1862"/>
      <c r="F112" s="1862"/>
      <c r="G112" s="1862"/>
    </row>
    <row r="120" spans="3:22" ht="14">
      <c r="D120" s="266"/>
      <c r="E120" s="266"/>
      <c r="F120" s="266"/>
      <c r="G120" s="266"/>
      <c r="H120" s="266"/>
      <c r="I120" s="266"/>
      <c r="J120" s="266"/>
      <c r="K120" s="266"/>
      <c r="L120" s="266"/>
      <c r="M120" s="266"/>
      <c r="N120" s="266"/>
      <c r="O120" s="266"/>
      <c r="P120" s="266"/>
      <c r="Q120" s="266"/>
      <c r="R120" s="266"/>
      <c r="S120" s="266"/>
      <c r="T120" s="1136"/>
    </row>
    <row r="121" spans="3:22" ht="14.5" thickBot="1">
      <c r="D121" s="266"/>
      <c r="E121" s="266"/>
      <c r="F121" s="266"/>
      <c r="G121" s="266"/>
      <c r="H121" s="266"/>
      <c r="I121" s="266"/>
      <c r="J121" s="266"/>
      <c r="K121" s="266"/>
      <c r="L121" s="266"/>
      <c r="M121" s="266"/>
      <c r="N121" s="266"/>
      <c r="O121" s="266"/>
      <c r="P121" s="266"/>
      <c r="Q121" s="266"/>
      <c r="R121" s="266"/>
      <c r="S121" s="266"/>
      <c r="T121" s="1136"/>
    </row>
    <row r="122" spans="3:22" ht="14">
      <c r="C122" s="1238"/>
      <c r="D122" s="266"/>
      <c r="E122" s="266"/>
      <c r="F122" s="266"/>
      <c r="G122" s="266"/>
      <c r="H122" s="266"/>
      <c r="I122" s="266"/>
      <c r="J122" s="266"/>
      <c r="K122" s="266"/>
      <c r="L122" s="266"/>
      <c r="M122" s="266"/>
      <c r="N122" s="266"/>
      <c r="O122" s="266"/>
      <c r="P122" s="266"/>
      <c r="Q122" s="266"/>
      <c r="R122" s="266"/>
      <c r="S122" s="266"/>
      <c r="T122" s="1239"/>
      <c r="U122" s="1239"/>
      <c r="V122" s="1240"/>
    </row>
    <row r="123" spans="3:22" ht="14">
      <c r="C123" s="1238"/>
      <c r="D123" s="266"/>
      <c r="E123" s="266"/>
      <c r="F123" s="266"/>
      <c r="G123" s="266"/>
      <c r="H123" s="266"/>
      <c r="I123" s="266"/>
      <c r="J123" s="266"/>
      <c r="K123" s="266"/>
      <c r="L123" s="266"/>
      <c r="M123" s="266"/>
      <c r="N123" s="266"/>
      <c r="O123" s="266"/>
      <c r="P123" s="266"/>
      <c r="Q123" s="266"/>
      <c r="R123" s="266"/>
      <c r="S123" s="266"/>
    </row>
    <row r="124" spans="3:22" ht="14">
      <c r="C124" s="1238"/>
      <c r="D124" s="266"/>
      <c r="E124" s="266"/>
      <c r="F124" s="266"/>
      <c r="G124" s="266"/>
      <c r="H124" s="266"/>
      <c r="I124" s="266"/>
      <c r="J124" s="266"/>
      <c r="K124" s="266"/>
      <c r="L124" s="266"/>
      <c r="M124" s="266"/>
      <c r="N124" s="266"/>
      <c r="O124" s="266"/>
      <c r="P124" s="266"/>
      <c r="Q124" s="266"/>
      <c r="R124" s="266"/>
      <c r="S124" s="266"/>
    </row>
    <row r="125" spans="3:22" ht="14">
      <c r="C125" s="1238"/>
      <c r="D125" s="266"/>
      <c r="E125" s="266"/>
      <c r="F125" s="266"/>
      <c r="G125" s="266"/>
      <c r="H125" s="266"/>
      <c r="I125" s="266"/>
      <c r="J125" s="266"/>
      <c r="K125" s="266"/>
      <c r="L125" s="266"/>
      <c r="M125" s="266"/>
      <c r="N125" s="266"/>
      <c r="O125" s="266"/>
      <c r="P125" s="266"/>
      <c r="Q125" s="266"/>
      <c r="R125" s="266"/>
      <c r="S125" s="266"/>
    </row>
    <row r="126" spans="3:22">
      <c r="C126" s="1238"/>
    </row>
    <row r="127" spans="3:22">
      <c r="C127" s="1238"/>
    </row>
    <row r="128" spans="3:22">
      <c r="C128" s="1238"/>
    </row>
    <row r="129" spans="3:3">
      <c r="C129" s="1238"/>
    </row>
    <row r="130" spans="3:3">
      <c r="C130" s="1238"/>
    </row>
    <row r="131" spans="3:3">
      <c r="C131" s="1238"/>
    </row>
    <row r="132" spans="3:3">
      <c r="C132" s="1238"/>
    </row>
    <row r="133" spans="3:3">
      <c r="C133" s="1238"/>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3:Q103"/>
    <mergeCell ref="C104:Q104"/>
    <mergeCell ref="C112:G112"/>
    <mergeCell ref="C96:Q96"/>
    <mergeCell ref="C97:Q97"/>
    <mergeCell ref="C98:Q98"/>
    <mergeCell ref="C100:Q100"/>
    <mergeCell ref="C101:Q101"/>
    <mergeCell ref="C102:Q102"/>
  </mergeCells>
  <pageMargins left="0.25" right="0.25" top="0.75" bottom="0.75" header="0.3" footer="0.3"/>
  <pageSetup scale="31" orientation="portrait" r:id="rId2"/>
  <rowBreaks count="1" manualBreakCount="1">
    <brk id="47"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86"/>
  <sheetViews>
    <sheetView view="pageBreakPreview" topLeftCell="A19" zoomScale="51" zoomScaleNormal="87" zoomScaleSheetLayoutView="51" workbookViewId="0">
      <selection sqref="A1:XFD1048576"/>
    </sheetView>
  </sheetViews>
  <sheetFormatPr defaultColWidth="11.453125" defaultRowHeight="12.5"/>
  <cols>
    <col min="1" max="1" width="7.7265625" style="1136" customWidth="1"/>
    <col min="2" max="2" width="57.26953125" style="1136" customWidth="1"/>
    <col min="3" max="3" width="21.81640625" style="1136" customWidth="1"/>
    <col min="4" max="4" width="24" style="1136" customWidth="1"/>
    <col min="5" max="5" width="28.54296875" style="1136" customWidth="1"/>
    <col min="6" max="6" width="24" style="1136" customWidth="1"/>
    <col min="7" max="7" width="23.54296875" style="1136" customWidth="1"/>
    <col min="8" max="8" width="18.54296875" style="1136" customWidth="1"/>
    <col min="9" max="9" width="23.81640625" style="1136" customWidth="1"/>
    <col min="10" max="10" width="17.7265625" style="1136" customWidth="1"/>
    <col min="11" max="11" width="18.54296875" style="1136" customWidth="1"/>
    <col min="12" max="12" width="17.453125" style="1136" customWidth="1"/>
    <col min="13" max="16384" width="11.453125" style="1136"/>
  </cols>
  <sheetData>
    <row r="1" spans="1:13" ht="18">
      <c r="A1" s="1243"/>
      <c r="D1" s="1139"/>
      <c r="E1" s="1311" t="str">
        <f>+'ATT H-3D'!$A$4</f>
        <v>Delmarva Power &amp; Light Company</v>
      </c>
      <c r="F1" s="1139"/>
      <c r="G1" s="1139"/>
      <c r="I1" s="1139"/>
      <c r="J1" s="1139"/>
      <c r="K1" s="1139"/>
      <c r="L1" s="1140"/>
    </row>
    <row r="2" spans="1:13" ht="15.5">
      <c r="A2" s="1243"/>
      <c r="D2" s="1139"/>
      <c r="E2" s="1241" t="s">
        <v>705</v>
      </c>
      <c r="F2" s="1145"/>
      <c r="G2" s="1145"/>
      <c r="I2" s="1145"/>
      <c r="J2" s="1145"/>
      <c r="K2" s="1145"/>
      <c r="L2" s="1140"/>
    </row>
    <row r="3" spans="1:13" ht="15.5">
      <c r="A3" s="1243"/>
      <c r="C3" s="1143"/>
      <c r="D3" s="1143"/>
      <c r="E3" s="1312" t="s">
        <v>1163</v>
      </c>
      <c r="F3" s="1244"/>
      <c r="G3" s="1244"/>
      <c r="H3" s="1244"/>
      <c r="I3" s="1244"/>
      <c r="J3" s="1244"/>
      <c r="K3" s="1143"/>
      <c r="L3" s="1143"/>
    </row>
    <row r="4" spans="1:13" ht="13">
      <c r="A4" s="1245"/>
      <c r="E4" s="1146"/>
      <c r="F4" s="1159"/>
      <c r="G4" s="1159"/>
      <c r="I4" s="1143"/>
      <c r="J4" s="1143"/>
      <c r="K4" s="1143"/>
      <c r="L4" s="1143"/>
    </row>
    <row r="5" spans="1:13">
      <c r="A5" s="1246"/>
      <c r="B5" s="1247"/>
      <c r="C5" s="1247"/>
      <c r="D5" s="1247"/>
      <c r="E5" s="1247"/>
      <c r="F5" s="1247"/>
      <c r="G5" s="1247"/>
      <c r="H5" s="1247"/>
      <c r="I5" s="1247"/>
      <c r="J5" s="1247"/>
      <c r="K5" s="1248"/>
      <c r="L5" s="1247"/>
    </row>
    <row r="6" spans="1:13">
      <c r="A6" s="1246"/>
      <c r="B6" s="1247"/>
      <c r="C6" s="1247"/>
      <c r="D6" s="1866" t="s">
        <v>650</v>
      </c>
      <c r="E6" s="1867"/>
      <c r="F6" s="1249"/>
      <c r="G6" s="1250" t="s">
        <v>651</v>
      </c>
      <c r="H6" s="1249"/>
      <c r="I6" s="1251"/>
      <c r="J6" s="1251"/>
      <c r="K6" s="1252"/>
    </row>
    <row r="7" spans="1:13" ht="14.5">
      <c r="A7" s="1246">
        <v>1</v>
      </c>
      <c r="B7" s="1247" t="s">
        <v>652</v>
      </c>
      <c r="C7" s="1247"/>
      <c r="D7" s="1868" t="s">
        <v>653</v>
      </c>
      <c r="E7" s="1869"/>
      <c r="F7" s="1253" t="s">
        <v>1572</v>
      </c>
      <c r="G7" s="1254" t="s">
        <v>654</v>
      </c>
      <c r="H7" s="1253" t="s">
        <v>655</v>
      </c>
      <c r="I7" s="1255"/>
      <c r="J7" s="1255"/>
      <c r="K7" s="1256"/>
    </row>
    <row r="8" spans="1:13">
      <c r="A8" s="1246">
        <v>2</v>
      </c>
      <c r="B8" s="1247"/>
      <c r="C8" s="1247"/>
      <c r="D8" s="1257"/>
      <c r="E8" s="1257"/>
      <c r="F8" s="1258">
        <f>+E73</f>
        <v>0</v>
      </c>
      <c r="G8" s="1259"/>
      <c r="H8" s="1257"/>
      <c r="I8" s="1257"/>
      <c r="J8" s="1257"/>
      <c r="K8" s="1257"/>
    </row>
    <row r="9" spans="1:13">
      <c r="B9" s="1260" t="s">
        <v>9</v>
      </c>
      <c r="C9" s="1260" t="s">
        <v>10</v>
      </c>
      <c r="D9" s="1254" t="s">
        <v>11</v>
      </c>
      <c r="E9" s="1254" t="s">
        <v>14</v>
      </c>
      <c r="F9" s="1250" t="s">
        <v>134</v>
      </c>
      <c r="G9" s="1260" t="s">
        <v>135</v>
      </c>
      <c r="H9" s="1261" t="s">
        <v>136</v>
      </c>
      <c r="I9" s="1261" t="s">
        <v>514</v>
      </c>
      <c r="J9" s="1261" t="s">
        <v>446</v>
      </c>
      <c r="K9" s="1254" t="s">
        <v>447</v>
      </c>
      <c r="M9" s="1262"/>
    </row>
    <row r="10" spans="1:13">
      <c r="A10" s="1246"/>
      <c r="B10" s="1257"/>
      <c r="C10" s="1250"/>
      <c r="D10" s="1250"/>
      <c r="E10" s="1263" t="s">
        <v>656</v>
      </c>
      <c r="F10" s="1250"/>
      <c r="G10" s="1250"/>
      <c r="H10" s="1257"/>
      <c r="I10" s="1250"/>
      <c r="J10" s="1257"/>
      <c r="K10" s="1257"/>
    </row>
    <row r="11" spans="1:13">
      <c r="A11" s="1246"/>
      <c r="B11" s="1257"/>
      <c r="C11" s="1250"/>
      <c r="D11" s="1261" t="s">
        <v>657</v>
      </c>
      <c r="E11" s="1264" t="s">
        <v>42</v>
      </c>
      <c r="F11" s="1261" t="s">
        <v>658</v>
      </c>
      <c r="G11" s="1261" t="s">
        <v>659</v>
      </c>
      <c r="H11" s="1261" t="s">
        <v>660</v>
      </c>
      <c r="I11" s="1261"/>
      <c r="J11" s="1261" t="s">
        <v>167</v>
      </c>
      <c r="K11" s="1261"/>
    </row>
    <row r="12" spans="1:13" ht="25.5" customHeight="1">
      <c r="A12" s="1246"/>
      <c r="B12" s="1870" t="s">
        <v>1161</v>
      </c>
      <c r="C12" s="1872" t="s">
        <v>1162</v>
      </c>
      <c r="D12" s="1261" t="s">
        <v>661</v>
      </c>
      <c r="E12" s="1264" t="s">
        <v>41</v>
      </c>
      <c r="F12" s="1261" t="s">
        <v>662</v>
      </c>
      <c r="G12" s="1261" t="s">
        <v>661</v>
      </c>
      <c r="H12" s="1261" t="s">
        <v>663</v>
      </c>
      <c r="I12" s="1250" t="s">
        <v>664</v>
      </c>
      <c r="J12" s="1261" t="s">
        <v>665</v>
      </c>
      <c r="K12" s="1261" t="s">
        <v>666</v>
      </c>
    </row>
    <row r="13" spans="1:13" ht="14.5">
      <c r="A13" s="1246"/>
      <c r="B13" s="1871"/>
      <c r="C13" s="1873"/>
      <c r="D13" s="1254" t="s">
        <v>1573</v>
      </c>
      <c r="E13" s="1264" t="s">
        <v>654</v>
      </c>
      <c r="F13" s="1265" t="s">
        <v>667</v>
      </c>
      <c r="G13" s="1261" t="s">
        <v>1574</v>
      </c>
      <c r="H13" s="1254" t="s">
        <v>668</v>
      </c>
      <c r="I13" s="1261" t="s">
        <v>1575</v>
      </c>
      <c r="J13" s="1254" t="s">
        <v>1576</v>
      </c>
      <c r="K13" s="1254" t="s">
        <v>669</v>
      </c>
    </row>
    <row r="14" spans="1:13">
      <c r="A14" s="1246">
        <v>3</v>
      </c>
      <c r="B14" s="1485" t="s">
        <v>613</v>
      </c>
      <c r="C14" s="1486" t="s">
        <v>613</v>
      </c>
      <c r="D14" s="1266"/>
      <c r="E14" s="1267">
        <f t="shared" ref="E14:E23" si="0">IF(D$42=0,0,D14/D$42)</f>
        <v>0</v>
      </c>
      <c r="F14" s="1258">
        <f>IF(F$8=0,0,E14*F$8)</f>
        <v>0</v>
      </c>
      <c r="G14" s="1268">
        <f t="shared" ref="G14:G23" si="1">+$E$77*E14</f>
        <v>0</v>
      </c>
      <c r="H14" s="1269">
        <f>+G14-F14</f>
        <v>0</v>
      </c>
      <c r="I14" s="1268">
        <f>'ATT H-3D'!L297</f>
        <v>0</v>
      </c>
      <c r="J14" s="1268" t="e">
        <f>+'6B - True-Up Interest '!G41</f>
        <v>#DIV/0!</v>
      </c>
      <c r="K14" s="1270" t="e">
        <f>+H14+J14+I14</f>
        <v>#DIV/0!</v>
      </c>
    </row>
    <row r="15" spans="1:13">
      <c r="A15" s="1246" t="s">
        <v>670</v>
      </c>
      <c r="B15" s="1271"/>
      <c r="C15" s="1217"/>
      <c r="D15" s="1266"/>
      <c r="E15" s="1272">
        <f t="shared" si="0"/>
        <v>0</v>
      </c>
      <c r="F15" s="1258">
        <f t="shared" ref="F15:F23" si="2">IF(F$8=0,0,E15*F$8)</f>
        <v>0</v>
      </c>
      <c r="G15" s="1266">
        <f t="shared" si="1"/>
        <v>0</v>
      </c>
      <c r="H15" s="1269">
        <f>+G15-F15</f>
        <v>0</v>
      </c>
      <c r="I15" s="1266">
        <v>0</v>
      </c>
      <c r="J15" s="1266" t="e">
        <f>+'6B - True-Up Interest '!G42</f>
        <v>#DIV/0!</v>
      </c>
      <c r="K15" s="1270" t="e">
        <f t="shared" ref="K15:K23" si="3">+H15+J15+I15</f>
        <v>#DIV/0!</v>
      </c>
    </row>
    <row r="16" spans="1:13">
      <c r="A16" s="1246" t="s">
        <v>671</v>
      </c>
      <c r="B16" s="1271"/>
      <c r="C16" s="1217"/>
      <c r="D16" s="1266"/>
      <c r="E16" s="1272">
        <f t="shared" si="0"/>
        <v>0</v>
      </c>
      <c r="F16" s="1258">
        <f t="shared" si="2"/>
        <v>0</v>
      </c>
      <c r="G16" s="1266">
        <f t="shared" si="1"/>
        <v>0</v>
      </c>
      <c r="H16" s="1269">
        <f t="shared" ref="H16:H23" si="4">+G16-F16</f>
        <v>0</v>
      </c>
      <c r="I16" s="1266">
        <v>0</v>
      </c>
      <c r="J16" s="1266" t="e">
        <f>+'6B - True-Up Interest '!G43</f>
        <v>#DIV/0!</v>
      </c>
      <c r="K16" s="1270" t="e">
        <f t="shared" si="3"/>
        <v>#DIV/0!</v>
      </c>
    </row>
    <row r="17" spans="1:11">
      <c r="A17" s="1246" t="s">
        <v>672</v>
      </c>
      <c r="B17" s="1271"/>
      <c r="C17" s="1217"/>
      <c r="D17" s="1266"/>
      <c r="E17" s="1272">
        <f t="shared" si="0"/>
        <v>0</v>
      </c>
      <c r="F17" s="1258">
        <f t="shared" si="2"/>
        <v>0</v>
      </c>
      <c r="G17" s="1266">
        <f t="shared" si="1"/>
        <v>0</v>
      </c>
      <c r="H17" s="1269">
        <f t="shared" si="4"/>
        <v>0</v>
      </c>
      <c r="I17" s="1266">
        <v>0</v>
      </c>
      <c r="J17" s="1266" t="e">
        <f>+'6B - True-Up Interest '!G44</f>
        <v>#DIV/0!</v>
      </c>
      <c r="K17" s="1270" t="e">
        <f t="shared" si="3"/>
        <v>#DIV/0!</v>
      </c>
    </row>
    <row r="18" spans="1:11">
      <c r="A18" s="1246" t="s">
        <v>673</v>
      </c>
      <c r="B18" s="1271"/>
      <c r="C18" s="1217"/>
      <c r="D18" s="1266"/>
      <c r="E18" s="1272">
        <f t="shared" si="0"/>
        <v>0</v>
      </c>
      <c r="F18" s="1258">
        <f t="shared" si="2"/>
        <v>0</v>
      </c>
      <c r="G18" s="1266">
        <f t="shared" si="1"/>
        <v>0</v>
      </c>
      <c r="H18" s="1269">
        <f t="shared" si="4"/>
        <v>0</v>
      </c>
      <c r="I18" s="1266">
        <v>0</v>
      </c>
      <c r="J18" s="1266" t="e">
        <f>+'6B - True-Up Interest '!G45</f>
        <v>#DIV/0!</v>
      </c>
      <c r="K18" s="1270" t="e">
        <f t="shared" si="3"/>
        <v>#DIV/0!</v>
      </c>
    </row>
    <row r="19" spans="1:11">
      <c r="A19" s="1246" t="s">
        <v>674</v>
      </c>
      <c r="B19" s="1271"/>
      <c r="C19" s="1217"/>
      <c r="D19" s="1266"/>
      <c r="E19" s="1272">
        <f t="shared" si="0"/>
        <v>0</v>
      </c>
      <c r="F19" s="1258">
        <f t="shared" si="2"/>
        <v>0</v>
      </c>
      <c r="G19" s="1266">
        <f t="shared" si="1"/>
        <v>0</v>
      </c>
      <c r="H19" s="1269">
        <f t="shared" si="4"/>
        <v>0</v>
      </c>
      <c r="I19" s="1266">
        <v>0</v>
      </c>
      <c r="J19" s="1266" t="e">
        <f>+'6B - True-Up Interest '!G46</f>
        <v>#DIV/0!</v>
      </c>
      <c r="K19" s="1270" t="e">
        <f t="shared" si="3"/>
        <v>#DIV/0!</v>
      </c>
    </row>
    <row r="20" spans="1:11">
      <c r="A20" s="1246" t="s">
        <v>675</v>
      </c>
      <c r="B20" s="1271"/>
      <c r="C20" s="1217"/>
      <c r="D20" s="1266"/>
      <c r="E20" s="1272">
        <f t="shared" si="0"/>
        <v>0</v>
      </c>
      <c r="F20" s="1258">
        <f t="shared" si="2"/>
        <v>0</v>
      </c>
      <c r="G20" s="1266">
        <f t="shared" si="1"/>
        <v>0</v>
      </c>
      <c r="H20" s="1269">
        <f t="shared" si="4"/>
        <v>0</v>
      </c>
      <c r="I20" s="1266">
        <v>0</v>
      </c>
      <c r="J20" s="1266" t="e">
        <f>+'6B - True-Up Interest '!G47</f>
        <v>#DIV/0!</v>
      </c>
      <c r="K20" s="1270" t="e">
        <f t="shared" si="3"/>
        <v>#DIV/0!</v>
      </c>
    </row>
    <row r="21" spans="1:11">
      <c r="A21" s="1246" t="s">
        <v>676</v>
      </c>
      <c r="B21" s="1271"/>
      <c r="C21" s="1217"/>
      <c r="D21" s="1266"/>
      <c r="E21" s="1272">
        <f t="shared" si="0"/>
        <v>0</v>
      </c>
      <c r="F21" s="1258">
        <f t="shared" si="2"/>
        <v>0</v>
      </c>
      <c r="G21" s="1266">
        <f t="shared" si="1"/>
        <v>0</v>
      </c>
      <c r="H21" s="1269">
        <f t="shared" si="4"/>
        <v>0</v>
      </c>
      <c r="I21" s="1266">
        <v>0</v>
      </c>
      <c r="J21" s="1266" t="e">
        <f>+'6B - True-Up Interest '!G48</f>
        <v>#DIV/0!</v>
      </c>
      <c r="K21" s="1270" t="e">
        <f t="shared" si="3"/>
        <v>#DIV/0!</v>
      </c>
    </row>
    <row r="22" spans="1:11" ht="12.75" customHeight="1">
      <c r="A22" s="1246" t="s">
        <v>677</v>
      </c>
      <c r="B22" s="1271"/>
      <c r="C22" s="1217"/>
      <c r="D22" s="1266"/>
      <c r="E22" s="1272">
        <f t="shared" si="0"/>
        <v>0</v>
      </c>
      <c r="F22" s="1258">
        <f t="shared" si="2"/>
        <v>0</v>
      </c>
      <c r="G22" s="1266">
        <f t="shared" si="1"/>
        <v>0</v>
      </c>
      <c r="H22" s="1269">
        <f t="shared" si="4"/>
        <v>0</v>
      </c>
      <c r="I22" s="1266">
        <v>0</v>
      </c>
      <c r="J22" s="1266" t="e">
        <f>+'6B - True-Up Interest '!G49</f>
        <v>#DIV/0!</v>
      </c>
      <c r="K22" s="1270" t="e">
        <f t="shared" si="3"/>
        <v>#DIV/0!</v>
      </c>
    </row>
    <row r="23" spans="1:11">
      <c r="A23" s="1246" t="s">
        <v>678</v>
      </c>
      <c r="B23" s="1271"/>
      <c r="C23" s="1217"/>
      <c r="D23" s="1266"/>
      <c r="E23" s="1272">
        <f t="shared" si="0"/>
        <v>0</v>
      </c>
      <c r="F23" s="1258">
        <f t="shared" si="2"/>
        <v>0</v>
      </c>
      <c r="G23" s="1266">
        <f t="shared" si="1"/>
        <v>0</v>
      </c>
      <c r="H23" s="1269">
        <f t="shared" si="4"/>
        <v>0</v>
      </c>
      <c r="I23" s="1266">
        <v>0</v>
      </c>
      <c r="J23" s="1266" t="e">
        <f>+'6B - True-Up Interest '!G50</f>
        <v>#DIV/0!</v>
      </c>
      <c r="K23" s="1270" t="e">
        <f t="shared" si="3"/>
        <v>#DIV/0!</v>
      </c>
    </row>
    <row r="24" spans="1:11">
      <c r="A24" s="1246" t="s">
        <v>679</v>
      </c>
      <c r="B24" s="1273"/>
      <c r="C24" s="1217"/>
      <c r="D24" s="1266"/>
      <c r="E24" s="1272">
        <f t="shared" ref="E24:E26" si="5">IF(D$42=0,0,D24/D$42)</f>
        <v>0</v>
      </c>
      <c r="F24" s="1258">
        <f t="shared" ref="F24:F26" si="6">IF(F$8=0,0,E24*F$8)</f>
        <v>0</v>
      </c>
      <c r="G24" s="1266">
        <f t="shared" ref="G24:G26" si="7">+$E$77*E24</f>
        <v>0</v>
      </c>
      <c r="H24" s="1269">
        <f t="shared" ref="H24:H26" si="8">+G24-F24</f>
        <v>0</v>
      </c>
      <c r="I24" s="1266">
        <v>0</v>
      </c>
      <c r="J24" s="1266" t="e">
        <f>+'6B - True-Up Interest '!G51</f>
        <v>#DIV/0!</v>
      </c>
      <c r="K24" s="1270" t="e">
        <f t="shared" ref="K24:K26" si="9">+H24+J24+I24</f>
        <v>#DIV/0!</v>
      </c>
    </row>
    <row r="25" spans="1:11">
      <c r="A25" s="1246" t="s">
        <v>680</v>
      </c>
      <c r="B25" s="1273"/>
      <c r="C25" s="1217"/>
      <c r="D25" s="1266"/>
      <c r="E25" s="1272">
        <f t="shared" si="5"/>
        <v>0</v>
      </c>
      <c r="F25" s="1258">
        <f t="shared" si="6"/>
        <v>0</v>
      </c>
      <c r="G25" s="1266">
        <f t="shared" si="7"/>
        <v>0</v>
      </c>
      <c r="H25" s="1269">
        <f t="shared" si="8"/>
        <v>0</v>
      </c>
      <c r="I25" s="1266">
        <v>0</v>
      </c>
      <c r="J25" s="1266" t="e">
        <f>+'6B - True-Up Interest '!G52</f>
        <v>#DIV/0!</v>
      </c>
      <c r="K25" s="1270" t="e">
        <f t="shared" si="9"/>
        <v>#DIV/0!</v>
      </c>
    </row>
    <row r="26" spans="1:11">
      <c r="A26" s="1246" t="s">
        <v>681</v>
      </c>
      <c r="B26" s="1273"/>
      <c r="C26" s="1217"/>
      <c r="D26" s="1266"/>
      <c r="E26" s="1272">
        <f t="shared" si="5"/>
        <v>0</v>
      </c>
      <c r="F26" s="1258">
        <f t="shared" si="6"/>
        <v>0</v>
      </c>
      <c r="G26" s="1266">
        <f t="shared" si="7"/>
        <v>0</v>
      </c>
      <c r="H26" s="1269">
        <f t="shared" si="8"/>
        <v>0</v>
      </c>
      <c r="I26" s="1266">
        <v>0</v>
      </c>
      <c r="J26" s="1266" t="e">
        <f>+'6B - True-Up Interest '!G53</f>
        <v>#DIV/0!</v>
      </c>
      <c r="K26" s="1270" t="e">
        <f t="shared" si="9"/>
        <v>#DIV/0!</v>
      </c>
    </row>
    <row r="27" spans="1:11">
      <c r="A27" s="1246" t="s">
        <v>682</v>
      </c>
      <c r="B27" s="1273"/>
      <c r="C27" s="1217"/>
      <c r="D27" s="1266"/>
      <c r="E27" s="1272"/>
      <c r="F27" s="1258"/>
      <c r="G27" s="1266"/>
      <c r="H27" s="1269"/>
      <c r="I27" s="1266"/>
      <c r="J27" s="1266"/>
      <c r="K27" s="1270"/>
    </row>
    <row r="28" spans="1:11">
      <c r="A28" s="1246" t="s">
        <v>683</v>
      </c>
      <c r="B28" s="1273"/>
      <c r="C28" s="1217"/>
      <c r="D28" s="1266"/>
      <c r="E28" s="1272"/>
      <c r="F28" s="1258"/>
      <c r="G28" s="1266"/>
      <c r="H28" s="1269"/>
      <c r="I28" s="1266"/>
      <c r="J28" s="1266"/>
      <c r="K28" s="1270"/>
    </row>
    <row r="29" spans="1:11">
      <c r="A29" s="1246" t="s">
        <v>684</v>
      </c>
      <c r="B29" s="1273"/>
      <c r="C29" s="1217"/>
      <c r="D29" s="1266"/>
      <c r="E29" s="1272"/>
      <c r="F29" s="1258"/>
      <c r="G29" s="1266"/>
      <c r="H29" s="1269"/>
      <c r="I29" s="1266"/>
      <c r="J29" s="1266"/>
      <c r="K29" s="1270"/>
    </row>
    <row r="30" spans="1:11">
      <c r="A30" s="1246" t="s">
        <v>685</v>
      </c>
      <c r="B30" s="1273"/>
      <c r="C30" s="1217"/>
      <c r="D30" s="1266"/>
      <c r="E30" s="1272"/>
      <c r="F30" s="1258"/>
      <c r="G30" s="1266"/>
      <c r="H30" s="1269"/>
      <c r="I30" s="1266"/>
      <c r="J30" s="1266"/>
      <c r="K30" s="1270"/>
    </row>
    <row r="31" spans="1:11">
      <c r="A31" s="1246" t="s">
        <v>686</v>
      </c>
      <c r="B31" s="1273"/>
      <c r="C31" s="1217"/>
      <c r="D31" s="1266"/>
      <c r="E31" s="1272"/>
      <c r="F31" s="1258"/>
      <c r="G31" s="1266"/>
      <c r="H31" s="1269"/>
      <c r="I31" s="1266"/>
      <c r="J31" s="1266"/>
      <c r="K31" s="1270"/>
    </row>
    <row r="32" spans="1:11">
      <c r="A32" s="1246" t="s">
        <v>687</v>
      </c>
      <c r="B32" s="1273"/>
      <c r="C32" s="1217"/>
      <c r="D32" s="1266"/>
      <c r="E32" s="1272"/>
      <c r="F32" s="1258"/>
      <c r="G32" s="1266"/>
      <c r="H32" s="1269"/>
      <c r="I32" s="1266"/>
      <c r="J32" s="1266"/>
      <c r="K32" s="1270"/>
    </row>
    <row r="33" spans="1:12">
      <c r="A33" s="1246" t="s">
        <v>688</v>
      </c>
      <c r="B33" s="1273"/>
      <c r="C33" s="1217"/>
      <c r="D33" s="1266"/>
      <c r="E33" s="1272"/>
      <c r="F33" s="1258"/>
      <c r="G33" s="1266"/>
      <c r="H33" s="1269"/>
      <c r="I33" s="1266"/>
      <c r="J33" s="1266"/>
      <c r="K33" s="1270"/>
    </row>
    <row r="34" spans="1:12">
      <c r="A34" s="1246" t="s">
        <v>689</v>
      </c>
      <c r="B34" s="1273"/>
      <c r="C34" s="1217"/>
      <c r="D34" s="1266"/>
      <c r="E34" s="1272"/>
      <c r="F34" s="1258"/>
      <c r="G34" s="1266"/>
      <c r="H34" s="1269"/>
      <c r="I34" s="1266"/>
      <c r="J34" s="1266"/>
      <c r="K34" s="1270"/>
    </row>
    <row r="35" spans="1:12">
      <c r="A35" s="1246" t="s">
        <v>690</v>
      </c>
      <c r="B35" s="1273"/>
      <c r="C35" s="1217"/>
      <c r="D35" s="1266"/>
      <c r="E35" s="1272"/>
      <c r="F35" s="1258"/>
      <c r="G35" s="1266"/>
      <c r="H35" s="1269"/>
      <c r="I35" s="1266"/>
      <c r="J35" s="1266"/>
      <c r="K35" s="1270"/>
    </row>
    <row r="36" spans="1:12">
      <c r="A36" s="1246" t="s">
        <v>691</v>
      </c>
      <c r="B36" s="1273"/>
      <c r="C36" s="1217"/>
      <c r="D36" s="1274"/>
      <c r="E36" s="1272"/>
      <c r="F36" s="1258"/>
      <c r="G36" s="1266"/>
      <c r="H36" s="1269"/>
      <c r="I36" s="1266"/>
      <c r="J36" s="1266"/>
      <c r="K36" s="1270"/>
    </row>
    <row r="37" spans="1:12">
      <c r="A37" s="1246" t="s">
        <v>692</v>
      </c>
      <c r="B37" s="1275"/>
      <c r="C37" s="1276"/>
      <c r="D37" s="1274"/>
      <c r="E37" s="1272"/>
      <c r="F37" s="1277"/>
      <c r="G37" s="1266"/>
      <c r="H37" s="1269"/>
      <c r="I37" s="1266"/>
      <c r="J37" s="1266"/>
      <c r="K37" s="1270"/>
    </row>
    <row r="38" spans="1:12" ht="13.5" customHeight="1">
      <c r="A38" s="1246" t="s">
        <v>693</v>
      </c>
      <c r="B38" s="1275"/>
      <c r="C38" s="1276"/>
      <c r="D38" s="1274"/>
      <c r="E38" s="1272"/>
      <c r="F38" s="1277"/>
      <c r="G38" s="1274"/>
      <c r="H38" s="1272"/>
      <c r="I38" s="1274"/>
      <c r="J38" s="1274"/>
      <c r="K38" s="1278"/>
    </row>
    <row r="39" spans="1:12" ht="13.5" customHeight="1">
      <c r="A39" s="1246"/>
      <c r="B39" s="1275"/>
      <c r="C39" s="1276"/>
      <c r="D39" s="1274"/>
      <c r="E39" s="1272"/>
      <c r="F39" s="1277"/>
      <c r="G39" s="1274"/>
      <c r="H39" s="1272"/>
      <c r="I39" s="1274"/>
      <c r="J39" s="1274"/>
      <c r="K39" s="1278"/>
    </row>
    <row r="40" spans="1:12">
      <c r="A40" s="1246"/>
      <c r="B40" s="1275"/>
      <c r="C40" s="1276"/>
      <c r="D40" s="1274"/>
      <c r="E40" s="1272"/>
      <c r="F40" s="1277"/>
      <c r="G40" s="1274"/>
      <c r="H40" s="1272"/>
      <c r="I40" s="1274"/>
      <c r="J40" s="1274"/>
      <c r="K40" s="1278"/>
    </row>
    <row r="41" spans="1:12">
      <c r="A41" s="1246"/>
      <c r="B41" s="1279"/>
      <c r="C41" s="1280"/>
      <c r="D41" s="1281"/>
      <c r="E41" s="1282"/>
      <c r="F41" s="1280"/>
      <c r="G41" s="1281"/>
      <c r="H41" s="1283"/>
      <c r="I41" s="1279"/>
      <c r="J41" s="1279"/>
      <c r="K41" s="1279"/>
    </row>
    <row r="42" spans="1:12">
      <c r="A42" s="1246">
        <v>4</v>
      </c>
      <c r="B42" s="1247" t="s">
        <v>694</v>
      </c>
      <c r="C42" s="1247"/>
      <c r="D42" s="795">
        <f>SUM(D14:D41)</f>
        <v>0</v>
      </c>
      <c r="E42" s="1284">
        <f>SUM(E14:E41)</f>
        <v>0</v>
      </c>
      <c r="F42" s="795">
        <f>SUM(F14:F41)</f>
        <v>0</v>
      </c>
      <c r="G42" s="795">
        <f>SUM(G14:G41)</f>
        <v>0</v>
      </c>
      <c r="H42" s="795">
        <f>SUM(H14:H41)</f>
        <v>0</v>
      </c>
      <c r="I42" s="905"/>
      <c r="J42" s="795" t="e">
        <f>SUM(J14:J41)</f>
        <v>#DIV/0!</v>
      </c>
      <c r="K42" s="795" t="e">
        <f>SUM(K14:K41)</f>
        <v>#DIV/0!</v>
      </c>
    </row>
    <row r="43" spans="1:12">
      <c r="A43" s="1246"/>
      <c r="B43" s="1247"/>
      <c r="C43" s="1247"/>
      <c r="D43" s="905"/>
      <c r="E43" s="905"/>
      <c r="F43" s="905"/>
      <c r="G43" s="905"/>
      <c r="H43" s="905"/>
      <c r="I43" s="905"/>
      <c r="J43" s="905"/>
      <c r="K43" s="905"/>
    </row>
    <row r="44" spans="1:12">
      <c r="A44" s="1246"/>
      <c r="B44" s="1247"/>
      <c r="C44" s="1247"/>
      <c r="D44" s="905"/>
      <c r="E44" s="905"/>
      <c r="F44" s="905"/>
      <c r="G44" s="905" t="s">
        <v>695</v>
      </c>
      <c r="H44" s="905"/>
      <c r="I44" s="905"/>
      <c r="J44" s="1285" t="e">
        <f>'6B - True-Up Interest '!E26</f>
        <v>#DIV/0!</v>
      </c>
      <c r="K44" s="905"/>
    </row>
    <row r="45" spans="1:12">
      <c r="A45" s="1246"/>
      <c r="B45" s="1247"/>
      <c r="C45" s="1247"/>
      <c r="D45" s="905"/>
      <c r="E45" s="905"/>
      <c r="F45" s="905"/>
      <c r="G45" s="905" t="s">
        <v>696</v>
      </c>
      <c r="H45" s="905"/>
      <c r="I45" s="905"/>
      <c r="J45" s="795" t="e">
        <f>+J42</f>
        <v>#DIV/0!</v>
      </c>
      <c r="K45" s="905"/>
    </row>
    <row r="46" spans="1:12">
      <c r="A46" s="1246"/>
      <c r="B46" s="1247" t="s">
        <v>509</v>
      </c>
      <c r="C46" s="1247"/>
      <c r="D46" s="1247"/>
      <c r="E46" s="1247"/>
      <c r="F46" s="1247"/>
      <c r="G46" s="1247"/>
      <c r="H46" s="1247"/>
      <c r="I46" s="1247"/>
      <c r="J46" s="1247"/>
      <c r="K46" s="1247"/>
      <c r="L46" s="1247"/>
    </row>
    <row r="47" spans="1:12">
      <c r="A47" s="1246"/>
      <c r="B47" s="1247" t="s">
        <v>814</v>
      </c>
      <c r="C47" s="1247"/>
      <c r="D47" s="1247"/>
      <c r="E47" s="1247"/>
      <c r="F47" s="1247"/>
      <c r="G47" s="1247"/>
      <c r="H47" s="1247"/>
      <c r="I47" s="1247"/>
      <c r="J47" s="1247"/>
      <c r="K47" s="1247"/>
      <c r="L47" s="1247"/>
    </row>
    <row r="48" spans="1:12">
      <c r="A48" s="1246"/>
      <c r="B48" s="1247" t="s">
        <v>815</v>
      </c>
      <c r="C48" s="1247"/>
      <c r="D48" s="1247"/>
      <c r="E48" s="1247"/>
      <c r="F48" s="1247"/>
      <c r="G48" s="1247"/>
      <c r="H48" s="1247"/>
      <c r="I48" s="1247"/>
      <c r="J48" s="1247"/>
      <c r="K48" s="1247"/>
      <c r="L48" s="1247"/>
    </row>
    <row r="49" spans="1:12">
      <c r="A49" s="1246"/>
      <c r="B49" s="1247" t="s">
        <v>697</v>
      </c>
      <c r="C49" s="1247"/>
      <c r="D49" s="1247"/>
      <c r="E49" s="1247"/>
      <c r="F49" s="1247"/>
      <c r="G49" s="1247"/>
      <c r="H49" s="1247"/>
      <c r="I49" s="1247"/>
      <c r="J49" s="1247"/>
      <c r="K49" s="1247"/>
      <c r="L49" s="1247"/>
    </row>
    <row r="50" spans="1:12">
      <c r="A50" s="1246"/>
      <c r="B50" s="1136" t="s">
        <v>698</v>
      </c>
      <c r="C50" s="1247"/>
      <c r="D50" s="1247"/>
      <c r="E50" s="1247"/>
      <c r="F50" s="1247"/>
      <c r="G50" s="1247"/>
      <c r="H50" s="1247"/>
      <c r="I50" s="1247"/>
      <c r="J50" s="1247"/>
      <c r="K50" s="1247"/>
      <c r="L50" s="1247"/>
    </row>
    <row r="51" spans="1:12">
      <c r="A51" s="1246"/>
      <c r="B51" s="1136" t="s">
        <v>699</v>
      </c>
      <c r="C51" s="1247"/>
      <c r="D51" s="1247"/>
      <c r="E51" s="1247"/>
      <c r="F51" s="1247"/>
      <c r="G51" s="1247"/>
      <c r="H51" s="1247"/>
      <c r="I51" s="1247"/>
      <c r="J51" s="1247"/>
      <c r="K51" s="1247"/>
      <c r="L51" s="1247"/>
    </row>
    <row r="52" spans="1:12">
      <c r="A52" s="1246"/>
      <c r="B52" s="1247" t="s">
        <v>700</v>
      </c>
      <c r="C52" s="1247"/>
      <c r="D52" s="1247"/>
      <c r="E52" s="1247"/>
      <c r="F52" s="1247"/>
      <c r="G52" s="1247"/>
      <c r="H52" s="1247"/>
      <c r="I52" s="1247"/>
      <c r="J52" s="1247"/>
      <c r="K52" s="1247"/>
      <c r="L52" s="1247"/>
    </row>
    <row r="53" spans="1:12">
      <c r="A53" s="1246"/>
      <c r="B53" s="1286" t="s">
        <v>701</v>
      </c>
      <c r="C53" s="1247"/>
      <c r="D53" s="1247"/>
      <c r="E53" s="1247"/>
      <c r="F53" s="1247"/>
      <c r="G53" s="1247"/>
      <c r="H53" s="1247"/>
      <c r="I53" s="1247"/>
      <c r="J53" s="1247"/>
      <c r="K53" s="1247"/>
      <c r="L53" s="1247"/>
    </row>
    <row r="54" spans="1:12">
      <c r="A54" s="1246"/>
      <c r="J54" s="1247"/>
      <c r="K54" s="1247"/>
      <c r="L54" s="1247"/>
    </row>
    <row r="55" spans="1:12">
      <c r="A55" s="1246"/>
      <c r="C55" s="1247"/>
      <c r="D55" s="1247"/>
      <c r="E55" s="1247"/>
      <c r="F55" s="1247"/>
      <c r="G55" s="1247"/>
      <c r="H55" s="1247"/>
      <c r="I55" s="1247"/>
      <c r="J55" s="1247"/>
      <c r="K55" s="1247"/>
      <c r="L55" s="1247"/>
    </row>
    <row r="56" spans="1:12">
      <c r="A56" s="1246"/>
      <c r="C56" s="1247"/>
      <c r="D56" s="1247"/>
      <c r="E56" s="1247"/>
      <c r="F56" s="1247"/>
      <c r="G56" s="1247"/>
      <c r="H56" s="1247"/>
      <c r="I56" s="1247"/>
      <c r="J56" s="1247"/>
      <c r="K56" s="1247"/>
      <c r="L56" s="1247"/>
    </row>
    <row r="57" spans="1:12">
      <c r="A57" s="1246"/>
      <c r="B57" s="541"/>
      <c r="C57" s="541"/>
      <c r="D57" s="1287"/>
      <c r="E57" s="1287"/>
      <c r="F57" s="1287"/>
      <c r="G57" s="1287"/>
      <c r="H57" s="1287"/>
      <c r="I57" s="541"/>
      <c r="J57" s="541"/>
    </row>
    <row r="58" spans="1:12" ht="13">
      <c r="A58" s="1288" t="s">
        <v>702</v>
      </c>
      <c r="C58" s="541"/>
      <c r="D58" s="1287"/>
      <c r="E58" s="1287"/>
      <c r="F58" s="1287"/>
      <c r="G58" s="1287"/>
      <c r="H58" s="1287"/>
      <c r="I58" s="541"/>
      <c r="J58" s="541"/>
    </row>
    <row r="59" spans="1:12">
      <c r="A59" s="1246"/>
      <c r="B59" s="1171" t="s">
        <v>480</v>
      </c>
      <c r="C59" s="1289" t="s">
        <v>481</v>
      </c>
      <c r="D59" s="1290" t="s">
        <v>482</v>
      </c>
      <c r="E59" s="1290" t="s">
        <v>483</v>
      </c>
      <c r="F59" s="1171"/>
      <c r="J59" s="541"/>
    </row>
    <row r="60" spans="1:12">
      <c r="A60" s="1246"/>
      <c r="B60" s="1291" t="str">
        <f>+A58</f>
        <v>Prior Period Adjustments</v>
      </c>
      <c r="C60" s="1292" t="s">
        <v>106</v>
      </c>
      <c r="D60" s="1292" t="s">
        <v>167</v>
      </c>
      <c r="E60" s="1292" t="s">
        <v>42</v>
      </c>
      <c r="J60" s="541"/>
    </row>
    <row r="61" spans="1:12">
      <c r="A61" s="1246"/>
      <c r="B61" s="1293" t="s">
        <v>296</v>
      </c>
      <c r="C61" s="1294" t="s">
        <v>703</v>
      </c>
      <c r="D61" s="1293" t="s">
        <v>296</v>
      </c>
      <c r="E61" s="1294" t="s">
        <v>704</v>
      </c>
      <c r="J61" s="541"/>
    </row>
    <row r="62" spans="1:12">
      <c r="A62" s="1246" t="s">
        <v>555</v>
      </c>
      <c r="B62" s="1684" t="s">
        <v>1986</v>
      </c>
      <c r="C62" s="1295">
        <f>+J27</f>
        <v>0</v>
      </c>
      <c r="D62" s="1295"/>
      <c r="E62" s="1295">
        <f>+C62+D62</f>
        <v>0</v>
      </c>
      <c r="J62" s="541"/>
    </row>
    <row r="63" spans="1:12">
      <c r="A63" s="1246"/>
      <c r="B63" s="1296"/>
      <c r="C63" s="1227"/>
      <c r="D63" s="1227"/>
      <c r="E63" s="1228"/>
      <c r="J63" s="541"/>
    </row>
    <row r="64" spans="1:12">
      <c r="A64" s="1246"/>
      <c r="B64" s="1171"/>
      <c r="E64" s="1138"/>
      <c r="J64" s="541"/>
    </row>
    <row r="65" spans="1:10">
      <c r="A65" s="1246"/>
      <c r="B65" s="1171"/>
      <c r="E65" s="1138"/>
      <c r="J65" s="541"/>
    </row>
    <row r="66" spans="1:10">
      <c r="A66" s="1246"/>
      <c r="C66" s="541"/>
      <c r="D66" s="541"/>
      <c r="E66" s="541"/>
      <c r="F66" s="541"/>
      <c r="G66" s="541"/>
      <c r="H66" s="793"/>
      <c r="J66" s="541"/>
    </row>
    <row r="67" spans="1:10">
      <c r="A67" s="1246">
        <v>6</v>
      </c>
      <c r="B67" s="1302" t="s">
        <v>965</v>
      </c>
      <c r="C67" s="1303"/>
      <c r="D67" s="1303"/>
      <c r="E67" s="1303"/>
      <c r="F67" s="1303"/>
      <c r="G67" s="541"/>
      <c r="H67" s="793"/>
      <c r="J67" s="541"/>
    </row>
    <row r="68" spans="1:10">
      <c r="A68" s="1246"/>
      <c r="B68" s="1302"/>
      <c r="C68" s="1303"/>
      <c r="D68" s="1303"/>
      <c r="E68" s="1303"/>
      <c r="F68" s="1303"/>
      <c r="G68" s="541"/>
      <c r="H68" s="793"/>
      <c r="J68" s="541"/>
    </row>
    <row r="69" spans="1:10">
      <c r="A69" s="1246">
        <v>7</v>
      </c>
      <c r="B69" s="1302"/>
      <c r="C69" s="1304" t="s">
        <v>164</v>
      </c>
      <c r="D69" s="1304" t="s">
        <v>165</v>
      </c>
      <c r="E69" s="1304" t="s">
        <v>166</v>
      </c>
      <c r="F69" s="298"/>
      <c r="G69" s="298"/>
      <c r="H69" s="793"/>
      <c r="J69" s="541"/>
    </row>
    <row r="70" spans="1:10">
      <c r="A70" s="1246">
        <v>8</v>
      </c>
      <c r="B70" s="1076"/>
      <c r="C70" s="1305" t="s">
        <v>1551</v>
      </c>
      <c r="D70" s="1306" t="s">
        <v>539</v>
      </c>
      <c r="E70" s="1302" t="s">
        <v>1560</v>
      </c>
      <c r="F70" s="298"/>
      <c r="G70" s="10"/>
      <c r="H70" s="298"/>
      <c r="I70" s="298"/>
      <c r="J70" s="298"/>
    </row>
    <row r="71" spans="1:10">
      <c r="A71" s="1246">
        <v>9</v>
      </c>
      <c r="B71" s="1307" t="s">
        <v>537</v>
      </c>
      <c r="C71" s="1308"/>
      <c r="D71" s="1308"/>
      <c r="E71" s="795">
        <v>0</v>
      </c>
      <c r="F71" s="298"/>
      <c r="G71" s="298"/>
      <c r="H71" s="298"/>
      <c r="I71" s="298"/>
      <c r="J71" s="298"/>
    </row>
    <row r="72" spans="1:10">
      <c r="A72" s="1246">
        <v>10</v>
      </c>
      <c r="B72" s="1307" t="s">
        <v>538</v>
      </c>
      <c r="C72" s="1308"/>
      <c r="D72" s="1308"/>
      <c r="E72" s="795">
        <f>+C72-D72</f>
        <v>0</v>
      </c>
      <c r="F72" s="298"/>
      <c r="G72" s="298"/>
      <c r="H72" s="298"/>
      <c r="I72" s="298"/>
      <c r="J72" s="298"/>
    </row>
    <row r="73" spans="1:10">
      <c r="A73" s="1246">
        <v>11</v>
      </c>
      <c r="B73" s="1307"/>
      <c r="C73" s="1303"/>
      <c r="D73" s="1303"/>
      <c r="E73" s="795">
        <f>SUM(E71:E72)</f>
        <v>0</v>
      </c>
      <c r="F73" s="1076"/>
      <c r="G73" s="298"/>
      <c r="H73" s="298"/>
      <c r="I73" s="298"/>
      <c r="J73" s="298"/>
    </row>
    <row r="74" spans="1:10">
      <c r="A74" s="1246"/>
      <c r="B74" s="1307"/>
      <c r="C74" s="1303"/>
      <c r="D74" s="1303"/>
      <c r="E74" s="1076"/>
      <c r="F74" s="1076"/>
      <c r="G74" s="298"/>
      <c r="H74" s="298"/>
      <c r="I74" s="298"/>
      <c r="J74" s="298"/>
    </row>
    <row r="75" spans="1:10">
      <c r="A75" s="1246">
        <v>12</v>
      </c>
      <c r="B75" s="1302" t="s">
        <v>964</v>
      </c>
      <c r="C75" s="1303"/>
      <c r="D75" s="1303"/>
      <c r="E75" s="1076"/>
      <c r="F75" s="1076"/>
      <c r="G75" s="298"/>
      <c r="H75" s="298"/>
      <c r="I75" s="298"/>
      <c r="J75" s="298"/>
    </row>
    <row r="76" spans="1:10">
      <c r="A76" s="1246"/>
      <c r="B76" s="1309"/>
      <c r="C76" s="1303"/>
      <c r="D76" s="1303"/>
      <c r="E76" s="1076"/>
      <c r="F76" s="1076"/>
      <c r="G76" s="298"/>
      <c r="H76" s="298"/>
      <c r="I76" s="298"/>
      <c r="J76" s="298"/>
    </row>
    <row r="77" spans="1:10">
      <c r="A77" s="1246">
        <v>13</v>
      </c>
      <c r="B77" s="1307" t="s">
        <v>736</v>
      </c>
      <c r="C77" s="1308"/>
      <c r="D77" s="1308"/>
      <c r="E77" s="1310">
        <f>+(C77-D77)</f>
        <v>0</v>
      </c>
      <c r="F77" s="541"/>
      <c r="G77" s="298"/>
      <c r="H77" s="298"/>
      <c r="I77" s="298"/>
      <c r="J77" s="298"/>
    </row>
    <row r="78" spans="1:10">
      <c r="A78" s="1246"/>
      <c r="C78" s="541"/>
      <c r="D78" s="541"/>
      <c r="E78" s="541"/>
      <c r="F78" s="541"/>
      <c r="G78" s="298"/>
      <c r="H78" s="298"/>
      <c r="I78" s="298"/>
      <c r="J78" s="298"/>
    </row>
    <row r="79" spans="1:10">
      <c r="A79" s="1246"/>
      <c r="C79" s="541"/>
      <c r="D79" s="541"/>
      <c r="E79" s="541"/>
      <c r="F79" s="541"/>
      <c r="G79" s="298"/>
      <c r="H79" s="298"/>
      <c r="I79" s="298"/>
      <c r="J79" s="298"/>
    </row>
    <row r="80" spans="1:10" ht="66" customHeight="1">
      <c r="A80" s="1246"/>
      <c r="C80" s="1236"/>
      <c r="D80" s="1297"/>
      <c r="E80" s="1297"/>
      <c r="F80" s="1297"/>
      <c r="G80" s="1298"/>
      <c r="H80" s="1297"/>
      <c r="I80" s="1297"/>
      <c r="J80" s="541"/>
    </row>
    <row r="81" spans="1:10" ht="56.25" customHeight="1">
      <c r="A81" s="1299" t="s">
        <v>509</v>
      </c>
      <c r="B81" s="1234" t="s">
        <v>9</v>
      </c>
      <c r="C81" s="1874" t="s">
        <v>1470</v>
      </c>
      <c r="D81" s="1874"/>
      <c r="E81" s="1874"/>
      <c r="F81" s="1874"/>
      <c r="G81" s="1874"/>
      <c r="H81" s="1874"/>
      <c r="I81" s="1874"/>
      <c r="J81" s="1874"/>
    </row>
    <row r="82" spans="1:10" ht="27" customHeight="1">
      <c r="A82" s="1246"/>
      <c r="B82" s="1300" t="s">
        <v>10</v>
      </c>
      <c r="C82" s="1865" t="s">
        <v>1167</v>
      </c>
      <c r="D82" s="1865"/>
      <c r="E82" s="1865"/>
      <c r="F82" s="1865"/>
      <c r="G82" s="1865"/>
      <c r="H82" s="1865"/>
      <c r="I82" s="1865"/>
      <c r="J82" s="1301"/>
    </row>
    <row r="86"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2:I82"/>
    <mergeCell ref="D6:E6"/>
    <mergeCell ref="D7:E7"/>
    <mergeCell ref="B12:B13"/>
    <mergeCell ref="C12:C13"/>
    <mergeCell ref="C81:J81"/>
  </mergeCells>
  <pageMargins left="0.25" right="0.25" top="0.75" bottom="0.75" header="0.3" footer="0.3"/>
  <pageSetup scale="38"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view="pageBreakPreview" topLeftCell="A7" zoomScale="60" zoomScaleNormal="100" workbookViewId="0">
      <selection sqref="A1:XFD1048576"/>
    </sheetView>
  </sheetViews>
  <sheetFormatPr defaultColWidth="11.453125" defaultRowHeight="12.5"/>
  <cols>
    <col min="1" max="1" width="5.1796875" style="1314" customWidth="1"/>
    <col min="2" max="2" width="47.81640625" style="1314" customWidth="1"/>
    <col min="3" max="3" width="24.26953125" style="1314" customWidth="1"/>
    <col min="4" max="4" width="22.1796875" style="1314" customWidth="1"/>
    <col min="5" max="5" width="12.1796875" style="1314" customWidth="1"/>
    <col min="6" max="6" width="10" style="1314" customWidth="1"/>
    <col min="7" max="7" width="16.54296875" style="1314" customWidth="1"/>
    <col min="8" max="16" width="10" style="1314" customWidth="1"/>
    <col min="17" max="17" width="13.7265625" style="1314" bestFit="1" customWidth="1"/>
    <col min="18" max="16384" width="11.453125" style="1314"/>
  </cols>
  <sheetData>
    <row r="1" spans="1:27" ht="18">
      <c r="E1" s="1343" t="str">
        <f>'ATT H-3D'!$A$4</f>
        <v>Delmarva Power &amp; Light Company</v>
      </c>
      <c r="I1" s="1315"/>
      <c r="P1" s="1316"/>
    </row>
    <row r="2" spans="1:27" ht="15.5">
      <c r="E2" s="1241" t="s">
        <v>706</v>
      </c>
      <c r="I2" s="1316"/>
    </row>
    <row r="3" spans="1:27" ht="15.5">
      <c r="E3" s="669" t="s">
        <v>711</v>
      </c>
    </row>
    <row r="4" spans="1:27">
      <c r="E4" s="1146"/>
      <c r="I4" s="1317"/>
    </row>
    <row r="5" spans="1:27">
      <c r="F5" s="978"/>
      <c r="G5" s="978"/>
      <c r="H5" s="978"/>
      <c r="I5" s="1317"/>
    </row>
    <row r="6" spans="1:27" ht="15.5">
      <c r="E6" s="238" t="s">
        <v>712</v>
      </c>
      <c r="F6" s="239"/>
      <c r="G6" s="240"/>
      <c r="H6" s="239"/>
    </row>
    <row r="7" spans="1:27" ht="46.5" customHeight="1">
      <c r="A7" s="241"/>
      <c r="B7" s="242"/>
      <c r="C7" s="243" t="s">
        <v>713</v>
      </c>
      <c r="D7" s="243"/>
      <c r="E7" s="244" t="s">
        <v>714</v>
      </c>
      <c r="F7" s="245"/>
      <c r="G7" s="245"/>
      <c r="H7" s="245"/>
      <c r="S7" s="978"/>
      <c r="T7" s="978"/>
      <c r="U7" s="978"/>
      <c r="V7" s="978"/>
      <c r="W7" s="978"/>
      <c r="X7" s="978"/>
      <c r="Y7" s="978"/>
      <c r="Z7" s="978"/>
      <c r="AA7" s="978"/>
    </row>
    <row r="8" spans="1:27" ht="15.5">
      <c r="A8" s="540">
        <v>1</v>
      </c>
      <c r="B8" s="541"/>
      <c r="C8" s="1314" t="s">
        <v>493</v>
      </c>
      <c r="D8" s="247"/>
      <c r="E8" s="248"/>
      <c r="F8" s="274"/>
      <c r="G8" s="250"/>
      <c r="H8" s="250"/>
      <c r="S8" s="251"/>
      <c r="T8" s="251"/>
      <c r="U8" s="251"/>
      <c r="V8" s="252"/>
      <c r="W8" s="239"/>
      <c r="X8" s="240"/>
      <c r="Y8" s="239"/>
      <c r="Z8" s="251"/>
      <c r="AA8" s="978"/>
    </row>
    <row r="9" spans="1:27" ht="15.5">
      <c r="A9" s="540">
        <v>2</v>
      </c>
      <c r="B9" s="541"/>
      <c r="C9" s="1314" t="s">
        <v>494</v>
      </c>
      <c r="D9" s="247"/>
      <c r="E9" s="248"/>
      <c r="F9" s="274"/>
      <c r="G9" s="250"/>
      <c r="H9" s="250"/>
      <c r="S9" s="251"/>
      <c r="T9" s="253"/>
      <c r="U9" s="253"/>
      <c r="V9" s="245"/>
      <c r="W9" s="245"/>
      <c r="X9" s="245"/>
      <c r="Y9" s="245"/>
      <c r="Z9" s="245"/>
      <c r="AA9" s="978"/>
    </row>
    <row r="10" spans="1:27" ht="15.5">
      <c r="A10" s="540">
        <v>3</v>
      </c>
      <c r="B10" s="541"/>
      <c r="C10" s="1314" t="s">
        <v>517</v>
      </c>
      <c r="D10" s="247"/>
      <c r="E10" s="248"/>
      <c r="F10" s="274"/>
      <c r="G10" s="250"/>
      <c r="H10" s="250"/>
      <c r="S10" s="251"/>
      <c r="T10" s="253"/>
      <c r="U10" s="253"/>
      <c r="V10" s="249"/>
      <c r="W10" s="249"/>
      <c r="X10" s="254"/>
      <c r="Y10" s="254"/>
      <c r="Z10" s="254"/>
      <c r="AA10" s="978"/>
    </row>
    <row r="11" spans="1:27" ht="15.5">
      <c r="A11" s="540">
        <v>4</v>
      </c>
      <c r="B11" s="541"/>
      <c r="C11" s="1314" t="s">
        <v>161</v>
      </c>
      <c r="D11" s="247"/>
      <c r="E11" s="248"/>
      <c r="F11" s="274"/>
      <c r="G11" s="250"/>
      <c r="H11" s="250"/>
      <c r="S11" s="251"/>
      <c r="T11" s="253"/>
      <c r="U11" s="253"/>
      <c r="V11" s="249"/>
      <c r="W11" s="249"/>
      <c r="X11" s="254"/>
      <c r="Y11" s="254"/>
      <c r="Z11" s="254"/>
      <c r="AA11" s="978"/>
    </row>
    <row r="12" spans="1:27" ht="15.75" customHeight="1">
      <c r="A12" s="540">
        <v>5</v>
      </c>
      <c r="B12" s="541"/>
      <c r="C12" s="1314" t="s">
        <v>162</v>
      </c>
      <c r="D12" s="247"/>
      <c r="E12" s="248"/>
      <c r="F12" s="274"/>
      <c r="G12" s="250"/>
      <c r="H12" s="250"/>
      <c r="S12" s="251"/>
      <c r="T12" s="253"/>
      <c r="U12" s="253"/>
      <c r="V12" s="249"/>
      <c r="W12" s="249"/>
      <c r="X12" s="254"/>
      <c r="Y12" s="254"/>
      <c r="Z12" s="254"/>
      <c r="AA12" s="978"/>
    </row>
    <row r="13" spans="1:27" ht="15.5">
      <c r="A13" s="540">
        <v>6</v>
      </c>
      <c r="B13" s="541"/>
      <c r="C13" s="1314" t="s">
        <v>163</v>
      </c>
      <c r="D13" s="247"/>
      <c r="E13" s="248"/>
      <c r="F13" s="274"/>
      <c r="G13" s="250"/>
      <c r="H13" s="250"/>
      <c r="S13" s="251"/>
      <c r="T13" s="253"/>
      <c r="U13" s="253"/>
      <c r="V13" s="249"/>
      <c r="W13" s="249"/>
      <c r="X13" s="254"/>
      <c r="Y13" s="254"/>
      <c r="Z13" s="254"/>
      <c r="AA13" s="978"/>
    </row>
    <row r="14" spans="1:27" ht="15.5">
      <c r="A14" s="540">
        <v>7</v>
      </c>
      <c r="B14" s="541"/>
      <c r="C14" s="1314" t="s">
        <v>496</v>
      </c>
      <c r="D14" s="247"/>
      <c r="E14" s="248"/>
      <c r="F14" s="274"/>
      <c r="G14" s="250"/>
      <c r="H14" s="250"/>
      <c r="S14" s="251"/>
      <c r="T14" s="251"/>
      <c r="U14" s="251"/>
      <c r="V14" s="251"/>
      <c r="W14" s="251"/>
      <c r="X14" s="251"/>
      <c r="Y14" s="251"/>
      <c r="Z14" s="251"/>
      <c r="AA14" s="978"/>
    </row>
    <row r="15" spans="1:27" ht="15.5">
      <c r="A15" s="540">
        <v>8</v>
      </c>
      <c r="B15" s="541"/>
      <c r="C15" s="1314" t="s">
        <v>518</v>
      </c>
      <c r="D15" s="247"/>
      <c r="E15" s="248"/>
      <c r="F15" s="274"/>
      <c r="G15" s="250"/>
      <c r="H15" s="250"/>
      <c r="S15" s="251"/>
      <c r="T15" s="251"/>
      <c r="U15" s="251"/>
      <c r="V15" s="251"/>
      <c r="W15" s="251"/>
      <c r="X15" s="251"/>
      <c r="Y15" s="251"/>
      <c r="Z15" s="251"/>
      <c r="AA15" s="978"/>
    </row>
    <row r="16" spans="1:27" ht="15.5">
      <c r="A16" s="540">
        <v>9</v>
      </c>
      <c r="B16" s="541"/>
      <c r="C16" s="1314" t="s">
        <v>498</v>
      </c>
      <c r="D16" s="247"/>
      <c r="E16" s="248"/>
      <c r="F16" s="274"/>
      <c r="G16" s="250"/>
      <c r="H16" s="250"/>
      <c r="S16" s="251"/>
      <c r="T16" s="251"/>
      <c r="U16" s="251"/>
      <c r="V16" s="251"/>
      <c r="W16" s="251"/>
      <c r="X16" s="251"/>
      <c r="Y16" s="251"/>
      <c r="Z16" s="251"/>
      <c r="AA16" s="978"/>
    </row>
    <row r="17" spans="1:27" ht="15.5">
      <c r="A17" s="540">
        <v>10</v>
      </c>
      <c r="B17" s="541"/>
      <c r="C17" s="1314" t="s">
        <v>499</v>
      </c>
      <c r="D17" s="247"/>
      <c r="E17" s="248"/>
      <c r="F17" s="274"/>
      <c r="H17" s="250"/>
      <c r="S17" s="251"/>
      <c r="T17" s="251"/>
      <c r="U17" s="251"/>
      <c r="V17" s="251"/>
      <c r="W17" s="251"/>
      <c r="X17" s="251"/>
      <c r="Y17" s="251"/>
      <c r="Z17" s="251"/>
      <c r="AA17" s="978"/>
    </row>
    <row r="18" spans="1:27" ht="15.5">
      <c r="A18" s="540">
        <v>11</v>
      </c>
      <c r="B18" s="541"/>
      <c r="C18" s="1314" t="s">
        <v>500</v>
      </c>
      <c r="D18" s="247"/>
      <c r="E18" s="248"/>
      <c r="F18" s="274"/>
      <c r="G18" s="250"/>
      <c r="H18" s="250"/>
      <c r="S18" s="251"/>
      <c r="T18" s="251"/>
      <c r="U18" s="251"/>
      <c r="V18" s="251"/>
      <c r="W18" s="251"/>
      <c r="X18" s="251"/>
      <c r="Y18" s="251"/>
      <c r="Z18" s="251"/>
      <c r="AA18" s="978"/>
    </row>
    <row r="19" spans="1:27" ht="15.5">
      <c r="A19" s="540">
        <v>12</v>
      </c>
      <c r="B19" s="541"/>
      <c r="C19" s="1314" t="s">
        <v>715</v>
      </c>
      <c r="D19" s="247"/>
      <c r="E19" s="248"/>
      <c r="F19" s="274"/>
      <c r="S19" s="251"/>
      <c r="T19" s="251"/>
      <c r="U19" s="251"/>
      <c r="V19" s="251"/>
      <c r="W19" s="251"/>
      <c r="X19" s="251"/>
      <c r="Y19" s="251"/>
      <c r="Z19" s="251"/>
      <c r="AA19" s="978"/>
    </row>
    <row r="20" spans="1:27" ht="15.5">
      <c r="A20" s="540">
        <v>13</v>
      </c>
      <c r="B20" s="541"/>
      <c r="C20" s="1314" t="s">
        <v>493</v>
      </c>
      <c r="D20" s="247"/>
      <c r="E20" s="248"/>
      <c r="F20" s="274"/>
      <c r="G20" s="250"/>
      <c r="S20" s="251"/>
      <c r="T20" s="251"/>
      <c r="U20" s="251"/>
      <c r="V20" s="251"/>
      <c r="W20" s="251"/>
      <c r="X20" s="251"/>
      <c r="Y20" s="251"/>
      <c r="Z20" s="251"/>
      <c r="AA20" s="978"/>
    </row>
    <row r="21" spans="1:27" ht="15.5">
      <c r="A21" s="540">
        <v>14</v>
      </c>
      <c r="B21" s="541"/>
      <c r="C21" s="1314" t="s">
        <v>494</v>
      </c>
      <c r="D21" s="247"/>
      <c r="E21" s="248"/>
      <c r="F21" s="274"/>
      <c r="G21" s="250"/>
      <c r="H21" s="250"/>
      <c r="S21" s="251"/>
      <c r="T21" s="251"/>
      <c r="U21" s="251"/>
      <c r="V21" s="251"/>
      <c r="W21" s="251"/>
      <c r="X21" s="251"/>
      <c r="Y21" s="251"/>
      <c r="Z21" s="251"/>
      <c r="AA21" s="978"/>
    </row>
    <row r="22" spans="1:27" ht="15.5">
      <c r="A22" s="540">
        <v>15</v>
      </c>
      <c r="B22" s="541"/>
      <c r="C22" s="1314" t="s">
        <v>517</v>
      </c>
      <c r="D22" s="247"/>
      <c r="E22" s="248"/>
      <c r="F22" s="274"/>
      <c r="G22" s="250"/>
      <c r="H22" s="250"/>
      <c r="S22" s="251"/>
      <c r="T22" s="251"/>
      <c r="U22" s="251"/>
      <c r="V22" s="251"/>
      <c r="W22" s="251"/>
      <c r="X22" s="251"/>
      <c r="Y22" s="251"/>
      <c r="Z22" s="251"/>
      <c r="AA22" s="978"/>
    </row>
    <row r="23" spans="1:27" ht="15.5">
      <c r="A23" s="540">
        <v>16</v>
      </c>
      <c r="B23" s="541"/>
      <c r="C23" s="1314" t="s">
        <v>161</v>
      </c>
      <c r="D23" s="247"/>
      <c r="E23" s="248"/>
      <c r="F23" s="274"/>
      <c r="G23" s="250"/>
      <c r="H23" s="250"/>
      <c r="S23" s="251"/>
      <c r="T23" s="251"/>
      <c r="U23" s="251"/>
      <c r="V23" s="251"/>
      <c r="W23" s="251"/>
      <c r="X23" s="251"/>
      <c r="Y23" s="251"/>
      <c r="Z23" s="251"/>
      <c r="AA23" s="978"/>
    </row>
    <row r="24" spans="1:27" ht="15.5">
      <c r="A24" s="540">
        <v>17</v>
      </c>
      <c r="B24" s="541"/>
      <c r="C24" s="1314" t="s">
        <v>162</v>
      </c>
      <c r="D24" s="247"/>
      <c r="E24" s="248"/>
      <c r="F24" s="274"/>
      <c r="G24" s="250"/>
      <c r="H24" s="250"/>
      <c r="S24" s="251"/>
      <c r="T24" s="251"/>
      <c r="U24" s="251"/>
      <c r="V24" s="251"/>
      <c r="W24" s="251"/>
      <c r="X24" s="251"/>
      <c r="Y24" s="251"/>
      <c r="Z24" s="251"/>
      <c r="AA24" s="978"/>
    </row>
    <row r="25" spans="1:27" ht="15.5">
      <c r="A25" s="540"/>
      <c r="B25" s="541"/>
      <c r="C25" s="255"/>
      <c r="D25" s="256"/>
      <c r="E25" s="256"/>
      <c r="F25" s="256"/>
      <c r="G25" s="256"/>
      <c r="H25" s="256"/>
      <c r="S25" s="251"/>
      <c r="T25" s="251"/>
      <c r="U25" s="251"/>
      <c r="V25" s="257"/>
      <c r="W25" s="254"/>
      <c r="X25" s="251"/>
      <c r="Y25" s="251"/>
      <c r="Z25" s="251"/>
      <c r="AA25" s="978"/>
    </row>
    <row r="26" spans="1:27" ht="15.5">
      <c r="A26" s="540">
        <v>18</v>
      </c>
      <c r="B26" s="542" t="s">
        <v>716</v>
      </c>
      <c r="C26" s="258"/>
      <c r="D26" s="256"/>
      <c r="E26" s="543" t="e">
        <f>AVERAGE(E8:E24)</f>
        <v>#DIV/0!</v>
      </c>
      <c r="F26" s="256"/>
      <c r="G26" s="256"/>
      <c r="H26" s="256"/>
      <c r="S26" s="251"/>
      <c r="T26" s="251"/>
      <c r="U26" s="251"/>
      <c r="V26" s="257"/>
      <c r="W26" s="254"/>
      <c r="X26" s="251"/>
      <c r="Y26" s="251"/>
      <c r="Z26" s="251"/>
      <c r="AA26" s="978"/>
    </row>
    <row r="27" spans="1:27" ht="15.5">
      <c r="A27" s="541"/>
      <c r="B27" s="541"/>
      <c r="C27" s="258"/>
      <c r="D27" s="256"/>
      <c r="E27" s="256"/>
      <c r="F27" s="247"/>
      <c r="G27" s="247"/>
      <c r="H27" s="247"/>
      <c r="S27" s="251"/>
      <c r="T27" s="251"/>
      <c r="U27" s="251"/>
      <c r="V27" s="251"/>
      <c r="W27" s="251"/>
      <c r="X27" s="251"/>
      <c r="Y27" s="251"/>
      <c r="Z27" s="251"/>
      <c r="AA27" s="978"/>
    </row>
    <row r="28" spans="1:27" ht="15.5">
      <c r="A28" s="541" t="s">
        <v>717</v>
      </c>
      <c r="B28" s="541"/>
      <c r="C28" s="246"/>
      <c r="D28" s="246"/>
      <c r="E28" s="246"/>
      <c r="F28" s="246"/>
      <c r="G28" s="246"/>
      <c r="H28" s="246"/>
      <c r="S28" s="251"/>
      <c r="T28" s="251"/>
      <c r="U28" s="251"/>
      <c r="V28" s="251"/>
      <c r="W28" s="251"/>
      <c r="X28" s="251"/>
      <c r="Y28" s="251"/>
      <c r="Z28" s="251"/>
      <c r="AA28" s="978"/>
    </row>
    <row r="29" spans="1:27" ht="15.5">
      <c r="A29" s="246"/>
      <c r="B29" s="259" t="s">
        <v>718</v>
      </c>
      <c r="C29" s="246"/>
      <c r="D29" s="246"/>
      <c r="E29" s="246"/>
      <c r="F29" s="246"/>
      <c r="G29" s="246"/>
      <c r="H29" s="246"/>
      <c r="S29" s="253"/>
      <c r="T29" s="978"/>
      <c r="U29" s="251"/>
      <c r="V29" s="251"/>
      <c r="W29" s="251"/>
      <c r="X29" s="251"/>
      <c r="Y29" s="251"/>
      <c r="Z29" s="251"/>
      <c r="AA29" s="978"/>
    </row>
    <row r="30" spans="1:27" ht="15.5">
      <c r="A30" s="246"/>
      <c r="B30" s="259"/>
      <c r="C30" s="246"/>
      <c r="D30" s="246"/>
      <c r="E30" s="246"/>
      <c r="F30" s="246"/>
      <c r="G30" s="246"/>
      <c r="H30" s="246"/>
      <c r="S30" s="259"/>
      <c r="U30" s="259"/>
      <c r="V30" s="259"/>
      <c r="W30" s="259"/>
      <c r="X30" s="259"/>
      <c r="Y30" s="259"/>
      <c r="Z30" s="259"/>
    </row>
    <row r="31" spans="1:27" ht="15.5">
      <c r="A31" s="246"/>
      <c r="B31" s="259"/>
      <c r="C31" s="246"/>
      <c r="D31" s="246"/>
      <c r="E31" s="246"/>
      <c r="F31" s="246"/>
      <c r="G31" s="246"/>
      <c r="H31" s="246"/>
      <c r="S31" s="259"/>
      <c r="T31" s="259"/>
      <c r="U31" s="259"/>
      <c r="V31" s="259"/>
      <c r="W31" s="259"/>
      <c r="X31" s="259"/>
      <c r="Y31" s="259"/>
      <c r="Z31" s="259"/>
    </row>
    <row r="32" spans="1:27" ht="15.5">
      <c r="A32" s="246"/>
      <c r="B32" s="246"/>
      <c r="C32" s="246"/>
      <c r="D32" s="246"/>
      <c r="E32" s="246"/>
      <c r="F32" s="246"/>
      <c r="G32" s="246"/>
      <c r="H32" s="246"/>
    </row>
    <row r="33" spans="1:17">
      <c r="A33" s="1246"/>
      <c r="B33" s="96"/>
      <c r="C33" s="96"/>
      <c r="D33" s="1841"/>
      <c r="E33" s="1841"/>
      <c r="F33" s="845"/>
      <c r="G33" s="845"/>
      <c r="H33" s="697"/>
      <c r="I33" s="845"/>
      <c r="J33" s="845"/>
      <c r="K33" s="845"/>
    </row>
    <row r="34" spans="1:17">
      <c r="A34" s="1246">
        <v>19</v>
      </c>
      <c r="B34" s="96" t="s">
        <v>160</v>
      </c>
      <c r="C34" s="96"/>
      <c r="D34" s="1841"/>
      <c r="E34" s="1841"/>
      <c r="F34" s="1841"/>
      <c r="G34" s="1841"/>
      <c r="H34" s="697"/>
      <c r="I34" s="1841"/>
      <c r="J34" s="1841"/>
      <c r="K34" s="1841"/>
      <c r="L34" s="1841"/>
    </row>
    <row r="35" spans="1:17">
      <c r="A35" s="1246">
        <v>20</v>
      </c>
      <c r="B35" s="96"/>
      <c r="C35" s="96"/>
      <c r="D35" s="845"/>
      <c r="E35" s="845"/>
      <c r="F35" s="1318"/>
      <c r="G35" s="845"/>
      <c r="H35" s="845"/>
      <c r="I35" s="845"/>
      <c r="J35" s="845"/>
      <c r="K35" s="845"/>
      <c r="L35" s="845"/>
    </row>
    <row r="36" spans="1:17">
      <c r="A36" s="1136"/>
      <c r="B36" s="1319" t="s">
        <v>9</v>
      </c>
      <c r="C36" s="1320" t="s">
        <v>10</v>
      </c>
      <c r="D36" s="1320" t="s">
        <v>11</v>
      </c>
      <c r="E36" s="1320" t="s">
        <v>14</v>
      </c>
      <c r="F36" s="1320" t="s">
        <v>134</v>
      </c>
      <c r="G36" s="1321" t="s">
        <v>135</v>
      </c>
      <c r="H36" s="697"/>
      <c r="I36" s="697"/>
      <c r="J36" s="697"/>
      <c r="K36" s="697"/>
      <c r="L36" s="697"/>
      <c r="M36" s="697"/>
      <c r="N36" s="697"/>
      <c r="O36" s="697"/>
      <c r="P36" s="697"/>
      <c r="Q36" s="697"/>
    </row>
    <row r="37" spans="1:17">
      <c r="A37" s="1246"/>
      <c r="B37" s="1322"/>
      <c r="C37" s="697"/>
      <c r="D37" s="697"/>
      <c r="E37" s="697"/>
      <c r="F37" s="697"/>
      <c r="G37" s="1323"/>
      <c r="H37" s="697"/>
      <c r="I37" s="845"/>
      <c r="J37" s="697"/>
      <c r="K37" s="845"/>
      <c r="L37" s="845"/>
      <c r="M37" s="978"/>
      <c r="N37" s="978"/>
      <c r="O37" s="978"/>
      <c r="P37" s="978"/>
      <c r="Q37" s="978"/>
    </row>
    <row r="38" spans="1:17">
      <c r="A38" s="1246"/>
      <c r="B38" s="1324"/>
      <c r="C38" s="697"/>
      <c r="D38" s="697"/>
      <c r="E38" s="697"/>
      <c r="F38" s="697"/>
      <c r="G38" s="1325"/>
      <c r="H38" s="697"/>
      <c r="I38" s="697"/>
      <c r="J38" s="697"/>
      <c r="K38" s="697"/>
      <c r="L38" s="697"/>
      <c r="M38" s="697"/>
      <c r="N38" s="697"/>
      <c r="O38" s="697"/>
      <c r="P38" s="697"/>
      <c r="Q38" s="697"/>
    </row>
    <row r="39" spans="1:17" ht="37.5">
      <c r="A39" s="1246"/>
      <c r="B39" s="1223" t="s">
        <v>589</v>
      </c>
      <c r="C39" s="1326" t="s">
        <v>590</v>
      </c>
      <c r="D39" s="855" t="s">
        <v>106</v>
      </c>
      <c r="E39" s="697" t="s">
        <v>719</v>
      </c>
      <c r="F39" s="1326" t="s">
        <v>695</v>
      </c>
      <c r="G39" s="1327" t="s">
        <v>167</v>
      </c>
      <c r="H39" s="978"/>
      <c r="I39" s="978"/>
      <c r="J39" s="978"/>
      <c r="K39" s="978"/>
      <c r="L39" s="978"/>
      <c r="M39" s="978"/>
      <c r="N39" s="978"/>
      <c r="O39" s="978"/>
      <c r="P39" s="697"/>
      <c r="Q39" s="697"/>
    </row>
    <row r="40" spans="1:17" ht="30" customHeight="1">
      <c r="A40" s="1246"/>
      <c r="B40" s="1324"/>
      <c r="C40" s="697"/>
      <c r="D40" s="855" t="s">
        <v>758</v>
      </c>
      <c r="E40" s="697"/>
      <c r="F40" s="855" t="s">
        <v>720</v>
      </c>
      <c r="G40" s="1328" t="s">
        <v>721</v>
      </c>
      <c r="H40" s="697"/>
      <c r="I40" s="697"/>
      <c r="J40" s="697"/>
      <c r="K40" s="697"/>
      <c r="L40" s="697"/>
      <c r="M40" s="697"/>
      <c r="N40" s="697"/>
      <c r="O40" s="697"/>
      <c r="P40" s="697"/>
      <c r="Q40" s="697"/>
    </row>
    <row r="41" spans="1:17">
      <c r="A41" s="1246">
        <v>21</v>
      </c>
      <c r="B41" s="1322" t="s">
        <v>42</v>
      </c>
      <c r="C41" s="845" t="s">
        <v>613</v>
      </c>
      <c r="D41" s="940">
        <f>+'6A-Project True-up'!H14+'6A-Project True-up'!I14</f>
        <v>0</v>
      </c>
      <c r="E41" s="940">
        <v>17</v>
      </c>
      <c r="F41" s="1329" t="e">
        <f>+E26</f>
        <v>#DIV/0!</v>
      </c>
      <c r="G41" s="1330" t="e">
        <f>+D41*E41*F41</f>
        <v>#DIV/0!</v>
      </c>
      <c r="H41" s="1331"/>
      <c r="I41" s="1332"/>
      <c r="J41" s="1332"/>
      <c r="K41" s="1332"/>
      <c r="L41" s="1332"/>
      <c r="M41" s="978"/>
      <c r="N41" s="978"/>
      <c r="O41" s="978"/>
      <c r="P41" s="978"/>
      <c r="Q41" s="978"/>
    </row>
    <row r="42" spans="1:17">
      <c r="A42" s="1246" t="s">
        <v>722</v>
      </c>
      <c r="B42" s="1271"/>
      <c r="C42" s="1217"/>
      <c r="D42" s="940">
        <f>+'6A-Project True-up'!H15+'6A-Project True-up'!I15</f>
        <v>0</v>
      </c>
      <c r="E42" s="940">
        <v>17</v>
      </c>
      <c r="F42" s="1329" t="e">
        <f>+F41</f>
        <v>#DIV/0!</v>
      </c>
      <c r="G42" s="1330" t="e">
        <f>+D42*E42*F42</f>
        <v>#DIV/0!</v>
      </c>
      <c r="H42" s="1331"/>
      <c r="I42" s="845"/>
      <c r="J42" s="1331"/>
      <c r="K42" s="1332"/>
      <c r="L42" s="1332"/>
      <c r="M42" s="978"/>
      <c r="N42" s="978"/>
      <c r="O42" s="978"/>
      <c r="P42" s="1173"/>
      <c r="Q42" s="1333"/>
    </row>
    <row r="43" spans="1:17">
      <c r="A43" s="1246" t="s">
        <v>723</v>
      </c>
      <c r="B43" s="1271"/>
      <c r="C43" s="1217"/>
      <c r="D43" s="940">
        <f>+'6A-Project True-up'!H16+'6A-Project True-up'!I16</f>
        <v>0</v>
      </c>
      <c r="E43" s="940">
        <v>17</v>
      </c>
      <c r="F43" s="1329" t="e">
        <f t="shared" ref="F43:F53" si="0">+F42</f>
        <v>#DIV/0!</v>
      </c>
      <c r="G43" s="1330" t="e">
        <f t="shared" ref="G43:G50" si="1">+D43*E43*F43</f>
        <v>#DIV/0!</v>
      </c>
      <c r="H43" s="1331"/>
      <c r="I43" s="845"/>
      <c r="J43" s="1331"/>
      <c r="K43" s="1332"/>
      <c r="L43" s="1332"/>
      <c r="M43" s="978"/>
      <c r="N43" s="978"/>
      <c r="O43" s="978"/>
      <c r="P43" s="1173"/>
      <c r="Q43" s="1333"/>
    </row>
    <row r="44" spans="1:17">
      <c r="A44" s="1246" t="s">
        <v>724</v>
      </c>
      <c r="B44" s="1271"/>
      <c r="C44" s="1217"/>
      <c r="D44" s="940">
        <f>+'6A-Project True-up'!H17+'6A-Project True-up'!I17</f>
        <v>0</v>
      </c>
      <c r="E44" s="940">
        <v>17</v>
      </c>
      <c r="F44" s="1329" t="e">
        <f t="shared" si="0"/>
        <v>#DIV/0!</v>
      </c>
      <c r="G44" s="1330" t="e">
        <f t="shared" si="1"/>
        <v>#DIV/0!</v>
      </c>
      <c r="H44" s="1331"/>
      <c r="I44" s="845"/>
      <c r="J44" s="1331"/>
      <c r="K44" s="1332"/>
      <c r="L44" s="1332"/>
      <c r="M44" s="978"/>
      <c r="N44" s="978"/>
      <c r="O44" s="978"/>
      <c r="P44" s="1173"/>
      <c r="Q44" s="1333"/>
    </row>
    <row r="45" spans="1:17">
      <c r="A45" s="1246" t="s">
        <v>738</v>
      </c>
      <c r="B45" s="1271"/>
      <c r="C45" s="1217"/>
      <c r="D45" s="940">
        <f>+'6A-Project True-up'!H18+'6A-Project True-up'!I18</f>
        <v>0</v>
      </c>
      <c r="E45" s="940">
        <v>17</v>
      </c>
      <c r="F45" s="1329" t="e">
        <f t="shared" si="0"/>
        <v>#DIV/0!</v>
      </c>
      <c r="G45" s="1330" t="e">
        <f t="shared" si="1"/>
        <v>#DIV/0!</v>
      </c>
      <c r="H45" s="1331"/>
      <c r="I45" s="845"/>
      <c r="J45" s="1331"/>
      <c r="K45" s="1332"/>
      <c r="L45" s="1332"/>
      <c r="M45" s="978"/>
      <c r="N45" s="978"/>
      <c r="O45" s="978"/>
      <c r="P45" s="1173"/>
      <c r="Q45" s="1333"/>
    </row>
    <row r="46" spans="1:17">
      <c r="A46" s="1246" t="s">
        <v>739</v>
      </c>
      <c r="B46" s="1271"/>
      <c r="C46" s="1217"/>
      <c r="D46" s="940">
        <f>+'6A-Project True-up'!H19+'6A-Project True-up'!I19</f>
        <v>0</v>
      </c>
      <c r="E46" s="940">
        <v>17</v>
      </c>
      <c r="F46" s="1329" t="e">
        <f t="shared" si="0"/>
        <v>#DIV/0!</v>
      </c>
      <c r="G46" s="1330" t="e">
        <f t="shared" si="1"/>
        <v>#DIV/0!</v>
      </c>
      <c r="H46" s="1331"/>
      <c r="I46" s="845"/>
      <c r="J46" s="1331"/>
      <c r="K46" s="1332"/>
      <c r="L46" s="1332"/>
      <c r="M46" s="978"/>
      <c r="N46" s="978"/>
      <c r="O46" s="978"/>
      <c r="P46" s="1173"/>
      <c r="Q46" s="1333"/>
    </row>
    <row r="47" spans="1:17">
      <c r="A47" s="1246" t="s">
        <v>740</v>
      </c>
      <c r="B47" s="1271"/>
      <c r="C47" s="1217"/>
      <c r="D47" s="940">
        <f>+'6A-Project True-up'!H20+'6A-Project True-up'!I20</f>
        <v>0</v>
      </c>
      <c r="E47" s="940">
        <v>17</v>
      </c>
      <c r="F47" s="1329" t="e">
        <f t="shared" si="0"/>
        <v>#DIV/0!</v>
      </c>
      <c r="G47" s="1330" t="e">
        <f t="shared" si="1"/>
        <v>#DIV/0!</v>
      </c>
      <c r="H47" s="1331"/>
      <c r="I47" s="845"/>
      <c r="J47" s="1331"/>
      <c r="K47" s="1332"/>
      <c r="L47" s="1332"/>
      <c r="M47" s="978"/>
      <c r="N47" s="978"/>
      <c r="O47" s="978"/>
      <c r="P47" s="1173"/>
      <c r="Q47" s="1333"/>
    </row>
    <row r="48" spans="1:17">
      <c r="A48" s="1246" t="s">
        <v>741</v>
      </c>
      <c r="B48" s="1271"/>
      <c r="C48" s="1217"/>
      <c r="D48" s="940">
        <f>+'6A-Project True-up'!H21+'6A-Project True-up'!I21</f>
        <v>0</v>
      </c>
      <c r="E48" s="940">
        <v>17</v>
      </c>
      <c r="F48" s="1329" t="e">
        <f t="shared" si="0"/>
        <v>#DIV/0!</v>
      </c>
      <c r="G48" s="1330" t="e">
        <f t="shared" si="1"/>
        <v>#DIV/0!</v>
      </c>
      <c r="H48" s="1331"/>
      <c r="I48" s="845"/>
      <c r="J48" s="1331"/>
      <c r="K48" s="1332"/>
      <c r="L48" s="1332"/>
      <c r="M48" s="978"/>
      <c r="N48" s="978"/>
      <c r="O48" s="978"/>
      <c r="P48" s="1173"/>
      <c r="Q48" s="1333"/>
    </row>
    <row r="49" spans="1:17">
      <c r="A49" s="1246" t="s">
        <v>742</v>
      </c>
      <c r="B49" s="1271"/>
      <c r="C49" s="1217"/>
      <c r="D49" s="940">
        <f>+'6A-Project True-up'!H22+'6A-Project True-up'!I22</f>
        <v>0</v>
      </c>
      <c r="E49" s="940">
        <v>17</v>
      </c>
      <c r="F49" s="1329" t="e">
        <f t="shared" si="0"/>
        <v>#DIV/0!</v>
      </c>
      <c r="G49" s="1330" t="e">
        <f t="shared" si="1"/>
        <v>#DIV/0!</v>
      </c>
      <c r="H49" s="1331"/>
      <c r="I49" s="845"/>
      <c r="J49" s="1331"/>
      <c r="K49" s="1332"/>
      <c r="L49" s="1332"/>
      <c r="M49" s="978"/>
      <c r="N49" s="978"/>
      <c r="O49" s="978"/>
      <c r="P49" s="1173"/>
      <c r="Q49" s="1333"/>
    </row>
    <row r="50" spans="1:17">
      <c r="A50" s="1246" t="s">
        <v>743</v>
      </c>
      <c r="B50" s="1271"/>
      <c r="C50" s="1217"/>
      <c r="D50" s="940">
        <f>+'6A-Project True-up'!H23+'6A-Project True-up'!I23</f>
        <v>0</v>
      </c>
      <c r="E50" s="940">
        <v>17</v>
      </c>
      <c r="F50" s="1329" t="e">
        <f t="shared" si="0"/>
        <v>#DIV/0!</v>
      </c>
      <c r="G50" s="1330" t="e">
        <f t="shared" si="1"/>
        <v>#DIV/0!</v>
      </c>
      <c r="H50" s="1331"/>
      <c r="I50" s="845"/>
      <c r="J50" s="1331"/>
      <c r="K50" s="1332"/>
      <c r="L50" s="1332"/>
      <c r="M50" s="978"/>
      <c r="N50" s="978"/>
      <c r="O50" s="978"/>
      <c r="P50" s="1173"/>
      <c r="Q50" s="1333"/>
    </row>
    <row r="51" spans="1:17">
      <c r="A51" s="1246" t="s">
        <v>744</v>
      </c>
      <c r="B51" s="1273"/>
      <c r="C51" s="1217"/>
      <c r="D51" s="940">
        <f>+'6A-Project True-up'!H24+'6A-Project True-up'!I24</f>
        <v>0</v>
      </c>
      <c r="E51" s="940">
        <v>17</v>
      </c>
      <c r="F51" s="1329" t="e">
        <f t="shared" si="0"/>
        <v>#DIV/0!</v>
      </c>
      <c r="G51" s="1330" t="e">
        <f t="shared" ref="G51:G53" si="2">+D51*E51*F51</f>
        <v>#DIV/0!</v>
      </c>
      <c r="H51" s="1331"/>
      <c r="I51" s="845"/>
      <c r="J51" s="1331"/>
      <c r="K51" s="1332"/>
      <c r="L51" s="1332"/>
      <c r="M51" s="978"/>
      <c r="N51" s="978"/>
      <c r="O51" s="978"/>
      <c r="P51" s="1173"/>
      <c r="Q51" s="1333"/>
    </row>
    <row r="52" spans="1:17">
      <c r="A52" s="1246" t="s">
        <v>745</v>
      </c>
      <c r="B52" s="1273"/>
      <c r="C52" s="1217"/>
      <c r="D52" s="940">
        <f>+'6A-Project True-up'!H25+'6A-Project True-up'!I25</f>
        <v>0</v>
      </c>
      <c r="E52" s="940">
        <v>17</v>
      </c>
      <c r="F52" s="1329" t="e">
        <f t="shared" si="0"/>
        <v>#DIV/0!</v>
      </c>
      <c r="G52" s="1330" t="e">
        <f t="shared" si="2"/>
        <v>#DIV/0!</v>
      </c>
      <c r="H52" s="1331"/>
      <c r="I52" s="845"/>
      <c r="J52" s="1331"/>
      <c r="K52" s="1332"/>
      <c r="L52" s="1332"/>
      <c r="M52" s="978"/>
      <c r="N52" s="978"/>
      <c r="O52" s="978"/>
      <c r="P52" s="1173"/>
      <c r="Q52" s="1333"/>
    </row>
    <row r="53" spans="1:17" ht="15.5">
      <c r="A53" s="1246" t="s">
        <v>746</v>
      </c>
      <c r="B53" s="1273"/>
      <c r="C53" s="1217"/>
      <c r="D53" s="940">
        <f>+'6A-Project True-up'!H26+'6A-Project True-up'!I26</f>
        <v>0</v>
      </c>
      <c r="E53" s="940">
        <v>17</v>
      </c>
      <c r="F53" s="1329" t="e">
        <f t="shared" si="0"/>
        <v>#DIV/0!</v>
      </c>
      <c r="G53" s="1330" t="e">
        <f t="shared" si="2"/>
        <v>#DIV/0!</v>
      </c>
      <c r="H53" s="1331"/>
      <c r="I53" s="691"/>
      <c r="J53" s="1331"/>
      <c r="K53" s="1332"/>
      <c r="L53" s="1332"/>
      <c r="M53" s="978"/>
      <c r="N53" s="978"/>
      <c r="O53" s="978"/>
      <c r="P53" s="1173"/>
      <c r="Q53" s="1333"/>
    </row>
    <row r="54" spans="1:17">
      <c r="A54" s="1246" t="s">
        <v>747</v>
      </c>
      <c r="B54" s="1334"/>
      <c r="C54" s="1334"/>
      <c r="D54" s="940"/>
      <c r="E54" s="940"/>
      <c r="F54" s="1329"/>
      <c r="G54" s="1330"/>
      <c r="H54" s="1331"/>
      <c r="I54" s="845"/>
      <c r="J54" s="1331"/>
      <c r="K54" s="1332"/>
      <c r="L54" s="1332"/>
      <c r="M54" s="978"/>
      <c r="N54" s="978"/>
      <c r="O54" s="978"/>
      <c r="P54" s="1173"/>
      <c r="Q54" s="1333"/>
    </row>
    <row r="55" spans="1:17">
      <c r="A55" s="1246" t="s">
        <v>748</v>
      </c>
      <c r="B55" s="1334"/>
      <c r="C55" s="1334"/>
      <c r="D55" s="940"/>
      <c r="E55" s="940"/>
      <c r="F55" s="1329"/>
      <c r="G55" s="1330"/>
      <c r="H55" s="1331"/>
      <c r="I55" s="845"/>
      <c r="J55" s="1331"/>
      <c r="K55" s="1332"/>
      <c r="L55" s="1332"/>
      <c r="M55" s="978"/>
      <c r="N55" s="978"/>
      <c r="O55" s="978"/>
      <c r="P55" s="1173"/>
      <c r="Q55" s="1333"/>
    </row>
    <row r="56" spans="1:17">
      <c r="A56" s="1246" t="s">
        <v>749</v>
      </c>
      <c r="B56" s="1334"/>
      <c r="C56" s="1334"/>
      <c r="D56" s="940"/>
      <c r="E56" s="940"/>
      <c r="F56" s="1329"/>
      <c r="G56" s="1330"/>
      <c r="H56" s="1331"/>
      <c r="I56" s="845"/>
      <c r="J56" s="1331"/>
      <c r="K56" s="1332"/>
      <c r="L56" s="1332"/>
      <c r="M56" s="978"/>
      <c r="N56" s="978"/>
      <c r="O56" s="978"/>
      <c r="P56" s="1173"/>
      <c r="Q56" s="1333"/>
    </row>
    <row r="57" spans="1:17">
      <c r="A57" s="1246" t="s">
        <v>750</v>
      </c>
      <c r="B57" s="1334"/>
      <c r="C57" s="1334"/>
      <c r="D57" s="940"/>
      <c r="E57" s="940"/>
      <c r="F57" s="1329"/>
      <c r="G57" s="1330"/>
      <c r="H57" s="1331"/>
      <c r="I57" s="845"/>
      <c r="J57" s="1331"/>
      <c r="K57" s="1332"/>
      <c r="L57" s="1332"/>
      <c r="M57" s="978"/>
      <c r="N57" s="978"/>
      <c r="O57" s="978"/>
      <c r="P57" s="1173"/>
      <c r="Q57" s="1333"/>
    </row>
    <row r="58" spans="1:17">
      <c r="A58" s="1246" t="s">
        <v>1168</v>
      </c>
      <c r="B58" s="1334"/>
      <c r="C58" s="1334"/>
      <c r="D58" s="940"/>
      <c r="E58" s="940"/>
      <c r="F58" s="1329"/>
      <c r="G58" s="1330"/>
      <c r="H58" s="1331"/>
      <c r="I58" s="978"/>
      <c r="J58" s="978"/>
      <c r="K58" s="1332"/>
      <c r="L58" s="1332"/>
      <c r="M58" s="978"/>
      <c r="N58" s="978"/>
      <c r="O58" s="978"/>
      <c r="P58" s="1173"/>
      <c r="Q58" s="1333"/>
    </row>
    <row r="59" spans="1:17">
      <c r="A59" s="1246" t="s">
        <v>1194</v>
      </c>
      <c r="B59" s="1334"/>
      <c r="C59" s="1334"/>
      <c r="D59" s="940"/>
      <c r="E59" s="940"/>
      <c r="F59" s="1329"/>
      <c r="G59" s="1330"/>
      <c r="H59" s="1331"/>
      <c r="I59" s="978"/>
      <c r="J59" s="978"/>
      <c r="K59" s="1332"/>
      <c r="L59" s="1332"/>
      <c r="M59" s="978"/>
      <c r="N59" s="978"/>
      <c r="O59" s="978"/>
      <c r="P59" s="1173"/>
      <c r="Q59" s="1333"/>
    </row>
    <row r="60" spans="1:17">
      <c r="A60" s="1246" t="s">
        <v>1195</v>
      </c>
      <c r="B60" s="1334"/>
      <c r="C60" s="1334"/>
      <c r="D60" s="940"/>
      <c r="E60" s="940"/>
      <c r="F60" s="1329"/>
      <c r="G60" s="1330"/>
      <c r="H60" s="1331"/>
      <c r="I60" s="978"/>
      <c r="J60" s="978"/>
      <c r="K60" s="1332"/>
      <c r="L60" s="1332"/>
      <c r="M60" s="978"/>
      <c r="N60" s="978"/>
      <c r="O60" s="978"/>
      <c r="P60" s="1173"/>
      <c r="Q60" s="1333"/>
    </row>
    <row r="61" spans="1:17">
      <c r="A61" s="1246" t="s">
        <v>1196</v>
      </c>
      <c r="B61" s="1334"/>
      <c r="C61" s="1334"/>
      <c r="D61" s="1331"/>
      <c r="E61" s="940"/>
      <c r="F61" s="1329"/>
      <c r="G61" s="1330"/>
      <c r="H61" s="1331"/>
      <c r="K61" s="1332"/>
      <c r="L61" s="1332"/>
      <c r="M61" s="978"/>
      <c r="N61" s="978"/>
      <c r="O61" s="978"/>
      <c r="P61" s="1173"/>
      <c r="Q61" s="1333"/>
    </row>
    <row r="62" spans="1:17">
      <c r="A62" s="1246"/>
      <c r="B62" s="1334"/>
      <c r="C62" s="1334"/>
      <c r="D62" s="1331"/>
      <c r="E62" s="940"/>
      <c r="F62" s="1329"/>
      <c r="G62" s="1335"/>
      <c r="H62" s="1331"/>
      <c r="K62" s="1332"/>
      <c r="L62" s="1332"/>
      <c r="M62" s="978"/>
      <c r="N62" s="978"/>
      <c r="O62" s="978"/>
      <c r="P62" s="1173"/>
      <c r="Q62" s="1333"/>
    </row>
    <row r="63" spans="1:17">
      <c r="A63" s="1246"/>
      <c r="B63" s="1334"/>
      <c r="C63" s="1334"/>
      <c r="D63" s="1331"/>
      <c r="E63" s="940"/>
      <c r="F63" s="1329"/>
      <c r="G63" s="1335"/>
      <c r="H63" s="1331"/>
      <c r="K63" s="1332"/>
      <c r="L63" s="1332"/>
      <c r="M63" s="978"/>
      <c r="N63" s="978"/>
      <c r="O63" s="978"/>
      <c r="P63" s="1173"/>
      <c r="Q63" s="1333"/>
    </row>
    <row r="64" spans="1:17">
      <c r="A64" s="1246"/>
      <c r="B64" s="1334"/>
      <c r="C64" s="1334"/>
      <c r="D64" s="1331"/>
      <c r="E64" s="940"/>
      <c r="F64" s="1329"/>
      <c r="G64" s="1335"/>
      <c r="H64" s="1331"/>
      <c r="K64" s="1332"/>
      <c r="L64" s="1332"/>
      <c r="M64" s="978"/>
      <c r="N64" s="978"/>
      <c r="O64" s="978"/>
      <c r="P64" s="1173"/>
      <c r="Q64" s="1333"/>
    </row>
    <row r="65" spans="1:17">
      <c r="A65" s="1246"/>
      <c r="B65" s="1334"/>
      <c r="C65" s="1334"/>
      <c r="D65" s="1331"/>
      <c r="E65" s="940"/>
      <c r="F65" s="1329"/>
      <c r="G65" s="1335"/>
      <c r="H65" s="1331"/>
      <c r="K65" s="1332"/>
      <c r="L65" s="1332"/>
      <c r="M65" s="978"/>
      <c r="N65" s="978"/>
      <c r="O65" s="978"/>
      <c r="P65" s="1173"/>
      <c r="Q65" s="1333"/>
    </row>
    <row r="66" spans="1:17">
      <c r="A66" s="1246"/>
      <c r="B66" s="1336"/>
      <c r="C66" s="1337"/>
      <c r="D66" s="1331"/>
      <c r="E66" s="940"/>
      <c r="F66" s="1329"/>
      <c r="G66" s="1335"/>
      <c r="H66" s="1331"/>
      <c r="K66" s="1332"/>
      <c r="L66" s="1332"/>
      <c r="M66" s="978"/>
      <c r="N66" s="978"/>
      <c r="O66" s="978"/>
      <c r="P66" s="1173"/>
      <c r="Q66" s="1333"/>
    </row>
    <row r="67" spans="1:17">
      <c r="A67" s="1246"/>
      <c r="B67" s="1336"/>
      <c r="C67" s="1217"/>
      <c r="D67" s="1331"/>
      <c r="E67" s="940"/>
      <c r="F67" s="1329"/>
      <c r="G67" s="1335"/>
      <c r="H67" s="1331"/>
      <c r="K67" s="1332"/>
      <c r="L67" s="1332"/>
      <c r="M67" s="978"/>
      <c r="N67" s="978"/>
      <c r="O67" s="978"/>
      <c r="P67" s="1173"/>
      <c r="Q67" s="1333"/>
    </row>
    <row r="68" spans="1:17">
      <c r="A68" s="1246"/>
      <c r="B68" s="1336"/>
      <c r="C68" s="1217"/>
      <c r="D68" s="1331"/>
      <c r="E68" s="940"/>
      <c r="F68" s="1329"/>
      <c r="G68" s="1335"/>
      <c r="H68" s="1331"/>
      <c r="K68" s="1332"/>
      <c r="L68" s="1332"/>
      <c r="M68" s="978"/>
      <c r="N68" s="978"/>
      <c r="O68" s="978"/>
      <c r="P68" s="1173"/>
      <c r="Q68" s="1333"/>
    </row>
    <row r="69" spans="1:17">
      <c r="A69" s="1246"/>
      <c r="B69" s="1336"/>
      <c r="C69" s="1337"/>
      <c r="D69" s="1331"/>
      <c r="E69" s="940"/>
      <c r="F69" s="1329"/>
      <c r="G69" s="1335"/>
      <c r="H69" s="1331"/>
      <c r="K69" s="1332"/>
      <c r="L69" s="1332"/>
      <c r="M69" s="978"/>
      <c r="N69" s="978"/>
      <c r="O69" s="978"/>
      <c r="P69" s="1173"/>
      <c r="Q69" s="1333"/>
    </row>
    <row r="70" spans="1:17">
      <c r="A70" s="1246">
        <v>22</v>
      </c>
      <c r="B70" s="1338" t="s">
        <v>42</v>
      </c>
      <c r="C70" s="888"/>
      <c r="D70" s="1339">
        <f>SUM(D41:D69)</f>
        <v>0</v>
      </c>
      <c r="E70" s="1340"/>
      <c r="F70" s="1340"/>
      <c r="G70" s="1341" t="e">
        <f>SUM(G41:G69)</f>
        <v>#DIV/0!</v>
      </c>
      <c r="H70" s="1331"/>
      <c r="K70" s="1332"/>
      <c r="L70" s="1332"/>
      <c r="M70" s="978"/>
      <c r="N70" s="978"/>
      <c r="O70" s="978"/>
      <c r="P70" s="1173"/>
      <c r="Q70" s="1333"/>
    </row>
    <row r="71" spans="1:17">
      <c r="A71" s="1246"/>
      <c r="B71" s="845"/>
      <c r="C71" s="845"/>
      <c r="D71" s="1318"/>
      <c r="E71" s="1342"/>
      <c r="F71" s="845"/>
      <c r="G71" s="1342"/>
      <c r="H71" s="1318"/>
      <c r="K71" s="845"/>
      <c r="L71" s="845"/>
      <c r="M71" s="978"/>
      <c r="N71" s="978"/>
      <c r="O71" s="978"/>
      <c r="P71" s="1173"/>
      <c r="Q71" s="978"/>
    </row>
    <row r="72" spans="1:17">
      <c r="A72" s="1246"/>
      <c r="B72" s="96"/>
      <c r="C72" s="96"/>
      <c r="D72" s="1331"/>
      <c r="E72" s="1331"/>
      <c r="F72" s="1331"/>
      <c r="G72" s="1331"/>
      <c r="H72" s="1331"/>
      <c r="K72" s="1331"/>
      <c r="L72" s="1331"/>
      <c r="M72" s="978"/>
      <c r="N72" s="978"/>
      <c r="O72" s="978"/>
      <c r="P72" s="978"/>
      <c r="Q72" s="978"/>
    </row>
    <row r="73" spans="1:17">
      <c r="A73" s="1246"/>
      <c r="B73" s="96"/>
      <c r="C73" s="96"/>
      <c r="D73" s="905"/>
      <c r="E73" s="905"/>
      <c r="F73" s="905"/>
      <c r="G73" s="905"/>
      <c r="H73" s="905"/>
      <c r="K73" s="905"/>
      <c r="L73" s="905"/>
    </row>
    <row r="74" spans="1:17">
      <c r="A74" s="1246"/>
      <c r="B74" s="96"/>
      <c r="C74" s="96"/>
      <c r="D74" s="905"/>
      <c r="E74" s="905"/>
      <c r="F74" s="905"/>
      <c r="G74" s="905"/>
      <c r="H74" s="905"/>
      <c r="K74" s="905"/>
      <c r="L74" s="905"/>
    </row>
    <row r="75" spans="1:17">
      <c r="A75" s="1246"/>
      <c r="B75" s="96"/>
      <c r="C75" s="96"/>
      <c r="D75" s="905"/>
      <c r="E75" s="905"/>
      <c r="F75" s="905"/>
      <c r="G75" s="905"/>
      <c r="H75" s="905"/>
      <c r="K75" s="905"/>
      <c r="L75" s="905"/>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15B-DE2B-4A68-899E-310FDAE6115B}">
  <dimension ref="A1:BY318"/>
  <sheetViews>
    <sheetView view="pageBreakPreview" zoomScale="60" zoomScaleNormal="100" workbookViewId="0">
      <selection activeCell="A34" sqref="A1:XFD1048576"/>
    </sheetView>
  </sheetViews>
  <sheetFormatPr defaultColWidth="9.1796875" defaultRowHeight="12.5"/>
  <cols>
    <col min="1" max="1" width="9.26953125" style="1530" bestFit="1" customWidth="1"/>
    <col min="2" max="2" width="27.54296875" style="1530" customWidth="1"/>
    <col min="3" max="3" width="15.1796875" style="1530" customWidth="1"/>
    <col min="4" max="4" width="13" style="1531" customWidth="1"/>
    <col min="5" max="5" width="13.453125" style="1530" customWidth="1"/>
    <col min="6" max="6" width="12.7265625" style="1530" customWidth="1"/>
    <col min="7" max="7" width="12.81640625" style="1530" customWidth="1"/>
    <col min="8" max="9" width="9.81640625" style="1532" customWidth="1"/>
    <col min="10" max="10" width="11.26953125" style="1532" customWidth="1"/>
    <col min="11" max="11" width="11.54296875" style="1532" customWidth="1"/>
    <col min="12" max="12" width="12.453125" style="1532" customWidth="1"/>
    <col min="13" max="14" width="12.26953125" style="1530" customWidth="1"/>
    <col min="15" max="15" width="12.81640625" style="1530" customWidth="1"/>
    <col min="16" max="16" width="12.453125" style="1530" customWidth="1"/>
    <col min="17" max="17" width="12" style="1530" customWidth="1"/>
    <col min="18" max="18" width="12.54296875" style="1530" customWidth="1"/>
    <col min="19" max="19" width="11.26953125" style="1530" customWidth="1"/>
    <col min="20" max="20" width="10.26953125" style="1530" customWidth="1"/>
    <col min="21" max="21" width="12" style="1530" customWidth="1"/>
    <col min="22" max="22" width="12.54296875" style="1530" customWidth="1"/>
    <col min="23" max="23" width="11.26953125" style="1530" customWidth="1"/>
    <col min="24" max="24" width="10.26953125" style="1530" customWidth="1"/>
    <col min="25" max="25" width="12" style="1530" customWidth="1"/>
    <col min="26" max="26" width="12.54296875" style="1530" customWidth="1"/>
    <col min="27" max="27" width="11.26953125" style="1530" customWidth="1"/>
    <col min="28" max="28" width="10.26953125" style="1530" customWidth="1"/>
    <col min="29" max="29" width="12" style="1530" customWidth="1"/>
    <col min="30" max="30" width="12.54296875" style="1530" customWidth="1"/>
    <col min="31" max="31" width="11.26953125" style="1530" customWidth="1"/>
    <col min="32" max="32" width="10.26953125" style="1530" customWidth="1"/>
    <col min="33" max="33" width="12" style="1530" customWidth="1"/>
    <col min="34" max="34" width="12.54296875" style="1530" customWidth="1"/>
    <col min="35" max="35" width="11.26953125" style="1530" customWidth="1"/>
    <col min="36" max="36" width="10.26953125" style="1530" customWidth="1"/>
    <col min="37" max="37" width="12" style="1530" customWidth="1"/>
    <col min="38" max="38" width="12.54296875" style="1530" customWidth="1"/>
    <col min="39" max="39" width="11.26953125" style="1530" customWidth="1"/>
    <col min="40" max="40" width="10.26953125" style="1530" customWidth="1"/>
    <col min="41" max="41" width="12" style="1530" customWidth="1"/>
    <col min="42" max="42" width="12.54296875" style="1530" customWidth="1"/>
    <col min="43" max="43" width="11.26953125" style="1530" customWidth="1"/>
    <col min="44" max="44" width="10.26953125" style="1530" customWidth="1"/>
    <col min="45" max="45" width="12" style="1530" customWidth="1"/>
    <col min="46" max="46" width="12.54296875" style="1530" customWidth="1"/>
    <col min="47" max="47" width="11.26953125" style="1530" customWidth="1"/>
    <col min="48" max="48" width="10.26953125" style="1530" customWidth="1"/>
    <col min="49" max="49" width="12" style="1530" customWidth="1"/>
    <col min="50" max="50" width="12.54296875" style="1530" customWidth="1"/>
    <col min="51" max="51" width="11.26953125" style="1530" customWidth="1"/>
    <col min="52" max="56" width="10.26953125" style="1530" customWidth="1"/>
    <col min="57" max="57" width="13.7265625" style="1530" bestFit="1" customWidth="1"/>
    <col min="58" max="58" width="21.81640625" style="1530" customWidth="1"/>
    <col min="59" max="59" width="18.453125" style="1530" customWidth="1"/>
    <col min="60" max="62" width="9.7265625" style="1530" bestFit="1" customWidth="1"/>
    <col min="63" max="16384" width="9.1796875" style="1530"/>
  </cols>
  <sheetData>
    <row r="1" spans="1:59" ht="18">
      <c r="C1" s="558" t="s">
        <v>1383</v>
      </c>
      <c r="D1" s="559"/>
      <c r="E1" s="559"/>
      <c r="F1" s="559"/>
      <c r="G1" s="559"/>
      <c r="H1" s="559"/>
      <c r="I1" s="559"/>
      <c r="J1" s="559"/>
      <c r="K1" s="559"/>
      <c r="L1" s="559"/>
    </row>
    <row r="3" spans="1:59" ht="15.5">
      <c r="C3" s="560" t="s">
        <v>5</v>
      </c>
      <c r="D3" s="560"/>
      <c r="E3" s="560"/>
      <c r="F3" s="560"/>
      <c r="G3" s="560"/>
      <c r="H3" s="560"/>
      <c r="I3" s="560"/>
      <c r="J3" s="560"/>
      <c r="K3" s="560"/>
      <c r="L3" s="560"/>
      <c r="M3" s="560"/>
      <c r="N3" s="560"/>
      <c r="O3" s="560"/>
      <c r="P3" s="560"/>
      <c r="Q3" s="560"/>
      <c r="R3" s="560"/>
      <c r="S3" s="560"/>
      <c r="T3" s="560"/>
      <c r="U3" s="560"/>
      <c r="V3" s="560"/>
      <c r="W3" s="560"/>
      <c r="X3" s="560"/>
      <c r="Y3" s="560"/>
      <c r="Z3" s="560"/>
      <c r="AA3" s="560"/>
      <c r="AB3" s="560"/>
      <c r="AC3" s="560"/>
      <c r="AD3" s="560"/>
      <c r="AE3" s="560"/>
      <c r="AF3" s="560"/>
      <c r="AG3" s="560"/>
      <c r="AH3" s="560"/>
      <c r="AI3" s="560"/>
      <c r="AJ3" s="560"/>
      <c r="AK3" s="560"/>
      <c r="AL3" s="560"/>
      <c r="AM3" s="560"/>
      <c r="AN3" s="560"/>
      <c r="AO3" s="560"/>
      <c r="AP3" s="560"/>
      <c r="AQ3" s="560"/>
      <c r="AR3" s="560"/>
      <c r="AS3" s="560"/>
      <c r="AT3" s="560"/>
      <c r="AU3" s="560"/>
      <c r="AV3" s="560"/>
      <c r="AW3" s="560"/>
      <c r="AX3" s="560"/>
      <c r="AY3" s="560"/>
      <c r="AZ3" s="560"/>
      <c r="BA3" s="560"/>
      <c r="BB3" s="560"/>
      <c r="BC3" s="560"/>
      <c r="BD3" s="560"/>
      <c r="BE3" s="560"/>
      <c r="BF3" s="560"/>
      <c r="BG3" s="560"/>
    </row>
    <row r="5" spans="1:59" ht="13">
      <c r="C5" s="561"/>
    </row>
    <row r="8" spans="1:59">
      <c r="A8" s="1530">
        <v>1</v>
      </c>
      <c r="C8" s="1530" t="s">
        <v>6</v>
      </c>
    </row>
    <row r="10" spans="1:59" ht="13">
      <c r="A10" s="1530">
        <v>2</v>
      </c>
      <c r="C10" s="562" t="s">
        <v>7</v>
      </c>
    </row>
    <row r="11" spans="1:59" ht="13">
      <c r="A11" s="1530">
        <v>3</v>
      </c>
      <c r="C11" s="562"/>
      <c r="D11" s="1531" t="s">
        <v>8</v>
      </c>
    </row>
    <row r="12" spans="1:59">
      <c r="A12" s="1530">
        <v>4</v>
      </c>
      <c r="C12" s="1531" t="s">
        <v>9</v>
      </c>
      <c r="D12" s="1345">
        <f>'ATT H-3D'!A315</f>
        <v>160</v>
      </c>
      <c r="E12" s="1346" t="str">
        <f>'ATT H-3D'!C315</f>
        <v>Net Plant Carrying Charge without Depreciation</v>
      </c>
      <c r="F12" s="1344"/>
      <c r="G12" s="1344"/>
      <c r="H12" s="1347"/>
      <c r="I12" s="1347"/>
      <c r="J12" s="1347"/>
      <c r="K12" s="1347"/>
      <c r="L12" s="1732">
        <f>+'ATT H-3D'!H315</f>
        <v>9.4389873978015279E-2</v>
      </c>
    </row>
    <row r="13" spans="1:59">
      <c r="A13" s="1530">
        <v>5</v>
      </c>
      <c r="C13" s="1531" t="s">
        <v>10</v>
      </c>
      <c r="D13" s="1345">
        <f>'ATT H-3D'!A325</f>
        <v>167</v>
      </c>
      <c r="E13" s="1346" t="str">
        <f>'ATT H-3D'!C325</f>
        <v>Net Plant Carrying Charge per 100 Basis Point in ROE without Depreciation</v>
      </c>
      <c r="F13" s="1344"/>
      <c r="G13" s="1344"/>
      <c r="H13" s="1347"/>
      <c r="I13" s="1347"/>
      <c r="J13" s="1347"/>
      <c r="K13" s="1347"/>
      <c r="L13" s="1732">
        <f>+'ATT H-3D'!H325</f>
        <v>9.9869083365165062E-2</v>
      </c>
    </row>
    <row r="14" spans="1:59">
      <c r="A14" s="1530">
        <v>6</v>
      </c>
      <c r="C14" s="1531" t="s">
        <v>11</v>
      </c>
      <c r="D14" s="1345"/>
      <c r="E14" s="1344" t="s">
        <v>12</v>
      </c>
      <c r="F14" s="1344"/>
      <c r="G14" s="1344"/>
      <c r="H14" s="1347"/>
      <c r="I14" s="1347"/>
      <c r="J14" s="1347"/>
      <c r="K14" s="1347"/>
      <c r="L14" s="1732">
        <f>+L13-L12</f>
        <v>5.4792093871497832E-3</v>
      </c>
    </row>
    <row r="15" spans="1:59">
      <c r="D15" s="1345"/>
      <c r="E15" s="1344"/>
      <c r="F15" s="1344"/>
      <c r="G15" s="1344"/>
      <c r="H15" s="1347"/>
      <c r="I15" s="1347"/>
      <c r="J15" s="1347"/>
      <c r="K15" s="1347"/>
      <c r="L15" s="1348"/>
    </row>
    <row r="16" spans="1:59" ht="13">
      <c r="A16" s="1530">
        <v>7</v>
      </c>
      <c r="C16" s="562" t="s">
        <v>13</v>
      </c>
      <c r="D16" s="1345"/>
      <c r="E16" s="1344"/>
      <c r="F16" s="1344"/>
      <c r="G16" s="1344"/>
      <c r="H16" s="1347"/>
      <c r="I16" s="1347"/>
      <c r="J16" s="1347"/>
      <c r="K16" s="1347"/>
      <c r="L16" s="1348"/>
    </row>
    <row r="17" spans="1:59" ht="13">
      <c r="C17" s="562"/>
      <c r="D17" s="1345"/>
      <c r="E17" s="1344"/>
      <c r="F17" s="1344"/>
      <c r="G17" s="1344"/>
      <c r="H17" s="1347"/>
      <c r="I17" s="1347"/>
      <c r="J17" s="1347"/>
      <c r="K17" s="1347"/>
      <c r="L17" s="1348"/>
    </row>
    <row r="18" spans="1:59">
      <c r="A18" s="1530">
        <v>8</v>
      </c>
      <c r="C18" s="1531" t="s">
        <v>14</v>
      </c>
      <c r="D18" s="1345">
        <f>'ATT H-3D'!A316</f>
        <v>161</v>
      </c>
      <c r="E18" s="1346" t="str">
        <f>'ATT H-3D'!C316</f>
        <v>Net Plant Carrying Charge without Depreciation, Return, nor Income Taxes</v>
      </c>
      <c r="F18" s="1344"/>
      <c r="G18" s="1344"/>
      <c r="H18" s="1347"/>
      <c r="I18" s="1347"/>
      <c r="J18" s="1347"/>
      <c r="K18" s="1347"/>
      <c r="L18" s="1732">
        <f>+'ATT H-3D'!H316</f>
        <v>3.3656888317248612E-2</v>
      </c>
    </row>
    <row r="19" spans="1:59">
      <c r="C19" s="1531"/>
      <c r="E19" s="1533"/>
      <c r="H19" s="1534"/>
      <c r="I19" s="1534"/>
      <c r="J19" s="1534"/>
      <c r="K19" s="1534"/>
      <c r="L19" s="1534"/>
      <c r="N19" s="1535"/>
    </row>
    <row r="20" spans="1:59" ht="15.5">
      <c r="C20" s="1536"/>
    </row>
    <row r="21" spans="1:59" ht="13">
      <c r="A21" s="1530">
        <v>9</v>
      </c>
      <c r="C21" s="561" t="s">
        <v>15</v>
      </c>
    </row>
    <row r="22" spans="1:59" ht="13">
      <c r="A22" s="1530">
        <v>10</v>
      </c>
      <c r="C22" s="561" t="s">
        <v>16</v>
      </c>
    </row>
    <row r="23" spans="1:59" ht="25.5" customHeight="1" thickBot="1">
      <c r="A23" s="1530">
        <v>11</v>
      </c>
      <c r="C23" s="1875" t="s">
        <v>17</v>
      </c>
      <c r="D23" s="1876"/>
      <c r="E23" s="1876"/>
      <c r="F23" s="1876"/>
      <c r="G23" s="1876"/>
      <c r="H23" s="1876"/>
      <c r="I23" s="1876"/>
      <c r="J23" s="1876"/>
      <c r="K23" s="1876"/>
      <c r="L23" s="1876"/>
      <c r="M23" s="1876"/>
      <c r="N23" s="1876"/>
      <c r="O23" s="1876"/>
      <c r="P23" s="1876"/>
      <c r="Q23" s="1876"/>
      <c r="R23" s="1876"/>
      <c r="S23" s="1876"/>
      <c r="T23" s="1876"/>
      <c r="U23" s="1876"/>
      <c r="V23" s="1876"/>
      <c r="W23" s="1876"/>
      <c r="X23" s="1876"/>
      <c r="Y23" s="1876"/>
      <c r="Z23" s="1876"/>
      <c r="AA23" s="1876"/>
      <c r="AB23" s="1876"/>
      <c r="AC23" s="1876"/>
      <c r="AD23" s="1876"/>
      <c r="AE23" s="1876"/>
      <c r="AF23" s="1876"/>
      <c r="AG23" s="1876"/>
      <c r="AH23" s="1876"/>
      <c r="AI23" s="1876"/>
      <c r="AJ23" s="1876"/>
      <c r="AK23" s="1876"/>
      <c r="AL23" s="1876"/>
      <c r="AM23" s="1876"/>
      <c r="AN23" s="1876"/>
      <c r="AO23" s="1876"/>
      <c r="AP23" s="1876"/>
      <c r="AQ23" s="1876"/>
      <c r="AR23" s="1876"/>
      <c r="AS23" s="1876"/>
      <c r="AT23" s="1876"/>
      <c r="AU23" s="1876"/>
      <c r="AV23" s="1876"/>
      <c r="AW23" s="1876"/>
      <c r="AX23" s="1876"/>
      <c r="AY23" s="1876"/>
      <c r="AZ23" s="1876"/>
      <c r="BA23" s="1876"/>
      <c r="BB23" s="1876"/>
      <c r="BC23" s="1876"/>
      <c r="BD23" s="1876"/>
      <c r="BE23" s="1876"/>
      <c r="BF23" s="1537"/>
      <c r="BG23" s="1537"/>
    </row>
    <row r="24" spans="1:59" ht="78">
      <c r="C24" s="1538" t="s">
        <v>18</v>
      </c>
      <c r="D24" s="1539"/>
      <c r="E24" s="1877" t="s">
        <v>1865</v>
      </c>
      <c r="F24" s="1878"/>
      <c r="G24" s="1878"/>
      <c r="H24" s="1879"/>
      <c r="I24" s="1877" t="s">
        <v>1866</v>
      </c>
      <c r="J24" s="1878"/>
      <c r="K24" s="1878"/>
      <c r="L24" s="1879"/>
      <c r="M24" s="1877" t="s">
        <v>1867</v>
      </c>
      <c r="N24" s="1878"/>
      <c r="O24" s="1878"/>
      <c r="P24" s="1879"/>
      <c r="Q24" s="1540" t="s">
        <v>1868</v>
      </c>
      <c r="R24" s="1541"/>
      <c r="S24" s="1541"/>
      <c r="T24" s="1542"/>
      <c r="U24" s="1540" t="s">
        <v>1869</v>
      </c>
      <c r="V24" s="1541"/>
      <c r="W24" s="1541"/>
      <c r="X24" s="1542"/>
      <c r="Y24" s="1540" t="s">
        <v>1870</v>
      </c>
      <c r="Z24" s="1541"/>
      <c r="AA24" s="1541"/>
      <c r="AB24" s="1542"/>
      <c r="AC24" s="1540" t="s">
        <v>1871</v>
      </c>
      <c r="AD24" s="1541"/>
      <c r="AE24" s="1541"/>
      <c r="AF24" s="1542"/>
      <c r="AG24" s="1540" t="s">
        <v>1872</v>
      </c>
      <c r="AH24" s="1541"/>
      <c r="AI24" s="1541"/>
      <c r="AJ24" s="1542"/>
      <c r="AK24" s="1540" t="s">
        <v>1873</v>
      </c>
      <c r="AL24" s="1541"/>
      <c r="AM24" s="1541"/>
      <c r="AN24" s="1542"/>
      <c r="AO24" s="1540" t="s">
        <v>1874</v>
      </c>
      <c r="AP24" s="1541"/>
      <c r="AQ24" s="1541"/>
      <c r="AR24" s="1542"/>
      <c r="AS24" s="1540" t="s">
        <v>1875</v>
      </c>
      <c r="AT24" s="1541"/>
      <c r="AU24" s="1541"/>
      <c r="AV24" s="1542"/>
      <c r="AW24" s="1540" t="s">
        <v>1876</v>
      </c>
      <c r="AX24" s="1541"/>
      <c r="AY24" s="1541"/>
      <c r="AZ24" s="1542"/>
      <c r="BA24" s="1543" t="s">
        <v>1877</v>
      </c>
      <c r="BB24" s="1544"/>
      <c r="BC24" s="1544"/>
      <c r="BD24" s="1545"/>
      <c r="BE24" s="1546"/>
      <c r="BF24" s="1538"/>
      <c r="BG24" s="1547"/>
    </row>
    <row r="25" spans="1:59" ht="37.5">
      <c r="A25" s="1530">
        <v>12</v>
      </c>
      <c r="B25" s="1548" t="s">
        <v>19</v>
      </c>
      <c r="C25" s="1549" t="s">
        <v>20</v>
      </c>
      <c r="D25" s="1550" t="s">
        <v>21</v>
      </c>
      <c r="E25" s="1551" t="s">
        <v>1810</v>
      </c>
      <c r="F25" s="1531"/>
      <c r="G25" s="1531"/>
      <c r="H25" s="1552"/>
      <c r="I25" s="1551" t="s">
        <v>1807</v>
      </c>
      <c r="J25" s="1531"/>
      <c r="K25" s="1531"/>
      <c r="L25" s="1552"/>
      <c r="M25" s="1551" t="s">
        <v>1807</v>
      </c>
      <c r="N25" s="1531"/>
      <c r="O25" s="1531"/>
      <c r="P25" s="1552"/>
      <c r="Q25" s="1553" t="s">
        <v>1807</v>
      </c>
      <c r="R25" s="1554"/>
      <c r="S25" s="1554"/>
      <c r="T25" s="1555"/>
      <c r="U25" s="1553" t="s">
        <v>1807</v>
      </c>
      <c r="V25" s="1554"/>
      <c r="W25" s="1554"/>
      <c r="X25" s="1555"/>
      <c r="Y25" s="1553" t="s">
        <v>1807</v>
      </c>
      <c r="Z25" s="1554"/>
      <c r="AA25" s="1554"/>
      <c r="AB25" s="1555"/>
      <c r="AC25" s="1553" t="s">
        <v>1807</v>
      </c>
      <c r="AD25" s="1554"/>
      <c r="AE25" s="1554"/>
      <c r="AF25" s="1555"/>
      <c r="AG25" s="1553" t="s">
        <v>1810</v>
      </c>
      <c r="AH25" s="1554"/>
      <c r="AI25" s="1554"/>
      <c r="AJ25" s="1555"/>
      <c r="AK25" s="1553" t="s">
        <v>1810</v>
      </c>
      <c r="AL25" s="1554"/>
      <c r="AM25" s="1554"/>
      <c r="AN25" s="1555"/>
      <c r="AO25" s="1553" t="s">
        <v>1807</v>
      </c>
      <c r="AP25" s="1554"/>
      <c r="AQ25" s="1554"/>
      <c r="AR25" s="1555"/>
      <c r="AS25" s="1553" t="s">
        <v>1810</v>
      </c>
      <c r="AT25" s="1554"/>
      <c r="AU25" s="1554"/>
      <c r="AV25" s="1555"/>
      <c r="AW25" s="1553" t="s">
        <v>1810</v>
      </c>
      <c r="AX25" s="1554"/>
      <c r="AY25" s="1554"/>
      <c r="AZ25" s="1555"/>
      <c r="BA25" s="1556" t="s">
        <v>1810</v>
      </c>
      <c r="BB25" s="1557"/>
      <c r="BC25" s="1557"/>
      <c r="BD25" s="1558"/>
      <c r="BE25" s="1559"/>
      <c r="BF25" s="1549"/>
      <c r="BG25" s="1560"/>
    </row>
    <row r="26" spans="1:59" ht="13">
      <c r="A26" s="1530">
        <v>13</v>
      </c>
      <c r="B26" s="1530" t="s">
        <v>22</v>
      </c>
      <c r="C26" s="1549" t="s">
        <v>23</v>
      </c>
      <c r="D26" s="1550"/>
      <c r="E26" s="1551">
        <v>35</v>
      </c>
      <c r="F26" s="1561"/>
      <c r="G26" s="1561"/>
      <c r="H26" s="1562"/>
      <c r="I26" s="1551">
        <v>35</v>
      </c>
      <c r="J26" s="1561"/>
      <c r="K26" s="1561"/>
      <c r="L26" s="1562"/>
      <c r="M26" s="1551">
        <v>35</v>
      </c>
      <c r="N26" s="1561"/>
      <c r="O26" s="1561"/>
      <c r="P26" s="1550"/>
      <c r="Q26" s="1551">
        <v>35</v>
      </c>
      <c r="R26" s="1561"/>
      <c r="S26" s="1561"/>
      <c r="T26" s="1550"/>
      <c r="U26" s="1551">
        <v>35</v>
      </c>
      <c r="V26" s="1561"/>
      <c r="W26" s="1561"/>
      <c r="X26" s="1550"/>
      <c r="Y26" s="1551">
        <v>35</v>
      </c>
      <c r="Z26" s="1561"/>
      <c r="AA26" s="1561"/>
      <c r="AB26" s="1550"/>
      <c r="AC26" s="1551">
        <v>35</v>
      </c>
      <c r="AD26" s="1561"/>
      <c r="AE26" s="1561"/>
      <c r="AF26" s="1550"/>
      <c r="AG26" s="1551">
        <v>35</v>
      </c>
      <c r="AH26" s="1561"/>
      <c r="AI26" s="1561"/>
      <c r="AJ26" s="1550"/>
      <c r="AK26" s="1551">
        <v>35</v>
      </c>
      <c r="AL26" s="1561"/>
      <c r="AM26" s="1561"/>
      <c r="AN26" s="1550"/>
      <c r="AO26" s="1551">
        <v>35</v>
      </c>
      <c r="AP26" s="1561"/>
      <c r="AQ26" s="1561"/>
      <c r="AR26" s="1550"/>
      <c r="AS26" s="1551">
        <v>35</v>
      </c>
      <c r="AT26" s="1561"/>
      <c r="AU26" s="1561"/>
      <c r="AV26" s="1550"/>
      <c r="AW26" s="1551">
        <v>35</v>
      </c>
      <c r="AX26" s="1561"/>
      <c r="AY26" s="1561"/>
      <c r="AZ26" s="1550"/>
      <c r="BA26" s="1563">
        <v>35</v>
      </c>
      <c r="BB26" s="1564"/>
      <c r="BC26" s="1564"/>
      <c r="BD26" s="1565"/>
      <c r="BE26" s="1559"/>
      <c r="BF26" s="1549"/>
      <c r="BG26" s="1560"/>
    </row>
    <row r="27" spans="1:59" ht="50">
      <c r="A27" s="1530">
        <v>14</v>
      </c>
      <c r="B27" s="1548" t="s">
        <v>24</v>
      </c>
      <c r="C27" s="1549" t="s">
        <v>25</v>
      </c>
      <c r="D27" s="1550" t="s">
        <v>21</v>
      </c>
      <c r="E27" s="1551" t="s">
        <v>1807</v>
      </c>
      <c r="F27" s="1561"/>
      <c r="G27" s="1561"/>
      <c r="H27" s="1562"/>
      <c r="I27" s="1551" t="s">
        <v>1807</v>
      </c>
      <c r="J27" s="1561"/>
      <c r="K27" s="1561"/>
      <c r="L27" s="1562"/>
      <c r="M27" s="1551" t="s">
        <v>1807</v>
      </c>
      <c r="N27" s="1561"/>
      <c r="O27" s="1561"/>
      <c r="P27" s="1550"/>
      <c r="Q27" s="1551" t="s">
        <v>1807</v>
      </c>
      <c r="R27" s="1561"/>
      <c r="S27" s="1561"/>
      <c r="T27" s="1550"/>
      <c r="U27" s="1551" t="s">
        <v>1807</v>
      </c>
      <c r="V27" s="1561"/>
      <c r="W27" s="1561"/>
      <c r="X27" s="1550"/>
      <c r="Y27" s="1551" t="s">
        <v>1807</v>
      </c>
      <c r="Z27" s="1561"/>
      <c r="AA27" s="1561"/>
      <c r="AB27" s="1550"/>
      <c r="AC27" s="1551" t="s">
        <v>1807</v>
      </c>
      <c r="AD27" s="1561"/>
      <c r="AE27" s="1561"/>
      <c r="AF27" s="1550"/>
      <c r="AG27" s="1551" t="s">
        <v>1807</v>
      </c>
      <c r="AH27" s="1561"/>
      <c r="AI27" s="1561"/>
      <c r="AJ27" s="1550"/>
      <c r="AK27" s="1551" t="s">
        <v>1807</v>
      </c>
      <c r="AL27" s="1561"/>
      <c r="AM27" s="1561"/>
      <c r="AN27" s="1550"/>
      <c r="AO27" s="1551" t="s">
        <v>1807</v>
      </c>
      <c r="AP27" s="1561"/>
      <c r="AQ27" s="1561"/>
      <c r="AR27" s="1550"/>
      <c r="AS27" s="1551" t="s">
        <v>1807</v>
      </c>
      <c r="AT27" s="1561"/>
      <c r="AU27" s="1561"/>
      <c r="AV27" s="1550"/>
      <c r="AW27" s="1551" t="s">
        <v>1807</v>
      </c>
      <c r="AX27" s="1561"/>
      <c r="AY27" s="1561"/>
      <c r="AZ27" s="1550"/>
      <c r="BA27" s="1563" t="s">
        <v>1807</v>
      </c>
      <c r="BB27" s="1564"/>
      <c r="BC27" s="1564"/>
      <c r="BD27" s="1565"/>
      <c r="BE27" s="1559"/>
      <c r="BF27" s="1549"/>
      <c r="BG27" s="1560"/>
    </row>
    <row r="28" spans="1:59" ht="13">
      <c r="A28" s="1530">
        <v>15</v>
      </c>
      <c r="B28" s="1548" t="s">
        <v>26</v>
      </c>
      <c r="C28" s="1549" t="s">
        <v>27</v>
      </c>
      <c r="D28" s="1550"/>
      <c r="E28" s="1551">
        <v>150</v>
      </c>
      <c r="F28" s="1561"/>
      <c r="G28" s="1561"/>
      <c r="H28" s="1562"/>
      <c r="I28" s="1551">
        <v>150</v>
      </c>
      <c r="J28" s="1561"/>
      <c r="K28" s="1561"/>
      <c r="L28" s="1562"/>
      <c r="M28" s="1551">
        <v>150</v>
      </c>
      <c r="N28" s="1561"/>
      <c r="O28" s="1561"/>
      <c r="P28" s="1550"/>
      <c r="Q28" s="1551">
        <v>150</v>
      </c>
      <c r="R28" s="1561"/>
      <c r="S28" s="1561"/>
      <c r="T28" s="1550"/>
      <c r="U28" s="1551">
        <v>150</v>
      </c>
      <c r="V28" s="1561"/>
      <c r="W28" s="1561"/>
      <c r="X28" s="1550"/>
      <c r="Y28" s="1551">
        <v>150</v>
      </c>
      <c r="Z28" s="1561"/>
      <c r="AA28" s="1561"/>
      <c r="AB28" s="1550"/>
      <c r="AC28" s="1551">
        <v>150</v>
      </c>
      <c r="AD28" s="1561"/>
      <c r="AE28" s="1561"/>
      <c r="AF28" s="1550"/>
      <c r="AG28" s="1551">
        <v>0</v>
      </c>
      <c r="AH28" s="1561"/>
      <c r="AI28" s="1561"/>
      <c r="AJ28" s="1550"/>
      <c r="AK28" s="1551">
        <v>0</v>
      </c>
      <c r="AL28" s="1561"/>
      <c r="AM28" s="1561"/>
      <c r="AN28" s="1550"/>
      <c r="AO28" s="1551">
        <v>150</v>
      </c>
      <c r="AP28" s="1561"/>
      <c r="AQ28" s="1561"/>
      <c r="AR28" s="1550"/>
      <c r="AS28" s="1551">
        <v>0</v>
      </c>
      <c r="AT28" s="1561"/>
      <c r="AU28" s="1561"/>
      <c r="AV28" s="1550"/>
      <c r="AW28" s="1551">
        <v>0</v>
      </c>
      <c r="AX28" s="1561"/>
      <c r="AY28" s="1561"/>
      <c r="AZ28" s="1550"/>
      <c r="BA28" s="1563">
        <v>0</v>
      </c>
      <c r="BB28" s="1564"/>
      <c r="BC28" s="1564"/>
      <c r="BD28" s="1565"/>
      <c r="BE28" s="1559"/>
      <c r="BF28" s="1549"/>
      <c r="BG28" s="1560"/>
    </row>
    <row r="29" spans="1:59" ht="37.5">
      <c r="A29" s="1530">
        <v>16</v>
      </c>
      <c r="B29" s="1548" t="s">
        <v>28</v>
      </c>
      <c r="C29" s="1549" t="s">
        <v>29</v>
      </c>
      <c r="D29" s="1550"/>
      <c r="E29" s="1733">
        <f>+$L$12</f>
        <v>9.4389873978015279E-2</v>
      </c>
      <c r="F29" s="1559"/>
      <c r="G29" s="1566"/>
      <c r="H29" s="1567"/>
      <c r="I29" s="1733">
        <f>+$L$12</f>
        <v>9.4389873978015279E-2</v>
      </c>
      <c r="J29" s="1559"/>
      <c r="K29" s="1566"/>
      <c r="L29" s="1567"/>
      <c r="M29" s="1733">
        <f>+$L$12</f>
        <v>9.4389873978015279E-2</v>
      </c>
      <c r="N29" s="1561"/>
      <c r="O29" s="1561"/>
      <c r="P29" s="1550"/>
      <c r="Q29" s="1733">
        <f>+$L$12</f>
        <v>9.4389873978015279E-2</v>
      </c>
      <c r="R29" s="1559"/>
      <c r="S29" s="1559"/>
      <c r="T29" s="1560"/>
      <c r="U29" s="1733">
        <f>+$L$12</f>
        <v>9.4389873978015279E-2</v>
      </c>
      <c r="V29" s="1559"/>
      <c r="W29" s="1559"/>
      <c r="X29" s="1560"/>
      <c r="Y29" s="1733">
        <f>+$L$12</f>
        <v>9.4389873978015279E-2</v>
      </c>
      <c r="Z29" s="1559"/>
      <c r="AA29" s="1559"/>
      <c r="AB29" s="1560"/>
      <c r="AC29" s="1733">
        <f>+$L$12</f>
        <v>9.4389873978015279E-2</v>
      </c>
      <c r="AD29" s="1559"/>
      <c r="AE29" s="1559"/>
      <c r="AF29" s="1560"/>
      <c r="AG29" s="1733">
        <f>+$L$12</f>
        <v>9.4389873978015279E-2</v>
      </c>
      <c r="AH29" s="1559"/>
      <c r="AI29" s="1559"/>
      <c r="AJ29" s="1560"/>
      <c r="AK29" s="1733">
        <f>+$L$12</f>
        <v>9.4389873978015279E-2</v>
      </c>
      <c r="AL29" s="1559"/>
      <c r="AM29" s="1559"/>
      <c r="AN29" s="1560"/>
      <c r="AO29" s="1733">
        <f>+$L$12</f>
        <v>9.4389873978015279E-2</v>
      </c>
      <c r="AP29" s="1559"/>
      <c r="AQ29" s="1559"/>
      <c r="AR29" s="1560"/>
      <c r="AS29" s="1733">
        <f>+$L$12</f>
        <v>9.4389873978015279E-2</v>
      </c>
      <c r="AT29" s="1559"/>
      <c r="AU29" s="1559"/>
      <c r="AV29" s="1560"/>
      <c r="AW29" s="1733">
        <f>+$L$12</f>
        <v>9.4389873978015279E-2</v>
      </c>
      <c r="AX29" s="1559"/>
      <c r="AY29" s="1559"/>
      <c r="AZ29" s="1560"/>
      <c r="BA29" s="1735">
        <f>+$L$12</f>
        <v>9.4389873978015279E-2</v>
      </c>
      <c r="BB29" s="1568"/>
      <c r="BC29" s="1568"/>
      <c r="BD29" s="1522"/>
      <c r="BE29" s="1559"/>
      <c r="BF29" s="1549"/>
      <c r="BG29" s="1560"/>
    </row>
    <row r="30" spans="1:59" ht="25">
      <c r="A30" s="1530">
        <v>17</v>
      </c>
      <c r="B30" s="1548" t="s">
        <v>30</v>
      </c>
      <c r="C30" s="1549" t="s">
        <v>31</v>
      </c>
      <c r="D30" s="1569"/>
      <c r="E30" s="1734">
        <f>+$L14*E28/100+E29</f>
        <v>0.10260868805873996</v>
      </c>
      <c r="F30" s="1570"/>
      <c r="G30" s="1570"/>
      <c r="H30" s="1571"/>
      <c r="I30" s="1734">
        <f>+$L14*I28/100+I29</f>
        <v>0.10260868805873996</v>
      </c>
      <c r="J30" s="1570"/>
      <c r="K30" s="1570"/>
      <c r="L30" s="1571"/>
      <c r="M30" s="1734">
        <f>+$L14*M28/100+M29</f>
        <v>0.10260868805873996</v>
      </c>
      <c r="N30" s="1559"/>
      <c r="O30" s="1559"/>
      <c r="P30" s="1560"/>
      <c r="Q30" s="1734">
        <f>+$L14*Q28/100+Q29</f>
        <v>0.10260868805873996</v>
      </c>
      <c r="R30" s="1559"/>
      <c r="S30" s="1559"/>
      <c r="T30" s="1560"/>
      <c r="U30" s="1734">
        <f>+$L14*U28/100+U29</f>
        <v>0.10260868805873996</v>
      </c>
      <c r="V30" s="1559"/>
      <c r="W30" s="1559"/>
      <c r="X30" s="1560"/>
      <c r="Y30" s="1734">
        <f>+$L14*Y28/100+Y29</f>
        <v>0.10260868805873996</v>
      </c>
      <c r="Z30" s="1559"/>
      <c r="AA30" s="1559"/>
      <c r="AB30" s="1560"/>
      <c r="AC30" s="1734">
        <f>+$L14*AC28/100+AC29</f>
        <v>0.10260868805873996</v>
      </c>
      <c r="AD30" s="1559"/>
      <c r="AE30" s="1559"/>
      <c r="AF30" s="1560"/>
      <c r="AG30" s="1734">
        <f>+$L14*AG28/100+AG29</f>
        <v>9.4389873978015279E-2</v>
      </c>
      <c r="AH30" s="1559"/>
      <c r="AI30" s="1559"/>
      <c r="AJ30" s="1560"/>
      <c r="AK30" s="1734">
        <f>+$L14*AK28/100+AK29</f>
        <v>9.4389873978015279E-2</v>
      </c>
      <c r="AL30" s="1559"/>
      <c r="AM30" s="1559"/>
      <c r="AN30" s="1560"/>
      <c r="AO30" s="1734">
        <f>+$L14*AO28/100+AO29</f>
        <v>0.10260868805873996</v>
      </c>
      <c r="AP30" s="1559"/>
      <c r="AQ30" s="1559"/>
      <c r="AR30" s="1560"/>
      <c r="AS30" s="1734">
        <f>+$L14*AS28/100+AS29</f>
        <v>9.4389873978015279E-2</v>
      </c>
      <c r="AT30" s="1559"/>
      <c r="AU30" s="1559"/>
      <c r="AV30" s="1560"/>
      <c r="AW30" s="1734">
        <f>+$L14*AW28/100+AW29</f>
        <v>9.4389873978015279E-2</v>
      </c>
      <c r="AX30" s="1559"/>
      <c r="AY30" s="1559"/>
      <c r="AZ30" s="1560"/>
      <c r="BA30" s="1734">
        <f>+$L14*BA28/100+BA29</f>
        <v>9.4389873978015279E-2</v>
      </c>
      <c r="BB30" s="1568"/>
      <c r="BC30" s="1568"/>
      <c r="BD30" s="1522"/>
      <c r="BE30" s="1559"/>
      <c r="BF30" s="1549"/>
      <c r="BG30" s="1560"/>
    </row>
    <row r="31" spans="1:59" ht="25.5">
      <c r="A31" s="1530">
        <v>18</v>
      </c>
      <c r="B31" s="1572" t="s">
        <v>32</v>
      </c>
      <c r="C31" s="1549" t="s">
        <v>33</v>
      </c>
      <c r="D31" s="1550"/>
      <c r="E31" s="1573">
        <v>14689101</v>
      </c>
      <c r="F31" s="1574"/>
      <c r="G31" s="1574"/>
      <c r="H31" s="1575"/>
      <c r="I31" s="1576">
        <v>3099104</v>
      </c>
      <c r="J31" s="1574"/>
      <c r="K31" s="1574"/>
      <c r="L31" s="1575"/>
      <c r="M31" s="1573">
        <v>2418717</v>
      </c>
      <c r="N31" s="1577"/>
      <c r="O31" s="1577"/>
      <c r="P31" s="1567"/>
      <c r="Q31" s="1573">
        <v>6414723</v>
      </c>
      <c r="R31" s="1577"/>
      <c r="S31" s="1577"/>
      <c r="T31" s="1567"/>
      <c r="U31" s="1573">
        <f>8379558</f>
        <v>8379558</v>
      </c>
      <c r="V31" s="1577"/>
      <c r="W31" s="1577"/>
      <c r="X31" s="1567"/>
      <c r="Y31" s="1573">
        <v>14504530</v>
      </c>
      <c r="Z31" s="1577"/>
      <c r="AA31" s="1577"/>
      <c r="AB31" s="1567"/>
      <c r="AC31" s="1573">
        <v>6681345</v>
      </c>
      <c r="AD31" s="1577"/>
      <c r="AE31" s="1577"/>
      <c r="AF31" s="1567"/>
      <c r="AG31" s="1573">
        <v>217662</v>
      </c>
      <c r="AH31" s="1577"/>
      <c r="AI31" s="1577"/>
      <c r="AJ31" s="1567"/>
      <c r="AK31" s="1573">
        <v>5055041</v>
      </c>
      <c r="AL31" s="1577"/>
      <c r="AM31" s="1577"/>
      <c r="AN31" s="1567"/>
      <c r="AO31" s="1573">
        <v>16372433</v>
      </c>
      <c r="AP31" s="1577"/>
      <c r="AQ31" s="1577"/>
      <c r="AR31" s="1567"/>
      <c r="AS31" s="1573">
        <v>10567349</v>
      </c>
      <c r="AT31" s="1577"/>
      <c r="AU31" s="1577"/>
      <c r="AV31" s="1567"/>
      <c r="AW31" s="1573">
        <v>7246743</v>
      </c>
      <c r="AX31" s="1577"/>
      <c r="AY31" s="1577"/>
      <c r="AZ31" s="1567"/>
      <c r="BA31" s="1578">
        <v>5454268</v>
      </c>
      <c r="BB31" s="1577"/>
      <c r="BC31" s="1577"/>
      <c r="BD31" s="1567"/>
      <c r="BE31" s="1559"/>
      <c r="BF31" s="1549"/>
      <c r="BG31" s="1560"/>
    </row>
    <row r="32" spans="1:59" ht="13">
      <c r="A32" s="1530">
        <v>19</v>
      </c>
      <c r="B32" s="1579" t="s">
        <v>34</v>
      </c>
      <c r="C32" s="1549" t="s">
        <v>1380</v>
      </c>
      <c r="D32" s="1550"/>
      <c r="E32" s="1580">
        <f>IF(E31=0,0,E31/E26)</f>
        <v>419688.6</v>
      </c>
      <c r="F32" s="1577"/>
      <c r="G32" s="1577"/>
      <c r="H32" s="1567"/>
      <c r="I32" s="1580">
        <f>IF(I31=0,0,I31/I26)</f>
        <v>88545.828571428574</v>
      </c>
      <c r="J32" s="1577"/>
      <c r="K32" s="1577"/>
      <c r="L32" s="1567"/>
      <c r="M32" s="1580">
        <f>IF(M31=0,0,M31/M26)</f>
        <v>69106.2</v>
      </c>
      <c r="N32" s="1577"/>
      <c r="O32" s="1577"/>
      <c r="P32" s="1567"/>
      <c r="Q32" s="1580">
        <f>+Q31/Q26</f>
        <v>183277.8</v>
      </c>
      <c r="R32" s="1577"/>
      <c r="S32" s="1577"/>
      <c r="T32" s="1567"/>
      <c r="U32" s="1580">
        <f>+U31/U26</f>
        <v>239415.94285714286</v>
      </c>
      <c r="V32" s="1577"/>
      <c r="W32" s="1577"/>
      <c r="X32" s="1567"/>
      <c r="Y32" s="1580">
        <f>+Y31/Y26</f>
        <v>414415.14285714284</v>
      </c>
      <c r="Z32" s="1577"/>
      <c r="AA32" s="1577"/>
      <c r="AB32" s="1567"/>
      <c r="AC32" s="1580">
        <f>+AC31/AC26</f>
        <v>190895.57142857142</v>
      </c>
      <c r="AD32" s="1577"/>
      <c r="AE32" s="1577"/>
      <c r="AF32" s="1567"/>
      <c r="AG32" s="1580">
        <f>+AG31/AG26</f>
        <v>6218.9142857142861</v>
      </c>
      <c r="AH32" s="1577"/>
      <c r="AI32" s="1577"/>
      <c r="AJ32" s="1567"/>
      <c r="AK32" s="1580">
        <f>+AK31/AK26</f>
        <v>144429.74285714285</v>
      </c>
      <c r="AL32" s="1577"/>
      <c r="AM32" s="1577"/>
      <c r="AN32" s="1567"/>
      <c r="AO32" s="1580">
        <f>+AO31/AO26</f>
        <v>467783.8</v>
      </c>
      <c r="AP32" s="1577"/>
      <c r="AQ32" s="1577"/>
      <c r="AR32" s="1567"/>
      <c r="AS32" s="1580">
        <f>+AS31/AS26</f>
        <v>301924.25714285712</v>
      </c>
      <c r="AT32" s="1577"/>
      <c r="AU32" s="1577"/>
      <c r="AV32" s="1567"/>
      <c r="AW32" s="1580">
        <f>+AW31/AW26</f>
        <v>207049.8</v>
      </c>
      <c r="AX32" s="1577"/>
      <c r="AY32" s="1577"/>
      <c r="AZ32" s="1567"/>
      <c r="BA32" s="1580">
        <f>+BA31/BA26</f>
        <v>155836.22857142857</v>
      </c>
      <c r="BB32" s="1577"/>
      <c r="BC32" s="1577"/>
      <c r="BD32" s="1567"/>
      <c r="BE32" s="1559"/>
      <c r="BF32" s="1549"/>
      <c r="BG32" s="1560"/>
    </row>
    <row r="33" spans="1:77" ht="27" customHeight="1">
      <c r="A33" s="1530">
        <f>+A32+1</f>
        <v>20</v>
      </c>
      <c r="B33" s="1548" t="s">
        <v>35</v>
      </c>
      <c r="C33" s="1880" t="s">
        <v>36</v>
      </c>
      <c r="D33" s="1881"/>
      <c r="E33" s="1581">
        <v>6</v>
      </c>
      <c r="F33" s="1582"/>
      <c r="G33" s="1582"/>
      <c r="H33" s="1583"/>
      <c r="I33" s="1581">
        <v>6</v>
      </c>
      <c r="J33" s="1582"/>
      <c r="K33" s="1582"/>
      <c r="L33" s="1583"/>
      <c r="M33" s="1581">
        <v>6</v>
      </c>
      <c r="N33" s="1584"/>
      <c r="O33" s="1584"/>
      <c r="P33" s="1585"/>
      <c r="Q33" s="1573">
        <v>6</v>
      </c>
      <c r="R33" s="1584"/>
      <c r="S33" s="1584"/>
      <c r="T33" s="1585"/>
      <c r="U33" s="1573">
        <v>12</v>
      </c>
      <c r="V33" s="1584"/>
      <c r="W33" s="1584"/>
      <c r="X33" s="1585"/>
      <c r="Y33" s="1573">
        <v>9</v>
      </c>
      <c r="Z33" s="1584"/>
      <c r="AA33" s="1584"/>
      <c r="AB33" s="1585"/>
      <c r="AC33" s="1573">
        <v>8</v>
      </c>
      <c r="AD33" s="1584"/>
      <c r="AE33" s="1584"/>
      <c r="AF33" s="1585"/>
      <c r="AG33" s="1573">
        <v>6</v>
      </c>
      <c r="AH33" s="1584"/>
      <c r="AI33" s="1584"/>
      <c r="AJ33" s="1585"/>
      <c r="AK33" s="1573">
        <v>6</v>
      </c>
      <c r="AL33" s="1584"/>
      <c r="AM33" s="1584"/>
      <c r="AN33" s="1585"/>
      <c r="AO33" s="1573">
        <v>12</v>
      </c>
      <c r="AP33" s="1584"/>
      <c r="AQ33" s="1584"/>
      <c r="AR33" s="1585"/>
      <c r="AS33" s="1573">
        <v>4</v>
      </c>
      <c r="AT33" s="1584"/>
      <c r="AU33" s="1584"/>
      <c r="AV33" s="1585"/>
      <c r="AW33" s="1573">
        <v>5</v>
      </c>
      <c r="AX33" s="1584"/>
      <c r="AY33" s="1584"/>
      <c r="AZ33" s="1585"/>
      <c r="BA33" s="1578">
        <v>6</v>
      </c>
      <c r="BB33" s="1584"/>
      <c r="BC33" s="1584"/>
      <c r="BD33" s="1585"/>
      <c r="BE33" s="1559"/>
      <c r="BF33" s="1549"/>
      <c r="BG33" s="1560"/>
    </row>
    <row r="34" spans="1:77" ht="13.5" thickBot="1">
      <c r="C34" s="1586"/>
      <c r="D34" s="1587"/>
      <c r="E34" s="1588"/>
      <c r="F34" s="1589"/>
      <c r="G34" s="1589"/>
      <c r="H34" s="1590"/>
      <c r="I34" s="1588"/>
      <c r="J34" s="1589"/>
      <c r="K34" s="1589"/>
      <c r="L34" s="1590"/>
      <c r="M34" s="1588"/>
      <c r="N34" s="1589"/>
      <c r="O34" s="1589"/>
      <c r="P34" s="1590"/>
      <c r="Q34" s="1588"/>
      <c r="R34" s="1589"/>
      <c r="S34" s="1589"/>
      <c r="T34" s="1590"/>
      <c r="U34" s="1588"/>
      <c r="V34" s="1589"/>
      <c r="W34" s="1589"/>
      <c r="X34" s="1590"/>
      <c r="Y34" s="1588"/>
      <c r="Z34" s="1589"/>
      <c r="AA34" s="1589"/>
      <c r="AB34" s="1590"/>
      <c r="AC34" s="1588"/>
      <c r="AD34" s="1589"/>
      <c r="AE34" s="1589"/>
      <c r="AF34" s="1590"/>
      <c r="AG34" s="1588"/>
      <c r="AH34" s="1589"/>
      <c r="AI34" s="1589"/>
      <c r="AJ34" s="1590"/>
      <c r="AK34" s="1588"/>
      <c r="AL34" s="1589"/>
      <c r="AM34" s="1589"/>
      <c r="AN34" s="1590"/>
      <c r="AO34" s="1588"/>
      <c r="AP34" s="1589"/>
      <c r="AQ34" s="1589"/>
      <c r="AR34" s="1590"/>
      <c r="AS34" s="1588"/>
      <c r="AT34" s="1589"/>
      <c r="AU34" s="1589"/>
      <c r="AV34" s="1590"/>
      <c r="AW34" s="1588"/>
      <c r="AX34" s="1589"/>
      <c r="AY34" s="1589"/>
      <c r="AZ34" s="1590"/>
      <c r="BA34" s="1588"/>
      <c r="BB34" s="1589"/>
      <c r="BC34" s="1589"/>
      <c r="BD34" s="1590"/>
      <c r="BE34" s="1591"/>
      <c r="BF34" s="1586"/>
      <c r="BG34" s="1592"/>
    </row>
    <row r="35" spans="1:77" ht="13">
      <c r="C35" s="1538"/>
      <c r="D35" s="1593" t="s">
        <v>37</v>
      </c>
      <c r="E35" s="1594" t="s">
        <v>38</v>
      </c>
      <c r="F35" s="1594" t="s">
        <v>39</v>
      </c>
      <c r="G35" s="1594" t="s">
        <v>40</v>
      </c>
      <c r="H35" s="1595" t="s">
        <v>41</v>
      </c>
      <c r="I35" s="1594" t="s">
        <v>38</v>
      </c>
      <c r="J35" s="1594" t="s">
        <v>39</v>
      </c>
      <c r="K35" s="1594" t="s">
        <v>40</v>
      </c>
      <c r="L35" s="1595" t="s">
        <v>41</v>
      </c>
      <c r="M35" s="1596" t="s">
        <v>38</v>
      </c>
      <c r="N35" s="1594" t="s">
        <v>39</v>
      </c>
      <c r="O35" s="1594" t="s">
        <v>40</v>
      </c>
      <c r="P35" s="1597" t="s">
        <v>41</v>
      </c>
      <c r="Q35" s="1596" t="s">
        <v>38</v>
      </c>
      <c r="R35" s="1594" t="s">
        <v>39</v>
      </c>
      <c r="S35" s="1594" t="s">
        <v>40</v>
      </c>
      <c r="T35" s="1597" t="s">
        <v>41</v>
      </c>
      <c r="U35" s="1596" t="s">
        <v>38</v>
      </c>
      <c r="V35" s="1594" t="s">
        <v>39</v>
      </c>
      <c r="W35" s="1594" t="s">
        <v>40</v>
      </c>
      <c r="X35" s="1597" t="s">
        <v>41</v>
      </c>
      <c r="Y35" s="1596" t="s">
        <v>38</v>
      </c>
      <c r="Z35" s="1594" t="s">
        <v>39</v>
      </c>
      <c r="AA35" s="1594" t="s">
        <v>40</v>
      </c>
      <c r="AB35" s="1597" t="s">
        <v>41</v>
      </c>
      <c r="AC35" s="1596" t="s">
        <v>38</v>
      </c>
      <c r="AD35" s="1594" t="s">
        <v>39</v>
      </c>
      <c r="AE35" s="1594" t="s">
        <v>40</v>
      </c>
      <c r="AF35" s="1597" t="s">
        <v>41</v>
      </c>
      <c r="AG35" s="1596" t="s">
        <v>38</v>
      </c>
      <c r="AH35" s="1594" t="s">
        <v>39</v>
      </c>
      <c r="AI35" s="1594" t="s">
        <v>40</v>
      </c>
      <c r="AJ35" s="1597" t="s">
        <v>41</v>
      </c>
      <c r="AK35" s="1596" t="s">
        <v>38</v>
      </c>
      <c r="AL35" s="1594" t="s">
        <v>39</v>
      </c>
      <c r="AM35" s="1594" t="s">
        <v>40</v>
      </c>
      <c r="AN35" s="1597" t="s">
        <v>41</v>
      </c>
      <c r="AO35" s="1596" t="s">
        <v>38</v>
      </c>
      <c r="AP35" s="1594" t="s">
        <v>39</v>
      </c>
      <c r="AQ35" s="1594" t="s">
        <v>40</v>
      </c>
      <c r="AR35" s="1597" t="s">
        <v>41</v>
      </c>
      <c r="AS35" s="1596" t="s">
        <v>38</v>
      </c>
      <c r="AT35" s="1594" t="s">
        <v>39</v>
      </c>
      <c r="AU35" s="1594" t="s">
        <v>40</v>
      </c>
      <c r="AV35" s="1597" t="s">
        <v>41</v>
      </c>
      <c r="AW35" s="1596" t="s">
        <v>38</v>
      </c>
      <c r="AX35" s="1594" t="s">
        <v>39</v>
      </c>
      <c r="AY35" s="1594" t="s">
        <v>40</v>
      </c>
      <c r="AZ35" s="1597" t="s">
        <v>41</v>
      </c>
      <c r="BA35" s="1596" t="s">
        <v>38</v>
      </c>
      <c r="BB35" s="1594" t="s">
        <v>39</v>
      </c>
      <c r="BC35" s="1594" t="s">
        <v>40</v>
      </c>
      <c r="BD35" s="1597" t="s">
        <v>41</v>
      </c>
      <c r="BE35" s="1593" t="s">
        <v>42</v>
      </c>
      <c r="BF35" s="1554" t="s">
        <v>43</v>
      </c>
      <c r="BG35" s="1555" t="s">
        <v>44</v>
      </c>
    </row>
    <row r="36" spans="1:77" ht="13" hidden="1">
      <c r="A36" s="1530">
        <f>+A33+1</f>
        <v>21</v>
      </c>
      <c r="C36" s="1549" t="str">
        <f>+C29</f>
        <v>Base FCR</v>
      </c>
      <c r="D36" s="1598">
        <v>2008</v>
      </c>
      <c r="E36" s="1599"/>
      <c r="F36" s="1577"/>
      <c r="G36" s="1599">
        <v>0</v>
      </c>
      <c r="H36" s="1567">
        <v>0</v>
      </c>
      <c r="I36" s="1599"/>
      <c r="J36" s="1577"/>
      <c r="K36" s="1599">
        <v>0</v>
      </c>
      <c r="L36" s="1567">
        <v>0</v>
      </c>
      <c r="M36" s="1599"/>
      <c r="N36" s="1577"/>
      <c r="O36" s="1599">
        <v>0</v>
      </c>
      <c r="P36" s="1567">
        <v>0</v>
      </c>
      <c r="Q36" s="1549"/>
      <c r="R36" s="1559"/>
      <c r="S36" s="1559"/>
      <c r="T36" s="1567"/>
      <c r="U36" s="1549"/>
      <c r="V36" s="1559"/>
      <c r="W36" s="1559"/>
      <c r="X36" s="1567"/>
      <c r="Y36" s="1549"/>
      <c r="Z36" s="1559"/>
      <c r="AA36" s="1559"/>
      <c r="AB36" s="1567"/>
      <c r="AC36" s="1549"/>
      <c r="AD36" s="1559"/>
      <c r="AE36" s="1559"/>
      <c r="AF36" s="1567"/>
      <c r="AG36" s="1549"/>
      <c r="AH36" s="1559"/>
      <c r="AI36" s="1559"/>
      <c r="AJ36" s="1567"/>
      <c r="AK36" s="1549"/>
      <c r="AL36" s="1559"/>
      <c r="AM36" s="1559"/>
      <c r="AN36" s="1567"/>
      <c r="AO36" s="1549"/>
      <c r="AP36" s="1559"/>
      <c r="AQ36" s="1559"/>
      <c r="AR36" s="1567"/>
      <c r="AS36" s="1549"/>
      <c r="AT36" s="1559"/>
      <c r="AU36" s="1559"/>
      <c r="AV36" s="1567"/>
      <c r="AW36" s="1549"/>
      <c r="AX36" s="1559"/>
      <c r="AY36" s="1559"/>
      <c r="AZ36" s="1567"/>
      <c r="BA36" s="1549"/>
      <c r="BB36" s="1559"/>
      <c r="BC36" s="1559"/>
      <c r="BD36" s="1567"/>
      <c r="BE36" s="1600">
        <v>11906709.865205778</v>
      </c>
      <c r="BF36" s="1559"/>
      <c r="BG36" s="1601">
        <f>+BE36</f>
        <v>11906709.865205778</v>
      </c>
    </row>
    <row r="37" spans="1:77" ht="13" hidden="1">
      <c r="A37" s="1530">
        <f>+A36+1</f>
        <v>22</v>
      </c>
      <c r="C37" s="1549" t="s">
        <v>45</v>
      </c>
      <c r="D37" s="1598">
        <v>2008</v>
      </c>
      <c r="E37" s="1599"/>
      <c r="F37" s="1577"/>
      <c r="G37" s="1599">
        <v>0</v>
      </c>
      <c r="H37" s="1567">
        <v>0</v>
      </c>
      <c r="I37" s="1599"/>
      <c r="J37" s="1577"/>
      <c r="K37" s="1599">
        <v>0</v>
      </c>
      <c r="L37" s="1567">
        <v>0</v>
      </c>
      <c r="M37" s="1599"/>
      <c r="N37" s="1577"/>
      <c r="O37" s="1599">
        <v>0</v>
      </c>
      <c r="P37" s="1567">
        <v>0</v>
      </c>
      <c r="Q37" s="1549"/>
      <c r="R37" s="1559"/>
      <c r="S37" s="1559"/>
      <c r="T37" s="1567"/>
      <c r="U37" s="1549"/>
      <c r="V37" s="1559"/>
      <c r="W37" s="1559"/>
      <c r="X37" s="1567"/>
      <c r="Y37" s="1549"/>
      <c r="Z37" s="1559"/>
      <c r="AA37" s="1559"/>
      <c r="AB37" s="1567"/>
      <c r="AC37" s="1549"/>
      <c r="AD37" s="1559"/>
      <c r="AE37" s="1559"/>
      <c r="AF37" s="1567"/>
      <c r="AG37" s="1549"/>
      <c r="AH37" s="1559"/>
      <c r="AI37" s="1559"/>
      <c r="AJ37" s="1567"/>
      <c r="AK37" s="1549"/>
      <c r="AL37" s="1559"/>
      <c r="AM37" s="1559"/>
      <c r="AN37" s="1567"/>
      <c r="AO37" s="1549"/>
      <c r="AP37" s="1559"/>
      <c r="AQ37" s="1559"/>
      <c r="AR37" s="1567"/>
      <c r="AS37" s="1549"/>
      <c r="AT37" s="1559"/>
      <c r="AU37" s="1559"/>
      <c r="AV37" s="1567"/>
      <c r="AW37" s="1549"/>
      <c r="AX37" s="1559"/>
      <c r="AY37" s="1559"/>
      <c r="AZ37" s="1567"/>
      <c r="BA37" s="1549"/>
      <c r="BB37" s="1559"/>
      <c r="BC37" s="1559"/>
      <c r="BD37" s="1567"/>
      <c r="BE37" s="1600">
        <v>11906709.865205778</v>
      </c>
      <c r="BF37" s="1602">
        <f>+BE37</f>
        <v>11906709.865205778</v>
      </c>
      <c r="BG37" s="1560"/>
    </row>
    <row r="38" spans="1:77" ht="13" hidden="1">
      <c r="A38" s="1530">
        <f t="shared" ref="A38:A77" si="0">+A37+1</f>
        <v>23</v>
      </c>
      <c r="C38" s="1549" t="str">
        <f>+C36</f>
        <v>Base FCR</v>
      </c>
      <c r="D38" s="1598">
        <f t="shared" ref="D38:D75" si="1">+D36+1</f>
        <v>2009</v>
      </c>
      <c r="E38" s="1599">
        <v>14689101</v>
      </c>
      <c r="F38" s="1577">
        <v>209844.3</v>
      </c>
      <c r="G38" s="1599">
        <v>14479256.699999999</v>
      </c>
      <c r="H38" s="1567">
        <v>2027345.7502079715</v>
      </c>
      <c r="I38" s="1599">
        <v>3099104</v>
      </c>
      <c r="J38" s="1577">
        <v>44272.914285714287</v>
      </c>
      <c r="K38" s="1599">
        <v>3054831.0857142857</v>
      </c>
      <c r="L38" s="1567">
        <v>427729.05733662838</v>
      </c>
      <c r="M38" s="1599">
        <v>2418717</v>
      </c>
      <c r="N38" s="1577">
        <v>34553.1</v>
      </c>
      <c r="O38" s="1599">
        <v>2384163.9</v>
      </c>
      <c r="P38" s="1567">
        <v>333824.08024192724</v>
      </c>
      <c r="Q38" s="1603"/>
      <c r="R38" s="1577"/>
      <c r="S38" s="1599"/>
      <c r="T38" s="1567"/>
      <c r="U38" s="1603"/>
      <c r="V38" s="1577"/>
      <c r="W38" s="1599"/>
      <c r="X38" s="1567"/>
      <c r="Y38" s="1603"/>
      <c r="Z38" s="1577"/>
      <c r="AA38" s="1599"/>
      <c r="AB38" s="1567"/>
      <c r="AC38" s="1603"/>
      <c r="AD38" s="1577"/>
      <c r="AE38" s="1599"/>
      <c r="AF38" s="1567"/>
      <c r="AG38" s="1603"/>
      <c r="AH38" s="1577"/>
      <c r="AI38" s="1599"/>
      <c r="AJ38" s="1567"/>
      <c r="AK38" s="1603"/>
      <c r="AL38" s="1577"/>
      <c r="AM38" s="1599"/>
      <c r="AN38" s="1567"/>
      <c r="AO38" s="1603"/>
      <c r="AP38" s="1577"/>
      <c r="AQ38" s="1599"/>
      <c r="AR38" s="1567"/>
      <c r="AS38" s="1603"/>
      <c r="AT38" s="1577"/>
      <c r="AU38" s="1599"/>
      <c r="AV38" s="1567"/>
      <c r="AW38" s="1603"/>
      <c r="AX38" s="1577"/>
      <c r="AY38" s="1599"/>
      <c r="AZ38" s="1567"/>
      <c r="BA38" s="1603"/>
      <c r="BB38" s="1577"/>
      <c r="BC38" s="1599"/>
      <c r="BD38" s="1567"/>
      <c r="BE38" s="1600">
        <v>11906709.865205778</v>
      </c>
      <c r="BF38" s="1559"/>
      <c r="BG38" s="1601">
        <f>+BE38</f>
        <v>11906709.865205778</v>
      </c>
      <c r="BU38" s="1604"/>
      <c r="BV38" s="1604"/>
      <c r="BW38" s="1604"/>
      <c r="BX38" s="1604"/>
      <c r="BY38" s="1604"/>
    </row>
    <row r="39" spans="1:77" ht="13" hidden="1">
      <c r="A39" s="1530">
        <f t="shared" si="0"/>
        <v>24</v>
      </c>
      <c r="C39" s="1549" t="str">
        <f>+C37</f>
        <v>W Increased ROE</v>
      </c>
      <c r="D39" s="1598">
        <f t="shared" si="1"/>
        <v>2009</v>
      </c>
      <c r="E39" s="1599">
        <v>14689101</v>
      </c>
      <c r="F39" s="1577">
        <v>209844.3</v>
      </c>
      <c r="G39" s="1599">
        <v>14479256.699999999</v>
      </c>
      <c r="H39" s="1567">
        <v>2170869.4430184173</v>
      </c>
      <c r="I39" s="1599">
        <v>3099104</v>
      </c>
      <c r="J39" s="1577">
        <v>44272.914285714287</v>
      </c>
      <c r="K39" s="1599">
        <v>3054831.0857142857</v>
      </c>
      <c r="L39" s="1567">
        <v>458009.66133571754</v>
      </c>
      <c r="M39" s="1599">
        <v>2418717</v>
      </c>
      <c r="N39" s="1577">
        <v>34553.1</v>
      </c>
      <c r="O39" s="1599">
        <v>2384163.9</v>
      </c>
      <c r="P39" s="1567">
        <v>357456.78558607347</v>
      </c>
      <c r="Q39" s="1603"/>
      <c r="R39" s="1577"/>
      <c r="S39" s="1599"/>
      <c r="T39" s="1567"/>
      <c r="U39" s="1603"/>
      <c r="V39" s="1577"/>
      <c r="W39" s="1599"/>
      <c r="X39" s="1567"/>
      <c r="Y39" s="1603"/>
      <c r="Z39" s="1577"/>
      <c r="AA39" s="1599"/>
      <c r="AB39" s="1567"/>
      <c r="AC39" s="1603"/>
      <c r="AD39" s="1577"/>
      <c r="AE39" s="1599"/>
      <c r="AF39" s="1567"/>
      <c r="AG39" s="1603"/>
      <c r="AH39" s="1577"/>
      <c r="AI39" s="1599"/>
      <c r="AJ39" s="1567"/>
      <c r="AK39" s="1603"/>
      <c r="AL39" s="1577"/>
      <c r="AM39" s="1599"/>
      <c r="AN39" s="1567"/>
      <c r="AO39" s="1603"/>
      <c r="AP39" s="1577"/>
      <c r="AQ39" s="1599"/>
      <c r="AR39" s="1567"/>
      <c r="AS39" s="1603"/>
      <c r="AT39" s="1577"/>
      <c r="AU39" s="1599"/>
      <c r="AV39" s="1567"/>
      <c r="AW39" s="1603"/>
      <c r="AX39" s="1577"/>
      <c r="AY39" s="1599"/>
      <c r="AZ39" s="1567"/>
      <c r="BA39" s="1603"/>
      <c r="BB39" s="1577"/>
      <c r="BC39" s="1599"/>
      <c r="BD39" s="1567"/>
      <c r="BE39" s="1600">
        <v>11906709.865205778</v>
      </c>
      <c r="BF39" s="1602">
        <f>+BE39</f>
        <v>11906709.865205778</v>
      </c>
      <c r="BG39" s="1560"/>
      <c r="BU39" s="1604"/>
      <c r="BV39" s="1604"/>
      <c r="BW39" s="1604"/>
      <c r="BX39" s="1604"/>
      <c r="BY39" s="1604"/>
    </row>
    <row r="40" spans="1:77" ht="13" hidden="1">
      <c r="A40" s="1530">
        <f t="shared" si="0"/>
        <v>25</v>
      </c>
      <c r="C40" s="1549" t="str">
        <f t="shared" ref="C40:C75" si="2">+C38</f>
        <v>Base FCR</v>
      </c>
      <c r="D40" s="1598">
        <f t="shared" si="1"/>
        <v>2010</v>
      </c>
      <c r="E40" s="1599">
        <v>14479256.699999999</v>
      </c>
      <c r="F40" s="1599">
        <v>419688.6</v>
      </c>
      <c r="G40" s="1599">
        <v>14059568.1</v>
      </c>
      <c r="H40" s="1567">
        <v>2184508.8487526681</v>
      </c>
      <c r="I40" s="1603">
        <v>3054831.0857142857</v>
      </c>
      <c r="J40" s="1599">
        <v>88545.828571428574</v>
      </c>
      <c r="K40" s="1599">
        <v>2966285.2571428572</v>
      </c>
      <c r="L40" s="1567">
        <v>460887.30080927268</v>
      </c>
      <c r="M40" s="1603">
        <v>2384163.9</v>
      </c>
      <c r="N40" s="1599">
        <v>69106.2</v>
      </c>
      <c r="O40" s="1599">
        <v>2315057.7000000002</v>
      </c>
      <c r="P40" s="1567">
        <v>359702.65907549456</v>
      </c>
      <c r="Q40" s="1603">
        <v>6414723</v>
      </c>
      <c r="R40" s="1577">
        <v>91638.9</v>
      </c>
      <c r="S40" s="1599">
        <v>6323084.0999999996</v>
      </c>
      <c r="T40" s="1567">
        <v>932508.31708739861</v>
      </c>
      <c r="U40" s="1603">
        <v>8379558</v>
      </c>
      <c r="V40" s="1577">
        <v>0</v>
      </c>
      <c r="W40" s="1599">
        <v>8379558</v>
      </c>
      <c r="X40" s="1567">
        <v>1114347.6726665786</v>
      </c>
      <c r="Y40" s="1603">
        <v>14504530</v>
      </c>
      <c r="Z40" s="1577">
        <v>103603.78571428571</v>
      </c>
      <c r="AA40" s="1599">
        <v>14400926.214285715</v>
      </c>
      <c r="AB40" s="1567">
        <v>2018697.4709817434</v>
      </c>
      <c r="AC40" s="1603"/>
      <c r="AD40" s="1577"/>
      <c r="AE40" s="1599"/>
      <c r="AF40" s="1567"/>
      <c r="AG40" s="1603"/>
      <c r="AH40" s="1577"/>
      <c r="AI40" s="1599"/>
      <c r="AJ40" s="1567"/>
      <c r="AK40" s="1603"/>
      <c r="AL40" s="1577"/>
      <c r="AM40" s="1599"/>
      <c r="AN40" s="1567"/>
      <c r="AO40" s="1603"/>
      <c r="AP40" s="1577"/>
      <c r="AQ40" s="1599"/>
      <c r="AR40" s="1567"/>
      <c r="AS40" s="1603"/>
      <c r="AT40" s="1577"/>
      <c r="AU40" s="1599"/>
      <c r="AV40" s="1567"/>
      <c r="AW40" s="1603"/>
      <c r="AX40" s="1577"/>
      <c r="AY40" s="1599"/>
      <c r="AZ40" s="1567"/>
      <c r="BA40" s="1603"/>
      <c r="BB40" s="1577"/>
      <c r="BC40" s="1599"/>
      <c r="BD40" s="1567"/>
      <c r="BE40" s="1600">
        <v>11906709.865205778</v>
      </c>
      <c r="BF40" s="1559"/>
      <c r="BG40" s="1601">
        <f>+BE40</f>
        <v>11906709.865205778</v>
      </c>
      <c r="BU40" s="1604"/>
      <c r="BV40" s="1604"/>
      <c r="BW40" s="1604"/>
      <c r="BX40" s="1604"/>
      <c r="BY40" s="1604"/>
    </row>
    <row r="41" spans="1:77" ht="13" hidden="1">
      <c r="A41" s="1530">
        <f t="shared" si="0"/>
        <v>26</v>
      </c>
      <c r="C41" s="1549" t="str">
        <f t="shared" si="2"/>
        <v>W Increased ROE</v>
      </c>
      <c r="D41" s="1598">
        <f t="shared" si="1"/>
        <v>2010</v>
      </c>
      <c r="E41" s="1599">
        <v>14479256.699999999</v>
      </c>
      <c r="F41" s="1599">
        <v>419688.6</v>
      </c>
      <c r="G41" s="1599">
        <v>14059568.1</v>
      </c>
      <c r="H41" s="1567">
        <v>2323872.4345251299</v>
      </c>
      <c r="I41" s="1603">
        <v>3054831.0857142857</v>
      </c>
      <c r="J41" s="1599">
        <v>88545.828571428574</v>
      </c>
      <c r="K41" s="1599">
        <v>2966285.2571428572</v>
      </c>
      <c r="L41" s="1567">
        <v>490290.20614172157</v>
      </c>
      <c r="M41" s="1603">
        <v>2384163.9</v>
      </c>
      <c r="N41" s="1599">
        <v>69106.2</v>
      </c>
      <c r="O41" s="1599">
        <v>2315057.7000000002</v>
      </c>
      <c r="P41" s="1567">
        <v>382650.35846763657</v>
      </c>
      <c r="Q41" s="1603">
        <v>6414723</v>
      </c>
      <c r="R41" s="1577">
        <v>91638.9</v>
      </c>
      <c r="S41" s="1599">
        <v>6323084.0999999996</v>
      </c>
      <c r="T41" s="1567">
        <v>999766.33878652658</v>
      </c>
      <c r="U41" s="1603">
        <v>8379558</v>
      </c>
      <c r="V41" s="1577">
        <v>0</v>
      </c>
      <c r="W41" s="1599">
        <v>8379558</v>
      </c>
      <c r="X41" s="1567">
        <v>1203480.2043362272</v>
      </c>
      <c r="Y41" s="1603">
        <v>14504530</v>
      </c>
      <c r="Z41" s="1577">
        <v>103603.78571428571</v>
      </c>
      <c r="AA41" s="1599">
        <v>14400926.214285715</v>
      </c>
      <c r="AB41" s="1567">
        <v>2171878.7022432368</v>
      </c>
      <c r="AC41" s="1603"/>
      <c r="AD41" s="1577"/>
      <c r="AE41" s="1599"/>
      <c r="AF41" s="1567"/>
      <c r="AG41" s="1603"/>
      <c r="AH41" s="1577"/>
      <c r="AI41" s="1599"/>
      <c r="AJ41" s="1567"/>
      <c r="AK41" s="1603"/>
      <c r="AL41" s="1577"/>
      <c r="AM41" s="1599"/>
      <c r="AN41" s="1567"/>
      <c r="AO41" s="1603"/>
      <c r="AP41" s="1577"/>
      <c r="AQ41" s="1599"/>
      <c r="AR41" s="1567"/>
      <c r="AS41" s="1603"/>
      <c r="AT41" s="1577"/>
      <c r="AU41" s="1599"/>
      <c r="AV41" s="1567"/>
      <c r="AW41" s="1603"/>
      <c r="AX41" s="1577"/>
      <c r="AY41" s="1599"/>
      <c r="AZ41" s="1567"/>
      <c r="BA41" s="1603"/>
      <c r="BB41" s="1577"/>
      <c r="BC41" s="1599"/>
      <c r="BD41" s="1567"/>
      <c r="BE41" s="1600">
        <v>11906709.865205778</v>
      </c>
      <c r="BF41" s="1602">
        <f>+BE41</f>
        <v>11906709.865205778</v>
      </c>
      <c r="BG41" s="1560"/>
      <c r="BU41" s="1604"/>
      <c r="BV41" s="1604"/>
      <c r="BW41" s="1604"/>
      <c r="BX41" s="1604"/>
      <c r="BY41" s="1604"/>
    </row>
    <row r="42" spans="1:77" ht="13" hidden="1">
      <c r="A42" s="1530">
        <f t="shared" si="0"/>
        <v>27</v>
      </c>
      <c r="C42" s="1549" t="str">
        <f t="shared" si="2"/>
        <v>Base FCR</v>
      </c>
      <c r="D42" s="1598">
        <f t="shared" si="1"/>
        <v>2011</v>
      </c>
      <c r="E42" s="1599">
        <v>14059568.1</v>
      </c>
      <c r="F42" s="1599">
        <v>419688.6</v>
      </c>
      <c r="G42" s="1599">
        <v>13639879.5</v>
      </c>
      <c r="H42" s="1605">
        <v>2165363.6335302796</v>
      </c>
      <c r="I42" s="1599">
        <v>2966285.2571428572</v>
      </c>
      <c r="J42" s="1599">
        <v>88545.828571428574</v>
      </c>
      <c r="K42" s="1599">
        <v>2877739.4285714286</v>
      </c>
      <c r="L42" s="1567">
        <v>456848.04659782955</v>
      </c>
      <c r="M42" s="1603">
        <v>2315057.7000000002</v>
      </c>
      <c r="N42" s="1599">
        <v>69106.2</v>
      </c>
      <c r="O42" s="1599">
        <v>2245951.5</v>
      </c>
      <c r="P42" s="1567">
        <v>356550.19538646087</v>
      </c>
      <c r="Q42" s="1603">
        <v>6323084.0999999996</v>
      </c>
      <c r="R42" s="1599">
        <v>183277.8</v>
      </c>
      <c r="S42" s="1599">
        <v>6139806.2999999998</v>
      </c>
      <c r="T42" s="1567">
        <v>969069.68097826838</v>
      </c>
      <c r="U42" s="1603">
        <v>8379558</v>
      </c>
      <c r="V42" s="1599">
        <v>239415.94285714286</v>
      </c>
      <c r="W42" s="1599">
        <v>8140142.0571428575</v>
      </c>
      <c r="X42" s="1567">
        <v>1281217.1375483493</v>
      </c>
      <c r="Y42" s="1603">
        <v>14400926.214285715</v>
      </c>
      <c r="Z42" s="1599">
        <v>414415.14285714284</v>
      </c>
      <c r="AA42" s="1599">
        <v>13986511.071428571</v>
      </c>
      <c r="AB42" s="1567">
        <v>2204453.1841453887</v>
      </c>
      <c r="AC42" s="1603">
        <v>6681345</v>
      </c>
      <c r="AD42" s="1599">
        <v>63631.857142857138</v>
      </c>
      <c r="AE42" s="1599">
        <v>6617713.1428571427</v>
      </c>
      <c r="AF42" s="1567">
        <v>416530.15475828311</v>
      </c>
      <c r="AG42" s="1599"/>
      <c r="AH42" s="1577"/>
      <c r="AI42" s="1599"/>
      <c r="AJ42" s="1567"/>
      <c r="AK42" s="1599"/>
      <c r="AL42" s="1577"/>
      <c r="AM42" s="1599"/>
      <c r="AN42" s="1567"/>
      <c r="AO42" s="1599"/>
      <c r="AP42" s="1577"/>
      <c r="AQ42" s="1599"/>
      <c r="AR42" s="1567"/>
      <c r="AS42" s="1599"/>
      <c r="AT42" s="1577"/>
      <c r="AU42" s="1599"/>
      <c r="AV42" s="1567"/>
      <c r="AW42" s="1599"/>
      <c r="AX42" s="1577"/>
      <c r="AY42" s="1599"/>
      <c r="AZ42" s="1567"/>
      <c r="BA42" s="1599"/>
      <c r="BB42" s="1577"/>
      <c r="BC42" s="1599"/>
      <c r="BD42" s="1567"/>
      <c r="BE42" s="1600">
        <v>11906709.865205778</v>
      </c>
      <c r="BF42" s="1559"/>
      <c r="BG42" s="1601">
        <v>11906709.865205778</v>
      </c>
      <c r="BU42" s="1604"/>
      <c r="BV42" s="1604"/>
      <c r="BW42" s="1604"/>
      <c r="BX42" s="1604"/>
      <c r="BY42" s="1604"/>
    </row>
    <row r="43" spans="1:77" ht="13" hidden="1">
      <c r="A43" s="1530">
        <f t="shared" si="0"/>
        <v>28</v>
      </c>
      <c r="C43" s="1549" t="str">
        <f t="shared" si="2"/>
        <v>W Increased ROE</v>
      </c>
      <c r="D43" s="1598">
        <f t="shared" si="1"/>
        <v>2011</v>
      </c>
      <c r="E43" s="1599">
        <v>14059568.1</v>
      </c>
      <c r="F43" s="1599">
        <v>419688.6</v>
      </c>
      <c r="G43" s="1599">
        <v>13639879.5</v>
      </c>
      <c r="H43" s="1605">
        <v>2299493.7392377472</v>
      </c>
      <c r="I43" s="1599">
        <v>2966285.2571428572</v>
      </c>
      <c r="J43" s="1599">
        <v>88545.828571428574</v>
      </c>
      <c r="K43" s="1599">
        <v>2877739.4285714286</v>
      </c>
      <c r="L43" s="1567">
        <v>485146.79320719896</v>
      </c>
      <c r="M43" s="1603">
        <v>2315057.7000000002</v>
      </c>
      <c r="N43" s="1599">
        <v>69106.2</v>
      </c>
      <c r="O43" s="1599">
        <v>2245951.5</v>
      </c>
      <c r="P43" s="1567">
        <v>378636.14652032865</v>
      </c>
      <c r="Q43" s="1603">
        <v>6323084.0999999996</v>
      </c>
      <c r="R43" s="1599">
        <v>183277.8</v>
      </c>
      <c r="S43" s="1599">
        <v>6139806.2999999998</v>
      </c>
      <c r="T43" s="1567">
        <v>1029446.5243398519</v>
      </c>
      <c r="U43" s="1603">
        <v>8379558</v>
      </c>
      <c r="V43" s="1599">
        <v>239415.94285714286</v>
      </c>
      <c r="W43" s="1599">
        <v>8140142.0571428575</v>
      </c>
      <c r="X43" s="1567">
        <v>1361264.6273079454</v>
      </c>
      <c r="Y43" s="1603">
        <v>14400926.214285715</v>
      </c>
      <c r="Z43" s="1599">
        <v>414415.14285714284</v>
      </c>
      <c r="AA43" s="1599">
        <v>13986511.071428571</v>
      </c>
      <c r="AB43" s="1567">
        <v>2341991.9511476466</v>
      </c>
      <c r="AC43" s="1603">
        <v>6681345</v>
      </c>
      <c r="AD43" s="1577">
        <v>63631.857142857138</v>
      </c>
      <c r="AE43" s="1599">
        <v>6617713.1428571427</v>
      </c>
      <c r="AF43" s="1567">
        <v>443645.33086721686</v>
      </c>
      <c r="AG43" s="1603"/>
      <c r="AH43" s="1577"/>
      <c r="AI43" s="1599"/>
      <c r="AJ43" s="1567"/>
      <c r="AK43" s="1603"/>
      <c r="AL43" s="1577"/>
      <c r="AM43" s="1599"/>
      <c r="AN43" s="1567"/>
      <c r="AO43" s="1603"/>
      <c r="AP43" s="1577"/>
      <c r="AQ43" s="1599"/>
      <c r="AR43" s="1567"/>
      <c r="AS43" s="1603"/>
      <c r="AT43" s="1577"/>
      <c r="AU43" s="1599"/>
      <c r="AV43" s="1567"/>
      <c r="AW43" s="1603"/>
      <c r="AX43" s="1577"/>
      <c r="AY43" s="1599"/>
      <c r="AZ43" s="1567"/>
      <c r="BA43" s="1603"/>
      <c r="BB43" s="1577"/>
      <c r="BC43" s="1599"/>
      <c r="BD43" s="1567"/>
      <c r="BE43" s="1600">
        <v>12708000.492262214</v>
      </c>
      <c r="BF43" s="1602">
        <v>12708000.492262214</v>
      </c>
      <c r="BG43" s="1560"/>
      <c r="BH43" s="1606"/>
      <c r="BU43" s="1604"/>
      <c r="BV43" s="1604"/>
      <c r="BW43" s="1604"/>
      <c r="BX43" s="1604"/>
      <c r="BY43" s="1604"/>
    </row>
    <row r="44" spans="1:77" ht="13" hidden="1">
      <c r="A44" s="1530">
        <f t="shared" si="0"/>
        <v>29</v>
      </c>
      <c r="C44" s="1549" t="str">
        <f t="shared" si="2"/>
        <v>Base FCR</v>
      </c>
      <c r="D44" s="1598">
        <f t="shared" si="1"/>
        <v>2012</v>
      </c>
      <c r="E44" s="1599">
        <v>13639879.5</v>
      </c>
      <c r="F44" s="1599">
        <v>419688.6</v>
      </c>
      <c r="G44" s="1599">
        <v>13220190.9</v>
      </c>
      <c r="H44" s="1605">
        <v>2127592.4368447736</v>
      </c>
      <c r="I44" s="1599">
        <v>2877739.4285714286</v>
      </c>
      <c r="J44" s="1599">
        <v>88545.828571428574</v>
      </c>
      <c r="K44" s="1599">
        <v>2789193.6</v>
      </c>
      <c r="L44" s="1567">
        <v>448879.08602407901</v>
      </c>
      <c r="M44" s="1603">
        <v>2245951.5</v>
      </c>
      <c r="N44" s="1599">
        <v>69106.2</v>
      </c>
      <c r="O44" s="1599">
        <v>2176845.2999999998</v>
      </c>
      <c r="P44" s="1567">
        <v>350330.76537957491</v>
      </c>
      <c r="Q44" s="1603">
        <v>6139806.2999999998</v>
      </c>
      <c r="R44" s="1599">
        <v>183277.8</v>
      </c>
      <c r="S44" s="1599">
        <v>5956528.5</v>
      </c>
      <c r="T44" s="1567">
        <v>952796.02832038235</v>
      </c>
      <c r="U44" s="1603">
        <v>8140142.0571428575</v>
      </c>
      <c r="V44" s="1599">
        <v>239415.94285714286</v>
      </c>
      <c r="W44" s="1599">
        <v>7900726.1142857149</v>
      </c>
      <c r="X44" s="1567">
        <v>1260103.204222504</v>
      </c>
      <c r="Y44" s="1603">
        <v>13986511.071428571</v>
      </c>
      <c r="Z44" s="1599">
        <v>414415.14285714284</v>
      </c>
      <c r="AA44" s="1599">
        <v>13572095.928571427</v>
      </c>
      <c r="AB44" s="1567">
        <v>2167781.2542672637</v>
      </c>
      <c r="AC44" s="1603">
        <v>6617713.1428571427</v>
      </c>
      <c r="AD44" s="1599">
        <v>190895.57142857142</v>
      </c>
      <c r="AE44" s="1599">
        <v>6426817.5714285709</v>
      </c>
      <c r="AF44" s="1567">
        <v>1021169.9957520708</v>
      </c>
      <c r="AG44" s="1603">
        <v>217662</v>
      </c>
      <c r="AH44" s="1599">
        <v>3109.4571428571426</v>
      </c>
      <c r="AI44" s="1599">
        <v>214552.54285714286</v>
      </c>
      <c r="AJ44" s="1567">
        <v>19278.196040402228</v>
      </c>
      <c r="AK44" s="1603">
        <v>5055041</v>
      </c>
      <c r="AL44" s="1607">
        <v>72214.871428571423</v>
      </c>
      <c r="AM44" s="1599">
        <v>4982826.1285714284</v>
      </c>
      <c r="AN44" s="1608">
        <v>447722.02492980356</v>
      </c>
      <c r="AO44" s="1603">
        <v>16372433</v>
      </c>
      <c r="AP44" s="1607">
        <v>0</v>
      </c>
      <c r="AQ44" s="1599">
        <v>16372433</v>
      </c>
      <c r="AR44" s="1608">
        <v>176261.58194120065</v>
      </c>
      <c r="AS44" s="1603"/>
      <c r="AT44" s="1607"/>
      <c r="AU44" s="1599"/>
      <c r="AV44" s="1608"/>
      <c r="AW44" s="1603"/>
      <c r="AX44" s="1607"/>
      <c r="AY44" s="1599"/>
      <c r="AZ44" s="1608"/>
      <c r="BA44" s="1603"/>
      <c r="BB44" s="1607"/>
      <c r="BC44" s="1599"/>
      <c r="BD44" s="1608"/>
      <c r="BE44" s="1600">
        <v>14133541.233374584</v>
      </c>
      <c r="BF44" s="1559"/>
      <c r="BG44" s="1601">
        <v>14133541.233374584</v>
      </c>
      <c r="BU44" s="1604"/>
      <c r="BV44" s="1604"/>
      <c r="BW44" s="1604"/>
      <c r="BX44" s="1604"/>
      <c r="BY44" s="1604"/>
    </row>
    <row r="45" spans="1:77" ht="13" hidden="1">
      <c r="A45" s="1530">
        <f t="shared" si="0"/>
        <v>30</v>
      </c>
      <c r="C45" s="1549" t="str">
        <f t="shared" si="2"/>
        <v>W Increased ROE</v>
      </c>
      <c r="D45" s="1598">
        <f t="shared" si="1"/>
        <v>2012</v>
      </c>
      <c r="E45" s="1599">
        <v>13639879.5</v>
      </c>
      <c r="F45" s="1599">
        <v>419688.6</v>
      </c>
      <c r="G45" s="1599">
        <v>13220190.9</v>
      </c>
      <c r="H45" s="1605">
        <v>2265406.2326637851</v>
      </c>
      <c r="I45" s="1599">
        <v>2877739.4285714286</v>
      </c>
      <c r="J45" s="1599">
        <v>88545.828571428574</v>
      </c>
      <c r="K45" s="1599">
        <v>2789193.6</v>
      </c>
      <c r="L45" s="1567">
        <v>477955.01693897182</v>
      </c>
      <c r="M45" s="1603">
        <v>2245951.5</v>
      </c>
      <c r="N45" s="1599">
        <v>69106.2</v>
      </c>
      <c r="O45" s="1599">
        <v>2176845.2999999998</v>
      </c>
      <c r="P45" s="1567">
        <v>373023.27534202754</v>
      </c>
      <c r="Q45" s="1603">
        <v>6139806.2999999998</v>
      </c>
      <c r="R45" s="1599">
        <v>183277.8</v>
      </c>
      <c r="S45" s="1599">
        <v>5956528.5</v>
      </c>
      <c r="T45" s="1567">
        <v>1014889.8217231028</v>
      </c>
      <c r="U45" s="1603">
        <v>8140142.0571428575</v>
      </c>
      <c r="V45" s="1599">
        <v>239415.94285714286</v>
      </c>
      <c r="W45" s="1599">
        <v>7900726.1142857149</v>
      </c>
      <c r="X45" s="1567">
        <v>1342464.2732700096</v>
      </c>
      <c r="Y45" s="1603">
        <v>13986511.071428571</v>
      </c>
      <c r="Z45" s="1599">
        <v>414415.14285714284</v>
      </c>
      <c r="AA45" s="1599">
        <v>13572095.928571427</v>
      </c>
      <c r="AB45" s="1567">
        <v>2309263.4818148389</v>
      </c>
      <c r="AC45" s="1603">
        <v>6617713.1428571427</v>
      </c>
      <c r="AD45" s="1599">
        <v>190895.57142857142</v>
      </c>
      <c r="AE45" s="1599">
        <v>6426817.5714285709</v>
      </c>
      <c r="AF45" s="1567">
        <v>1088166.3145839639</v>
      </c>
      <c r="AG45" s="1603">
        <v>217662</v>
      </c>
      <c r="AH45" s="1599">
        <v>3109.4571428571426</v>
      </c>
      <c r="AI45" s="1599">
        <v>214552.54285714286</v>
      </c>
      <c r="AJ45" s="1567">
        <v>19278.196040402228</v>
      </c>
      <c r="AK45" s="1603">
        <v>5055041</v>
      </c>
      <c r="AL45" s="1607">
        <v>72214.871428571423</v>
      </c>
      <c r="AM45" s="1599">
        <v>4982826.1285714284</v>
      </c>
      <c r="AN45" s="1608">
        <v>447722.02492980356</v>
      </c>
      <c r="AO45" s="1603">
        <v>16372433</v>
      </c>
      <c r="AP45" s="1607">
        <v>0</v>
      </c>
      <c r="AQ45" s="1599">
        <v>16372433</v>
      </c>
      <c r="AR45" s="1608">
        <v>190484.44223364955</v>
      </c>
      <c r="AS45" s="1603"/>
      <c r="AT45" s="1609"/>
      <c r="AU45" s="1599"/>
      <c r="AV45" s="1608"/>
      <c r="AW45" s="1603"/>
      <c r="AX45" s="1609"/>
      <c r="AY45" s="1599"/>
      <c r="AZ45" s="1608"/>
      <c r="BA45" s="1603"/>
      <c r="BB45" s="1609"/>
      <c r="BC45" s="1599"/>
      <c r="BD45" s="1608"/>
      <c r="BE45" s="1600">
        <v>15106780.567413883</v>
      </c>
      <c r="BF45" s="1602">
        <v>15106780.567413883</v>
      </c>
      <c r="BG45" s="1560"/>
      <c r="BH45" s="1606"/>
      <c r="BJ45" s="1604"/>
      <c r="BU45" s="1604"/>
      <c r="BV45" s="1604"/>
      <c r="BW45" s="1604"/>
      <c r="BX45" s="1604"/>
      <c r="BY45" s="1604"/>
    </row>
    <row r="46" spans="1:77" ht="13" hidden="1">
      <c r="A46" s="1530">
        <f t="shared" si="0"/>
        <v>31</v>
      </c>
      <c r="C46" s="1549" t="str">
        <f t="shared" si="2"/>
        <v>Base FCR</v>
      </c>
      <c r="D46" s="1598">
        <f t="shared" si="1"/>
        <v>2013</v>
      </c>
      <c r="E46" s="1599">
        <v>13220190.9</v>
      </c>
      <c r="F46" s="1599">
        <v>419688.6</v>
      </c>
      <c r="G46" s="1599">
        <v>12800502.300000001</v>
      </c>
      <c r="H46" s="1605">
        <v>2138771.9232177455</v>
      </c>
      <c r="I46" s="1599">
        <v>2789193.6</v>
      </c>
      <c r="J46" s="1599">
        <v>88545.828571428574</v>
      </c>
      <c r="K46" s="1599">
        <v>2700647.7714285715</v>
      </c>
      <c r="L46" s="1567">
        <v>451237.73213430878</v>
      </c>
      <c r="M46" s="1603">
        <v>2176845.2999999998</v>
      </c>
      <c r="N46" s="1599">
        <v>69106.2</v>
      </c>
      <c r="O46" s="1599">
        <v>2107739.0999999996</v>
      </c>
      <c r="P46" s="1567">
        <v>352171.58693438454</v>
      </c>
      <c r="Q46" s="1603">
        <v>5956528.5</v>
      </c>
      <c r="R46" s="1599">
        <v>183277.8</v>
      </c>
      <c r="S46" s="1599">
        <v>5773250.7000000002</v>
      </c>
      <c r="T46" s="1567">
        <v>958614.4833991488</v>
      </c>
      <c r="U46" s="1603">
        <v>7900726.1142857149</v>
      </c>
      <c r="V46" s="1599">
        <v>239415.94285714286</v>
      </c>
      <c r="W46" s="1599">
        <v>7661310.1714285724</v>
      </c>
      <c r="X46" s="1567">
        <v>1268315.4532850536</v>
      </c>
      <c r="Y46" s="1603">
        <v>13572095.928571427</v>
      </c>
      <c r="Z46" s="1599">
        <v>414415.14285714284</v>
      </c>
      <c r="AA46" s="1599">
        <v>13157680.785714284</v>
      </c>
      <c r="AB46" s="1567">
        <v>2181466.8632372082</v>
      </c>
      <c r="AC46" s="1603">
        <v>6426817.5714285709</v>
      </c>
      <c r="AD46" s="1599">
        <v>190895.57142857142</v>
      </c>
      <c r="AE46" s="1599">
        <v>6235921.9999999991</v>
      </c>
      <c r="AF46" s="1567">
        <v>1028368.1380392306</v>
      </c>
      <c r="AG46" s="1603">
        <v>214552.54285714286</v>
      </c>
      <c r="AH46" s="1599">
        <v>6218.9142857142861</v>
      </c>
      <c r="AI46" s="1599">
        <v>208333.62857142859</v>
      </c>
      <c r="AJ46" s="1567">
        <v>34197.727784508228</v>
      </c>
      <c r="AK46" s="1603">
        <v>4982826.1285714284</v>
      </c>
      <c r="AL46" s="1599">
        <v>144429.74285714285</v>
      </c>
      <c r="AM46" s="1599">
        <v>4838396.3857142851</v>
      </c>
      <c r="AN46" s="1567">
        <v>794217.2545392774</v>
      </c>
      <c r="AO46" s="1603">
        <v>16372433</v>
      </c>
      <c r="AP46" s="1599">
        <v>467783.8</v>
      </c>
      <c r="AQ46" s="1599">
        <v>15904649.199999999</v>
      </c>
      <c r="AR46" s="1567">
        <v>2603748.1989399111</v>
      </c>
      <c r="AS46" s="1603">
        <v>10567349</v>
      </c>
      <c r="AT46" s="1607">
        <v>201282.83809523808</v>
      </c>
      <c r="AU46" s="1599">
        <v>10366066.161904762</v>
      </c>
      <c r="AV46" s="1608">
        <v>1245390.1931422888</v>
      </c>
      <c r="AW46" s="1603"/>
      <c r="AX46" s="1607"/>
      <c r="AY46" s="1599"/>
      <c r="AZ46" s="1608"/>
      <c r="BA46" s="1603"/>
      <c r="BB46" s="1607"/>
      <c r="BC46" s="1599"/>
      <c r="BD46" s="1608"/>
      <c r="BE46" s="1600">
        <v>23442695.082597896</v>
      </c>
      <c r="BF46" s="1559"/>
      <c r="BG46" s="1601">
        <f>+BE46</f>
        <v>23442695.082597896</v>
      </c>
      <c r="BU46" s="1604"/>
      <c r="BV46" s="1604"/>
      <c r="BW46" s="1604"/>
      <c r="BX46" s="1604"/>
      <c r="BY46" s="1604"/>
    </row>
    <row r="47" spans="1:77" ht="13" hidden="1">
      <c r="A47" s="1530">
        <f t="shared" si="0"/>
        <v>32</v>
      </c>
      <c r="C47" s="1549" t="str">
        <f t="shared" si="2"/>
        <v>W Increased ROE</v>
      </c>
      <c r="D47" s="1598">
        <f t="shared" si="1"/>
        <v>2013</v>
      </c>
      <c r="E47" s="1599">
        <v>13220190.9</v>
      </c>
      <c r="F47" s="1599">
        <v>419688.6</v>
      </c>
      <c r="G47" s="1599">
        <v>12800502.300000001</v>
      </c>
      <c r="H47" s="1605">
        <v>2272417.4509916049</v>
      </c>
      <c r="I47" s="1599">
        <v>2789193.6</v>
      </c>
      <c r="J47" s="1599">
        <v>88545.828571428574</v>
      </c>
      <c r="K47" s="1599">
        <v>2700647.7714285715</v>
      </c>
      <c r="L47" s="1567">
        <v>479434.24257467396</v>
      </c>
      <c r="M47" s="1603">
        <v>2176845.2999999998</v>
      </c>
      <c r="N47" s="1599">
        <v>69106.2</v>
      </c>
      <c r="O47" s="1599">
        <v>2107739.0999999996</v>
      </c>
      <c r="P47" s="1567">
        <v>374177.74714804266</v>
      </c>
      <c r="Q47" s="1603">
        <v>5956528.5</v>
      </c>
      <c r="R47" s="1599">
        <v>183277.8</v>
      </c>
      <c r="S47" s="1599">
        <v>5773250.7000000002</v>
      </c>
      <c r="T47" s="1567">
        <v>1018890.9568288126</v>
      </c>
      <c r="U47" s="1603">
        <v>7900726.1142857149</v>
      </c>
      <c r="V47" s="1599">
        <v>239415.94285714286</v>
      </c>
      <c r="W47" s="1599">
        <v>7661310.1714285724</v>
      </c>
      <c r="X47" s="1567">
        <v>1348304.489441846</v>
      </c>
      <c r="Y47" s="1603">
        <v>13572095.928571427</v>
      </c>
      <c r="Z47" s="1599">
        <v>414415.14285714284</v>
      </c>
      <c r="AA47" s="1599">
        <v>13157680.785714284</v>
      </c>
      <c r="AB47" s="1567">
        <v>2318841.56554766</v>
      </c>
      <c r="AC47" s="1603">
        <v>6426817.5714285709</v>
      </c>
      <c r="AD47" s="1599">
        <v>190895.57142857142</v>
      </c>
      <c r="AE47" s="1599">
        <v>6235921.9999999991</v>
      </c>
      <c r="AF47" s="1567">
        <v>1093475.199255619</v>
      </c>
      <c r="AG47" s="1603">
        <v>214552.54285714286</v>
      </c>
      <c r="AH47" s="1599">
        <v>6218.9142857142861</v>
      </c>
      <c r="AI47" s="1599">
        <v>208333.62857142859</v>
      </c>
      <c r="AJ47" s="1567">
        <v>34197.727784508228</v>
      </c>
      <c r="AK47" s="1603">
        <v>4982826.1285714284</v>
      </c>
      <c r="AL47" s="1599">
        <v>144429.74285714285</v>
      </c>
      <c r="AM47" s="1599">
        <v>4838396.3857142851</v>
      </c>
      <c r="AN47" s="1567">
        <v>794217.2545392774</v>
      </c>
      <c r="AO47" s="1603">
        <v>16372433</v>
      </c>
      <c r="AP47" s="1599">
        <v>467783.8</v>
      </c>
      <c r="AQ47" s="1599">
        <v>15904649.199999999</v>
      </c>
      <c r="AR47" s="1567">
        <v>2769803.0291782599</v>
      </c>
      <c r="AS47" s="1603">
        <v>10567349</v>
      </c>
      <c r="AT47" s="1607">
        <v>201282.83809523808</v>
      </c>
      <c r="AU47" s="1599">
        <v>10366066.161904762</v>
      </c>
      <c r="AV47" s="1608">
        <v>1245390.1931422888</v>
      </c>
      <c r="AW47" s="1603"/>
      <c r="AX47" s="1607"/>
      <c r="AY47" s="1599"/>
      <c r="AZ47" s="1608"/>
      <c r="BA47" s="1603"/>
      <c r="BB47" s="1607"/>
      <c r="BC47" s="1599"/>
      <c r="BD47" s="1608"/>
      <c r="BE47" s="1600">
        <v>24109183.424690232</v>
      </c>
      <c r="BF47" s="1602">
        <f>+BE47</f>
        <v>24109183.424690232</v>
      </c>
      <c r="BG47" s="1560"/>
      <c r="BH47" s="1606"/>
      <c r="BI47" s="1606"/>
      <c r="BU47" s="1604"/>
      <c r="BV47" s="1604"/>
      <c r="BW47" s="1604"/>
      <c r="BX47" s="1604"/>
      <c r="BY47" s="1604"/>
    </row>
    <row r="48" spans="1:77" ht="13" hidden="1">
      <c r="A48" s="1530">
        <f t="shared" si="0"/>
        <v>33</v>
      </c>
      <c r="C48" s="1549" t="str">
        <f t="shared" si="2"/>
        <v>Base FCR</v>
      </c>
      <c r="D48" s="1598">
        <f t="shared" si="1"/>
        <v>2014</v>
      </c>
      <c r="E48" s="1599">
        <v>12800502.300000001</v>
      </c>
      <c r="F48" s="1599">
        <v>419688.6</v>
      </c>
      <c r="G48" s="1599">
        <v>12380813.700000001</v>
      </c>
      <c r="H48" s="1605">
        <v>1875792.5659522433</v>
      </c>
      <c r="I48" s="1599">
        <v>2700647.7714285715</v>
      </c>
      <c r="J48" s="1599">
        <v>88545.828571428574</v>
      </c>
      <c r="K48" s="1599">
        <v>2612101.942857143</v>
      </c>
      <c r="L48" s="1567">
        <v>395754.39261482796</v>
      </c>
      <c r="M48" s="1603">
        <v>2107739.0999999996</v>
      </c>
      <c r="N48" s="1599">
        <v>69106.2</v>
      </c>
      <c r="O48" s="1599">
        <v>2038632.8999999997</v>
      </c>
      <c r="P48" s="1567">
        <v>308869.23357272247</v>
      </c>
      <c r="Q48" s="1603">
        <v>5773250.7000000002</v>
      </c>
      <c r="R48" s="1599">
        <v>183277.8</v>
      </c>
      <c r="S48" s="1599">
        <v>5589972.9000000004</v>
      </c>
      <c r="T48" s="1567">
        <v>840712.91747176717</v>
      </c>
      <c r="U48" s="1603">
        <v>7661310.1714285724</v>
      </c>
      <c r="V48" s="1599">
        <v>239415.94285714286</v>
      </c>
      <c r="W48" s="1599">
        <v>7421894.2285714298</v>
      </c>
      <c r="X48" s="1567">
        <v>1112302.8049784042</v>
      </c>
      <c r="Y48" s="1603">
        <v>13157680.785714284</v>
      </c>
      <c r="Z48" s="1599">
        <v>414415.14285714284</v>
      </c>
      <c r="AA48" s="1599">
        <v>12743265.64285714</v>
      </c>
      <c r="AB48" s="1567">
        <v>1913146.9783702842</v>
      </c>
      <c r="AC48" s="1603">
        <v>6235921.9999999991</v>
      </c>
      <c r="AD48" s="1599">
        <v>190895.57142857142</v>
      </c>
      <c r="AE48" s="1599">
        <v>6045026.4285714272</v>
      </c>
      <c r="AF48" s="1567">
        <v>901849.40452994336</v>
      </c>
      <c r="AG48" s="1603">
        <v>208333.62857142859</v>
      </c>
      <c r="AH48" s="1599">
        <v>6218.9142857142861</v>
      </c>
      <c r="AI48" s="1599">
        <v>202114.71428571432</v>
      </c>
      <c r="AJ48" s="1567">
        <v>29989.568152247564</v>
      </c>
      <c r="AK48" s="1603">
        <v>4838396.3857142851</v>
      </c>
      <c r="AL48" s="1599">
        <v>144429.74285714285</v>
      </c>
      <c r="AM48" s="1599">
        <v>4693966.6428571418</v>
      </c>
      <c r="AN48" s="1567">
        <v>696485.82013353554</v>
      </c>
      <c r="AO48" s="1603">
        <v>15904649.199999999</v>
      </c>
      <c r="AP48" s="1599">
        <v>467783.8</v>
      </c>
      <c r="AQ48" s="1599">
        <v>15436865.399999999</v>
      </c>
      <c r="AR48" s="1567">
        <v>2283309.1342363888</v>
      </c>
      <c r="AS48" s="1603">
        <v>10366066.161904762</v>
      </c>
      <c r="AT48" s="1599">
        <v>301924.25714285712</v>
      </c>
      <c r="AU48" s="1599">
        <v>10064141.904761905</v>
      </c>
      <c r="AV48" s="1567">
        <v>1485565.1144016958</v>
      </c>
      <c r="AW48" s="1603"/>
      <c r="AX48" s="1599"/>
      <c r="AY48" s="1599"/>
      <c r="AZ48" s="1567"/>
      <c r="BA48" s="1603"/>
      <c r="BB48" s="1599"/>
      <c r="BC48" s="1599"/>
      <c r="BD48" s="1567"/>
      <c r="BE48" s="1600">
        <v>11843777.934414061</v>
      </c>
      <c r="BF48" s="1559"/>
      <c r="BG48" s="1601">
        <v>11843777.934414061</v>
      </c>
      <c r="BU48" s="1604"/>
      <c r="BV48" s="1604"/>
      <c r="BW48" s="1604"/>
      <c r="BX48" s="1604"/>
      <c r="BY48" s="1604"/>
    </row>
    <row r="49" spans="1:77" ht="13" hidden="1">
      <c r="A49" s="1530">
        <f t="shared" si="0"/>
        <v>34</v>
      </c>
      <c r="C49" s="1549" t="str">
        <f t="shared" si="2"/>
        <v>W Increased ROE</v>
      </c>
      <c r="D49" s="1598">
        <f t="shared" si="1"/>
        <v>2014</v>
      </c>
      <c r="E49" s="1599">
        <v>12800502.300000001</v>
      </c>
      <c r="F49" s="1599">
        <v>419688.6</v>
      </c>
      <c r="G49" s="1599">
        <v>12380813.700000001</v>
      </c>
      <c r="H49" s="1605">
        <v>1998346.362561645</v>
      </c>
      <c r="I49" s="1599">
        <v>2700647.7714285715</v>
      </c>
      <c r="J49" s="1599">
        <v>88545.828571428574</v>
      </c>
      <c r="K49" s="1599">
        <v>2612101.942857143</v>
      </c>
      <c r="L49" s="1567">
        <v>421610.77152374701</v>
      </c>
      <c r="M49" s="1603">
        <v>2107739.0999999996</v>
      </c>
      <c r="N49" s="1599">
        <v>69106.2</v>
      </c>
      <c r="O49" s="1599">
        <v>2038632.8999999997</v>
      </c>
      <c r="P49" s="1567">
        <v>329049.02206173225</v>
      </c>
      <c r="Q49" s="1603">
        <v>5773250.7000000002</v>
      </c>
      <c r="R49" s="1599">
        <v>183277.8</v>
      </c>
      <c r="S49" s="1599">
        <v>5589972.9000000004</v>
      </c>
      <c r="T49" s="1567">
        <v>896046.30818732781</v>
      </c>
      <c r="U49" s="1603">
        <v>7661310.1714285724</v>
      </c>
      <c r="V49" s="1599">
        <v>239415.94285714286</v>
      </c>
      <c r="W49" s="1599">
        <v>7421894.2285714298</v>
      </c>
      <c r="X49" s="1567">
        <v>1185769.8110884174</v>
      </c>
      <c r="Y49" s="1603">
        <v>13157680.785714284</v>
      </c>
      <c r="Z49" s="1599">
        <v>414415.14285714284</v>
      </c>
      <c r="AA49" s="1599">
        <v>12743265.64285714</v>
      </c>
      <c r="AB49" s="1567">
        <v>2039288.5732263871</v>
      </c>
      <c r="AC49" s="1603">
        <v>6235921.9999999991</v>
      </c>
      <c r="AD49" s="1599">
        <v>190895.57142857142</v>
      </c>
      <c r="AE49" s="1599">
        <v>6045026.4285714272</v>
      </c>
      <c r="AF49" s="1567">
        <v>961687.22758236527</v>
      </c>
      <c r="AG49" s="1603">
        <v>208333.62857142859</v>
      </c>
      <c r="AH49" s="1599">
        <v>6218.9142857142861</v>
      </c>
      <c r="AI49" s="1599">
        <v>202114.71428571432</v>
      </c>
      <c r="AJ49" s="1567">
        <v>29989.568152247564</v>
      </c>
      <c r="AK49" s="1603">
        <v>4838396.3857142851</v>
      </c>
      <c r="AL49" s="1599">
        <v>144429.74285714285</v>
      </c>
      <c r="AM49" s="1599">
        <v>4693966.6428571418</v>
      </c>
      <c r="AN49" s="1567">
        <v>696485.82013353554</v>
      </c>
      <c r="AO49" s="1603">
        <v>15904649.199999999</v>
      </c>
      <c r="AP49" s="1599">
        <v>467783.8</v>
      </c>
      <c r="AQ49" s="1599">
        <v>15436865.399999999</v>
      </c>
      <c r="AR49" s="1567">
        <v>2436113.8293363811</v>
      </c>
      <c r="AS49" s="1603">
        <v>10366066.161904762</v>
      </c>
      <c r="AT49" s="1599">
        <v>301924.25714285712</v>
      </c>
      <c r="AU49" s="1599">
        <v>10064141.904761905</v>
      </c>
      <c r="AV49" s="1567">
        <v>1485565.1144016958</v>
      </c>
      <c r="AW49" s="1603"/>
      <c r="AX49" s="1599"/>
      <c r="AY49" s="1599"/>
      <c r="AZ49" s="1567"/>
      <c r="BA49" s="1603"/>
      <c r="BB49" s="1599"/>
      <c r="BC49" s="1599"/>
      <c r="BD49" s="1567"/>
      <c r="BE49" s="1600">
        <v>12479952.408255482</v>
      </c>
      <c r="BF49" s="1602">
        <v>12479952.408255482</v>
      </c>
      <c r="BG49" s="1560"/>
      <c r="BH49" s="1606"/>
      <c r="BI49" s="1606"/>
      <c r="BU49" s="1604"/>
      <c r="BV49" s="1604"/>
      <c r="BW49" s="1604"/>
      <c r="BX49" s="1604"/>
      <c r="BY49" s="1604"/>
    </row>
    <row r="50" spans="1:77" ht="13" hidden="1">
      <c r="A50" s="1530">
        <f t="shared" si="0"/>
        <v>35</v>
      </c>
      <c r="C50" s="1549" t="str">
        <f t="shared" si="2"/>
        <v>Base FCR</v>
      </c>
      <c r="D50" s="1598">
        <f t="shared" si="1"/>
        <v>2015</v>
      </c>
      <c r="E50" s="1599">
        <v>12380813.700000001</v>
      </c>
      <c r="F50" s="1599">
        <v>419688.6</v>
      </c>
      <c r="G50" s="1599">
        <v>11961125.100000001</v>
      </c>
      <c r="H50" s="1605">
        <v>1790570.9998638085</v>
      </c>
      <c r="I50" s="1599">
        <v>2612101.942857143</v>
      </c>
      <c r="J50" s="1599">
        <v>88545.828571428574</v>
      </c>
      <c r="K50" s="1599">
        <v>2523556.1142857145</v>
      </c>
      <c r="L50" s="1567">
        <v>377774.3612738403</v>
      </c>
      <c r="M50" s="1603">
        <v>2038632.8999999997</v>
      </c>
      <c r="N50" s="1599">
        <v>69106.2</v>
      </c>
      <c r="O50" s="1599">
        <v>1969526.6999999997</v>
      </c>
      <c r="P50" s="1567">
        <v>294836.59463418426</v>
      </c>
      <c r="Q50" s="1603">
        <v>5589972.9000000004</v>
      </c>
      <c r="R50" s="1599">
        <v>183277.8</v>
      </c>
      <c r="S50" s="1599">
        <v>5406695.1000000006</v>
      </c>
      <c r="T50" s="1567">
        <v>802947.19498190633</v>
      </c>
      <c r="U50" s="1603">
        <v>7421894.2285714298</v>
      </c>
      <c r="V50" s="1599">
        <v>239415.94285714286</v>
      </c>
      <c r="W50" s="1599">
        <v>7182478.2857142873</v>
      </c>
      <c r="X50" s="1567">
        <v>1062610.4991359408</v>
      </c>
      <c r="Y50" s="1603">
        <v>12743265.64285714</v>
      </c>
      <c r="Z50" s="1599">
        <v>414415.14285714284</v>
      </c>
      <c r="AA50" s="1599">
        <v>12328850.499999996</v>
      </c>
      <c r="AB50" s="1567">
        <v>1827443.0996504473</v>
      </c>
      <c r="AC50" s="1603">
        <v>6045026.4285714272</v>
      </c>
      <c r="AD50" s="1599">
        <v>190895.57142857142</v>
      </c>
      <c r="AE50" s="1599">
        <v>5854130.8571428554</v>
      </c>
      <c r="AF50" s="1567">
        <v>861846.24634098168</v>
      </c>
      <c r="AG50" s="1603">
        <v>202114.71428571432</v>
      </c>
      <c r="AH50" s="1599">
        <v>6218.9142857142861</v>
      </c>
      <c r="AI50" s="1599">
        <v>195895.80000000005</v>
      </c>
      <c r="AJ50" s="1567">
        <v>28670.824301038905</v>
      </c>
      <c r="AK50" s="1603">
        <v>4693966.6428571418</v>
      </c>
      <c r="AL50" s="1599">
        <v>144429.74285714285</v>
      </c>
      <c r="AM50" s="1599">
        <v>4549536.8999999985</v>
      </c>
      <c r="AN50" s="1567">
        <v>665858.95721599518</v>
      </c>
      <c r="AO50" s="1603">
        <v>15436865.399999999</v>
      </c>
      <c r="AP50" s="1599">
        <v>467783.8</v>
      </c>
      <c r="AQ50" s="1599">
        <v>14969081.599999998</v>
      </c>
      <c r="AR50" s="1567">
        <v>2183412.5837475401</v>
      </c>
      <c r="AS50" s="1603">
        <v>10064141.904761905</v>
      </c>
      <c r="AT50" s="1599">
        <v>301924.25714285712</v>
      </c>
      <c r="AU50" s="1599">
        <v>9762217.6476190481</v>
      </c>
      <c r="AV50" s="1567">
        <v>1420786.5919879982</v>
      </c>
      <c r="AW50" s="1603">
        <v>6694564.4199999999</v>
      </c>
      <c r="AX50" s="1607">
        <v>111576.07366666666</v>
      </c>
      <c r="AY50" s="1599">
        <v>6582988.3463333333</v>
      </c>
      <c r="AZ50" s="1608">
        <v>614566.82005260792</v>
      </c>
      <c r="BA50" s="1603">
        <v>6694564.4199999999</v>
      </c>
      <c r="BB50" s="1607">
        <v>111576.07366666666</v>
      </c>
      <c r="BC50" s="1599">
        <v>6582988.3463333333</v>
      </c>
      <c r="BD50" s="1608">
        <v>614566.82005260792</v>
      </c>
      <c r="BE50" s="1600">
        <v>11931324.773186289</v>
      </c>
      <c r="BF50" s="1559"/>
      <c r="BG50" s="1601">
        <v>11931324.773186289</v>
      </c>
      <c r="BU50" s="1604"/>
      <c r="BV50" s="1604"/>
      <c r="BW50" s="1604"/>
      <c r="BX50" s="1604"/>
      <c r="BY50" s="1604"/>
    </row>
    <row r="51" spans="1:77" ht="13" hidden="1">
      <c r="A51" s="1530">
        <f t="shared" si="0"/>
        <v>36</v>
      </c>
      <c r="C51" s="1549" t="str">
        <f t="shared" si="2"/>
        <v>W Increased ROE</v>
      </c>
      <c r="D51" s="1598">
        <f t="shared" si="1"/>
        <v>2015</v>
      </c>
      <c r="E51" s="1599">
        <v>12380813.700000001</v>
      </c>
      <c r="F51" s="1599">
        <v>419688.6</v>
      </c>
      <c r="G51" s="1599">
        <v>11961125.100000001</v>
      </c>
      <c r="H51" s="1605">
        <v>1910863.7187810787</v>
      </c>
      <c r="I51" s="1599">
        <v>2612101.942857143</v>
      </c>
      <c r="J51" s="1599">
        <v>88545.828571428574</v>
      </c>
      <c r="K51" s="1599">
        <v>2523556.1142857145</v>
      </c>
      <c r="L51" s="1567">
        <v>403153.69840055669</v>
      </c>
      <c r="M51" s="1603">
        <v>2038632.8999999997</v>
      </c>
      <c r="N51" s="1599">
        <v>69106.2</v>
      </c>
      <c r="O51" s="1599">
        <v>1969526.6999999997</v>
      </c>
      <c r="P51" s="1567">
        <v>314644.07258817361</v>
      </c>
      <c r="Q51" s="1603">
        <v>5589972.9000000004</v>
      </c>
      <c r="R51" s="1599">
        <v>183277.8</v>
      </c>
      <c r="S51" s="1599">
        <v>5406695.1000000006</v>
      </c>
      <c r="T51" s="1567">
        <v>857322.18466708926</v>
      </c>
      <c r="U51" s="1603">
        <v>7421894.2285714298</v>
      </c>
      <c r="V51" s="1599">
        <v>239415.94285714286</v>
      </c>
      <c r="W51" s="1599">
        <v>7182478.2857142873</v>
      </c>
      <c r="X51" s="1567">
        <v>1134844.493373893</v>
      </c>
      <c r="Y51" s="1603">
        <v>12743265.64285714</v>
      </c>
      <c r="Z51" s="1599">
        <v>414415.14285714284</v>
      </c>
      <c r="AA51" s="1599">
        <v>12328850.499999996</v>
      </c>
      <c r="AB51" s="1567">
        <v>1951434.0231940481</v>
      </c>
      <c r="AC51" s="1603">
        <v>6045026.4285714272</v>
      </c>
      <c r="AD51" s="1599">
        <v>190895.57142857142</v>
      </c>
      <c r="AE51" s="1599">
        <v>5854130.8571428554</v>
      </c>
      <c r="AF51" s="1567">
        <v>920721.08560699713</v>
      </c>
      <c r="AG51" s="1603">
        <v>202114.71428571432</v>
      </c>
      <c r="AH51" s="1599">
        <v>6218.9142857142861</v>
      </c>
      <c r="AI51" s="1599">
        <v>195895.80000000005</v>
      </c>
      <c r="AJ51" s="1567">
        <v>28670.824301038905</v>
      </c>
      <c r="AK51" s="1603">
        <v>4693966.6428571418</v>
      </c>
      <c r="AL51" s="1599">
        <v>144429.74285714285</v>
      </c>
      <c r="AM51" s="1599">
        <v>4549536.8999999985</v>
      </c>
      <c r="AN51" s="1567">
        <v>665858.95721599518</v>
      </c>
      <c r="AO51" s="1603">
        <v>15436865.399999999</v>
      </c>
      <c r="AP51" s="1599">
        <v>467783.8</v>
      </c>
      <c r="AQ51" s="1599">
        <v>14969081.599999998</v>
      </c>
      <c r="AR51" s="1567">
        <v>2333956.2416646769</v>
      </c>
      <c r="AS51" s="1603">
        <v>10064141.904761905</v>
      </c>
      <c r="AT51" s="1599">
        <v>301924.25714285712</v>
      </c>
      <c r="AU51" s="1599">
        <v>9762217.6476190481</v>
      </c>
      <c r="AV51" s="1567">
        <v>1420786.5919879982</v>
      </c>
      <c r="AW51" s="1603">
        <v>6694564.4199999999</v>
      </c>
      <c r="AX51" s="1607">
        <v>111576.07366666666</v>
      </c>
      <c r="AY51" s="1599">
        <v>6582988.3463333333</v>
      </c>
      <c r="AZ51" s="1608">
        <v>614566.82005260792</v>
      </c>
      <c r="BA51" s="1603">
        <v>6694564.4199999999</v>
      </c>
      <c r="BB51" s="1607">
        <v>111576.07366666666</v>
      </c>
      <c r="BC51" s="1599">
        <v>6582988.3463333333</v>
      </c>
      <c r="BD51" s="1608">
        <v>614566.82005260792</v>
      </c>
      <c r="BE51" s="1600">
        <v>12556822.711834155</v>
      </c>
      <c r="BF51" s="1602">
        <v>12556822.711834155</v>
      </c>
      <c r="BG51" s="1560"/>
      <c r="BH51" s="1606"/>
      <c r="BI51" s="1606"/>
      <c r="BU51" s="1604"/>
      <c r="BV51" s="1604"/>
      <c r="BW51" s="1604"/>
      <c r="BX51" s="1604"/>
      <c r="BY51" s="1604"/>
    </row>
    <row r="52" spans="1:77" ht="13" hidden="1">
      <c r="A52" s="1530">
        <f t="shared" si="0"/>
        <v>37</v>
      </c>
      <c r="C52" s="1549" t="str">
        <f t="shared" si="2"/>
        <v>Base FCR</v>
      </c>
      <c r="D52" s="1598">
        <f t="shared" si="1"/>
        <v>2016</v>
      </c>
      <c r="E52" s="1599">
        <v>11961125.100000001</v>
      </c>
      <c r="F52" s="1599">
        <v>419688.6</v>
      </c>
      <c r="G52" s="1599">
        <v>11541436.500000002</v>
      </c>
      <c r="H52" s="1605">
        <v>1662952.5082520144</v>
      </c>
      <c r="I52" s="1599">
        <v>2523556.1142857145</v>
      </c>
      <c r="J52" s="1599">
        <v>88545.828571428574</v>
      </c>
      <c r="K52" s="1599">
        <v>2435010.2857142859</v>
      </c>
      <c r="L52" s="1567">
        <v>350849.43388529017</v>
      </c>
      <c r="M52" s="1603">
        <v>1969526.6999999997</v>
      </c>
      <c r="N52" s="1599">
        <v>69106.2</v>
      </c>
      <c r="O52" s="1599">
        <v>1900420.4999999998</v>
      </c>
      <c r="P52" s="1567">
        <v>273822.85014595423</v>
      </c>
      <c r="Q52" s="1603">
        <v>5406695.1000000006</v>
      </c>
      <c r="R52" s="1599">
        <v>183277.8</v>
      </c>
      <c r="S52" s="1599">
        <v>5223417.3000000007</v>
      </c>
      <c r="T52" s="1567">
        <v>745953.52990842029</v>
      </c>
      <c r="U52" s="1603">
        <v>7182478.2857142873</v>
      </c>
      <c r="V52" s="1599">
        <v>239415.94285714286</v>
      </c>
      <c r="W52" s="1599">
        <v>6943062.3428571448</v>
      </c>
      <c r="X52" s="1567">
        <v>987334.87163329299</v>
      </c>
      <c r="Y52" s="1603">
        <v>12328850.499999996</v>
      </c>
      <c r="Z52" s="1599">
        <v>414415.14285714284</v>
      </c>
      <c r="AA52" s="1599">
        <v>11914435.357142853</v>
      </c>
      <c r="AB52" s="1567">
        <v>1697859.1462736502</v>
      </c>
      <c r="AC52" s="1603">
        <v>5854130.8571428554</v>
      </c>
      <c r="AD52" s="1599">
        <v>190895.57142857142</v>
      </c>
      <c r="AE52" s="1599">
        <v>5663235.2857142836</v>
      </c>
      <c r="AF52" s="1567">
        <v>800949.27095443662</v>
      </c>
      <c r="AG52" s="1603">
        <v>195895.80000000005</v>
      </c>
      <c r="AH52" s="1599">
        <v>6218.9142857142861</v>
      </c>
      <c r="AI52" s="1599">
        <v>189676.88571428577</v>
      </c>
      <c r="AJ52" s="1567">
        <v>26651.243159006062</v>
      </c>
      <c r="AK52" s="1603">
        <v>4549536.8999999985</v>
      </c>
      <c r="AL52" s="1599">
        <v>144429.74285714285</v>
      </c>
      <c r="AM52" s="1599">
        <v>4405107.1571428552</v>
      </c>
      <c r="AN52" s="1567">
        <v>618955.66001297918</v>
      </c>
      <c r="AO52" s="1603">
        <v>14969081.599999998</v>
      </c>
      <c r="AP52" s="1599">
        <v>467783.8</v>
      </c>
      <c r="AQ52" s="1599">
        <v>14501297.799999997</v>
      </c>
      <c r="AR52" s="1567">
        <v>2029889.191088391</v>
      </c>
      <c r="AS52" s="1603">
        <v>9762217.6476190481</v>
      </c>
      <c r="AT52" s="1599">
        <v>301924.25714285712</v>
      </c>
      <c r="AU52" s="1599">
        <v>9460293.3904761914</v>
      </c>
      <c r="AV52" s="1567">
        <v>1321003.7568094824</v>
      </c>
      <c r="AW52" s="1603">
        <v>6582988.3463333333</v>
      </c>
      <c r="AX52" s="1599">
        <v>207049.8</v>
      </c>
      <c r="AY52" s="1599">
        <v>6375938.5463333335</v>
      </c>
      <c r="AZ52" s="1567">
        <v>893877.15254740999</v>
      </c>
      <c r="BA52" s="1603">
        <v>6582988.3463333333</v>
      </c>
      <c r="BB52" s="1599">
        <v>207049.8</v>
      </c>
      <c r="BC52" s="1599">
        <v>6375938.5463333335</v>
      </c>
      <c r="BD52" s="1567">
        <v>893877.15254740999</v>
      </c>
      <c r="BE52" s="1600">
        <f t="shared" ref="BE52:BE53" si="3">H52+L52+P52+T52+X52+AB52+AF52+AJ52+AN52+AR52+AV52</f>
        <v>10516221.462122917</v>
      </c>
      <c r="BF52" s="1559"/>
      <c r="BG52" s="1601">
        <f>+BE52</f>
        <v>10516221.462122917</v>
      </c>
      <c r="BU52" s="1604"/>
      <c r="BV52" s="1604"/>
      <c r="BW52" s="1604"/>
      <c r="BX52" s="1604"/>
      <c r="BY52" s="1604"/>
    </row>
    <row r="53" spans="1:77" ht="13" hidden="1">
      <c r="A53" s="1530">
        <f t="shared" si="0"/>
        <v>38</v>
      </c>
      <c r="C53" s="1549" t="str">
        <f t="shared" si="2"/>
        <v>W Increased ROE</v>
      </c>
      <c r="D53" s="1598">
        <f t="shared" si="1"/>
        <v>2016</v>
      </c>
      <c r="E53" s="1599">
        <v>11961125.100000001</v>
      </c>
      <c r="F53" s="1599">
        <v>419688.6</v>
      </c>
      <c r="G53" s="1599">
        <v>11541436.500000002</v>
      </c>
      <c r="H53" s="1605">
        <v>1770336.1687158947</v>
      </c>
      <c r="I53" s="1599">
        <v>2523556.1142857145</v>
      </c>
      <c r="J53" s="1599">
        <v>88545.828571428574</v>
      </c>
      <c r="K53" s="1599">
        <v>2435010.2857142859</v>
      </c>
      <c r="L53" s="1567">
        <v>373505.22008202574</v>
      </c>
      <c r="M53" s="1603">
        <v>1969526.6999999997</v>
      </c>
      <c r="N53" s="1599">
        <v>69106.2</v>
      </c>
      <c r="O53" s="1599">
        <v>1900420.4999999998</v>
      </c>
      <c r="P53" s="1567">
        <v>291504.71407256322</v>
      </c>
      <c r="Q53" s="1603">
        <v>5406695.1000000006</v>
      </c>
      <c r="R53" s="1599">
        <v>183277.8</v>
      </c>
      <c r="S53" s="1599">
        <v>5223417.3000000007</v>
      </c>
      <c r="T53" s="1567">
        <v>794553.17084604199</v>
      </c>
      <c r="U53" s="1603">
        <v>7182478.2857142873</v>
      </c>
      <c r="V53" s="1599">
        <v>239415.94285714286</v>
      </c>
      <c r="W53" s="1599">
        <v>6943062.3428571448</v>
      </c>
      <c r="X53" s="1567">
        <v>1051934.4081992072</v>
      </c>
      <c r="Y53" s="1603">
        <v>12328850.499999996</v>
      </c>
      <c r="Z53" s="1599">
        <v>414415.14285714284</v>
      </c>
      <c r="AA53" s="1599">
        <v>11914435.357142853</v>
      </c>
      <c r="AB53" s="1567">
        <v>1808713.2571124774</v>
      </c>
      <c r="AC53" s="1603">
        <v>5854130.8571428554</v>
      </c>
      <c r="AD53" s="1599">
        <v>190895.57142857142</v>
      </c>
      <c r="AE53" s="1599">
        <v>5663235.2857142836</v>
      </c>
      <c r="AF53" s="1567">
        <v>853641.05980136292</v>
      </c>
      <c r="AG53" s="1603">
        <v>195895.80000000005</v>
      </c>
      <c r="AH53" s="1599">
        <v>6218.9142857142861</v>
      </c>
      <c r="AI53" s="1599">
        <v>189676.88571428577</v>
      </c>
      <c r="AJ53" s="1567">
        <v>26651.243159006062</v>
      </c>
      <c r="AK53" s="1603">
        <v>4549536.8999999985</v>
      </c>
      <c r="AL53" s="1599">
        <v>144429.74285714285</v>
      </c>
      <c r="AM53" s="1599">
        <v>4405107.1571428552</v>
      </c>
      <c r="AN53" s="1567">
        <v>618955.66001297918</v>
      </c>
      <c r="AO53" s="1603">
        <v>14969081.599999998</v>
      </c>
      <c r="AP53" s="1599">
        <v>467783.8</v>
      </c>
      <c r="AQ53" s="1599">
        <v>14501297.799999997</v>
      </c>
      <c r="AR53" s="1567">
        <v>2164811.9486880032</v>
      </c>
      <c r="AS53" s="1603">
        <v>9762217.6476190481</v>
      </c>
      <c r="AT53" s="1599">
        <v>301924.25714285712</v>
      </c>
      <c r="AU53" s="1599">
        <v>9460293.3904761914</v>
      </c>
      <c r="AV53" s="1567">
        <v>1321003.7568094824</v>
      </c>
      <c r="AW53" s="1603">
        <v>6582988.3463333333</v>
      </c>
      <c r="AX53" s="1599">
        <v>207049.8</v>
      </c>
      <c r="AY53" s="1599">
        <v>6375938.5463333335</v>
      </c>
      <c r="AZ53" s="1567">
        <v>893877.15254740999</v>
      </c>
      <c r="BA53" s="1603">
        <v>6582988.3463333333</v>
      </c>
      <c r="BB53" s="1599">
        <v>207049.8</v>
      </c>
      <c r="BC53" s="1599">
        <v>6375938.5463333335</v>
      </c>
      <c r="BD53" s="1567">
        <v>893877.15254740999</v>
      </c>
      <c r="BE53" s="1600">
        <f t="shared" si="3"/>
        <v>11075610.607499043</v>
      </c>
      <c r="BF53" s="1602">
        <f>+BE53</f>
        <v>11075610.607499043</v>
      </c>
      <c r="BG53" s="1560"/>
      <c r="BH53" s="1606"/>
      <c r="BU53" s="1604"/>
      <c r="BV53" s="1604"/>
      <c r="BW53" s="1604"/>
      <c r="BX53" s="1604"/>
      <c r="BY53" s="1604"/>
    </row>
    <row r="54" spans="1:77" ht="13" hidden="1">
      <c r="A54" s="1530">
        <v>39</v>
      </c>
      <c r="C54" s="1549" t="s">
        <v>29</v>
      </c>
      <c r="D54" s="1598">
        <v>2017</v>
      </c>
      <c r="E54" s="1599">
        <v>11541436.500000002</v>
      </c>
      <c r="F54" s="1599">
        <v>419688.6</v>
      </c>
      <c r="G54" s="1599">
        <v>11121747.900000002</v>
      </c>
      <c r="H54" s="1605">
        <v>1604329.8878229931</v>
      </c>
      <c r="I54" s="1599">
        <v>2435010.2857142859</v>
      </c>
      <c r="J54" s="1599">
        <v>88545.828571428574</v>
      </c>
      <c r="K54" s="1599">
        <v>2346464.4571428574</v>
      </c>
      <c r="L54" s="1567">
        <v>338481.24352006218</v>
      </c>
      <c r="M54" s="1603">
        <v>1900420.4999999998</v>
      </c>
      <c r="N54" s="1599">
        <v>69106.2</v>
      </c>
      <c r="O54" s="1599">
        <v>1831314.2999999998</v>
      </c>
      <c r="P54" s="1567">
        <v>264170.01103645249</v>
      </c>
      <c r="Q54" s="1603">
        <v>5223417.3000000007</v>
      </c>
      <c r="R54" s="1599">
        <v>183277.8</v>
      </c>
      <c r="S54" s="1599">
        <v>5040139.5000000009</v>
      </c>
      <c r="T54" s="1567">
        <v>720132.02487301081</v>
      </c>
      <c r="U54" s="1603">
        <v>6943062.3428571448</v>
      </c>
      <c r="V54" s="1599">
        <v>239415.94285714286</v>
      </c>
      <c r="W54" s="1599">
        <v>6703646.4000000022</v>
      </c>
      <c r="X54" s="1567">
        <v>953459.84816864273</v>
      </c>
      <c r="Y54" s="1603">
        <v>11914435.357142853</v>
      </c>
      <c r="Z54" s="1599">
        <v>414415.14285714284</v>
      </c>
      <c r="AA54" s="1599">
        <v>11500020.214285709</v>
      </c>
      <c r="AB54" s="1567">
        <v>1639348.388884224</v>
      </c>
      <c r="AC54" s="1603">
        <v>5663235.2857142836</v>
      </c>
      <c r="AD54" s="1599">
        <v>190895.57142857142</v>
      </c>
      <c r="AE54" s="1599">
        <v>5472339.7142857118</v>
      </c>
      <c r="AF54" s="1567">
        <v>773785.92506950698</v>
      </c>
      <c r="AG54" s="1603">
        <v>189676.88571428577</v>
      </c>
      <c r="AH54" s="1599">
        <v>6218.9142857142861</v>
      </c>
      <c r="AI54" s="1599">
        <v>183457.9714285715</v>
      </c>
      <c r="AJ54" s="1567">
        <v>25760.077193618064</v>
      </c>
      <c r="AK54" s="1603">
        <v>4405107.1571428552</v>
      </c>
      <c r="AL54" s="1599">
        <v>144429.74285714285</v>
      </c>
      <c r="AM54" s="1599">
        <v>4260677.4142857119</v>
      </c>
      <c r="AN54" s="1567">
        <v>598258.98125030624</v>
      </c>
      <c r="AO54" s="1603">
        <v>14501297.799999997</v>
      </c>
      <c r="AP54" s="1599">
        <v>467783.8</v>
      </c>
      <c r="AQ54" s="1599">
        <v>14033513.999999996</v>
      </c>
      <c r="AR54" s="1567">
        <v>1962574.0296582351</v>
      </c>
      <c r="AS54" s="1603">
        <v>9460293.3904761914</v>
      </c>
      <c r="AT54" s="1599">
        <v>301924.25714285712</v>
      </c>
      <c r="AU54" s="1599">
        <v>9158369.1333333347</v>
      </c>
      <c r="AV54" s="1567">
        <v>1277434.7885828251</v>
      </c>
      <c r="AW54" s="1603">
        <v>6375938.5463333335</v>
      </c>
      <c r="AX54" s="1599">
        <v>207049.8</v>
      </c>
      <c r="AY54" s="1599">
        <v>6168888.7463333337</v>
      </c>
      <c r="AZ54" s="1567">
        <v>864133.59425621456</v>
      </c>
      <c r="BA54" s="1603">
        <v>6375938.5463333335</v>
      </c>
      <c r="BB54" s="1599">
        <v>207049.8</v>
      </c>
      <c r="BC54" s="1599">
        <v>6168888.7463333337</v>
      </c>
      <c r="BD54" s="1567">
        <v>864133.59425621456</v>
      </c>
      <c r="BE54" s="1600">
        <v>10157735.206059877</v>
      </c>
      <c r="BF54" s="1559"/>
      <c r="BG54" s="1601">
        <v>10157735.206059877</v>
      </c>
      <c r="BU54" s="1604"/>
      <c r="BV54" s="1604"/>
      <c r="BW54" s="1604"/>
      <c r="BX54" s="1604"/>
      <c r="BY54" s="1604"/>
    </row>
    <row r="55" spans="1:77" ht="13" hidden="1">
      <c r="A55" s="1530">
        <v>40</v>
      </c>
      <c r="C55" s="1549" t="s">
        <v>45</v>
      </c>
      <c r="D55" s="1598">
        <v>2017</v>
      </c>
      <c r="E55" s="1599">
        <v>11541436.500000002</v>
      </c>
      <c r="F55" s="1599">
        <v>419688.6</v>
      </c>
      <c r="G55" s="1599">
        <v>11121747.900000002</v>
      </c>
      <c r="H55" s="1605">
        <v>1703349.2833567909</v>
      </c>
      <c r="I55" s="1599">
        <v>2435010.2857142859</v>
      </c>
      <c r="J55" s="1599">
        <v>88545.828571428574</v>
      </c>
      <c r="K55" s="1599">
        <v>2346464.4571428574</v>
      </c>
      <c r="L55" s="1567">
        <v>359372.33854190016</v>
      </c>
      <c r="M55" s="1603">
        <v>1900420.4999999998</v>
      </c>
      <c r="N55" s="1599">
        <v>69106.2</v>
      </c>
      <c r="O55" s="1599">
        <v>1831314.2999999998</v>
      </c>
      <c r="P55" s="1567">
        <v>280474.60961653723</v>
      </c>
      <c r="Q55" s="1603">
        <v>5223417.3000000007</v>
      </c>
      <c r="R55" s="1599">
        <v>183277.8</v>
      </c>
      <c r="S55" s="1599">
        <v>5040139.5000000009</v>
      </c>
      <c r="T55" s="1567">
        <v>765005.50799664995</v>
      </c>
      <c r="U55" s="1603">
        <v>6943062.3428571448</v>
      </c>
      <c r="V55" s="1599">
        <v>239415.94285714286</v>
      </c>
      <c r="W55" s="1599">
        <v>6703646.4000000022</v>
      </c>
      <c r="X55" s="1567">
        <v>1013143.903262206</v>
      </c>
      <c r="Y55" s="1603">
        <v>11914435.357142853</v>
      </c>
      <c r="Z55" s="1599">
        <v>414415.14285714284</v>
      </c>
      <c r="AA55" s="1599">
        <v>11500020.214285709</v>
      </c>
      <c r="AB55" s="1567">
        <v>1741735.6269769906</v>
      </c>
      <c r="AC55" s="1603">
        <v>5663235.2857142836</v>
      </c>
      <c r="AD55" s="1599">
        <v>190895.57142857142</v>
      </c>
      <c r="AE55" s="1599">
        <v>5472339.7142857118</v>
      </c>
      <c r="AF55" s="1567">
        <v>822507.38284182083</v>
      </c>
      <c r="AG55" s="1603">
        <v>189676.88571428577</v>
      </c>
      <c r="AH55" s="1599">
        <v>6218.9142857142861</v>
      </c>
      <c r="AI55" s="1599">
        <v>183457.9714285715</v>
      </c>
      <c r="AJ55" s="1567">
        <v>25760.077193618064</v>
      </c>
      <c r="AK55" s="1603">
        <v>4405107.1571428552</v>
      </c>
      <c r="AL55" s="1599">
        <v>144429.74285714285</v>
      </c>
      <c r="AM55" s="1599">
        <v>4260677.4142857119</v>
      </c>
      <c r="AN55" s="1567">
        <v>598258.98125030624</v>
      </c>
      <c r="AO55" s="1603">
        <v>14501297.799999997</v>
      </c>
      <c r="AP55" s="1599">
        <v>467783.8</v>
      </c>
      <c r="AQ55" s="1599">
        <v>14033513.999999996</v>
      </c>
      <c r="AR55" s="1567">
        <v>2087517.526488899</v>
      </c>
      <c r="AS55" s="1603">
        <v>9460293.3904761914</v>
      </c>
      <c r="AT55" s="1599">
        <v>301924.25714285712</v>
      </c>
      <c r="AU55" s="1599">
        <v>9158369.1333333347</v>
      </c>
      <c r="AV55" s="1567">
        <v>1277434.7885828251</v>
      </c>
      <c r="AW55" s="1603">
        <v>6375938.5463333335</v>
      </c>
      <c r="AX55" s="1599">
        <v>207049.8</v>
      </c>
      <c r="AY55" s="1599">
        <v>6168888.7463333337</v>
      </c>
      <c r="AZ55" s="1567">
        <v>864133.59425621456</v>
      </c>
      <c r="BA55" s="1603">
        <v>6375938.5463333335</v>
      </c>
      <c r="BB55" s="1599">
        <v>207049.8</v>
      </c>
      <c r="BC55" s="1599">
        <v>6168888.7463333337</v>
      </c>
      <c r="BD55" s="1567">
        <v>864133.59425621456</v>
      </c>
      <c r="BE55" s="1600">
        <v>10674560.026108544</v>
      </c>
      <c r="BF55" s="1602">
        <v>10674560.026108544</v>
      </c>
      <c r="BG55" s="1560"/>
      <c r="BI55" s="1606"/>
      <c r="BJ55" s="1606"/>
      <c r="BU55" s="1604"/>
      <c r="BV55" s="1604"/>
      <c r="BW55" s="1604"/>
      <c r="BX55" s="1604"/>
      <c r="BY55" s="1604"/>
    </row>
    <row r="56" spans="1:77" ht="13" hidden="1">
      <c r="A56" s="1530">
        <v>41</v>
      </c>
      <c r="C56" s="1549" t="s">
        <v>29</v>
      </c>
      <c r="D56" s="1598">
        <v>2018</v>
      </c>
      <c r="E56" s="1599">
        <v>11121747.900000002</v>
      </c>
      <c r="F56" s="1599">
        <v>419688.6</v>
      </c>
      <c r="G56" s="1599">
        <v>10702059.300000003</v>
      </c>
      <c r="H56" s="1605">
        <v>1511380.9143500878</v>
      </c>
      <c r="I56" s="1599">
        <v>2346464.4571428574</v>
      </c>
      <c r="J56" s="1599">
        <v>88545.828571428574</v>
      </c>
      <c r="K56" s="1599">
        <v>2257918.6285714288</v>
      </c>
      <c r="L56" s="1567">
        <v>318870.88509950432</v>
      </c>
      <c r="M56" s="1603">
        <v>1831314.2999999998</v>
      </c>
      <c r="N56" s="1599">
        <v>69106.2</v>
      </c>
      <c r="O56" s="1599">
        <v>1762208.0999999999</v>
      </c>
      <c r="P56" s="1567">
        <v>248864.97213233815</v>
      </c>
      <c r="Q56" s="1603">
        <v>5040139.5000000009</v>
      </c>
      <c r="R56" s="1599">
        <v>183277.8</v>
      </c>
      <c r="S56" s="1599">
        <v>4856861.7000000011</v>
      </c>
      <c r="T56" s="1567">
        <v>678715.02765125223</v>
      </c>
      <c r="U56" s="1603">
        <v>6703646.4000000022</v>
      </c>
      <c r="V56" s="1599">
        <v>239415.94285714286</v>
      </c>
      <c r="W56" s="1599">
        <v>6464230.4571428597</v>
      </c>
      <c r="X56" s="1567">
        <v>898817.13943345158</v>
      </c>
      <c r="Y56" s="1603">
        <v>11500020.214285709</v>
      </c>
      <c r="Z56" s="1599">
        <v>414415.14285714284</v>
      </c>
      <c r="AA56" s="1599">
        <v>11085605.071428565</v>
      </c>
      <c r="AB56" s="1567">
        <v>1545232.074174176</v>
      </c>
      <c r="AC56" s="1603">
        <v>5472339.7142857118</v>
      </c>
      <c r="AD56" s="1599">
        <v>190895.57142857142</v>
      </c>
      <c r="AE56" s="1599">
        <v>5281444.1428571399</v>
      </c>
      <c r="AF56" s="1567">
        <v>729643.47197762039</v>
      </c>
      <c r="AG56" s="1603">
        <v>183457.9714285715</v>
      </c>
      <c r="AH56" s="1599">
        <v>6218.9142857142861</v>
      </c>
      <c r="AI56" s="1599">
        <v>177239.05714285723</v>
      </c>
      <c r="AJ56" s="1567">
        <v>24298.66053469211</v>
      </c>
      <c r="AK56" s="1603">
        <v>4260677.4142857119</v>
      </c>
      <c r="AL56" s="1599">
        <v>144429.74285714285</v>
      </c>
      <c r="AM56" s="1599">
        <v>4116247.6714285691</v>
      </c>
      <c r="AN56" s="1567">
        <v>564318.64656187315</v>
      </c>
      <c r="AO56" s="1603">
        <v>14033513.999999996</v>
      </c>
      <c r="AP56" s="1599">
        <v>467783.8</v>
      </c>
      <c r="AQ56" s="1599">
        <v>13565730.199999996</v>
      </c>
      <c r="AR56" s="1567">
        <v>1851592.5589261323</v>
      </c>
      <c r="AS56" s="1603">
        <v>9158369.1333333347</v>
      </c>
      <c r="AT56" s="1599">
        <v>301924.25714285712</v>
      </c>
      <c r="AU56" s="1599">
        <v>8856444.876190478</v>
      </c>
      <c r="AV56" s="1567">
        <v>1205349.7131952597</v>
      </c>
      <c r="AW56" s="1603">
        <v>6168888.7463333337</v>
      </c>
      <c r="AX56" s="1599">
        <v>207049.8</v>
      </c>
      <c r="AY56" s="1599">
        <v>5961838.9463333338</v>
      </c>
      <c r="AZ56" s="1567">
        <v>815203.2006361864</v>
      </c>
      <c r="BA56" s="1603">
        <v>6168888.7463333337</v>
      </c>
      <c r="BB56" s="1599">
        <v>207049.8</v>
      </c>
      <c r="BC56" s="1599">
        <v>5961838.9463333338</v>
      </c>
      <c r="BD56" s="1567">
        <v>815203.2006361864</v>
      </c>
      <c r="BE56" s="1600">
        <v>9577084.064036388</v>
      </c>
      <c r="BF56" s="1559"/>
      <c r="BG56" s="1601">
        <v>9577084.064036388</v>
      </c>
      <c r="BU56" s="1604"/>
      <c r="BV56" s="1604"/>
      <c r="BW56" s="1604"/>
      <c r="BX56" s="1604"/>
      <c r="BY56" s="1604"/>
    </row>
    <row r="57" spans="1:77" ht="13" hidden="1">
      <c r="A57" s="1530">
        <v>42</v>
      </c>
      <c r="C57" s="1549" t="s">
        <v>45</v>
      </c>
      <c r="D57" s="1598">
        <v>2018</v>
      </c>
      <c r="E57" s="1599">
        <v>11121747.900000002</v>
      </c>
      <c r="F57" s="1599">
        <v>419688.6</v>
      </c>
      <c r="G57" s="1599">
        <v>10702059.300000003</v>
      </c>
      <c r="H57" s="1605">
        <v>1595251.7424674961</v>
      </c>
      <c r="I57" s="1599">
        <v>2346464.4571428574</v>
      </c>
      <c r="J57" s="1599">
        <v>88545.828571428574</v>
      </c>
      <c r="K57" s="1599">
        <v>2257918.6285714288</v>
      </c>
      <c r="L57" s="1567">
        <v>336565.93797591736</v>
      </c>
      <c r="M57" s="1603">
        <v>1831314.2999999998</v>
      </c>
      <c r="N57" s="1599">
        <v>69106.2</v>
      </c>
      <c r="O57" s="1599">
        <v>1762208.0999999999</v>
      </c>
      <c r="P57" s="1567">
        <v>262675.19767110003</v>
      </c>
      <c r="Q57" s="1603">
        <v>5040139.5000000009</v>
      </c>
      <c r="R57" s="1599">
        <v>183277.8</v>
      </c>
      <c r="S57" s="1599">
        <v>4856861.7000000011</v>
      </c>
      <c r="T57" s="1567">
        <v>716777.703386073</v>
      </c>
      <c r="U57" s="1603">
        <v>6703646.4000000022</v>
      </c>
      <c r="V57" s="1599">
        <v>239415.94285714286</v>
      </c>
      <c r="W57" s="1599">
        <v>6464230.4571428597</v>
      </c>
      <c r="X57" s="1567">
        <v>949476.58229248552</v>
      </c>
      <c r="Y57" s="1603">
        <v>11500020.214285709</v>
      </c>
      <c r="Z57" s="1599">
        <v>414415.14285714284</v>
      </c>
      <c r="AA57" s="1599">
        <v>11085605.071428565</v>
      </c>
      <c r="AB57" s="1567">
        <v>1632108.7071155813</v>
      </c>
      <c r="AC57" s="1603">
        <v>5472339.7142857118</v>
      </c>
      <c r="AD57" s="1599">
        <v>190895.57142857142</v>
      </c>
      <c r="AE57" s="1599">
        <v>5281444.1428571399</v>
      </c>
      <c r="AF57" s="1567">
        <v>771033.5522883567</v>
      </c>
      <c r="AG57" s="1603">
        <v>183457.9714285715</v>
      </c>
      <c r="AH57" s="1599">
        <v>6218.9142857142861</v>
      </c>
      <c r="AI57" s="1599">
        <v>177239.05714285723</v>
      </c>
      <c r="AJ57" s="1567">
        <v>24298.66053469211</v>
      </c>
      <c r="AK57" s="1603">
        <v>4260677.4142857119</v>
      </c>
      <c r="AL57" s="1599">
        <v>144429.74285714285</v>
      </c>
      <c r="AM57" s="1599">
        <v>4116247.6714285691</v>
      </c>
      <c r="AN57" s="1567">
        <v>564318.64656187315</v>
      </c>
      <c r="AO57" s="1603">
        <v>14033513.999999996</v>
      </c>
      <c r="AP57" s="1599">
        <v>467783.8</v>
      </c>
      <c r="AQ57" s="1599">
        <v>13565730.199999996</v>
      </c>
      <c r="AR57" s="1567">
        <v>1957905.6519484567</v>
      </c>
      <c r="AS57" s="1603">
        <v>9158369.1333333347</v>
      </c>
      <c r="AT57" s="1599">
        <v>301924.25714285712</v>
      </c>
      <c r="AU57" s="1599">
        <v>8856444.876190478</v>
      </c>
      <c r="AV57" s="1567">
        <v>1205349.7131952597</v>
      </c>
      <c r="AW57" s="1603">
        <v>6168888.7463333337</v>
      </c>
      <c r="AX57" s="1599">
        <v>207049.8</v>
      </c>
      <c r="AY57" s="1599">
        <v>5961838.9463333338</v>
      </c>
      <c r="AZ57" s="1567">
        <v>815203.2006361864</v>
      </c>
      <c r="BA57" s="1603">
        <v>6168888.7463333337</v>
      </c>
      <c r="BB57" s="1599">
        <v>207049.8</v>
      </c>
      <c r="BC57" s="1599">
        <v>5961838.9463333338</v>
      </c>
      <c r="BD57" s="1567">
        <v>815203.2006361864</v>
      </c>
      <c r="BE57" s="1600">
        <v>10015762.095437292</v>
      </c>
      <c r="BF57" s="1602">
        <v>10015762.095437292</v>
      </c>
      <c r="BG57" s="1560"/>
      <c r="BJ57" s="1606"/>
      <c r="BU57" s="1604"/>
      <c r="BV57" s="1604"/>
      <c r="BW57" s="1604"/>
      <c r="BX57" s="1604"/>
      <c r="BY57" s="1604"/>
    </row>
    <row r="58" spans="1:77" ht="13" hidden="1">
      <c r="A58" s="1530">
        <v>43</v>
      </c>
      <c r="C58" s="1549" t="s">
        <v>29</v>
      </c>
      <c r="D58" s="1598">
        <v>2019</v>
      </c>
      <c r="E58" s="1599">
        <v>10702059.300000003</v>
      </c>
      <c r="F58" s="1599">
        <v>419688.6</v>
      </c>
      <c r="G58" s="1599">
        <v>10282370.700000003</v>
      </c>
      <c r="H58" s="1605">
        <v>1373579.376474503</v>
      </c>
      <c r="I58" s="1599">
        <v>2257918.6285714288</v>
      </c>
      <c r="J58" s="1599">
        <v>88545.828571428574</v>
      </c>
      <c r="K58" s="1599">
        <v>2169372.8000000003</v>
      </c>
      <c r="L58" s="1567">
        <v>289797.54036340531</v>
      </c>
      <c r="M58" s="1603">
        <v>1762208.0999999999</v>
      </c>
      <c r="N58" s="1599">
        <v>69106.2</v>
      </c>
      <c r="O58" s="1599">
        <v>1693101.9</v>
      </c>
      <c r="P58" s="1567">
        <v>226174.48057088582</v>
      </c>
      <c r="Q58" s="1603">
        <v>4856861.7000000011</v>
      </c>
      <c r="R58" s="1599">
        <v>183277.8</v>
      </c>
      <c r="S58" s="1599">
        <v>4673583.9000000013</v>
      </c>
      <c r="T58" s="1567">
        <v>616844.01788492175</v>
      </c>
      <c r="U58" s="1603">
        <v>6464230.4571428597</v>
      </c>
      <c r="V58" s="1599">
        <v>239415.94285714286</v>
      </c>
      <c r="W58" s="1599">
        <v>6224814.5142857172</v>
      </c>
      <c r="X58" s="1567">
        <v>816889.10772191058</v>
      </c>
      <c r="Y58" s="1603">
        <v>11085605.071428565</v>
      </c>
      <c r="Z58" s="1599">
        <v>414415.14285714284</v>
      </c>
      <c r="AA58" s="1599">
        <v>10671189.928571422</v>
      </c>
      <c r="AB58" s="1567">
        <v>1404376.4994217223</v>
      </c>
      <c r="AC58" s="1603">
        <v>5281444.1428571399</v>
      </c>
      <c r="AD58" s="1599">
        <v>190895.57142857142</v>
      </c>
      <c r="AE58" s="1599">
        <v>5090548.5714285681</v>
      </c>
      <c r="AF58" s="1567">
        <v>663143.40912626963</v>
      </c>
      <c r="AG58" s="1603">
        <v>177239.05714285723</v>
      </c>
      <c r="AH58" s="1599">
        <v>6218.9142857142861</v>
      </c>
      <c r="AI58" s="1599">
        <v>171020.14285714296</v>
      </c>
      <c r="AJ58" s="1567">
        <v>22084.373878877996</v>
      </c>
      <c r="AK58" s="1603">
        <v>4116247.6714285691</v>
      </c>
      <c r="AL58" s="1599">
        <v>144429.74285714285</v>
      </c>
      <c r="AM58" s="1599">
        <v>3971817.9285714263</v>
      </c>
      <c r="AN58" s="1567">
        <v>512893.45598706813</v>
      </c>
      <c r="AO58" s="1603">
        <v>13565730.199999996</v>
      </c>
      <c r="AP58" s="1599">
        <v>467783.8</v>
      </c>
      <c r="AQ58" s="1599">
        <v>13097946.399999995</v>
      </c>
      <c r="AR58" s="1567">
        <v>1682874.2325709062</v>
      </c>
      <c r="AS58" s="1603">
        <v>8856444.876190478</v>
      </c>
      <c r="AT58" s="1599">
        <v>301924.25714285712</v>
      </c>
      <c r="AU58" s="1599">
        <v>8554520.6190476213</v>
      </c>
      <c r="AV58" s="1567">
        <v>1095523.1803630127</v>
      </c>
      <c r="AW58" s="1603">
        <v>5961838.9463333338</v>
      </c>
      <c r="AX58" s="1599">
        <v>207049.8</v>
      </c>
      <c r="AY58" s="1599">
        <v>5754789.146333334</v>
      </c>
      <c r="AZ58" s="1567">
        <v>740918.92876453139</v>
      </c>
      <c r="BA58" s="1603">
        <v>5961838.9463333338</v>
      </c>
      <c r="BB58" s="1599">
        <v>207049.8</v>
      </c>
      <c r="BC58" s="1599">
        <v>5754789.146333334</v>
      </c>
      <c r="BD58" s="1567">
        <v>740918.92876453139</v>
      </c>
      <c r="BE58" s="1600">
        <v>8704179.6743634827</v>
      </c>
      <c r="BF58" s="1559"/>
      <c r="BG58" s="1601">
        <v>8704179.6743634827</v>
      </c>
      <c r="BU58" s="1604"/>
      <c r="BV58" s="1604"/>
      <c r="BW58" s="1604"/>
      <c r="BX58" s="1604"/>
      <c r="BY58" s="1604"/>
    </row>
    <row r="59" spans="1:77" ht="13" hidden="1">
      <c r="A59" s="1530">
        <v>44</v>
      </c>
      <c r="C59" s="1549" t="s">
        <v>45</v>
      </c>
      <c r="D59" s="1598">
        <v>2019</v>
      </c>
      <c r="E59" s="1599">
        <v>10702059.300000003</v>
      </c>
      <c r="F59" s="1599">
        <v>419688.6</v>
      </c>
      <c r="G59" s="1599">
        <v>10282370.700000003</v>
      </c>
      <c r="H59" s="1610">
        <v>1458189.712020735</v>
      </c>
      <c r="I59" s="1599">
        <v>2257918.6285714288</v>
      </c>
      <c r="J59" s="1599">
        <v>88545.828571428574</v>
      </c>
      <c r="K59" s="1599">
        <v>2169372.8000000003</v>
      </c>
      <c r="L59" s="1585">
        <v>307648.61438983283</v>
      </c>
      <c r="M59" s="1603">
        <v>1762208.0999999999</v>
      </c>
      <c r="N59" s="1599">
        <v>69106.2</v>
      </c>
      <c r="O59" s="1599">
        <v>1693101.9</v>
      </c>
      <c r="P59" s="1585">
        <v>240106.47388765693</v>
      </c>
      <c r="Q59" s="1603">
        <v>4856861.7000000011</v>
      </c>
      <c r="R59" s="1599">
        <v>183277.8</v>
      </c>
      <c r="S59" s="1599">
        <v>4673583.9000000013</v>
      </c>
      <c r="T59" s="1585">
        <v>655301.44307602756</v>
      </c>
      <c r="U59" s="1603">
        <v>6464230.4571428597</v>
      </c>
      <c r="V59" s="1599">
        <v>239415.94285714286</v>
      </c>
      <c r="W59" s="1599">
        <v>6224814.5142857172</v>
      </c>
      <c r="X59" s="1585">
        <v>868111.11285412882</v>
      </c>
      <c r="Y59" s="1603">
        <v>11085605.071428565</v>
      </c>
      <c r="Z59" s="1599">
        <v>414415.14285714284</v>
      </c>
      <c r="AA59" s="1599">
        <v>10671189.928571422</v>
      </c>
      <c r="AB59" s="1585">
        <v>1492186.3038799493</v>
      </c>
      <c r="AC59" s="1603">
        <v>5281444.1428571399</v>
      </c>
      <c r="AD59" s="1599">
        <v>190895.57142857142</v>
      </c>
      <c r="AE59" s="1599">
        <v>5090548.5714285681</v>
      </c>
      <c r="AF59" s="1585">
        <v>705031.90306502278</v>
      </c>
      <c r="AG59" s="1603">
        <v>177239.05714285723</v>
      </c>
      <c r="AH59" s="1599">
        <v>6218.9142857142861</v>
      </c>
      <c r="AI59" s="1599">
        <v>171020.14285714296</v>
      </c>
      <c r="AJ59" s="1585">
        <v>22084.373878877996</v>
      </c>
      <c r="AK59" s="1603">
        <v>4116247.6714285691</v>
      </c>
      <c r="AL59" s="1599">
        <v>144429.74285714285</v>
      </c>
      <c r="AM59" s="1599">
        <v>3971817.9285714263</v>
      </c>
      <c r="AN59" s="1585">
        <v>512893.45598706813</v>
      </c>
      <c r="AO59" s="1603">
        <v>13565730.199999996</v>
      </c>
      <c r="AP59" s="1599">
        <v>467783.8</v>
      </c>
      <c r="AQ59" s="1599">
        <v>13097946.399999995</v>
      </c>
      <c r="AR59" s="1585">
        <v>1790653.0388602538</v>
      </c>
      <c r="AS59" s="1603">
        <v>8856444.876190478</v>
      </c>
      <c r="AT59" s="1599">
        <v>301924.25714285712</v>
      </c>
      <c r="AU59" s="1599">
        <v>8554520.6190476213</v>
      </c>
      <c r="AV59" s="1585">
        <v>1095523.1803630127</v>
      </c>
      <c r="AW59" s="1603">
        <v>5961838.9463333338</v>
      </c>
      <c r="AX59" s="1599">
        <v>207049.8</v>
      </c>
      <c r="AY59" s="1599">
        <v>5754789.146333334</v>
      </c>
      <c r="AZ59" s="1585">
        <v>740918.92876453139</v>
      </c>
      <c r="BA59" s="1603">
        <v>5961838.9463333338</v>
      </c>
      <c r="BB59" s="1599">
        <v>207049.8</v>
      </c>
      <c r="BC59" s="1599">
        <v>5754789.146333334</v>
      </c>
      <c r="BD59" s="1585">
        <v>740918.92876453139</v>
      </c>
      <c r="BE59" s="1611">
        <v>9147729.6122625656</v>
      </c>
      <c r="BF59" s="1602">
        <v>9147729.6122625656</v>
      </c>
      <c r="BG59" s="1560"/>
      <c r="BU59" s="1604"/>
      <c r="BV59" s="1604"/>
      <c r="BW59" s="1604"/>
      <c r="BX59" s="1604"/>
      <c r="BY59" s="1604"/>
    </row>
    <row r="60" spans="1:77" ht="13">
      <c r="A60" s="1530">
        <f t="shared" si="0"/>
        <v>45</v>
      </c>
      <c r="C60" s="1549" t="str">
        <f t="shared" si="2"/>
        <v>Base FCR</v>
      </c>
      <c r="D60" s="1598">
        <f t="shared" si="1"/>
        <v>2020</v>
      </c>
      <c r="E60" s="1599">
        <f>+G59</f>
        <v>10282370.700000003</v>
      </c>
      <c r="F60" s="1599">
        <f>+E$32</f>
        <v>419688.6</v>
      </c>
      <c r="G60" s="1599">
        <f t="shared" ref="G60:G75" si="4">+E60-F60</f>
        <v>9862682.1000000034</v>
      </c>
      <c r="H60" s="1605">
        <f>+E$29*G60+F60</f>
        <v>1350625.9205042273</v>
      </c>
      <c r="I60" s="1599">
        <f>+K59</f>
        <v>2169372.8000000003</v>
      </c>
      <c r="J60" s="1599">
        <f>+I$32</f>
        <v>88545.828571428574</v>
      </c>
      <c r="K60" s="1599">
        <f t="shared" ref="K60:K75" si="5">+I60-J60</f>
        <v>2080826.9714285717</v>
      </c>
      <c r="L60" s="1567">
        <f>+I$29*K60+J60</f>
        <v>284954.82417462667</v>
      </c>
      <c r="M60" s="1603">
        <f>+O59</f>
        <v>1693101.9</v>
      </c>
      <c r="N60" s="1599">
        <f>+M$32</f>
        <v>69106.2</v>
      </c>
      <c r="O60" s="1599">
        <f t="shared" ref="O60:O75" si="6">+M60-N60</f>
        <v>1623995.7</v>
      </c>
      <c r="P60" s="1567">
        <f>+M$29*O60+N60</f>
        <v>222394.94946383871</v>
      </c>
      <c r="Q60" s="1603">
        <f>+S59</f>
        <v>4673583.9000000013</v>
      </c>
      <c r="R60" s="1599">
        <f>+Q$32</f>
        <v>183277.8</v>
      </c>
      <c r="S60" s="1599">
        <f t="shared" ref="S60:S75" si="7">+Q60-R60</f>
        <v>4490306.1000000015</v>
      </c>
      <c r="T60" s="1567">
        <f>+Q$29*S60+R60</f>
        <v>607117.22690171341</v>
      </c>
      <c r="U60" s="1603">
        <f>+W59</f>
        <v>6224814.5142857172</v>
      </c>
      <c r="V60" s="1599">
        <f>+U$32</f>
        <v>239415.94285714286</v>
      </c>
      <c r="W60" s="1599">
        <f t="shared" ref="W60:W75" si="8">+U60-V60</f>
        <v>5985398.5714285746</v>
      </c>
      <c r="X60" s="1567">
        <f>+U$29*W60+V60</f>
        <v>804376.95972247876</v>
      </c>
      <c r="Y60" s="1603">
        <f>+AA59</f>
        <v>10671189.928571422</v>
      </c>
      <c r="Z60" s="1599">
        <f>+Y$32</f>
        <v>414415.14285714284</v>
      </c>
      <c r="AA60" s="1599">
        <f t="shared" ref="AA60:AA75" si="9">+Y60-Z60</f>
        <v>10256774.785714278</v>
      </c>
      <c r="AB60" s="1567">
        <f>+Y$29*AA60+Z60</f>
        <v>1382550.8223015983</v>
      </c>
      <c r="AC60" s="1603">
        <f>+AE59</f>
        <v>5090548.5714285681</v>
      </c>
      <c r="AD60" s="1599">
        <f>+AC$32</f>
        <v>190895.57142857142</v>
      </c>
      <c r="AE60" s="1599">
        <f t="shared" ref="AE60:AE75" si="10">+AC60-AD60</f>
        <v>4899652.9999999963</v>
      </c>
      <c r="AF60" s="1567">
        <f>+AC$29*AE60+AD60</f>
        <v>653373.20063457557</v>
      </c>
      <c r="AG60" s="1603">
        <f>+AI59</f>
        <v>171020.14285714296</v>
      </c>
      <c r="AH60" s="1599">
        <f>+AG$32</f>
        <v>6218.9142857142861</v>
      </c>
      <c r="AI60" s="1599">
        <f t="shared" ref="AI60:AI75" si="11">+AG60-AH60</f>
        <v>164801.22857142868</v>
      </c>
      <c r="AJ60" s="1567">
        <f>+AG$29*AI60+AH60</f>
        <v>21774.481481993531</v>
      </c>
      <c r="AK60" s="1603">
        <f>+AM59</f>
        <v>3971817.9285714263</v>
      </c>
      <c r="AL60" s="1599">
        <f>+AK$32</f>
        <v>144429.74285714285</v>
      </c>
      <c r="AM60" s="1599">
        <f t="shared" ref="AM60:AM75" si="12">+AK60-AL60</f>
        <v>3827388.1857142835</v>
      </c>
      <c r="AN60" s="1567">
        <f>+AK$29*AM60+AL60</f>
        <v>505696.43137165857</v>
      </c>
      <c r="AO60" s="1603">
        <f>+AQ59</f>
        <v>13097946.399999995</v>
      </c>
      <c r="AP60" s="1599">
        <f>+AO$32</f>
        <v>467783.8</v>
      </c>
      <c r="AQ60" s="1599">
        <f t="shared" ref="AQ60:AQ75" si="13">+AO60-AP60</f>
        <v>12630162.599999994</v>
      </c>
      <c r="AR60" s="1567">
        <f>+AO$29*AQ60+AP60</f>
        <v>1659943.2561358414</v>
      </c>
      <c r="AS60" s="1603">
        <f>+AU59</f>
        <v>8554520.6190476213</v>
      </c>
      <c r="AT60" s="1599">
        <f>+AS$32</f>
        <v>301924.25714285712</v>
      </c>
      <c r="AU60" s="1599">
        <f t="shared" ref="AU60:AU75" si="14">+AS60-AT60</f>
        <v>8252596.3619047645</v>
      </c>
      <c r="AV60" s="1567">
        <f>+AS$29*AU60+AT60</f>
        <v>1080885.7877344752</v>
      </c>
      <c r="AW60" s="1603">
        <f>+AY59</f>
        <v>5754789.146333334</v>
      </c>
      <c r="AX60" s="1599">
        <f>+AW$32</f>
        <v>207049.8</v>
      </c>
      <c r="AY60" s="1599">
        <f t="shared" ref="AY60:AY75" si="15">+AW60-AX60</f>
        <v>5547739.3463333342</v>
      </c>
      <c r="AZ60" s="1567">
        <f>+AW$29*AY60+AX60</f>
        <v>730700.21776328026</v>
      </c>
      <c r="BA60" s="1603">
        <f>BA31</f>
        <v>5454268</v>
      </c>
      <c r="BB60" s="1599">
        <f>BA32/6</f>
        <v>25972.704761904763</v>
      </c>
      <c r="BC60" s="1599">
        <f t="shared" ref="BC60:BC75" si="16">+BA60-BB60</f>
        <v>5428295.2952380953</v>
      </c>
      <c r="BD60" s="1567">
        <f>+BA$29*BC60+BB60</f>
        <v>538348.81359488179</v>
      </c>
      <c r="BE60" s="1600">
        <f>H60+L60+P60+T60+X60+AB60+AF60+AJ60+AN60+AR60+AV60+AZ60+BD60</f>
        <v>9842742.8917851895</v>
      </c>
      <c r="BF60" s="1559"/>
      <c r="BG60" s="1601">
        <f>+BE60</f>
        <v>9842742.8917851895</v>
      </c>
      <c r="BU60" s="1604"/>
      <c r="BV60" s="1604"/>
      <c r="BW60" s="1604"/>
      <c r="BX60" s="1604"/>
      <c r="BY60" s="1604"/>
    </row>
    <row r="61" spans="1:77" ht="13">
      <c r="A61" s="1530">
        <f t="shared" si="0"/>
        <v>46</v>
      </c>
      <c r="C61" s="1549" t="str">
        <f t="shared" si="2"/>
        <v>W Increased ROE</v>
      </c>
      <c r="D61" s="1598">
        <f t="shared" si="1"/>
        <v>2020</v>
      </c>
      <c r="E61" s="1599">
        <f>+E60</f>
        <v>10282370.700000003</v>
      </c>
      <c r="F61" s="1599">
        <f>+F60</f>
        <v>419688.6</v>
      </c>
      <c r="G61" s="1599">
        <f t="shared" si="4"/>
        <v>9862682.1000000034</v>
      </c>
      <c r="H61" s="1605">
        <f>+E$30*G61+F61</f>
        <v>1431685.4710214187</v>
      </c>
      <c r="I61" s="1599">
        <f>+I60</f>
        <v>2169372.8000000003</v>
      </c>
      <c r="J61" s="1599">
        <f>+J60</f>
        <v>88545.828571428574</v>
      </c>
      <c r="K61" s="1599">
        <f t="shared" si="5"/>
        <v>2080826.9714285717</v>
      </c>
      <c r="L61" s="1567">
        <f>+I$30*K61+J61</f>
        <v>302056.75418695551</v>
      </c>
      <c r="M61" s="1603">
        <f>+M60</f>
        <v>1693101.9</v>
      </c>
      <c r="N61" s="1599">
        <f>+N60</f>
        <v>69106.2</v>
      </c>
      <c r="O61" s="1599">
        <f t="shared" si="6"/>
        <v>1623995.7</v>
      </c>
      <c r="P61" s="1567">
        <f>+M$30*O61+N61</f>
        <v>235742.26819003501</v>
      </c>
      <c r="Q61" s="1603">
        <f>+Q60</f>
        <v>4673583.9000000013</v>
      </c>
      <c r="R61" s="1599">
        <f>+R60</f>
        <v>183277.8</v>
      </c>
      <c r="S61" s="1599">
        <f t="shared" si="7"/>
        <v>4490306.1000000015</v>
      </c>
      <c r="T61" s="1567">
        <f>+Q$30*S61+R61</f>
        <v>644022.21790315735</v>
      </c>
      <c r="U61" s="1603">
        <f>+U60</f>
        <v>6224814.5142857172</v>
      </c>
      <c r="V61" s="1599">
        <f>+V60</f>
        <v>239415.94285714286</v>
      </c>
      <c r="W61" s="1599">
        <f t="shared" si="8"/>
        <v>5985398.5714285746</v>
      </c>
      <c r="X61" s="1567">
        <f>+U$30*W61+V61</f>
        <v>853569.83778008528</v>
      </c>
      <c r="Y61" s="1603">
        <f>+Y60</f>
        <v>10671189.928571422</v>
      </c>
      <c r="Z61" s="1599">
        <f>+Z60</f>
        <v>414415.14285714284</v>
      </c>
      <c r="AA61" s="1599">
        <f t="shared" si="9"/>
        <v>10256774.785714278</v>
      </c>
      <c r="AB61" s="1567">
        <f>+Y$30*AA61+Z61</f>
        <v>1466849.3473332487</v>
      </c>
      <c r="AC61" s="1603">
        <f>+AC60</f>
        <v>5090548.5714285681</v>
      </c>
      <c r="AD61" s="1599">
        <f>+AD60</f>
        <v>190895.57142857142</v>
      </c>
      <c r="AE61" s="1599">
        <f t="shared" si="10"/>
        <v>4899652.9999999963</v>
      </c>
      <c r="AF61" s="1567">
        <f>+AC$30*AE61+AD61</f>
        <v>693642.53770164051</v>
      </c>
      <c r="AG61" s="1603">
        <f>+AG60</f>
        <v>171020.14285714296</v>
      </c>
      <c r="AH61" s="1599">
        <f>+AH60</f>
        <v>6218.9142857142861</v>
      </c>
      <c r="AI61" s="1599">
        <f t="shared" si="11"/>
        <v>164801.22857142868</v>
      </c>
      <c r="AJ61" s="1567">
        <f>+AG$30*AI61+AH61</f>
        <v>21774.481481993531</v>
      </c>
      <c r="AK61" s="1603">
        <f>+AK60</f>
        <v>3971817.9285714263</v>
      </c>
      <c r="AL61" s="1599">
        <f>+AL60</f>
        <v>144429.74285714285</v>
      </c>
      <c r="AM61" s="1599">
        <f t="shared" si="12"/>
        <v>3827388.1857142835</v>
      </c>
      <c r="AN61" s="1567">
        <f>+AK$30*AM61+AL61</f>
        <v>505696.43137165857</v>
      </c>
      <c r="AO61" s="1603">
        <f>+AO60</f>
        <v>13097946.399999995</v>
      </c>
      <c r="AP61" s="1599">
        <f>+AP60</f>
        <v>467783.8</v>
      </c>
      <c r="AQ61" s="1599">
        <f t="shared" si="13"/>
        <v>12630162.599999994</v>
      </c>
      <c r="AR61" s="1567">
        <f>+AO$30*AQ61+AP61</f>
        <v>1763748.2143545635</v>
      </c>
      <c r="AS61" s="1603">
        <f>+AS60</f>
        <v>8554520.6190476213</v>
      </c>
      <c r="AT61" s="1599">
        <f>+AT60</f>
        <v>301924.25714285712</v>
      </c>
      <c r="AU61" s="1599">
        <f t="shared" si="14"/>
        <v>8252596.3619047645</v>
      </c>
      <c r="AV61" s="1567">
        <f>+AS$30*AU61+AT61</f>
        <v>1080885.7877344752</v>
      </c>
      <c r="AW61" s="1603">
        <f>+AW60</f>
        <v>5754789.146333334</v>
      </c>
      <c r="AX61" s="1599">
        <f>+AX60</f>
        <v>207049.8</v>
      </c>
      <c r="AY61" s="1599">
        <f t="shared" si="15"/>
        <v>5547739.3463333342</v>
      </c>
      <c r="AZ61" s="1567">
        <f>+AW$30*AY61+AX61</f>
        <v>730700.21776328026</v>
      </c>
      <c r="BA61" s="1603">
        <f>+BA60</f>
        <v>5454268</v>
      </c>
      <c r="BB61" s="1599">
        <f>+BB60</f>
        <v>25972.704761904763</v>
      </c>
      <c r="BC61" s="1599">
        <f t="shared" si="16"/>
        <v>5428295.2952380953</v>
      </c>
      <c r="BD61" s="1567">
        <f>+BA$30*BC61+BB61</f>
        <v>538348.81359488179</v>
      </c>
      <c r="BE61" s="1600">
        <f t="shared" ref="BE61:BE75" si="17">H61+L61+P61+T61+X61+AB61+AF61+AJ61+AN61+AR61+AV61+AZ61+BD61</f>
        <v>10268722.380417394</v>
      </c>
      <c r="BF61" s="1602">
        <f>+BE61</f>
        <v>10268722.380417394</v>
      </c>
      <c r="BG61" s="1560"/>
      <c r="BH61" s="1606">
        <f>BF61-BG60</f>
        <v>425979.48863220401</v>
      </c>
      <c r="BI61" s="1606"/>
      <c r="BU61" s="1604"/>
      <c r="BV61" s="1604"/>
      <c r="BW61" s="1604"/>
      <c r="BX61" s="1604"/>
      <c r="BY61" s="1604"/>
    </row>
    <row r="62" spans="1:77" ht="13">
      <c r="A62" s="1530">
        <f t="shared" si="0"/>
        <v>47</v>
      </c>
      <c r="C62" s="1549" t="str">
        <f t="shared" si="2"/>
        <v>Base FCR</v>
      </c>
      <c r="D62" s="1598">
        <f t="shared" si="1"/>
        <v>2021</v>
      </c>
      <c r="E62" s="1599">
        <f>+G61</f>
        <v>9862682.1000000034</v>
      </c>
      <c r="F62" s="1599">
        <f>+E$32</f>
        <v>419688.6</v>
      </c>
      <c r="G62" s="1599">
        <f t="shared" si="4"/>
        <v>9442993.5000000037</v>
      </c>
      <c r="H62" s="1605">
        <f>+E$29*G62+F62</f>
        <v>1311011.5664402177</v>
      </c>
      <c r="I62" s="1599">
        <f>+K61</f>
        <v>2080826.9714285717</v>
      </c>
      <c r="J62" s="1599">
        <f>+I$32</f>
        <v>88545.828571428574</v>
      </c>
      <c r="K62" s="1599">
        <f t="shared" si="5"/>
        <v>1992281.1428571432</v>
      </c>
      <c r="L62" s="1567">
        <f>+I$29*K62+J62</f>
        <v>276596.99457449059</v>
      </c>
      <c r="M62" s="1603">
        <f>+O61</f>
        <v>1623995.7</v>
      </c>
      <c r="N62" s="1599">
        <f>+M$32</f>
        <v>69106.2</v>
      </c>
      <c r="O62" s="1599">
        <f t="shared" si="6"/>
        <v>1554889.5</v>
      </c>
      <c r="P62" s="1567">
        <f>+M$29*O62+N62</f>
        <v>215872.02395473921</v>
      </c>
      <c r="Q62" s="1603">
        <f>+S61</f>
        <v>4490306.1000000015</v>
      </c>
      <c r="R62" s="1599">
        <f>+Q$32</f>
        <v>183277.8</v>
      </c>
      <c r="S62" s="1599">
        <f t="shared" si="7"/>
        <v>4307028.3000000017</v>
      </c>
      <c r="T62" s="1567">
        <f>+Q$29*S62+R62</f>
        <v>589817.65845674556</v>
      </c>
      <c r="U62" s="1603">
        <f>+W61</f>
        <v>5985398.5714285746</v>
      </c>
      <c r="V62" s="1599">
        <f>+U$32</f>
        <v>239415.94285714286</v>
      </c>
      <c r="W62" s="1599">
        <f t="shared" si="8"/>
        <v>5745982.6285714321</v>
      </c>
      <c r="X62" s="1567">
        <f>+U$29*W62+V62</f>
        <v>781778.51904786529</v>
      </c>
      <c r="Y62" s="1603">
        <f>+AA61</f>
        <v>10256774.785714278</v>
      </c>
      <c r="Z62" s="1599">
        <f>+Y$32</f>
        <v>414415.14285714284</v>
      </c>
      <c r="AA62" s="1599">
        <f t="shared" si="9"/>
        <v>9842359.6428571343</v>
      </c>
      <c r="AB62" s="1567">
        <f>+Y$29*AA62+Z62</f>
        <v>1343434.2291927312</v>
      </c>
      <c r="AC62" s="1603">
        <f>+AE61</f>
        <v>4899652.9999999963</v>
      </c>
      <c r="AD62" s="1599">
        <f>+AC$32</f>
        <v>190895.57142857142</v>
      </c>
      <c r="AE62" s="1599">
        <f t="shared" si="10"/>
        <v>4708757.4285714244</v>
      </c>
      <c r="AF62" s="1567">
        <f>+AC$29*AE62+AD62</f>
        <v>635354.5917044715</v>
      </c>
      <c r="AG62" s="1603">
        <f>+AI61</f>
        <v>164801.22857142868</v>
      </c>
      <c r="AH62" s="1599">
        <f>+AG$32</f>
        <v>6218.9142857142861</v>
      </c>
      <c r="AI62" s="1599">
        <f t="shared" si="11"/>
        <v>158582.31428571441</v>
      </c>
      <c r="AJ62" s="1567">
        <f>+AG$29*AI62+AH62</f>
        <v>21187.478946284882</v>
      </c>
      <c r="AK62" s="1603">
        <f>+AM61</f>
        <v>3827388.1857142835</v>
      </c>
      <c r="AL62" s="1599">
        <f>+AK$32</f>
        <v>144429.74285714285</v>
      </c>
      <c r="AM62" s="1599">
        <f t="shared" si="12"/>
        <v>3682958.4428571407</v>
      </c>
      <c r="AN62" s="1567">
        <f>+AK$29*AM62+AL62</f>
        <v>492063.72614469577</v>
      </c>
      <c r="AO62" s="1603">
        <f>+AQ61</f>
        <v>12630162.599999994</v>
      </c>
      <c r="AP62" s="1599">
        <f>+AO$32</f>
        <v>467783.8</v>
      </c>
      <c r="AQ62" s="1599">
        <f t="shared" si="13"/>
        <v>12162378.799999993</v>
      </c>
      <c r="AR62" s="1567">
        <f>+AO$29*AQ62+AP62</f>
        <v>1615789.202204884</v>
      </c>
      <c r="AS62" s="1603">
        <f>+AU61</f>
        <v>8252596.3619047645</v>
      </c>
      <c r="AT62" s="1599">
        <f>+AS$32</f>
        <v>301924.25714285712</v>
      </c>
      <c r="AU62" s="1599">
        <f t="shared" si="14"/>
        <v>7950672.1047619078</v>
      </c>
      <c r="AV62" s="1567">
        <f>+AS$29*AU62+AT62</f>
        <v>1052387.195151855</v>
      </c>
      <c r="AW62" s="1603">
        <f>+AY61</f>
        <v>5547739.3463333342</v>
      </c>
      <c r="AX62" s="1599">
        <f>+AW$32</f>
        <v>207049.8</v>
      </c>
      <c r="AY62" s="1599">
        <f t="shared" si="15"/>
        <v>5340689.5463333344</v>
      </c>
      <c r="AZ62" s="1567">
        <f>+AW$29*AY62+AX62</f>
        <v>711156.81323410699</v>
      </c>
      <c r="BA62" s="1603">
        <f>+BC61</f>
        <v>5428295.2952380953</v>
      </c>
      <c r="BB62" s="1599">
        <f>+BA$32</f>
        <v>155836.22857142857</v>
      </c>
      <c r="BC62" s="1599">
        <f t="shared" si="16"/>
        <v>5272459.0666666664</v>
      </c>
      <c r="BD62" s="1567">
        <f>+BA$29*BC62+BB62</f>
        <v>653502.97542833933</v>
      </c>
      <c r="BE62" s="1600">
        <f t="shared" si="17"/>
        <v>9699952.974481428</v>
      </c>
      <c r="BF62" s="1559"/>
      <c r="BG62" s="1601">
        <f>+BE62</f>
        <v>9699952.974481428</v>
      </c>
      <c r="BU62" s="1604"/>
      <c r="BV62" s="1604"/>
      <c r="BW62" s="1604"/>
      <c r="BX62" s="1604"/>
      <c r="BY62" s="1604"/>
    </row>
    <row r="63" spans="1:77" ht="13">
      <c r="A63" s="1530">
        <f t="shared" si="0"/>
        <v>48</v>
      </c>
      <c r="C63" s="1549" t="str">
        <f t="shared" si="2"/>
        <v>W Increased ROE</v>
      </c>
      <c r="D63" s="1598">
        <f t="shared" si="1"/>
        <v>2021</v>
      </c>
      <c r="E63" s="1599">
        <f>+E62</f>
        <v>9862682.1000000034</v>
      </c>
      <c r="F63" s="1599">
        <f>+F62</f>
        <v>419688.6</v>
      </c>
      <c r="G63" s="1599">
        <f t="shared" si="4"/>
        <v>9442993.5000000037</v>
      </c>
      <c r="H63" s="1605">
        <f>+E$30*G63+F63</f>
        <v>1388621.7743822094</v>
      </c>
      <c r="I63" s="1599">
        <f>+I62</f>
        <v>2080826.9714285717</v>
      </c>
      <c r="J63" s="1599">
        <f>+J62</f>
        <v>88545.828571428574</v>
      </c>
      <c r="K63" s="1599">
        <f t="shared" si="5"/>
        <v>1992281.1428571432</v>
      </c>
      <c r="L63" s="1567">
        <f>+I$30*K63+J63</f>
        <v>292971.18288416712</v>
      </c>
      <c r="M63" s="1603">
        <f>+M62</f>
        <v>1623995.7</v>
      </c>
      <c r="N63" s="1599">
        <f>+N62</f>
        <v>69106.2</v>
      </c>
      <c r="O63" s="1599">
        <f t="shared" si="6"/>
        <v>1554889.5</v>
      </c>
      <c r="P63" s="1567">
        <f>+M$30*O63+N63</f>
        <v>228651.37167131016</v>
      </c>
      <c r="Q63" s="1603">
        <f>+Q62</f>
        <v>4490306.1000000015</v>
      </c>
      <c r="R63" s="1599">
        <f>+R62</f>
        <v>183277.8</v>
      </c>
      <c r="S63" s="1599">
        <f t="shared" si="7"/>
        <v>4307028.3000000017</v>
      </c>
      <c r="T63" s="1567">
        <f>+Q$30*S63+R63</f>
        <v>625216.3232948652</v>
      </c>
      <c r="U63" s="1603">
        <f>+U62</f>
        <v>5985398.5714285746</v>
      </c>
      <c r="V63" s="1599">
        <f>+V62</f>
        <v>239415.94285714286</v>
      </c>
      <c r="W63" s="1599">
        <f t="shared" si="8"/>
        <v>5745982.6285714321</v>
      </c>
      <c r="X63" s="1567">
        <f>+U$30*W63+V63</f>
        <v>829003.68198316765</v>
      </c>
      <c r="Y63" s="1603">
        <f>+Y62</f>
        <v>10256774.785714278</v>
      </c>
      <c r="Z63" s="1599">
        <f>+Z62</f>
        <v>414415.14285714284</v>
      </c>
      <c r="AA63" s="1599">
        <f t="shared" si="9"/>
        <v>9842359.6428571343</v>
      </c>
      <c r="AB63" s="1567">
        <f>+Y$30*AA63+Z63</f>
        <v>1424326.7532130019</v>
      </c>
      <c r="AC63" s="1603">
        <f>+AC62</f>
        <v>4899652.9999999963</v>
      </c>
      <c r="AD63" s="1599">
        <f>+AD62</f>
        <v>190895.57142857142</v>
      </c>
      <c r="AE63" s="1599">
        <f t="shared" si="10"/>
        <v>4708757.4285714244</v>
      </c>
      <c r="AF63" s="1567">
        <f>+AC$30*AE63+AD63</f>
        <v>674054.99356113118</v>
      </c>
      <c r="AG63" s="1603">
        <f>+AG62</f>
        <v>164801.22857142868</v>
      </c>
      <c r="AH63" s="1599">
        <f>+AH62</f>
        <v>6218.9142857142861</v>
      </c>
      <c r="AI63" s="1599">
        <f t="shared" si="11"/>
        <v>158582.31428571441</v>
      </c>
      <c r="AJ63" s="1567">
        <f>+AG$30*AI63+AH63</f>
        <v>21187.478946284882</v>
      </c>
      <c r="AK63" s="1603">
        <f>+AK62</f>
        <v>3827388.1857142835</v>
      </c>
      <c r="AL63" s="1599">
        <f>+AL62</f>
        <v>144429.74285714285</v>
      </c>
      <c r="AM63" s="1599">
        <f t="shared" si="12"/>
        <v>3682958.4428571407</v>
      </c>
      <c r="AN63" s="1567">
        <f>+AK$30*AM63+AL63</f>
        <v>492063.72614469577</v>
      </c>
      <c r="AO63" s="1603">
        <f>+AO62</f>
        <v>12630162.599999994</v>
      </c>
      <c r="AP63" s="1599">
        <f>+AP62</f>
        <v>467783.8</v>
      </c>
      <c r="AQ63" s="1599">
        <f t="shared" si="13"/>
        <v>12162378.799999993</v>
      </c>
      <c r="AR63" s="1567">
        <f>+AO$30*AQ63+AP63</f>
        <v>1715749.5323414314</v>
      </c>
      <c r="AS63" s="1603">
        <f>+AS62</f>
        <v>8252596.3619047645</v>
      </c>
      <c r="AT63" s="1599">
        <f>+AT62</f>
        <v>301924.25714285712</v>
      </c>
      <c r="AU63" s="1599">
        <f t="shared" si="14"/>
        <v>7950672.1047619078</v>
      </c>
      <c r="AV63" s="1567">
        <f>+AS$30*AU63+AT63</f>
        <v>1052387.195151855</v>
      </c>
      <c r="AW63" s="1603">
        <f>+AW62</f>
        <v>5547739.3463333342</v>
      </c>
      <c r="AX63" s="1599">
        <f>+AX62</f>
        <v>207049.8</v>
      </c>
      <c r="AY63" s="1599">
        <f t="shared" si="15"/>
        <v>5340689.5463333344</v>
      </c>
      <c r="AZ63" s="1567">
        <f>+AW$30*AY63+AX63</f>
        <v>711156.81323410699</v>
      </c>
      <c r="BA63" s="1603">
        <f>+BA62</f>
        <v>5428295.2952380953</v>
      </c>
      <c r="BB63" s="1599">
        <f>+BB62</f>
        <v>155836.22857142857</v>
      </c>
      <c r="BC63" s="1599">
        <f t="shared" si="16"/>
        <v>5272459.0666666664</v>
      </c>
      <c r="BD63" s="1567">
        <f>+BA$30*BC63+BB63</f>
        <v>653502.97542833933</v>
      </c>
      <c r="BE63" s="1600">
        <f t="shared" si="17"/>
        <v>10108893.802236566</v>
      </c>
      <c r="BF63" s="1602">
        <f>+BE63</f>
        <v>10108893.802236566</v>
      </c>
      <c r="BG63" s="1560"/>
      <c r="BH63" s="1606">
        <f>BF63-BG62</f>
        <v>408940.82775513828</v>
      </c>
      <c r="BI63" s="1606"/>
      <c r="BU63" s="1604"/>
      <c r="BV63" s="1604"/>
      <c r="BW63" s="1604"/>
      <c r="BX63" s="1604"/>
      <c r="BY63" s="1604"/>
    </row>
    <row r="64" spans="1:77" ht="13">
      <c r="A64" s="1530">
        <f t="shared" si="0"/>
        <v>49</v>
      </c>
      <c r="C64" s="1549" t="str">
        <f t="shared" si="2"/>
        <v>Base FCR</v>
      </c>
      <c r="D64" s="1598">
        <f t="shared" si="1"/>
        <v>2022</v>
      </c>
      <c r="E64" s="1599">
        <f>+G63</f>
        <v>9442993.5000000037</v>
      </c>
      <c r="F64" s="1599">
        <f>+E$32</f>
        <v>419688.6</v>
      </c>
      <c r="G64" s="1599">
        <f t="shared" si="4"/>
        <v>9023304.9000000041</v>
      </c>
      <c r="H64" s="1605">
        <f>+E$29*G64+F64</f>
        <v>1271397.212376208</v>
      </c>
      <c r="I64" s="1599">
        <f>+K63</f>
        <v>1992281.1428571432</v>
      </c>
      <c r="J64" s="1599">
        <f>+I$32</f>
        <v>88545.828571428574</v>
      </c>
      <c r="K64" s="1599">
        <f t="shared" si="5"/>
        <v>1903735.3142857146</v>
      </c>
      <c r="L64" s="1567">
        <f>+I$29*K64+J64</f>
        <v>268239.1649743545</v>
      </c>
      <c r="M64" s="1603">
        <f>+O63</f>
        <v>1554889.5</v>
      </c>
      <c r="N64" s="1599">
        <f>+M$32</f>
        <v>69106.2</v>
      </c>
      <c r="O64" s="1599">
        <f t="shared" si="6"/>
        <v>1485783.3</v>
      </c>
      <c r="P64" s="1567">
        <f>+M$29*O64+N64</f>
        <v>209349.09844563965</v>
      </c>
      <c r="Q64" s="1603">
        <f>+S63</f>
        <v>4307028.3000000017</v>
      </c>
      <c r="R64" s="1599">
        <f>+Q$32</f>
        <v>183277.8</v>
      </c>
      <c r="S64" s="1599">
        <f t="shared" si="7"/>
        <v>4123750.5000000019</v>
      </c>
      <c r="T64" s="1567">
        <f>+Q$29*S64+R64</f>
        <v>572518.09001177759</v>
      </c>
      <c r="U64" s="1603">
        <f>+W63</f>
        <v>5745982.6285714321</v>
      </c>
      <c r="V64" s="1599">
        <f>+U$32</f>
        <v>239415.94285714286</v>
      </c>
      <c r="W64" s="1599">
        <f t="shared" si="8"/>
        <v>5506566.6857142895</v>
      </c>
      <c r="X64" s="1567">
        <f>+U$29*W64+V64</f>
        <v>759180.07837325195</v>
      </c>
      <c r="Y64" s="1603">
        <f>+AA63</f>
        <v>9842359.6428571343</v>
      </c>
      <c r="Z64" s="1599">
        <f>+Y$32</f>
        <v>414415.14285714284</v>
      </c>
      <c r="AA64" s="1599">
        <f t="shared" si="9"/>
        <v>9427944.4999999907</v>
      </c>
      <c r="AB64" s="1567">
        <f>+Y$29*AA64+Z64</f>
        <v>1304317.6360838641</v>
      </c>
      <c r="AC64" s="1603">
        <f>+AE63</f>
        <v>4708757.4285714244</v>
      </c>
      <c r="AD64" s="1599">
        <f>+AC$32</f>
        <v>190895.57142857142</v>
      </c>
      <c r="AE64" s="1599">
        <f t="shared" si="10"/>
        <v>4517861.8571428526</v>
      </c>
      <c r="AF64" s="1567">
        <f>+AC$29*AE64+AD64</f>
        <v>617335.98277436732</v>
      </c>
      <c r="AG64" s="1603">
        <f>+AI63</f>
        <v>158582.31428571441</v>
      </c>
      <c r="AH64" s="1599">
        <f>+AG$32</f>
        <v>6218.9142857142861</v>
      </c>
      <c r="AI64" s="1599">
        <f t="shared" si="11"/>
        <v>152363.40000000014</v>
      </c>
      <c r="AJ64" s="1567">
        <f>+AG$29*AI64+AH64</f>
        <v>20600.476410576233</v>
      </c>
      <c r="AK64" s="1603">
        <f>+AM63</f>
        <v>3682958.4428571407</v>
      </c>
      <c r="AL64" s="1599">
        <f>+AK$32</f>
        <v>144429.74285714285</v>
      </c>
      <c r="AM64" s="1599">
        <f t="shared" si="12"/>
        <v>3538528.6999999979</v>
      </c>
      <c r="AN64" s="1567">
        <f>+AK$29*AM64+AL64</f>
        <v>478431.02091773285</v>
      </c>
      <c r="AO64" s="1603">
        <f>+AQ63</f>
        <v>12162378.799999993</v>
      </c>
      <c r="AP64" s="1599">
        <f>+AO$32</f>
        <v>467783.8</v>
      </c>
      <c r="AQ64" s="1599">
        <f t="shared" si="13"/>
        <v>11694594.999999993</v>
      </c>
      <c r="AR64" s="1567">
        <f>+AO$29*AQ64+AP64</f>
        <v>1571635.1482739269</v>
      </c>
      <c r="AS64" s="1603">
        <f>+AU63</f>
        <v>7950672.1047619078</v>
      </c>
      <c r="AT64" s="1599">
        <f>+AS$32</f>
        <v>301924.25714285712</v>
      </c>
      <c r="AU64" s="1599">
        <f t="shared" si="14"/>
        <v>7648747.8476190511</v>
      </c>
      <c r="AV64" s="1567">
        <f>+AS$29*AU64+AT64</f>
        <v>1023888.602569235</v>
      </c>
      <c r="AW64" s="1603">
        <f>+AY63</f>
        <v>5340689.5463333344</v>
      </c>
      <c r="AX64" s="1599">
        <f>+AW$32</f>
        <v>207049.8</v>
      </c>
      <c r="AY64" s="1599">
        <f t="shared" si="15"/>
        <v>5133639.7463333346</v>
      </c>
      <c r="AZ64" s="1567">
        <f>+AW$29*AY64+AX64</f>
        <v>691613.40870493371</v>
      </c>
      <c r="BA64" s="1603">
        <f>+BC63</f>
        <v>5272459.0666666664</v>
      </c>
      <c r="BB64" s="1599">
        <f>+BA$32</f>
        <v>155836.22857142857</v>
      </c>
      <c r="BC64" s="1599">
        <f t="shared" si="16"/>
        <v>5116622.8380952375</v>
      </c>
      <c r="BD64" s="1567">
        <f>+BA$29*BC64+BB64</f>
        <v>638793.61345227296</v>
      </c>
      <c r="BE64" s="1600">
        <f t="shared" si="17"/>
        <v>9427299.5333681423</v>
      </c>
      <c r="BF64" s="1559"/>
      <c r="BG64" s="1601">
        <f>+BE64</f>
        <v>9427299.5333681423</v>
      </c>
      <c r="BU64" s="1604"/>
      <c r="BV64" s="1604"/>
      <c r="BW64" s="1604"/>
      <c r="BX64" s="1604"/>
      <c r="BY64" s="1604"/>
    </row>
    <row r="65" spans="1:77" ht="13">
      <c r="A65" s="1530">
        <f t="shared" si="0"/>
        <v>50</v>
      </c>
      <c r="C65" s="1549" t="str">
        <f t="shared" si="2"/>
        <v>W Increased ROE</v>
      </c>
      <c r="D65" s="1598">
        <f t="shared" si="1"/>
        <v>2022</v>
      </c>
      <c r="E65" s="1599">
        <f>+E64</f>
        <v>9442993.5000000037</v>
      </c>
      <c r="F65" s="1599">
        <f>+F64</f>
        <v>419688.6</v>
      </c>
      <c r="G65" s="1599">
        <f t="shared" si="4"/>
        <v>9023304.9000000041</v>
      </c>
      <c r="H65" s="1605">
        <f>+E$30*G65+F65</f>
        <v>1345558.0777430001</v>
      </c>
      <c r="I65" s="1599">
        <f>+I64</f>
        <v>1992281.1428571432</v>
      </c>
      <c r="J65" s="1599">
        <f>+J64</f>
        <v>88545.828571428574</v>
      </c>
      <c r="K65" s="1599">
        <f t="shared" si="5"/>
        <v>1903735.3142857146</v>
      </c>
      <c r="L65" s="1567">
        <f>+I$30*K65+J65</f>
        <v>283885.61158137873</v>
      </c>
      <c r="M65" s="1603">
        <f>+M64</f>
        <v>1554889.5</v>
      </c>
      <c r="N65" s="1599">
        <f>+N64</f>
        <v>69106.2</v>
      </c>
      <c r="O65" s="1599">
        <f t="shared" si="6"/>
        <v>1485783.3</v>
      </c>
      <c r="P65" s="1567">
        <f>+M$30*O65+N65</f>
        <v>221560.47515258525</v>
      </c>
      <c r="Q65" s="1603">
        <f>+Q64</f>
        <v>4307028.3000000017</v>
      </c>
      <c r="R65" s="1599">
        <f>+R64</f>
        <v>183277.8</v>
      </c>
      <c r="S65" s="1599">
        <f t="shared" si="7"/>
        <v>4123750.5000000019</v>
      </c>
      <c r="T65" s="1567">
        <f>+Q$30*S65+R65</f>
        <v>606410.42868657317</v>
      </c>
      <c r="U65" s="1603">
        <f>+U64</f>
        <v>5745982.6285714321</v>
      </c>
      <c r="V65" s="1599">
        <f>+V64</f>
        <v>239415.94285714286</v>
      </c>
      <c r="W65" s="1599">
        <f t="shared" si="8"/>
        <v>5506566.6857142895</v>
      </c>
      <c r="X65" s="1567">
        <f>+U$30*W65+V65</f>
        <v>804437.52618625003</v>
      </c>
      <c r="Y65" s="1603">
        <f>+Y64</f>
        <v>9842359.6428571343</v>
      </c>
      <c r="Z65" s="1599">
        <f>+Z64</f>
        <v>414415.14285714284</v>
      </c>
      <c r="AA65" s="1599">
        <f t="shared" si="9"/>
        <v>9427944.4999999907</v>
      </c>
      <c r="AB65" s="1567">
        <f>+Y$30*AA65+Z65</f>
        <v>1381804.1590927551</v>
      </c>
      <c r="AC65" s="1603">
        <f>+AC64</f>
        <v>4708757.4285714244</v>
      </c>
      <c r="AD65" s="1599">
        <f>+AD64</f>
        <v>190895.57142857142</v>
      </c>
      <c r="AE65" s="1599">
        <f t="shared" si="10"/>
        <v>4517861.8571428526</v>
      </c>
      <c r="AF65" s="1567">
        <f>+AC$30*AE65+AD65</f>
        <v>654467.44942062197</v>
      </c>
      <c r="AG65" s="1603">
        <f>+AG64</f>
        <v>158582.31428571441</v>
      </c>
      <c r="AH65" s="1599">
        <f>+AH64</f>
        <v>6218.9142857142861</v>
      </c>
      <c r="AI65" s="1599">
        <f t="shared" si="11"/>
        <v>152363.40000000014</v>
      </c>
      <c r="AJ65" s="1567">
        <f>+AG$30*AI65+AH65</f>
        <v>20600.476410576233</v>
      </c>
      <c r="AK65" s="1603">
        <f>+AK64</f>
        <v>3682958.4428571407</v>
      </c>
      <c r="AL65" s="1599">
        <f>+AL64</f>
        <v>144429.74285714285</v>
      </c>
      <c r="AM65" s="1599">
        <f t="shared" si="12"/>
        <v>3538528.6999999979</v>
      </c>
      <c r="AN65" s="1567">
        <f>+AK$30*AM65+AL65</f>
        <v>478431.02091773285</v>
      </c>
      <c r="AO65" s="1603">
        <f>+AO64</f>
        <v>12162378.799999993</v>
      </c>
      <c r="AP65" s="1599">
        <f>+AP64</f>
        <v>467783.8</v>
      </c>
      <c r="AQ65" s="1599">
        <f t="shared" si="13"/>
        <v>11694594.999999993</v>
      </c>
      <c r="AR65" s="1567">
        <f>+AO$30*AQ65+AP65</f>
        <v>1667750.8503282994</v>
      </c>
      <c r="AS65" s="1603">
        <f>+AS64</f>
        <v>7950672.1047619078</v>
      </c>
      <c r="AT65" s="1599">
        <f>+AT64</f>
        <v>301924.25714285712</v>
      </c>
      <c r="AU65" s="1599">
        <f t="shared" si="14"/>
        <v>7648747.8476190511</v>
      </c>
      <c r="AV65" s="1567">
        <f>+AS$30*AU65+AT65</f>
        <v>1023888.602569235</v>
      </c>
      <c r="AW65" s="1603">
        <f>+AW64</f>
        <v>5340689.5463333344</v>
      </c>
      <c r="AX65" s="1599">
        <f>+AX64</f>
        <v>207049.8</v>
      </c>
      <c r="AY65" s="1599">
        <f t="shared" si="15"/>
        <v>5133639.7463333346</v>
      </c>
      <c r="AZ65" s="1567">
        <f>+AW$30*AY65+AX65</f>
        <v>691613.40870493371</v>
      </c>
      <c r="BA65" s="1603">
        <f>+BA64</f>
        <v>5272459.0666666664</v>
      </c>
      <c r="BB65" s="1599">
        <f>+BB64</f>
        <v>155836.22857142857</v>
      </c>
      <c r="BC65" s="1599">
        <f t="shared" si="16"/>
        <v>5116622.8380952375</v>
      </c>
      <c r="BD65" s="1567">
        <f>+BA$30*BC65+BB65</f>
        <v>638793.61345227296</v>
      </c>
      <c r="BE65" s="1600">
        <f t="shared" si="17"/>
        <v>9819201.700246213</v>
      </c>
      <c r="BF65" s="1602">
        <f>+BE65</f>
        <v>9819201.700246213</v>
      </c>
      <c r="BG65" s="1560"/>
      <c r="BH65" s="1606">
        <f>BF65-BG64</f>
        <v>391902.16687807068</v>
      </c>
      <c r="BU65" s="1604"/>
      <c r="BV65" s="1604"/>
      <c r="BW65" s="1604"/>
      <c r="BX65" s="1604"/>
      <c r="BY65" s="1604"/>
    </row>
    <row r="66" spans="1:77" ht="13">
      <c r="A66" s="1530">
        <f t="shared" si="0"/>
        <v>51</v>
      </c>
      <c r="C66" s="1549" t="str">
        <f t="shared" si="2"/>
        <v>Base FCR</v>
      </c>
      <c r="D66" s="1598">
        <f t="shared" si="1"/>
        <v>2023</v>
      </c>
      <c r="E66" s="1599">
        <f>+G65</f>
        <v>9023304.9000000041</v>
      </c>
      <c r="F66" s="1599">
        <f>+E$32</f>
        <v>419688.6</v>
      </c>
      <c r="G66" s="1599">
        <f t="shared" si="4"/>
        <v>8603616.3000000045</v>
      </c>
      <c r="H66" s="1605">
        <f>+E$29*G66+F66</f>
        <v>1231782.8583121984</v>
      </c>
      <c r="I66" s="1599">
        <f>+K65</f>
        <v>1903735.3142857146</v>
      </c>
      <c r="J66" s="1599">
        <f>+I$32</f>
        <v>88545.828571428574</v>
      </c>
      <c r="K66" s="1599">
        <f t="shared" si="5"/>
        <v>1815189.4857142861</v>
      </c>
      <c r="L66" s="1567">
        <f>+I$29*K66+J66</f>
        <v>259881.33537421841</v>
      </c>
      <c r="M66" s="1603">
        <f>+O65</f>
        <v>1485783.3</v>
      </c>
      <c r="N66" s="1599">
        <f>+M$32</f>
        <v>69106.2</v>
      </c>
      <c r="O66" s="1599">
        <f t="shared" si="6"/>
        <v>1416677.1</v>
      </c>
      <c r="P66" s="1567">
        <f>+M$29*O66+N66</f>
        <v>202826.17293654016</v>
      </c>
      <c r="Q66" s="1603">
        <f>+S65</f>
        <v>4123750.5000000019</v>
      </c>
      <c r="R66" s="1599">
        <f>+Q$32</f>
        <v>183277.8</v>
      </c>
      <c r="S66" s="1599">
        <f t="shared" si="7"/>
        <v>3940472.700000002</v>
      </c>
      <c r="T66" s="1567">
        <f>+Q$29*S66+R66</f>
        <v>555218.52156680985</v>
      </c>
      <c r="U66" s="1603">
        <f>+W65</f>
        <v>5506566.6857142895</v>
      </c>
      <c r="V66" s="1599">
        <f>+U$32</f>
        <v>239415.94285714286</v>
      </c>
      <c r="W66" s="1599">
        <f t="shared" si="8"/>
        <v>5267150.742857147</v>
      </c>
      <c r="X66" s="1567">
        <f>+U$29*W66+V66</f>
        <v>736581.63769863849</v>
      </c>
      <c r="Y66" s="1603">
        <f>+AA65</f>
        <v>9427944.4999999907</v>
      </c>
      <c r="Z66" s="1599">
        <f>+Y$32</f>
        <v>414415.14285714284</v>
      </c>
      <c r="AA66" s="1599">
        <f t="shared" si="9"/>
        <v>9013529.357142847</v>
      </c>
      <c r="AB66" s="1567">
        <f>+Y$29*AA66+Z66</f>
        <v>1265201.0429749973</v>
      </c>
      <c r="AC66" s="1603">
        <f>+AE65</f>
        <v>4517861.8571428526</v>
      </c>
      <c r="AD66" s="1599">
        <f>+AC$32</f>
        <v>190895.57142857142</v>
      </c>
      <c r="AE66" s="1599">
        <f t="shared" si="10"/>
        <v>4326966.2857142808</v>
      </c>
      <c r="AF66" s="1567">
        <f>+AC$29*AE66+AD66</f>
        <v>599317.37384426326</v>
      </c>
      <c r="AG66" s="1603">
        <f>+AI65</f>
        <v>152363.40000000014</v>
      </c>
      <c r="AH66" s="1599">
        <f>+AG$32</f>
        <v>6218.9142857142861</v>
      </c>
      <c r="AI66" s="1599">
        <f t="shared" si="11"/>
        <v>146144.48571428587</v>
      </c>
      <c r="AJ66" s="1567">
        <f>+AG$29*AI66+AH66</f>
        <v>20013.473874867585</v>
      </c>
      <c r="AK66" s="1603">
        <f>+AM65</f>
        <v>3538528.6999999979</v>
      </c>
      <c r="AL66" s="1599">
        <f>+AK$32</f>
        <v>144429.74285714285</v>
      </c>
      <c r="AM66" s="1599">
        <f t="shared" si="12"/>
        <v>3394098.957142855</v>
      </c>
      <c r="AN66" s="1567">
        <f>+AK$29*AM66+AL66</f>
        <v>464798.31569077005</v>
      </c>
      <c r="AO66" s="1603">
        <f>+AQ65</f>
        <v>11694594.999999993</v>
      </c>
      <c r="AP66" s="1599">
        <f>+AO$32</f>
        <v>467783.8</v>
      </c>
      <c r="AQ66" s="1599">
        <f t="shared" si="13"/>
        <v>11226811.199999992</v>
      </c>
      <c r="AR66" s="1567">
        <f>+AO$29*AQ66+AP66</f>
        <v>1527481.0943429698</v>
      </c>
      <c r="AS66" s="1603">
        <f>+AU65</f>
        <v>7648747.8476190511</v>
      </c>
      <c r="AT66" s="1599">
        <f>+AS$32</f>
        <v>301924.25714285712</v>
      </c>
      <c r="AU66" s="1599">
        <f t="shared" si="14"/>
        <v>7346823.5904761944</v>
      </c>
      <c r="AV66" s="1567">
        <f>+AS$29*AU66+AT66</f>
        <v>995390.00998661481</v>
      </c>
      <c r="AW66" s="1603">
        <f>+AY65</f>
        <v>5133639.7463333346</v>
      </c>
      <c r="AX66" s="1599">
        <f>+AW$32</f>
        <v>207049.8</v>
      </c>
      <c r="AY66" s="1599">
        <f t="shared" si="15"/>
        <v>4926589.9463333348</v>
      </c>
      <c r="AZ66" s="1567">
        <f>+AW$29*AY66+AX66</f>
        <v>672070.00417576055</v>
      </c>
      <c r="BA66" s="1603">
        <f>+BC65</f>
        <v>5116622.8380952375</v>
      </c>
      <c r="BB66" s="1599">
        <f>+BA$32</f>
        <v>155836.22857142857</v>
      </c>
      <c r="BC66" s="1599">
        <f t="shared" si="16"/>
        <v>4960786.6095238086</v>
      </c>
      <c r="BD66" s="1567">
        <f>+BA$29*BC66+BB66</f>
        <v>624084.25147620658</v>
      </c>
      <c r="BE66" s="1600">
        <f t="shared" si="17"/>
        <v>9154646.0922548529</v>
      </c>
      <c r="BF66" s="1559"/>
      <c r="BG66" s="1601">
        <f>+BE66</f>
        <v>9154646.0922548529</v>
      </c>
      <c r="BU66" s="1604"/>
      <c r="BV66" s="1604"/>
      <c r="BW66" s="1604"/>
      <c r="BX66" s="1604"/>
      <c r="BY66" s="1604"/>
    </row>
    <row r="67" spans="1:77" ht="13">
      <c r="A67" s="1530">
        <f t="shared" si="0"/>
        <v>52</v>
      </c>
      <c r="C67" s="1549" t="str">
        <f t="shared" si="2"/>
        <v>W Increased ROE</v>
      </c>
      <c r="D67" s="1598">
        <f t="shared" si="1"/>
        <v>2023</v>
      </c>
      <c r="E67" s="1599">
        <f>+E66</f>
        <v>9023304.9000000041</v>
      </c>
      <c r="F67" s="1599">
        <f>+F66</f>
        <v>419688.6</v>
      </c>
      <c r="G67" s="1599">
        <f t="shared" si="4"/>
        <v>8603616.3000000045</v>
      </c>
      <c r="H67" s="1605">
        <f>+E$30*G67+F67</f>
        <v>1302494.3811037908</v>
      </c>
      <c r="I67" s="1599">
        <f>+I66</f>
        <v>1903735.3142857146</v>
      </c>
      <c r="J67" s="1599">
        <f>+J66</f>
        <v>88545.828571428574</v>
      </c>
      <c r="K67" s="1599">
        <f t="shared" si="5"/>
        <v>1815189.4857142861</v>
      </c>
      <c r="L67" s="1567">
        <f>+I$30*K67+J67</f>
        <v>274800.0402785904</v>
      </c>
      <c r="M67" s="1603">
        <f>+M66</f>
        <v>1485783.3</v>
      </c>
      <c r="N67" s="1599">
        <f>+N66</f>
        <v>69106.2</v>
      </c>
      <c r="O67" s="1599">
        <f t="shared" si="6"/>
        <v>1416677.1</v>
      </c>
      <c r="P67" s="1567">
        <f>+M$30*O67+N67</f>
        <v>214469.57863386034</v>
      </c>
      <c r="Q67" s="1603">
        <f>+Q66</f>
        <v>4123750.5000000019</v>
      </c>
      <c r="R67" s="1599">
        <f>+R66</f>
        <v>183277.8</v>
      </c>
      <c r="S67" s="1599">
        <f t="shared" si="7"/>
        <v>3940472.700000002</v>
      </c>
      <c r="T67" s="1567">
        <f>+Q$30*S67+R67</f>
        <v>587604.53407828102</v>
      </c>
      <c r="U67" s="1603">
        <f>+U66</f>
        <v>5506566.6857142895</v>
      </c>
      <c r="V67" s="1599">
        <f>+V66</f>
        <v>239415.94285714286</v>
      </c>
      <c r="W67" s="1599">
        <f t="shared" si="8"/>
        <v>5267150.742857147</v>
      </c>
      <c r="X67" s="1567">
        <f>+U$30*W67+V67</f>
        <v>779871.3703893323</v>
      </c>
      <c r="Y67" s="1603">
        <f>+Y66</f>
        <v>9427944.4999999907</v>
      </c>
      <c r="Z67" s="1599">
        <f>+Z66</f>
        <v>414415.14285714284</v>
      </c>
      <c r="AA67" s="1599">
        <f t="shared" si="9"/>
        <v>9013529.357142847</v>
      </c>
      <c r="AB67" s="1567">
        <f>+Y$30*AA67+Z67</f>
        <v>1339281.5649725082</v>
      </c>
      <c r="AC67" s="1603">
        <f>+AC66</f>
        <v>4517861.8571428526</v>
      </c>
      <c r="AD67" s="1599">
        <f>+AD66</f>
        <v>190895.57142857142</v>
      </c>
      <c r="AE67" s="1599">
        <f t="shared" si="10"/>
        <v>4326966.2857142808</v>
      </c>
      <c r="AF67" s="1567">
        <f>+AC$30*AE67+AD67</f>
        <v>634879.90528011275</v>
      </c>
      <c r="AG67" s="1603">
        <f>+AG66</f>
        <v>152363.40000000014</v>
      </c>
      <c r="AH67" s="1599">
        <f>+AH66</f>
        <v>6218.9142857142861</v>
      </c>
      <c r="AI67" s="1599">
        <f t="shared" si="11"/>
        <v>146144.48571428587</v>
      </c>
      <c r="AJ67" s="1567">
        <f>+AG$30*AI67+AH67</f>
        <v>20013.473874867585</v>
      </c>
      <c r="AK67" s="1603">
        <f>+AK66</f>
        <v>3538528.6999999979</v>
      </c>
      <c r="AL67" s="1599">
        <f>+AL66</f>
        <v>144429.74285714285</v>
      </c>
      <c r="AM67" s="1599">
        <f t="shared" si="12"/>
        <v>3394098.957142855</v>
      </c>
      <c r="AN67" s="1567">
        <f>+AK$30*AM67+AL67</f>
        <v>464798.31569077005</v>
      </c>
      <c r="AO67" s="1603">
        <f>+AO66</f>
        <v>11694594.999999993</v>
      </c>
      <c r="AP67" s="1599">
        <f>+AP66</f>
        <v>467783.8</v>
      </c>
      <c r="AQ67" s="1599">
        <f t="shared" si="13"/>
        <v>11226811.199999992</v>
      </c>
      <c r="AR67" s="1567">
        <f>+AO$30*AQ67+AP67</f>
        <v>1619752.1683151673</v>
      </c>
      <c r="AS67" s="1603">
        <f>+AS66</f>
        <v>7648747.8476190511</v>
      </c>
      <c r="AT67" s="1599">
        <f>+AT66</f>
        <v>301924.25714285712</v>
      </c>
      <c r="AU67" s="1599">
        <f t="shared" si="14"/>
        <v>7346823.5904761944</v>
      </c>
      <c r="AV67" s="1567">
        <f>+AS$30*AU67+AT67</f>
        <v>995390.00998661481</v>
      </c>
      <c r="AW67" s="1603">
        <f>+AW66</f>
        <v>5133639.7463333346</v>
      </c>
      <c r="AX67" s="1599">
        <f>+AX66</f>
        <v>207049.8</v>
      </c>
      <c r="AY67" s="1599">
        <f t="shared" si="15"/>
        <v>4926589.9463333348</v>
      </c>
      <c r="AZ67" s="1567">
        <f>+AW$30*AY67+AX67</f>
        <v>672070.00417576055</v>
      </c>
      <c r="BA67" s="1603">
        <f>+BA66</f>
        <v>5116622.8380952375</v>
      </c>
      <c r="BB67" s="1599">
        <f>+BB66</f>
        <v>155836.22857142857</v>
      </c>
      <c r="BC67" s="1599">
        <f t="shared" si="16"/>
        <v>4960786.6095238086</v>
      </c>
      <c r="BD67" s="1567">
        <f>+BA$30*BC67+BB67</f>
        <v>624084.25147620658</v>
      </c>
      <c r="BE67" s="1600">
        <f t="shared" si="17"/>
        <v>9529509.5982558634</v>
      </c>
      <c r="BF67" s="1602">
        <f>+BE67</f>
        <v>9529509.5982558634</v>
      </c>
      <c r="BG67" s="1560"/>
      <c r="BU67" s="1604"/>
      <c r="BV67" s="1604"/>
      <c r="BW67" s="1604"/>
      <c r="BX67" s="1604"/>
      <c r="BY67" s="1604"/>
    </row>
    <row r="68" spans="1:77" ht="13">
      <c r="A68" s="1530">
        <f t="shared" si="0"/>
        <v>53</v>
      </c>
      <c r="C68" s="1549" t="str">
        <f t="shared" si="2"/>
        <v>Base FCR</v>
      </c>
      <c r="D68" s="1598">
        <f t="shared" si="1"/>
        <v>2024</v>
      </c>
      <c r="E68" s="1599">
        <f>+G67</f>
        <v>8603616.3000000045</v>
      </c>
      <c r="F68" s="1599">
        <f>+E$32</f>
        <v>419688.6</v>
      </c>
      <c r="G68" s="1599">
        <f t="shared" si="4"/>
        <v>8183927.7000000048</v>
      </c>
      <c r="H68" s="1605">
        <f>+E$29*G68+F68</f>
        <v>1192168.5042481888</v>
      </c>
      <c r="I68" s="1599">
        <f>+K67</f>
        <v>1815189.4857142861</v>
      </c>
      <c r="J68" s="1599">
        <f>+I$32</f>
        <v>88545.828571428574</v>
      </c>
      <c r="K68" s="1599">
        <f t="shared" si="5"/>
        <v>1726643.6571428576</v>
      </c>
      <c r="L68" s="1567">
        <f>+I$29*K68+J68</f>
        <v>251523.50577408232</v>
      </c>
      <c r="M68" s="1603">
        <f>+O67</f>
        <v>1416677.1</v>
      </c>
      <c r="N68" s="1599">
        <f>+M$32</f>
        <v>69106.2</v>
      </c>
      <c r="O68" s="1599">
        <f t="shared" si="6"/>
        <v>1347570.9000000001</v>
      </c>
      <c r="P68" s="1567">
        <f>+M$29*O68+N68</f>
        <v>196303.24742744066</v>
      </c>
      <c r="Q68" s="1603">
        <f>+S67</f>
        <v>3940472.700000002</v>
      </c>
      <c r="R68" s="1599">
        <f>+Q$32</f>
        <v>183277.8</v>
      </c>
      <c r="S68" s="1599">
        <f t="shared" si="7"/>
        <v>3757194.9000000022</v>
      </c>
      <c r="T68" s="1567">
        <f>+Q$29*S68+R68</f>
        <v>537918.95312184189</v>
      </c>
      <c r="U68" s="1603">
        <f>+W67</f>
        <v>5267150.742857147</v>
      </c>
      <c r="V68" s="1599">
        <f>+U$32</f>
        <v>239415.94285714286</v>
      </c>
      <c r="W68" s="1599">
        <f t="shared" si="8"/>
        <v>5027734.8000000045</v>
      </c>
      <c r="X68" s="1567">
        <f>+U$29*W68+V68</f>
        <v>713983.19702402514</v>
      </c>
      <c r="Y68" s="1603">
        <f>+AA67</f>
        <v>9013529.357142847</v>
      </c>
      <c r="Z68" s="1599">
        <f>+Y$32</f>
        <v>414415.14285714284</v>
      </c>
      <c r="AA68" s="1599">
        <f t="shared" si="9"/>
        <v>8599114.2142857034</v>
      </c>
      <c r="AB68" s="1567">
        <f>+Y$29*AA68+Z68</f>
        <v>1226084.4498661302</v>
      </c>
      <c r="AC68" s="1603">
        <f>+AE67</f>
        <v>4326966.2857142808</v>
      </c>
      <c r="AD68" s="1599">
        <f>+AC$32</f>
        <v>190895.57142857142</v>
      </c>
      <c r="AE68" s="1599">
        <f t="shared" si="10"/>
        <v>4136070.7142857094</v>
      </c>
      <c r="AF68" s="1567">
        <f>+AC$29*AE68+AD68</f>
        <v>581298.7649141592</v>
      </c>
      <c r="AG68" s="1603">
        <f>+AI67</f>
        <v>146144.48571428587</v>
      </c>
      <c r="AH68" s="1599">
        <f>+AG$32</f>
        <v>6218.9142857142861</v>
      </c>
      <c r="AI68" s="1599">
        <f t="shared" si="11"/>
        <v>139925.57142857159</v>
      </c>
      <c r="AJ68" s="1567">
        <f>+AG$29*AI68+AH68</f>
        <v>19426.471339158936</v>
      </c>
      <c r="AK68" s="1603">
        <f>+AM67</f>
        <v>3394098.957142855</v>
      </c>
      <c r="AL68" s="1599">
        <f>+AK$32</f>
        <v>144429.74285714285</v>
      </c>
      <c r="AM68" s="1599">
        <f t="shared" si="12"/>
        <v>3249669.2142857122</v>
      </c>
      <c r="AN68" s="1567">
        <f>+AK$29*AM68+AL68</f>
        <v>451165.61046380713</v>
      </c>
      <c r="AO68" s="1603">
        <f>+AQ67</f>
        <v>11226811.199999992</v>
      </c>
      <c r="AP68" s="1599">
        <f>+AO$32</f>
        <v>467783.8</v>
      </c>
      <c r="AQ68" s="1599">
        <f t="shared" si="13"/>
        <v>10759027.399999991</v>
      </c>
      <c r="AR68" s="1567">
        <f>+AO$29*AQ68+AP68</f>
        <v>1483327.0404120125</v>
      </c>
      <c r="AS68" s="1603">
        <f>+AU67</f>
        <v>7346823.5904761944</v>
      </c>
      <c r="AT68" s="1599">
        <f>+AS$32</f>
        <v>301924.25714285712</v>
      </c>
      <c r="AU68" s="1599">
        <f t="shared" si="14"/>
        <v>7044899.3333333377</v>
      </c>
      <c r="AV68" s="1567">
        <f>+AS$29*AU68+AT68</f>
        <v>966891.41740399483</v>
      </c>
      <c r="AW68" s="1603">
        <f>+AY67</f>
        <v>4926589.9463333348</v>
      </c>
      <c r="AX68" s="1599">
        <f>+AW$32</f>
        <v>207049.8</v>
      </c>
      <c r="AY68" s="1599">
        <f t="shared" si="15"/>
        <v>4719540.146333335</v>
      </c>
      <c r="AZ68" s="1567">
        <f>+AW$29*AY68+AX68</f>
        <v>652526.59964658727</v>
      </c>
      <c r="BA68" s="1603">
        <f>+BC67</f>
        <v>4960786.6095238086</v>
      </c>
      <c r="BB68" s="1599">
        <f>+BA$32</f>
        <v>155836.22857142857</v>
      </c>
      <c r="BC68" s="1599">
        <f t="shared" si="16"/>
        <v>4804950.3809523797</v>
      </c>
      <c r="BD68" s="1567">
        <f>+BA$29*BC68+BB68</f>
        <v>609374.88950014021</v>
      </c>
      <c r="BE68" s="1600">
        <f t="shared" si="17"/>
        <v>8881992.651141569</v>
      </c>
      <c r="BF68" s="1559"/>
      <c r="BG68" s="1601">
        <f>+BE68</f>
        <v>8881992.651141569</v>
      </c>
      <c r="BU68" s="1604"/>
      <c r="BV68" s="1604"/>
      <c r="BW68" s="1604"/>
      <c r="BX68" s="1604"/>
      <c r="BY68" s="1604"/>
    </row>
    <row r="69" spans="1:77" ht="13">
      <c r="A69" s="1530">
        <f t="shared" si="0"/>
        <v>54</v>
      </c>
      <c r="C69" s="1549" t="str">
        <f t="shared" si="2"/>
        <v>W Increased ROE</v>
      </c>
      <c r="D69" s="1598">
        <f t="shared" si="1"/>
        <v>2024</v>
      </c>
      <c r="E69" s="1599">
        <f>+E68</f>
        <v>8603616.3000000045</v>
      </c>
      <c r="F69" s="1599">
        <f>+F68</f>
        <v>419688.6</v>
      </c>
      <c r="G69" s="1599">
        <f t="shared" si="4"/>
        <v>8183927.7000000048</v>
      </c>
      <c r="H69" s="1605">
        <f>+E$30*G69+F69</f>
        <v>1259430.6844645818</v>
      </c>
      <c r="I69" s="1599">
        <f>+I68</f>
        <v>1815189.4857142861</v>
      </c>
      <c r="J69" s="1599">
        <f>+J68</f>
        <v>88545.828571428574</v>
      </c>
      <c r="K69" s="1599">
        <f t="shared" si="5"/>
        <v>1726643.6571428576</v>
      </c>
      <c r="L69" s="1567">
        <f>+I$30*K69+J69</f>
        <v>265714.46897580201</v>
      </c>
      <c r="M69" s="1603">
        <f>+M68</f>
        <v>1416677.1</v>
      </c>
      <c r="N69" s="1599">
        <f>+N68</f>
        <v>69106.2</v>
      </c>
      <c r="O69" s="1599">
        <f t="shared" si="6"/>
        <v>1347570.9000000001</v>
      </c>
      <c r="P69" s="1567">
        <f>+M$30*O69+N69</f>
        <v>207378.68211513548</v>
      </c>
      <c r="Q69" s="1603">
        <f>+Q68</f>
        <v>3940472.700000002</v>
      </c>
      <c r="R69" s="1599">
        <f>+R68</f>
        <v>183277.8</v>
      </c>
      <c r="S69" s="1599">
        <f t="shared" si="7"/>
        <v>3757194.9000000022</v>
      </c>
      <c r="T69" s="1567">
        <f>+Q$30*S69+R69</f>
        <v>568798.63946998888</v>
      </c>
      <c r="U69" s="1603">
        <f>+U68</f>
        <v>5267150.742857147</v>
      </c>
      <c r="V69" s="1599">
        <f>+V68</f>
        <v>239415.94285714286</v>
      </c>
      <c r="W69" s="1599">
        <f t="shared" si="8"/>
        <v>5027734.8000000045</v>
      </c>
      <c r="X69" s="1567">
        <f>+U$30*W69+V69</f>
        <v>755305.21459241468</v>
      </c>
      <c r="Y69" s="1603">
        <f>+Y68</f>
        <v>9013529.357142847</v>
      </c>
      <c r="Z69" s="1599">
        <f>+Z68</f>
        <v>414415.14285714284</v>
      </c>
      <c r="AA69" s="1599">
        <f t="shared" si="9"/>
        <v>8599114.2142857034</v>
      </c>
      <c r="AB69" s="1567">
        <f>+Y$30*AA69+Z69</f>
        <v>1296758.9708522614</v>
      </c>
      <c r="AC69" s="1603">
        <f>+AC68</f>
        <v>4326966.2857142808</v>
      </c>
      <c r="AD69" s="1599">
        <f>+AD68</f>
        <v>190895.57142857142</v>
      </c>
      <c r="AE69" s="1599">
        <f t="shared" si="10"/>
        <v>4136070.7142857094</v>
      </c>
      <c r="AF69" s="1567">
        <f>+AC$30*AE69+AD69</f>
        <v>615292.36113960354</v>
      </c>
      <c r="AG69" s="1603">
        <f>+AG68</f>
        <v>146144.48571428587</v>
      </c>
      <c r="AH69" s="1599">
        <f>+AH68</f>
        <v>6218.9142857142861</v>
      </c>
      <c r="AI69" s="1599">
        <f t="shared" si="11"/>
        <v>139925.57142857159</v>
      </c>
      <c r="AJ69" s="1567">
        <f>+AG$30*AI69+AH69</f>
        <v>19426.471339158936</v>
      </c>
      <c r="AK69" s="1603">
        <f>+AK68</f>
        <v>3394098.957142855</v>
      </c>
      <c r="AL69" s="1599">
        <f>+AL68</f>
        <v>144429.74285714285</v>
      </c>
      <c r="AM69" s="1599">
        <f t="shared" si="12"/>
        <v>3249669.2142857122</v>
      </c>
      <c r="AN69" s="1567">
        <f>+AK$30*AM69+AL69</f>
        <v>451165.61046380713</v>
      </c>
      <c r="AO69" s="1603">
        <f>+AO68</f>
        <v>11226811.199999992</v>
      </c>
      <c r="AP69" s="1599">
        <f>+AP68</f>
        <v>467783.8</v>
      </c>
      <c r="AQ69" s="1599">
        <f t="shared" si="13"/>
        <v>10759027.399999991</v>
      </c>
      <c r="AR69" s="1567">
        <f>+AO$30*AQ69+AP69</f>
        <v>1571753.4863020352</v>
      </c>
      <c r="AS69" s="1603">
        <f>+AS68</f>
        <v>7346823.5904761944</v>
      </c>
      <c r="AT69" s="1599">
        <f>+AT68</f>
        <v>301924.25714285712</v>
      </c>
      <c r="AU69" s="1599">
        <f t="shared" si="14"/>
        <v>7044899.3333333377</v>
      </c>
      <c r="AV69" s="1567">
        <f>+AS$30*AU69+AT69</f>
        <v>966891.41740399483</v>
      </c>
      <c r="AW69" s="1603">
        <f>+AW68</f>
        <v>4926589.9463333348</v>
      </c>
      <c r="AX69" s="1599">
        <f>+AX68</f>
        <v>207049.8</v>
      </c>
      <c r="AY69" s="1599">
        <f t="shared" si="15"/>
        <v>4719540.146333335</v>
      </c>
      <c r="AZ69" s="1567">
        <f>+AW$30*AY69+AX69</f>
        <v>652526.59964658727</v>
      </c>
      <c r="BA69" s="1603">
        <f>+BA68</f>
        <v>4960786.6095238086</v>
      </c>
      <c r="BB69" s="1599">
        <f>+BB68</f>
        <v>155836.22857142857</v>
      </c>
      <c r="BC69" s="1599">
        <f t="shared" si="16"/>
        <v>4804950.3809523797</v>
      </c>
      <c r="BD69" s="1567">
        <f>+BA$30*BC69+BB69</f>
        <v>609374.88950014021</v>
      </c>
      <c r="BE69" s="1600">
        <f t="shared" si="17"/>
        <v>9239817.496265512</v>
      </c>
      <c r="BF69" s="1602">
        <f>+BE69</f>
        <v>9239817.496265512</v>
      </c>
      <c r="BG69" s="1560"/>
      <c r="BU69" s="1604"/>
      <c r="BV69" s="1604"/>
      <c r="BW69" s="1604"/>
      <c r="BX69" s="1604"/>
      <c r="BY69" s="1604"/>
    </row>
    <row r="70" spans="1:77" ht="13">
      <c r="A70" s="1530">
        <f t="shared" si="0"/>
        <v>55</v>
      </c>
      <c r="C70" s="1549" t="str">
        <f t="shared" si="2"/>
        <v>Base FCR</v>
      </c>
      <c r="D70" s="1598">
        <f t="shared" si="1"/>
        <v>2025</v>
      </c>
      <c r="E70" s="1599">
        <f>+G69</f>
        <v>8183927.7000000048</v>
      </c>
      <c r="F70" s="1599">
        <f>+E$32</f>
        <v>419688.6</v>
      </c>
      <c r="G70" s="1599">
        <f t="shared" si="4"/>
        <v>7764239.1000000052</v>
      </c>
      <c r="H70" s="1605">
        <f>+E$29*G70+F70</f>
        <v>1152554.1501841792</v>
      </c>
      <c r="I70" s="1599">
        <f>+K69</f>
        <v>1726643.6571428576</v>
      </c>
      <c r="J70" s="1599">
        <f>+I$32</f>
        <v>88545.828571428574</v>
      </c>
      <c r="K70" s="1599">
        <f t="shared" si="5"/>
        <v>1638097.828571429</v>
      </c>
      <c r="L70" s="1567">
        <f>+I$29*K70+J70</f>
        <v>243165.67617394624</v>
      </c>
      <c r="M70" s="1603">
        <f>+O69</f>
        <v>1347570.9000000001</v>
      </c>
      <c r="N70" s="1599">
        <f>+M$32</f>
        <v>69106.2</v>
      </c>
      <c r="O70" s="1599">
        <f t="shared" si="6"/>
        <v>1278464.7000000002</v>
      </c>
      <c r="P70" s="1567">
        <f>+M$29*O70+N70</f>
        <v>189780.32191834113</v>
      </c>
      <c r="Q70" s="1603">
        <f>+S69</f>
        <v>3757194.9000000022</v>
      </c>
      <c r="R70" s="1599">
        <f>+Q$32</f>
        <v>183277.8</v>
      </c>
      <c r="S70" s="1599">
        <f t="shared" si="7"/>
        <v>3573917.1000000024</v>
      </c>
      <c r="T70" s="1567">
        <f>+Q$29*S70+R70</f>
        <v>520619.38467687403</v>
      </c>
      <c r="U70" s="1603">
        <f>+W69</f>
        <v>5027734.8000000045</v>
      </c>
      <c r="V70" s="1599">
        <f>+U$32</f>
        <v>239415.94285714286</v>
      </c>
      <c r="W70" s="1599">
        <f t="shared" si="8"/>
        <v>4788318.8571428619</v>
      </c>
      <c r="X70" s="1567">
        <f>+U$29*W70+V70</f>
        <v>691384.75634941179</v>
      </c>
      <c r="Y70" s="1603">
        <f>+AA69</f>
        <v>8599114.2142857034</v>
      </c>
      <c r="Z70" s="1599">
        <f>+Y$32</f>
        <v>414415.14285714284</v>
      </c>
      <c r="AA70" s="1599">
        <f t="shared" si="9"/>
        <v>8184699.0714285607</v>
      </c>
      <c r="AB70" s="1567">
        <f>+Y$29*AA70+Z70</f>
        <v>1186967.8567572632</v>
      </c>
      <c r="AC70" s="1603">
        <f>+AE69</f>
        <v>4136070.7142857094</v>
      </c>
      <c r="AD70" s="1599">
        <f>+AC$32</f>
        <v>190895.57142857142</v>
      </c>
      <c r="AE70" s="1599">
        <f t="shared" si="10"/>
        <v>3945175.1428571381</v>
      </c>
      <c r="AF70" s="1567">
        <f>+AC$29*AE70+AD70</f>
        <v>563280.15598405513</v>
      </c>
      <c r="AG70" s="1603">
        <f>+AI69</f>
        <v>139925.57142857159</v>
      </c>
      <c r="AH70" s="1599">
        <f>+AG$32</f>
        <v>6218.9142857142861</v>
      </c>
      <c r="AI70" s="1599">
        <f t="shared" si="11"/>
        <v>133706.65714285732</v>
      </c>
      <c r="AJ70" s="1567">
        <f>+AG$29*AI70+AH70</f>
        <v>18839.468803450287</v>
      </c>
      <c r="AK70" s="1603">
        <f>+AM69</f>
        <v>3249669.2142857122</v>
      </c>
      <c r="AL70" s="1599">
        <f>+AK$32</f>
        <v>144429.74285714285</v>
      </c>
      <c r="AM70" s="1599">
        <f t="shared" si="12"/>
        <v>3105239.4714285694</v>
      </c>
      <c r="AN70" s="1567">
        <f>+AK$29*AM70+AL70</f>
        <v>437532.90523684432</v>
      </c>
      <c r="AO70" s="1603">
        <f>+AQ69</f>
        <v>10759027.399999991</v>
      </c>
      <c r="AP70" s="1599">
        <f>+AO$32</f>
        <v>467783.8</v>
      </c>
      <c r="AQ70" s="1599">
        <f t="shared" si="13"/>
        <v>10291243.59999999</v>
      </c>
      <c r="AR70" s="1567">
        <f>+AO$29*AQ70+AP70</f>
        <v>1439172.9864810554</v>
      </c>
      <c r="AS70" s="1603">
        <f>+AU69</f>
        <v>7044899.3333333377</v>
      </c>
      <c r="AT70" s="1599">
        <f>+AS$32</f>
        <v>301924.25714285712</v>
      </c>
      <c r="AU70" s="1599">
        <f t="shared" si="14"/>
        <v>6742975.076190481</v>
      </c>
      <c r="AV70" s="1567">
        <f>+AS$29*AU70+AT70</f>
        <v>938392.82482137461</v>
      </c>
      <c r="AW70" s="1603">
        <f>+AY69</f>
        <v>4719540.146333335</v>
      </c>
      <c r="AX70" s="1599">
        <f>+AW$32</f>
        <v>207049.8</v>
      </c>
      <c r="AY70" s="1599">
        <f t="shared" si="15"/>
        <v>4512490.3463333352</v>
      </c>
      <c r="AZ70" s="1567">
        <f>+AW$29*AY70+AX70</f>
        <v>632983.195117414</v>
      </c>
      <c r="BA70" s="1603">
        <f>+BC69</f>
        <v>4804950.3809523797</v>
      </c>
      <c r="BB70" s="1599">
        <f>+BA$32</f>
        <v>155836.22857142857</v>
      </c>
      <c r="BC70" s="1599">
        <f t="shared" si="16"/>
        <v>4649114.1523809507</v>
      </c>
      <c r="BD70" s="1567">
        <f>+BA$29*BC70+BB70</f>
        <v>594665.52752407384</v>
      </c>
      <c r="BE70" s="1600">
        <f t="shared" si="17"/>
        <v>8609339.2100282833</v>
      </c>
      <c r="BF70" s="1559"/>
      <c r="BG70" s="1601">
        <f>+BE70</f>
        <v>8609339.2100282833</v>
      </c>
      <c r="BU70" s="1604"/>
      <c r="BV70" s="1604"/>
      <c r="BW70" s="1604"/>
      <c r="BX70" s="1604"/>
      <c r="BY70" s="1604"/>
    </row>
    <row r="71" spans="1:77" ht="13">
      <c r="A71" s="1530">
        <f t="shared" si="0"/>
        <v>56</v>
      </c>
      <c r="C71" s="1549" t="str">
        <f t="shared" si="2"/>
        <v>W Increased ROE</v>
      </c>
      <c r="D71" s="1598">
        <f t="shared" si="1"/>
        <v>2025</v>
      </c>
      <c r="E71" s="1599">
        <f>+E70</f>
        <v>8183927.7000000048</v>
      </c>
      <c r="F71" s="1599">
        <f>+F70</f>
        <v>419688.6</v>
      </c>
      <c r="G71" s="1599">
        <f t="shared" si="4"/>
        <v>7764239.1000000052</v>
      </c>
      <c r="H71" s="1605">
        <f>+E$30*G71+F71</f>
        <v>1216366.9878253723</v>
      </c>
      <c r="I71" s="1599">
        <f>+I70</f>
        <v>1726643.6571428576</v>
      </c>
      <c r="J71" s="1599">
        <f>+J70</f>
        <v>88545.828571428574</v>
      </c>
      <c r="K71" s="1599">
        <f t="shared" si="5"/>
        <v>1638097.828571429</v>
      </c>
      <c r="L71" s="1567">
        <f>+I$30*K71+J71</f>
        <v>256628.89767301362</v>
      </c>
      <c r="M71" s="1603">
        <f>+M70</f>
        <v>1347570.9000000001</v>
      </c>
      <c r="N71" s="1599">
        <f>+N70</f>
        <v>69106.2</v>
      </c>
      <c r="O71" s="1599">
        <f t="shared" si="6"/>
        <v>1278464.7000000002</v>
      </c>
      <c r="P71" s="1567">
        <f>+M$30*O71+N71</f>
        <v>200287.78559641057</v>
      </c>
      <c r="Q71" s="1603">
        <f>+Q70</f>
        <v>3757194.9000000022</v>
      </c>
      <c r="R71" s="1599">
        <f>+R70</f>
        <v>183277.8</v>
      </c>
      <c r="S71" s="1599">
        <f t="shared" si="7"/>
        <v>3573917.1000000024</v>
      </c>
      <c r="T71" s="1567">
        <f>+Q$30*S71+R71</f>
        <v>549992.74486169685</v>
      </c>
      <c r="U71" s="1603">
        <f>+U70</f>
        <v>5027734.8000000045</v>
      </c>
      <c r="V71" s="1599">
        <f>+V70</f>
        <v>239415.94285714286</v>
      </c>
      <c r="W71" s="1599">
        <f t="shared" si="8"/>
        <v>4788318.8571428619</v>
      </c>
      <c r="X71" s="1567">
        <f>+U$30*W71+V71</f>
        <v>730739.05879549705</v>
      </c>
      <c r="Y71" s="1603">
        <f>+Y70</f>
        <v>8599114.2142857034</v>
      </c>
      <c r="Z71" s="1599">
        <f>+Z70</f>
        <v>414415.14285714284</v>
      </c>
      <c r="AA71" s="1599">
        <f t="shared" si="9"/>
        <v>8184699.0714285607</v>
      </c>
      <c r="AB71" s="1567">
        <f>+Y$30*AA71+Z71</f>
        <v>1254236.3767320146</v>
      </c>
      <c r="AC71" s="1603">
        <f>+AC70</f>
        <v>4136070.7142857094</v>
      </c>
      <c r="AD71" s="1599">
        <f>+AD70</f>
        <v>190895.57142857142</v>
      </c>
      <c r="AE71" s="1599">
        <f t="shared" si="10"/>
        <v>3945175.1428571381</v>
      </c>
      <c r="AF71" s="1567">
        <f>+AC$30*AE71+AD71</f>
        <v>595704.81699909433</v>
      </c>
      <c r="AG71" s="1603">
        <f>+AG70</f>
        <v>139925.57142857159</v>
      </c>
      <c r="AH71" s="1599">
        <f>+AH70</f>
        <v>6218.9142857142861</v>
      </c>
      <c r="AI71" s="1599">
        <f t="shared" si="11"/>
        <v>133706.65714285732</v>
      </c>
      <c r="AJ71" s="1567">
        <f>+AG$30*AI71+AH71</f>
        <v>18839.468803450287</v>
      </c>
      <c r="AK71" s="1603">
        <f>+AK70</f>
        <v>3249669.2142857122</v>
      </c>
      <c r="AL71" s="1599">
        <f>+AL70</f>
        <v>144429.74285714285</v>
      </c>
      <c r="AM71" s="1599">
        <f t="shared" si="12"/>
        <v>3105239.4714285694</v>
      </c>
      <c r="AN71" s="1567">
        <f>+AK$30*AM71+AL71</f>
        <v>437532.90523684432</v>
      </c>
      <c r="AO71" s="1603">
        <f>+AO70</f>
        <v>10759027.399999991</v>
      </c>
      <c r="AP71" s="1599">
        <f>+AP70</f>
        <v>467783.8</v>
      </c>
      <c r="AQ71" s="1599">
        <f t="shared" si="13"/>
        <v>10291243.59999999</v>
      </c>
      <c r="AR71" s="1567">
        <f>+AO$30*AQ71+AP71</f>
        <v>1523754.804288903</v>
      </c>
      <c r="AS71" s="1603">
        <f>+AS70</f>
        <v>7044899.3333333377</v>
      </c>
      <c r="AT71" s="1599">
        <f>+AT70</f>
        <v>301924.25714285712</v>
      </c>
      <c r="AU71" s="1599">
        <f t="shared" si="14"/>
        <v>6742975.076190481</v>
      </c>
      <c r="AV71" s="1567">
        <f>+AS$30*AU71+AT71</f>
        <v>938392.82482137461</v>
      </c>
      <c r="AW71" s="1603">
        <f>+AW70</f>
        <v>4719540.146333335</v>
      </c>
      <c r="AX71" s="1599">
        <f>+AX70</f>
        <v>207049.8</v>
      </c>
      <c r="AY71" s="1599">
        <f t="shared" si="15"/>
        <v>4512490.3463333352</v>
      </c>
      <c r="AZ71" s="1567">
        <f>+AW$30*AY71+AX71</f>
        <v>632983.195117414</v>
      </c>
      <c r="BA71" s="1603">
        <f>+BA70</f>
        <v>4804950.3809523797</v>
      </c>
      <c r="BB71" s="1599">
        <f>+BB70</f>
        <v>155836.22857142857</v>
      </c>
      <c r="BC71" s="1599">
        <f t="shared" si="16"/>
        <v>4649114.1523809507</v>
      </c>
      <c r="BD71" s="1567">
        <f>+BA$30*BC71+BB71</f>
        <v>594665.52752407384</v>
      </c>
      <c r="BE71" s="1600">
        <f t="shared" si="17"/>
        <v>8950125.3942751586</v>
      </c>
      <c r="BF71" s="1602">
        <f>+BE71</f>
        <v>8950125.3942751586</v>
      </c>
      <c r="BG71" s="1560"/>
      <c r="BU71" s="1604"/>
      <c r="BV71" s="1604"/>
      <c r="BW71" s="1604"/>
      <c r="BX71" s="1604"/>
      <c r="BY71" s="1604"/>
    </row>
    <row r="72" spans="1:77" ht="13">
      <c r="A72" s="1530">
        <f t="shared" si="0"/>
        <v>57</v>
      </c>
      <c r="C72" s="1549" t="str">
        <f t="shared" si="2"/>
        <v>Base FCR</v>
      </c>
      <c r="D72" s="1598">
        <f t="shared" si="1"/>
        <v>2026</v>
      </c>
      <c r="E72" s="1599">
        <f>+G71</f>
        <v>7764239.1000000052</v>
      </c>
      <c r="F72" s="1599">
        <f>+E$32</f>
        <v>419688.6</v>
      </c>
      <c r="G72" s="1599">
        <f t="shared" si="4"/>
        <v>7344550.5000000056</v>
      </c>
      <c r="H72" s="1605">
        <f>+E$29*G72+F72</f>
        <v>1112939.7961201696</v>
      </c>
      <c r="I72" s="1599">
        <f>+K71</f>
        <v>1638097.828571429</v>
      </c>
      <c r="J72" s="1599">
        <f>+I$32</f>
        <v>88545.828571428574</v>
      </c>
      <c r="K72" s="1599">
        <f t="shared" si="5"/>
        <v>1549552.0000000005</v>
      </c>
      <c r="L72" s="1567">
        <f>+I$29*K72+J72</f>
        <v>234807.84657381015</v>
      </c>
      <c r="M72" s="1603">
        <f>+O71</f>
        <v>1278464.7000000002</v>
      </c>
      <c r="N72" s="1599">
        <f>+M$32</f>
        <v>69106.2</v>
      </c>
      <c r="O72" s="1599">
        <f t="shared" si="6"/>
        <v>1209358.5000000002</v>
      </c>
      <c r="P72" s="1567">
        <f>+M$29*O72+N72</f>
        <v>183257.3964092416</v>
      </c>
      <c r="Q72" s="1603">
        <f>+S71</f>
        <v>3573917.1000000024</v>
      </c>
      <c r="R72" s="1599">
        <f>+Q$32</f>
        <v>183277.8</v>
      </c>
      <c r="S72" s="1599">
        <f t="shared" si="7"/>
        <v>3390639.3000000026</v>
      </c>
      <c r="T72" s="1567">
        <f>+Q$29*S72+R72</f>
        <v>503319.81623190618</v>
      </c>
      <c r="U72" s="1603">
        <f>+W71</f>
        <v>4788318.8571428619</v>
      </c>
      <c r="V72" s="1599">
        <f>+U$32</f>
        <v>239415.94285714286</v>
      </c>
      <c r="W72" s="1599">
        <f t="shared" si="8"/>
        <v>4548902.9142857194</v>
      </c>
      <c r="X72" s="1567">
        <f>+U$29*W72+V72</f>
        <v>668786.31567479833</v>
      </c>
      <c r="Y72" s="1603">
        <f>+AA71</f>
        <v>8184699.0714285607</v>
      </c>
      <c r="Z72" s="1599">
        <f>+Y$32</f>
        <v>414415.14285714284</v>
      </c>
      <c r="AA72" s="1599">
        <f t="shared" si="9"/>
        <v>7770283.9285714179</v>
      </c>
      <c r="AB72" s="1567">
        <f>+Y$29*AA72+Z72</f>
        <v>1147851.2636483964</v>
      </c>
      <c r="AC72" s="1603">
        <f>+AE71</f>
        <v>3945175.1428571381</v>
      </c>
      <c r="AD72" s="1599">
        <f>+AC$32</f>
        <v>190895.57142857142</v>
      </c>
      <c r="AE72" s="1599">
        <f t="shared" si="10"/>
        <v>3754279.5714285667</v>
      </c>
      <c r="AF72" s="1567">
        <f>+AC$29*AE72+AD72</f>
        <v>545261.54705395107</v>
      </c>
      <c r="AG72" s="1603">
        <f>+AI71</f>
        <v>133706.65714285732</v>
      </c>
      <c r="AH72" s="1599">
        <f>+AG$32</f>
        <v>6218.9142857142861</v>
      </c>
      <c r="AI72" s="1599">
        <f t="shared" si="11"/>
        <v>127487.74285714304</v>
      </c>
      <c r="AJ72" s="1567">
        <f>+AG$29*AI72+AH72</f>
        <v>18252.466267741635</v>
      </c>
      <c r="AK72" s="1603">
        <f>+AM71</f>
        <v>3105239.4714285694</v>
      </c>
      <c r="AL72" s="1599">
        <f>+AK$32</f>
        <v>144429.74285714285</v>
      </c>
      <c r="AM72" s="1599">
        <f t="shared" si="12"/>
        <v>2960809.7285714266</v>
      </c>
      <c r="AN72" s="1567">
        <f>+AK$29*AM72+AL72</f>
        <v>423900.2000098814</v>
      </c>
      <c r="AO72" s="1603">
        <f>+AQ71</f>
        <v>10291243.59999999</v>
      </c>
      <c r="AP72" s="1599">
        <f>+AO$32</f>
        <v>467783.8</v>
      </c>
      <c r="AQ72" s="1599">
        <f t="shared" si="13"/>
        <v>9823459.7999999896</v>
      </c>
      <c r="AR72" s="1567">
        <f>+AO$29*AQ72+AP72</f>
        <v>1395018.9325500983</v>
      </c>
      <c r="AS72" s="1603">
        <f>+AU71</f>
        <v>6742975.076190481</v>
      </c>
      <c r="AT72" s="1599">
        <f>+AS$32</f>
        <v>301924.25714285712</v>
      </c>
      <c r="AU72" s="1599">
        <f t="shared" si="14"/>
        <v>6441050.8190476242</v>
      </c>
      <c r="AV72" s="1567">
        <f>+AS$29*AU72+AT72</f>
        <v>909894.2322387544</v>
      </c>
      <c r="AW72" s="1603">
        <f>+AY71</f>
        <v>4512490.3463333352</v>
      </c>
      <c r="AX72" s="1599">
        <f>+AW$32</f>
        <v>207049.8</v>
      </c>
      <c r="AY72" s="1599">
        <f t="shared" si="15"/>
        <v>4305440.5463333353</v>
      </c>
      <c r="AZ72" s="1567">
        <f>+AW$29*AY72+AX72</f>
        <v>613439.79058824084</v>
      </c>
      <c r="BA72" s="1603">
        <f>+BC71</f>
        <v>4649114.1523809507</v>
      </c>
      <c r="BB72" s="1599">
        <f>+BA$32</f>
        <v>155836.22857142857</v>
      </c>
      <c r="BC72" s="1599">
        <f t="shared" si="16"/>
        <v>4493277.9238095218</v>
      </c>
      <c r="BD72" s="1567">
        <f>+BA$29*BC72+BB72</f>
        <v>579956.16554800747</v>
      </c>
      <c r="BE72" s="1600">
        <f t="shared" si="17"/>
        <v>8336685.7689149976</v>
      </c>
      <c r="BF72" s="1559"/>
      <c r="BG72" s="1601">
        <f>+BE72</f>
        <v>8336685.7689149976</v>
      </c>
      <c r="BU72" s="1604"/>
      <c r="BV72" s="1604"/>
      <c r="BW72" s="1604"/>
      <c r="BX72" s="1604"/>
      <c r="BY72" s="1604"/>
    </row>
    <row r="73" spans="1:77" ht="13">
      <c r="A73" s="1530">
        <f t="shared" si="0"/>
        <v>58</v>
      </c>
      <c r="C73" s="1549" t="str">
        <f t="shared" si="2"/>
        <v>W Increased ROE</v>
      </c>
      <c r="D73" s="1598">
        <f t="shared" si="1"/>
        <v>2026</v>
      </c>
      <c r="E73" s="1599">
        <f>+E72</f>
        <v>7764239.1000000052</v>
      </c>
      <c r="F73" s="1599">
        <f>+F72</f>
        <v>419688.6</v>
      </c>
      <c r="G73" s="1599">
        <f t="shared" si="4"/>
        <v>7344550.5000000056</v>
      </c>
      <c r="H73" s="1605">
        <f>+E$30*G73+F73</f>
        <v>1173303.2911861632</v>
      </c>
      <c r="I73" s="1599">
        <f>+I72</f>
        <v>1638097.828571429</v>
      </c>
      <c r="J73" s="1599">
        <f>+J72</f>
        <v>88545.828571428574</v>
      </c>
      <c r="K73" s="1599">
        <f t="shared" si="5"/>
        <v>1549552.0000000005</v>
      </c>
      <c r="L73" s="1567">
        <f>+I$30*K73+J73</f>
        <v>247543.32637022526</v>
      </c>
      <c r="M73" s="1603">
        <f>+M72</f>
        <v>1278464.7000000002</v>
      </c>
      <c r="N73" s="1599">
        <f>+N72</f>
        <v>69106.2</v>
      </c>
      <c r="O73" s="1599">
        <f t="shared" si="6"/>
        <v>1209358.5000000002</v>
      </c>
      <c r="P73" s="1567">
        <f>+M$30*O73+N73</f>
        <v>193196.88907768569</v>
      </c>
      <c r="Q73" s="1603">
        <f>+Q72</f>
        <v>3573917.1000000024</v>
      </c>
      <c r="R73" s="1599">
        <f>+R72</f>
        <v>183277.8</v>
      </c>
      <c r="S73" s="1599">
        <f t="shared" si="7"/>
        <v>3390639.3000000026</v>
      </c>
      <c r="T73" s="1567">
        <f>+Q$30*S73+R73</f>
        <v>531186.8502534047</v>
      </c>
      <c r="U73" s="1603">
        <f>+U72</f>
        <v>4788318.8571428619</v>
      </c>
      <c r="V73" s="1599">
        <f>+V72</f>
        <v>239415.94285714286</v>
      </c>
      <c r="W73" s="1599">
        <f t="shared" si="8"/>
        <v>4548902.9142857194</v>
      </c>
      <c r="X73" s="1567">
        <f>+U$30*W73+V73</f>
        <v>706172.90299857932</v>
      </c>
      <c r="Y73" s="1603">
        <f>+Y72</f>
        <v>8184699.0714285607</v>
      </c>
      <c r="Z73" s="1599">
        <f>+Z72</f>
        <v>414415.14285714284</v>
      </c>
      <c r="AA73" s="1599">
        <f t="shared" si="9"/>
        <v>7770283.9285714179</v>
      </c>
      <c r="AB73" s="1567">
        <f>+Y$30*AA73+Z73</f>
        <v>1211713.7826117678</v>
      </c>
      <c r="AC73" s="1603">
        <f>+AC72</f>
        <v>3945175.1428571381</v>
      </c>
      <c r="AD73" s="1599">
        <f>+AD72</f>
        <v>190895.57142857142</v>
      </c>
      <c r="AE73" s="1599">
        <f t="shared" si="10"/>
        <v>3754279.5714285667</v>
      </c>
      <c r="AF73" s="1567">
        <f>+AC$30*AE73+AD73</f>
        <v>576117.27285858523</v>
      </c>
      <c r="AG73" s="1603">
        <f>+AG72</f>
        <v>133706.65714285732</v>
      </c>
      <c r="AH73" s="1599">
        <f>+AH72</f>
        <v>6218.9142857142861</v>
      </c>
      <c r="AI73" s="1599">
        <f t="shared" si="11"/>
        <v>127487.74285714304</v>
      </c>
      <c r="AJ73" s="1567">
        <f>+AG$30*AI73+AH73</f>
        <v>18252.466267741635</v>
      </c>
      <c r="AK73" s="1603">
        <f>+AK72</f>
        <v>3105239.4714285694</v>
      </c>
      <c r="AL73" s="1599">
        <f>+AL72</f>
        <v>144429.74285714285</v>
      </c>
      <c r="AM73" s="1599">
        <f t="shared" si="12"/>
        <v>2960809.7285714266</v>
      </c>
      <c r="AN73" s="1567">
        <f>+AK$30*AM73+AL73</f>
        <v>423900.2000098814</v>
      </c>
      <c r="AO73" s="1603">
        <f>+AO72</f>
        <v>10291243.59999999</v>
      </c>
      <c r="AP73" s="1599">
        <f>+AP72</f>
        <v>467783.8</v>
      </c>
      <c r="AQ73" s="1599">
        <f t="shared" si="13"/>
        <v>9823459.7999999896</v>
      </c>
      <c r="AR73" s="1567">
        <f>+AO$30*AQ73+AP73</f>
        <v>1475756.1222757709</v>
      </c>
      <c r="AS73" s="1603">
        <f>+AS72</f>
        <v>6742975.076190481</v>
      </c>
      <c r="AT73" s="1599">
        <f>+AT72</f>
        <v>301924.25714285712</v>
      </c>
      <c r="AU73" s="1599">
        <f t="shared" si="14"/>
        <v>6441050.8190476242</v>
      </c>
      <c r="AV73" s="1567">
        <f>+AS$30*AU73+AT73</f>
        <v>909894.2322387544</v>
      </c>
      <c r="AW73" s="1603">
        <f>+AW72</f>
        <v>4512490.3463333352</v>
      </c>
      <c r="AX73" s="1599">
        <f>+AX72</f>
        <v>207049.8</v>
      </c>
      <c r="AY73" s="1599">
        <f t="shared" si="15"/>
        <v>4305440.5463333353</v>
      </c>
      <c r="AZ73" s="1567">
        <f>+AW$30*AY73+AX73</f>
        <v>613439.79058824084</v>
      </c>
      <c r="BA73" s="1603">
        <f>+BA72</f>
        <v>4649114.1523809507</v>
      </c>
      <c r="BB73" s="1599">
        <f>+BB72</f>
        <v>155836.22857142857</v>
      </c>
      <c r="BC73" s="1599">
        <f t="shared" si="16"/>
        <v>4493277.9238095218</v>
      </c>
      <c r="BD73" s="1567">
        <f>+BA$30*BC73+BB73</f>
        <v>579956.16554800747</v>
      </c>
      <c r="BE73" s="1600">
        <f t="shared" si="17"/>
        <v>8660433.2922848072</v>
      </c>
      <c r="BF73" s="1602">
        <f>+BE73</f>
        <v>8660433.2922848072</v>
      </c>
      <c r="BG73" s="1560"/>
      <c r="BU73" s="1604"/>
      <c r="BV73" s="1604"/>
      <c r="BW73" s="1604"/>
      <c r="BX73" s="1604"/>
      <c r="BY73" s="1604"/>
    </row>
    <row r="74" spans="1:77" ht="13">
      <c r="A74" s="1530">
        <f t="shared" si="0"/>
        <v>59</v>
      </c>
      <c r="C74" s="1549" t="str">
        <f t="shared" si="2"/>
        <v>Base FCR</v>
      </c>
      <c r="D74" s="1598">
        <f t="shared" si="1"/>
        <v>2027</v>
      </c>
      <c r="E74" s="1599">
        <f>+G73</f>
        <v>7344550.5000000056</v>
      </c>
      <c r="F74" s="1599">
        <f>+E$32</f>
        <v>419688.6</v>
      </c>
      <c r="G74" s="1599">
        <f t="shared" si="4"/>
        <v>6924861.900000006</v>
      </c>
      <c r="H74" s="1605">
        <f>+E$29*G74+F74</f>
        <v>1073325.44205616</v>
      </c>
      <c r="I74" s="1599">
        <f>+K73</f>
        <v>1549552.0000000005</v>
      </c>
      <c r="J74" s="1599">
        <f>+I$32</f>
        <v>88545.828571428574</v>
      </c>
      <c r="K74" s="1599">
        <f t="shared" si="5"/>
        <v>1461006.1714285719</v>
      </c>
      <c r="L74" s="1567">
        <f>+I$29*K74+J74</f>
        <v>226450.01697367406</v>
      </c>
      <c r="M74" s="1603">
        <f>+O73</f>
        <v>1209358.5000000002</v>
      </c>
      <c r="N74" s="1599">
        <f>+M$32</f>
        <v>69106.2</v>
      </c>
      <c r="O74" s="1599">
        <f t="shared" si="6"/>
        <v>1140252.3000000003</v>
      </c>
      <c r="P74" s="1567">
        <f>+M$29*O74+N74</f>
        <v>176734.4709001421</v>
      </c>
      <c r="Q74" s="1603">
        <f>+S73</f>
        <v>3390639.3000000026</v>
      </c>
      <c r="R74" s="1599">
        <f>+Q$32</f>
        <v>183277.8</v>
      </c>
      <c r="S74" s="1599">
        <f t="shared" si="7"/>
        <v>3207361.5000000028</v>
      </c>
      <c r="T74" s="1567">
        <f>+Q$29*S74+R74</f>
        <v>486020.24778693833</v>
      </c>
      <c r="U74" s="1603">
        <f>+W73</f>
        <v>4548902.9142857194</v>
      </c>
      <c r="V74" s="1599">
        <f>+U$32</f>
        <v>239415.94285714286</v>
      </c>
      <c r="W74" s="1599">
        <f t="shared" si="8"/>
        <v>4309486.9714285769</v>
      </c>
      <c r="X74" s="1567">
        <f>+U$29*W74+V74</f>
        <v>646187.87500018498</v>
      </c>
      <c r="Y74" s="1603">
        <f>+AA73</f>
        <v>7770283.9285714179</v>
      </c>
      <c r="Z74" s="1599">
        <f>+Y$32</f>
        <v>414415.14285714284</v>
      </c>
      <c r="AA74" s="1599">
        <f t="shared" si="9"/>
        <v>7355868.7857142752</v>
      </c>
      <c r="AB74" s="1567">
        <f>+Y$29*AA74+Z74</f>
        <v>1108734.6705395295</v>
      </c>
      <c r="AC74" s="1603">
        <f>+AE73</f>
        <v>3754279.5714285667</v>
      </c>
      <c r="AD74" s="1599">
        <f>+AC$32</f>
        <v>190895.57142857142</v>
      </c>
      <c r="AE74" s="1599">
        <f t="shared" si="10"/>
        <v>3563383.9999999953</v>
      </c>
      <c r="AF74" s="1567">
        <f>+AC$29*AE74+AD74</f>
        <v>527242.93812384689</v>
      </c>
      <c r="AG74" s="1603">
        <f>+AI73</f>
        <v>127487.74285714304</v>
      </c>
      <c r="AH74" s="1599">
        <f>+AG$32</f>
        <v>6218.9142857142861</v>
      </c>
      <c r="AI74" s="1599">
        <f t="shared" si="11"/>
        <v>121268.82857142875</v>
      </c>
      <c r="AJ74" s="1567">
        <f>+AG$29*AI74+AH74</f>
        <v>17665.463732032986</v>
      </c>
      <c r="AK74" s="1603">
        <f>+AM73</f>
        <v>2960809.7285714266</v>
      </c>
      <c r="AL74" s="1599">
        <f>+AK$32</f>
        <v>144429.74285714285</v>
      </c>
      <c r="AM74" s="1599">
        <f t="shared" si="12"/>
        <v>2816379.9857142838</v>
      </c>
      <c r="AN74" s="1567">
        <f>+AK$29*AM74+AL74</f>
        <v>410267.4947829186</v>
      </c>
      <c r="AO74" s="1603">
        <f>+AQ73</f>
        <v>9823459.7999999896</v>
      </c>
      <c r="AP74" s="1599">
        <f>+AO$32</f>
        <v>467783.8</v>
      </c>
      <c r="AQ74" s="1599">
        <f t="shared" si="13"/>
        <v>9355675.9999999888</v>
      </c>
      <c r="AR74" s="1567">
        <f>+AO$29*AQ74+AP74</f>
        <v>1350864.8786191409</v>
      </c>
      <c r="AS74" s="1603">
        <f>+AU73</f>
        <v>6441050.8190476242</v>
      </c>
      <c r="AT74" s="1599">
        <f>+AS$32</f>
        <v>301924.25714285712</v>
      </c>
      <c r="AU74" s="1599">
        <f t="shared" si="14"/>
        <v>6139126.5619047675</v>
      </c>
      <c r="AV74" s="1567">
        <f>+AS$29*AU74+AT74</f>
        <v>881395.63965613442</v>
      </c>
      <c r="AW74" s="1603">
        <f>+AY73</f>
        <v>4305440.5463333353</v>
      </c>
      <c r="AX74" s="1599">
        <f>+AW$32</f>
        <v>207049.8</v>
      </c>
      <c r="AY74" s="1599">
        <f t="shared" si="15"/>
        <v>4098390.7463333355</v>
      </c>
      <c r="AZ74" s="1567">
        <f>+AW$29*AY74+AX74</f>
        <v>593896.38605906744</v>
      </c>
      <c r="BA74" s="1603">
        <f>+BC73</f>
        <v>4493277.9238095218</v>
      </c>
      <c r="BB74" s="1599">
        <f>+BA$32</f>
        <v>155836.22857142857</v>
      </c>
      <c r="BC74" s="1599">
        <f t="shared" si="16"/>
        <v>4337441.6952380929</v>
      </c>
      <c r="BD74" s="1567">
        <f>+BA$29*BC74+BB74</f>
        <v>565246.8035719411</v>
      </c>
      <c r="BE74" s="1600">
        <f t="shared" si="17"/>
        <v>8064032.3278017109</v>
      </c>
      <c r="BF74" s="1559"/>
      <c r="BG74" s="1601">
        <f>+BE74</f>
        <v>8064032.3278017109</v>
      </c>
      <c r="BU74" s="1604"/>
      <c r="BV74" s="1604"/>
      <c r="BW74" s="1604"/>
      <c r="BX74" s="1604"/>
      <c r="BY74" s="1604"/>
    </row>
    <row r="75" spans="1:77" ht="13">
      <c r="A75" s="1530">
        <f t="shared" si="0"/>
        <v>60</v>
      </c>
      <c r="C75" s="1549" t="str">
        <f t="shared" si="2"/>
        <v>W Increased ROE</v>
      </c>
      <c r="D75" s="1598">
        <f t="shared" si="1"/>
        <v>2027</v>
      </c>
      <c r="E75" s="1599">
        <f>+E74</f>
        <v>7344550.5000000056</v>
      </c>
      <c r="F75" s="1599">
        <f>+F74</f>
        <v>419688.6</v>
      </c>
      <c r="G75" s="1599">
        <f t="shared" si="4"/>
        <v>6924861.900000006</v>
      </c>
      <c r="H75" s="1605">
        <f>+E$30*G75+F75</f>
        <v>1130239.5945469539</v>
      </c>
      <c r="I75" s="1599">
        <f>+I74</f>
        <v>1549552.0000000005</v>
      </c>
      <c r="J75" s="1599">
        <f>+J74</f>
        <v>88545.828571428574</v>
      </c>
      <c r="K75" s="1599">
        <f t="shared" si="5"/>
        <v>1461006.1714285719</v>
      </c>
      <c r="L75" s="1567">
        <f>+I$30*K75+J75</f>
        <v>238457.75506743687</v>
      </c>
      <c r="M75" s="1603">
        <f>+M74</f>
        <v>1209358.5000000002</v>
      </c>
      <c r="N75" s="1599">
        <f>+N74</f>
        <v>69106.2</v>
      </c>
      <c r="O75" s="1599">
        <f t="shared" si="6"/>
        <v>1140252.3000000003</v>
      </c>
      <c r="P75" s="1567">
        <f>+M$30*O75+N75</f>
        <v>186105.9925589608</v>
      </c>
      <c r="Q75" s="1603">
        <f>+Q74</f>
        <v>3390639.3000000026</v>
      </c>
      <c r="R75" s="1599">
        <f>+R74</f>
        <v>183277.8</v>
      </c>
      <c r="S75" s="1599">
        <f t="shared" si="7"/>
        <v>3207361.5000000028</v>
      </c>
      <c r="T75" s="1567">
        <f>+Q$30*S75+R75</f>
        <v>512380.95564511255</v>
      </c>
      <c r="U75" s="1603">
        <f>+U74</f>
        <v>4548902.9142857194</v>
      </c>
      <c r="V75" s="1599">
        <f>+V74</f>
        <v>239415.94285714286</v>
      </c>
      <c r="W75" s="1599">
        <f t="shared" si="8"/>
        <v>4309486.9714285769</v>
      </c>
      <c r="X75" s="1567">
        <f>+U$30*W75+V75</f>
        <v>681606.7472016617</v>
      </c>
      <c r="Y75" s="1603">
        <f>+Y74</f>
        <v>7770283.9285714179</v>
      </c>
      <c r="Z75" s="1599">
        <f>+Z74</f>
        <v>414415.14285714284</v>
      </c>
      <c r="AA75" s="1599">
        <f t="shared" si="9"/>
        <v>7355868.7857142752</v>
      </c>
      <c r="AB75" s="1567">
        <f>+Y$30*AA75+Z75</f>
        <v>1169191.1884915212</v>
      </c>
      <c r="AC75" s="1603">
        <f>+AC74</f>
        <v>3754279.5714285667</v>
      </c>
      <c r="AD75" s="1599">
        <f>+AD74</f>
        <v>190895.57142857142</v>
      </c>
      <c r="AE75" s="1599">
        <f t="shared" si="10"/>
        <v>3563383.9999999953</v>
      </c>
      <c r="AF75" s="1567">
        <f>+AC$30*AE75+AD75</f>
        <v>556529.7287180759</v>
      </c>
      <c r="AG75" s="1603">
        <f>+AG74</f>
        <v>127487.74285714304</v>
      </c>
      <c r="AH75" s="1599">
        <f>+AH74</f>
        <v>6218.9142857142861</v>
      </c>
      <c r="AI75" s="1599">
        <f t="shared" si="11"/>
        <v>121268.82857142875</v>
      </c>
      <c r="AJ75" s="1567">
        <f>+AG$30*AI75+AH75</f>
        <v>17665.463732032986</v>
      </c>
      <c r="AK75" s="1603">
        <f>+AK74</f>
        <v>2960809.7285714266</v>
      </c>
      <c r="AL75" s="1599">
        <f>+AL74</f>
        <v>144429.74285714285</v>
      </c>
      <c r="AM75" s="1599">
        <f t="shared" si="12"/>
        <v>2816379.9857142838</v>
      </c>
      <c r="AN75" s="1567">
        <f>+AK$30*AM75+AL75</f>
        <v>410267.4947829186</v>
      </c>
      <c r="AO75" s="1603">
        <f>+AO74</f>
        <v>9823459.7999999896</v>
      </c>
      <c r="AP75" s="1599">
        <f>+AP74</f>
        <v>467783.8</v>
      </c>
      <c r="AQ75" s="1599">
        <f t="shared" si="13"/>
        <v>9355675.9999999888</v>
      </c>
      <c r="AR75" s="1567">
        <f>+AO$30*AQ75+AP75</f>
        <v>1427757.440262639</v>
      </c>
      <c r="AS75" s="1603">
        <f>+AS74</f>
        <v>6441050.8190476242</v>
      </c>
      <c r="AT75" s="1599">
        <f>+AT74</f>
        <v>301924.25714285712</v>
      </c>
      <c r="AU75" s="1599">
        <f t="shared" si="14"/>
        <v>6139126.5619047675</v>
      </c>
      <c r="AV75" s="1567">
        <f>+AS$30*AU75+AT75</f>
        <v>881395.63965613442</v>
      </c>
      <c r="AW75" s="1603">
        <f>+AW74</f>
        <v>4305440.5463333353</v>
      </c>
      <c r="AX75" s="1599">
        <f>+AX74</f>
        <v>207049.8</v>
      </c>
      <c r="AY75" s="1599">
        <f t="shared" si="15"/>
        <v>4098390.7463333355</v>
      </c>
      <c r="AZ75" s="1567">
        <f>+AW$30*AY75+AX75</f>
        <v>593896.38605906744</v>
      </c>
      <c r="BA75" s="1603">
        <f>+BA74</f>
        <v>4493277.9238095218</v>
      </c>
      <c r="BB75" s="1599">
        <f>+BB74</f>
        <v>155836.22857142857</v>
      </c>
      <c r="BC75" s="1599">
        <f t="shared" si="16"/>
        <v>4337441.6952380929</v>
      </c>
      <c r="BD75" s="1567">
        <f>+BA$30*BC75+BB75</f>
        <v>565246.8035719411</v>
      </c>
      <c r="BE75" s="1600">
        <f t="shared" si="17"/>
        <v>8370741.1902944567</v>
      </c>
      <c r="BF75" s="1602">
        <f>+BE75</f>
        <v>8370741.1902944567</v>
      </c>
      <c r="BG75" s="1560"/>
      <c r="BU75" s="1604"/>
      <c r="BV75" s="1604"/>
      <c r="BW75" s="1604"/>
      <c r="BX75" s="1604"/>
      <c r="BY75" s="1604"/>
    </row>
    <row r="76" spans="1:77" ht="13">
      <c r="A76" s="1530">
        <f t="shared" si="0"/>
        <v>61</v>
      </c>
      <c r="C76" s="1549"/>
      <c r="D76" s="1612" t="s">
        <v>1381</v>
      </c>
      <c r="E76" s="1613" t="s">
        <v>1381</v>
      </c>
      <c r="F76" s="1613" t="s">
        <v>1381</v>
      </c>
      <c r="G76" s="1613" t="s">
        <v>1382</v>
      </c>
      <c r="H76" s="1614" t="s">
        <v>1381</v>
      </c>
      <c r="I76" s="1613" t="s">
        <v>1381</v>
      </c>
      <c r="J76" s="1613" t="s">
        <v>1381</v>
      </c>
      <c r="K76" s="1613" t="s">
        <v>1382</v>
      </c>
      <c r="L76" s="1614" t="s">
        <v>1381</v>
      </c>
      <c r="M76" s="1613" t="s">
        <v>1381</v>
      </c>
      <c r="N76" s="1613" t="s">
        <v>1381</v>
      </c>
      <c r="O76" s="1613" t="s">
        <v>1382</v>
      </c>
      <c r="P76" s="1614" t="s">
        <v>1381</v>
      </c>
      <c r="Q76" s="1613" t="s">
        <v>1381</v>
      </c>
      <c r="R76" s="1613" t="s">
        <v>1381</v>
      </c>
      <c r="S76" s="1613" t="s">
        <v>1382</v>
      </c>
      <c r="T76" s="1614" t="s">
        <v>1381</v>
      </c>
      <c r="U76" s="1613" t="s">
        <v>1381</v>
      </c>
      <c r="V76" s="1613" t="s">
        <v>1381</v>
      </c>
      <c r="W76" s="1613" t="s">
        <v>1382</v>
      </c>
      <c r="X76" s="1614" t="s">
        <v>1381</v>
      </c>
      <c r="Y76" s="1613" t="s">
        <v>1381</v>
      </c>
      <c r="Z76" s="1613" t="s">
        <v>1381</v>
      </c>
      <c r="AA76" s="1613" t="s">
        <v>1382</v>
      </c>
      <c r="AB76" s="1614" t="s">
        <v>1381</v>
      </c>
      <c r="AC76" s="1613" t="s">
        <v>1381</v>
      </c>
      <c r="AD76" s="1613" t="s">
        <v>1381</v>
      </c>
      <c r="AE76" s="1613" t="s">
        <v>1382</v>
      </c>
      <c r="AF76" s="1614" t="s">
        <v>1381</v>
      </c>
      <c r="AG76" s="1613" t="s">
        <v>1381</v>
      </c>
      <c r="AH76" s="1613" t="s">
        <v>1381</v>
      </c>
      <c r="AI76" s="1613" t="s">
        <v>1382</v>
      </c>
      <c r="AJ76" s="1614" t="s">
        <v>1381</v>
      </c>
      <c r="AK76" s="1613" t="s">
        <v>1381</v>
      </c>
      <c r="AL76" s="1613" t="s">
        <v>1381</v>
      </c>
      <c r="AM76" s="1613" t="s">
        <v>1382</v>
      </c>
      <c r="AN76" s="1614" t="s">
        <v>1381</v>
      </c>
      <c r="AO76" s="1613" t="s">
        <v>1381</v>
      </c>
      <c r="AP76" s="1613" t="s">
        <v>1381</v>
      </c>
      <c r="AQ76" s="1613" t="s">
        <v>1382</v>
      </c>
      <c r="AR76" s="1614" t="s">
        <v>1381</v>
      </c>
      <c r="AS76" s="1613" t="s">
        <v>1381</v>
      </c>
      <c r="AT76" s="1613" t="s">
        <v>1381</v>
      </c>
      <c r="AU76" s="1613" t="s">
        <v>1382</v>
      </c>
      <c r="AV76" s="1614" t="s">
        <v>1381</v>
      </c>
      <c r="AW76" s="1613" t="s">
        <v>1381</v>
      </c>
      <c r="AX76" s="1613" t="s">
        <v>1381</v>
      </c>
      <c r="AY76" s="1613" t="s">
        <v>1382</v>
      </c>
      <c r="AZ76" s="1614" t="s">
        <v>1381</v>
      </c>
      <c r="BA76" s="1613" t="s">
        <v>1381</v>
      </c>
      <c r="BB76" s="1613" t="s">
        <v>1381</v>
      </c>
      <c r="BC76" s="1613" t="s">
        <v>1382</v>
      </c>
      <c r="BD76" s="1614" t="s">
        <v>1381</v>
      </c>
      <c r="BE76" s="1600"/>
      <c r="BF76" s="1559"/>
      <c r="BG76" s="1601">
        <f>+BE76</f>
        <v>0</v>
      </c>
      <c r="BP76" s="1530" t="s">
        <v>1381</v>
      </c>
      <c r="BQ76" s="1530" t="s">
        <v>1381</v>
      </c>
      <c r="BR76" s="1530" t="s">
        <v>1382</v>
      </c>
      <c r="BS76" s="1530" t="s">
        <v>1381</v>
      </c>
    </row>
    <row r="77" spans="1:77" ht="13.5" thickBot="1">
      <c r="A77" s="1530">
        <f t="shared" si="0"/>
        <v>62</v>
      </c>
      <c r="C77" s="1549"/>
      <c r="D77" s="1615" t="s">
        <v>1381</v>
      </c>
      <c r="E77" s="1616" t="s">
        <v>1381</v>
      </c>
      <c r="F77" s="1616" t="s">
        <v>1382</v>
      </c>
      <c r="G77" s="1616" t="s">
        <v>1382</v>
      </c>
      <c r="H77" s="1617" t="s">
        <v>1381</v>
      </c>
      <c r="I77" s="1616" t="s">
        <v>1381</v>
      </c>
      <c r="J77" s="1616" t="s">
        <v>1382</v>
      </c>
      <c r="K77" s="1616" t="s">
        <v>1382</v>
      </c>
      <c r="L77" s="1617" t="s">
        <v>1381</v>
      </c>
      <c r="M77" s="1616" t="s">
        <v>1381</v>
      </c>
      <c r="N77" s="1616" t="s">
        <v>1382</v>
      </c>
      <c r="O77" s="1616" t="s">
        <v>1382</v>
      </c>
      <c r="P77" s="1617" t="s">
        <v>1381</v>
      </c>
      <c r="Q77" s="1616" t="s">
        <v>1381</v>
      </c>
      <c r="R77" s="1616" t="s">
        <v>1382</v>
      </c>
      <c r="S77" s="1616" t="s">
        <v>1382</v>
      </c>
      <c r="T77" s="1617" t="s">
        <v>1381</v>
      </c>
      <c r="U77" s="1616" t="s">
        <v>1381</v>
      </c>
      <c r="V77" s="1616" t="s">
        <v>1382</v>
      </c>
      <c r="W77" s="1616" t="s">
        <v>1382</v>
      </c>
      <c r="X77" s="1617" t="s">
        <v>1381</v>
      </c>
      <c r="Y77" s="1616" t="s">
        <v>1381</v>
      </c>
      <c r="Z77" s="1616" t="s">
        <v>1382</v>
      </c>
      <c r="AA77" s="1616" t="s">
        <v>1382</v>
      </c>
      <c r="AB77" s="1617" t="s">
        <v>1381</v>
      </c>
      <c r="AC77" s="1616" t="s">
        <v>1381</v>
      </c>
      <c r="AD77" s="1616" t="s">
        <v>1382</v>
      </c>
      <c r="AE77" s="1616" t="s">
        <v>1382</v>
      </c>
      <c r="AF77" s="1617" t="s">
        <v>1381</v>
      </c>
      <c r="AG77" s="1616" t="s">
        <v>1381</v>
      </c>
      <c r="AH77" s="1616" t="s">
        <v>1382</v>
      </c>
      <c r="AI77" s="1616" t="s">
        <v>1382</v>
      </c>
      <c r="AJ77" s="1617" t="s">
        <v>1381</v>
      </c>
      <c r="AK77" s="1616" t="s">
        <v>1381</v>
      </c>
      <c r="AL77" s="1616" t="s">
        <v>1382</v>
      </c>
      <c r="AM77" s="1616" t="s">
        <v>1382</v>
      </c>
      <c r="AN77" s="1617" t="s">
        <v>1381</v>
      </c>
      <c r="AO77" s="1616" t="s">
        <v>1381</v>
      </c>
      <c r="AP77" s="1616" t="s">
        <v>1382</v>
      </c>
      <c r="AQ77" s="1616" t="s">
        <v>1382</v>
      </c>
      <c r="AR77" s="1617" t="s">
        <v>1381</v>
      </c>
      <c r="AS77" s="1616" t="s">
        <v>1381</v>
      </c>
      <c r="AT77" s="1616" t="s">
        <v>1382</v>
      </c>
      <c r="AU77" s="1616" t="s">
        <v>1382</v>
      </c>
      <c r="AV77" s="1617" t="s">
        <v>1381</v>
      </c>
      <c r="AW77" s="1616" t="s">
        <v>1381</v>
      </c>
      <c r="AX77" s="1616" t="s">
        <v>1382</v>
      </c>
      <c r="AY77" s="1616" t="s">
        <v>1382</v>
      </c>
      <c r="AZ77" s="1617" t="s">
        <v>1381</v>
      </c>
      <c r="BA77" s="1616" t="s">
        <v>1381</v>
      </c>
      <c r="BB77" s="1616" t="s">
        <v>1382</v>
      </c>
      <c r="BC77" s="1616" t="s">
        <v>1382</v>
      </c>
      <c r="BD77" s="1617" t="s">
        <v>1381</v>
      </c>
      <c r="BE77" s="1618"/>
      <c r="BF77" s="1619">
        <f>+BE77</f>
        <v>0</v>
      </c>
      <c r="BG77" s="1592"/>
    </row>
    <row r="78" spans="1:77" ht="13">
      <c r="A78" s="1530">
        <f>A77+1</f>
        <v>63</v>
      </c>
      <c r="C78" s="1559"/>
      <c r="D78" s="1561"/>
      <c r="E78" s="1559"/>
      <c r="F78" s="1559"/>
      <c r="G78" s="1559"/>
      <c r="H78" s="1620"/>
      <c r="I78" s="1620"/>
      <c r="J78" s="1620"/>
      <c r="K78" s="1620"/>
      <c r="L78" s="1620"/>
      <c r="M78" s="1559"/>
      <c r="N78" s="1559"/>
      <c r="O78" s="1559"/>
      <c r="P78" s="1559"/>
      <c r="Q78" s="1559"/>
      <c r="R78" s="1559"/>
      <c r="S78" s="1559"/>
      <c r="T78" s="1559"/>
      <c r="U78" s="1559"/>
      <c r="V78" s="1559"/>
      <c r="W78" s="1559"/>
      <c r="X78" s="1559"/>
      <c r="Y78" s="1559"/>
      <c r="Z78" s="1559"/>
      <c r="AA78" s="1559"/>
      <c r="AB78" s="1559"/>
      <c r="AC78" s="1559"/>
      <c r="AD78" s="1559"/>
      <c r="AE78" s="1559"/>
      <c r="AF78" s="1559"/>
      <c r="AG78" s="1559"/>
      <c r="AH78" s="1559"/>
      <c r="AI78" s="1559"/>
      <c r="AJ78" s="1559"/>
      <c r="AK78" s="1559"/>
      <c r="AL78" s="1559"/>
      <c r="AM78" s="1559"/>
      <c r="AN78" s="1559"/>
      <c r="AO78" s="1559"/>
      <c r="AP78" s="1559"/>
      <c r="AQ78" s="1559"/>
      <c r="AR78" s="1559"/>
      <c r="AS78" s="1559"/>
      <c r="AT78" s="1559"/>
      <c r="AU78" s="1559"/>
      <c r="AV78" s="1559"/>
      <c r="AW78" s="1559"/>
      <c r="AX78" s="1559"/>
      <c r="AY78" s="1559"/>
      <c r="AZ78" s="1559"/>
      <c r="BA78" s="1559"/>
      <c r="BB78" s="1559"/>
      <c r="BC78" s="1559"/>
      <c r="BD78" s="1559"/>
      <c r="BE78" s="1559"/>
      <c r="BF78" s="1621">
        <f>SUM(BF36:BF75)</f>
        <v>228541976.39565673</v>
      </c>
      <c r="BG78" s="1621">
        <f>SUM(BG36:BG75)</f>
        <v>219950090.34075481</v>
      </c>
    </row>
    <row r="80" spans="1:77">
      <c r="BF80" s="1622"/>
    </row>
    <row r="310" spans="8:12">
      <c r="H310" s="1623"/>
      <c r="I310" s="1623"/>
      <c r="J310" s="1623"/>
      <c r="K310" s="1623"/>
      <c r="L310" s="1623"/>
    </row>
    <row r="311" spans="8:12">
      <c r="H311" s="1623"/>
      <c r="I311" s="1623"/>
      <c r="J311" s="1623"/>
      <c r="K311" s="1623"/>
      <c r="L311" s="1623"/>
    </row>
    <row r="312" spans="8:12">
      <c r="H312" s="1623"/>
      <c r="I312" s="1623"/>
      <c r="J312" s="1623"/>
      <c r="K312" s="1623"/>
      <c r="L312" s="1623"/>
    </row>
    <row r="313" spans="8:12">
      <c r="H313" s="1623"/>
      <c r="I313" s="1623"/>
      <c r="J313" s="1623"/>
      <c r="K313" s="1623"/>
      <c r="L313" s="1623"/>
    </row>
    <row r="314" spans="8:12">
      <c r="H314" s="1623"/>
      <c r="I314" s="1623"/>
      <c r="J314" s="1623"/>
      <c r="K314" s="1623"/>
      <c r="L314" s="1623"/>
    </row>
    <row r="315" spans="8:12">
      <c r="H315" s="1623"/>
      <c r="I315" s="1623"/>
      <c r="J315" s="1623"/>
      <c r="K315" s="1623"/>
      <c r="L315" s="1623"/>
    </row>
    <row r="316" spans="8:12">
      <c r="H316" s="1623"/>
      <c r="I316" s="1623"/>
      <c r="J316" s="1623"/>
      <c r="K316" s="1623"/>
      <c r="L316" s="1623"/>
    </row>
    <row r="317" spans="8:12">
      <c r="H317" s="1623"/>
      <c r="I317" s="1623"/>
      <c r="J317" s="1623"/>
      <c r="K317" s="1623"/>
      <c r="L317" s="1623"/>
    </row>
    <row r="318" spans="8:12">
      <c r="H318" s="1623"/>
      <c r="I318" s="1623"/>
      <c r="J318" s="1623"/>
      <c r="K318" s="1623"/>
      <c r="L318" s="1623"/>
    </row>
  </sheetData>
  <mergeCells count="5">
    <mergeCell ref="C23:BE23"/>
    <mergeCell ref="E24:H24"/>
    <mergeCell ref="I24:L24"/>
    <mergeCell ref="M24:P24"/>
    <mergeCell ref="C33:D33"/>
  </mergeCells>
  <printOptions horizontalCentered="1"/>
  <pageMargins left="0.25" right="0.25" top="0.25" bottom="0.25" header="0.5" footer="0.5"/>
  <pageSetup scale="52" fitToWidth="4" fitToHeight="4" orientation="landscape" r:id="rId1"/>
  <headerFooter alignWithMargins="0"/>
  <colBreaks count="3" manualBreakCount="3">
    <brk id="16" max="77" man="1"/>
    <brk id="32" max="1048575" man="1"/>
    <brk id="48"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view="pageBreakPreview" zoomScale="60" zoomScaleNormal="100" workbookViewId="0">
      <selection sqref="A1:XFD1048576"/>
    </sheetView>
  </sheetViews>
  <sheetFormatPr defaultColWidth="9.1796875" defaultRowHeight="12.5"/>
  <cols>
    <col min="1" max="1" width="9.1796875" style="298"/>
    <col min="2" max="2" width="1.453125" style="298" customWidth="1"/>
    <col min="3" max="3" width="2.26953125" style="298" customWidth="1"/>
    <col min="4" max="4" width="43.453125" style="298" customWidth="1"/>
    <col min="5" max="5" width="19.7265625" style="298" customWidth="1"/>
    <col min="6" max="6" width="19.453125" style="298" customWidth="1"/>
    <col min="7" max="7" width="20.54296875" style="298" customWidth="1"/>
    <col min="8" max="16384" width="9.1796875" style="298"/>
  </cols>
  <sheetData>
    <row r="1" spans="1:8" ht="18">
      <c r="A1" s="1788" t="str">
        <f>+'ATT H-3D'!$A$4</f>
        <v>Delmarva Power &amp; Light Company</v>
      </c>
      <c r="B1" s="1788"/>
      <c r="C1" s="1788"/>
      <c r="D1" s="1788"/>
      <c r="E1" s="1788"/>
      <c r="F1" s="1788"/>
    </row>
    <row r="2" spans="1:8" ht="15.5">
      <c r="A2" s="1789" t="s">
        <v>0</v>
      </c>
      <c r="B2" s="1883"/>
      <c r="C2" s="1883"/>
      <c r="D2" s="1883"/>
      <c r="E2" s="1883"/>
      <c r="F2" s="1883"/>
    </row>
    <row r="3" spans="1:8" ht="13">
      <c r="A3" s="1790"/>
      <c r="B3" s="1882"/>
      <c r="C3" s="1882"/>
      <c r="D3" s="1882"/>
      <c r="E3" s="1882"/>
      <c r="F3" s="1882"/>
    </row>
    <row r="4" spans="1:8">
      <c r="B4" s="2"/>
      <c r="C4" s="352"/>
      <c r="D4" s="352"/>
    </row>
    <row r="5" spans="1:8">
      <c r="A5" s="2"/>
    </row>
    <row r="6" spans="1:8" ht="13">
      <c r="E6" s="3"/>
    </row>
    <row r="8" spans="1:8">
      <c r="B8" s="688"/>
      <c r="C8" s="688"/>
      <c r="D8" s="688"/>
      <c r="E8" s="688"/>
      <c r="F8" s="688"/>
      <c r="G8" s="688"/>
      <c r="H8" s="688"/>
    </row>
    <row r="9" spans="1:8" ht="13">
      <c r="B9" s="4"/>
      <c r="C9" s="4"/>
      <c r="D9" s="4"/>
      <c r="E9" s="4"/>
      <c r="F9" s="4"/>
      <c r="G9" s="4"/>
      <c r="H9" s="688"/>
    </row>
    <row r="10" spans="1:8">
      <c r="B10" s="688"/>
      <c r="C10" s="688"/>
      <c r="D10" s="688"/>
      <c r="E10" s="688"/>
      <c r="F10" s="688"/>
      <c r="G10" s="688"/>
      <c r="H10" s="688"/>
    </row>
    <row r="12" spans="1:8">
      <c r="A12" s="298" t="s">
        <v>1</v>
      </c>
    </row>
    <row r="13" spans="1:8">
      <c r="C13" s="298" t="s">
        <v>2</v>
      </c>
    </row>
    <row r="14" spans="1:8" ht="13">
      <c r="A14" s="1">
        <v>101</v>
      </c>
      <c r="B14" s="1">
        <v>0</v>
      </c>
      <c r="C14" s="1" t="s">
        <v>360</v>
      </c>
      <c r="D14" s="1"/>
      <c r="E14" s="1349">
        <v>0</v>
      </c>
      <c r="F14" s="1"/>
    </row>
    <row r="15" spans="1:8">
      <c r="E15" s="638"/>
    </row>
    <row r="16" spans="1:8">
      <c r="E16" s="638"/>
    </row>
    <row r="17" spans="1:6">
      <c r="C17" s="298" t="s">
        <v>3</v>
      </c>
      <c r="E17" s="638"/>
    </row>
    <row r="18" spans="1:6" ht="13">
      <c r="A18" s="1">
        <v>112</v>
      </c>
      <c r="C18" s="1" t="s">
        <v>380</v>
      </c>
      <c r="D18" s="1"/>
      <c r="E18" s="1349">
        <v>0</v>
      </c>
      <c r="F18" s="1"/>
    </row>
    <row r="21" spans="1:6">
      <c r="C21" s="688" t="s">
        <v>4</v>
      </c>
      <c r="D21" s="688"/>
      <c r="E21" s="688"/>
    </row>
    <row r="22" spans="1:6">
      <c r="D22" s="779"/>
      <c r="E22" s="779"/>
      <c r="F22" s="779"/>
    </row>
    <row r="23" spans="1:6">
      <c r="D23" s="779"/>
      <c r="E23" s="779"/>
      <c r="F23" s="779"/>
    </row>
    <row r="24" spans="1:6">
      <c r="D24" s="554"/>
      <c r="E24" s="779"/>
      <c r="F24" s="779"/>
    </row>
    <row r="25" spans="1:6">
      <c r="D25" s="779"/>
      <c r="E25" s="779"/>
      <c r="F25" s="779"/>
    </row>
    <row r="26" spans="1:6">
      <c r="D26" s="779"/>
      <c r="E26" s="779"/>
      <c r="F26" s="779"/>
    </row>
    <row r="27" spans="1:6">
      <c r="D27" s="779"/>
      <c r="E27" s="779"/>
      <c r="F27" s="779"/>
    </row>
    <row r="28" spans="1:6">
      <c r="D28" s="779"/>
      <c r="E28" s="779"/>
      <c r="F28" s="779"/>
    </row>
    <row r="29" spans="1:6">
      <c r="D29" s="779"/>
      <c r="E29" s="779"/>
      <c r="F29" s="779"/>
    </row>
    <row r="30" spans="1:6">
      <c r="D30" s="779"/>
      <c r="E30" s="779"/>
      <c r="F30" s="779"/>
    </row>
    <row r="31" spans="1:6">
      <c r="D31" s="779"/>
      <c r="E31" s="779"/>
      <c r="F31" s="779"/>
    </row>
    <row r="32" spans="1:6">
      <c r="D32" s="779"/>
      <c r="E32" s="779"/>
      <c r="F32" s="779"/>
    </row>
    <row r="33" spans="4:6">
      <c r="D33" s="779"/>
      <c r="E33" s="779"/>
      <c r="F33" s="779"/>
    </row>
    <row r="34" spans="4:6">
      <c r="D34" s="779"/>
      <c r="E34" s="779"/>
      <c r="F34" s="779"/>
    </row>
    <row r="35" spans="4:6">
      <c r="D35" s="779"/>
      <c r="E35" s="779"/>
      <c r="F35" s="779"/>
    </row>
    <row r="36" spans="4:6">
      <c r="D36" s="779"/>
      <c r="E36" s="779"/>
      <c r="F36" s="779"/>
    </row>
    <row r="37" spans="4:6">
      <c r="D37" s="779"/>
      <c r="E37" s="779"/>
      <c r="F37" s="779"/>
    </row>
    <row r="38" spans="4:6">
      <c r="D38" s="779"/>
      <c r="E38" s="779"/>
      <c r="F38" s="779"/>
    </row>
    <row r="39" spans="4:6">
      <c r="D39" s="779"/>
      <c r="E39" s="779"/>
      <c r="F39" s="779"/>
    </row>
    <row r="40" spans="4:6">
      <c r="D40" s="779"/>
      <c r="E40" s="779"/>
      <c r="F40" s="779"/>
    </row>
    <row r="41" spans="4:6">
      <c r="D41" s="779"/>
      <c r="E41" s="779"/>
      <c r="F41" s="779"/>
    </row>
    <row r="42" spans="4:6">
      <c r="D42" s="779"/>
      <c r="E42" s="779"/>
      <c r="F42" s="779"/>
    </row>
    <row r="43" spans="4:6">
      <c r="D43" s="779"/>
      <c r="E43" s="779"/>
      <c r="F43" s="779"/>
    </row>
    <row r="44" spans="4:6">
      <c r="D44" s="779"/>
      <c r="E44" s="779"/>
      <c r="F44" s="779"/>
    </row>
    <row r="45" spans="4:6">
      <c r="D45" s="779"/>
      <c r="E45" s="779"/>
      <c r="F45" s="779"/>
    </row>
    <row r="306" spans="3:3">
      <c r="C306" s="1117"/>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3">
    <mergeCell ref="A1:F1"/>
    <mergeCell ref="A3:F3"/>
    <mergeCell ref="A2:F2"/>
  </mergeCells>
  <pageMargins left="0.7" right="0.7" top="0.75" bottom="0.75" header="0.3" footer="0.3"/>
  <pageSetup scale="9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92C9-9AAB-40A9-A39B-5E6282D642B4}">
  <dimension ref="A1:S291"/>
  <sheetViews>
    <sheetView view="pageBreakPreview" topLeftCell="A166" zoomScale="60" zoomScaleNormal="80" workbookViewId="0">
      <selection sqref="A1:XFD1048576"/>
    </sheetView>
  </sheetViews>
  <sheetFormatPr defaultColWidth="9.1796875" defaultRowHeight="12.5"/>
  <cols>
    <col min="1" max="1" width="5.7265625" style="298" customWidth="1"/>
    <col min="2" max="2" width="9.453125" style="352" customWidth="1"/>
    <col min="3" max="3" width="5.7265625" style="298" customWidth="1"/>
    <col min="4" max="4" width="32.1796875" style="298" customWidth="1"/>
    <col min="5" max="5" width="14.453125" style="298" customWidth="1"/>
    <col min="6" max="6" width="21.81640625" style="298" customWidth="1"/>
    <col min="7" max="7" width="15.1796875" style="298" customWidth="1"/>
    <col min="8" max="8" width="22.7265625" style="298" customWidth="1"/>
    <col min="9" max="9" width="3.81640625" style="298" customWidth="1"/>
    <col min="10" max="10" width="23.1796875" style="298" customWidth="1"/>
    <col min="11" max="11" width="21.81640625" style="298" customWidth="1"/>
    <col min="12" max="12" width="24.54296875" style="298" customWidth="1"/>
    <col min="13" max="13" width="3.81640625" style="298" customWidth="1"/>
    <col min="14" max="14" width="19.7265625" style="298" customWidth="1"/>
    <col min="15" max="15" width="25.453125" style="298" customWidth="1"/>
    <col min="16" max="16" width="20.1796875" style="298" bestFit="1" customWidth="1"/>
    <col min="17" max="17" width="25" style="298" customWidth="1"/>
    <col min="18" max="18" width="26.54296875" style="298" customWidth="1"/>
    <col min="19" max="19" width="3.81640625" style="298" customWidth="1"/>
    <col min="20" max="16384" width="9.1796875" style="298"/>
  </cols>
  <sheetData>
    <row r="1" spans="1:19" ht="15.5">
      <c r="A1" s="1749" t="s">
        <v>1436</v>
      </c>
      <c r="B1" s="1749"/>
      <c r="C1" s="1749"/>
      <c r="D1" s="1749"/>
      <c r="E1" s="1749"/>
      <c r="F1" s="1749"/>
      <c r="G1" s="1749"/>
      <c r="H1" s="1749"/>
      <c r="I1" s="1749"/>
      <c r="J1" s="1749"/>
      <c r="K1" s="1749"/>
      <c r="L1" s="1749"/>
      <c r="M1" s="1749"/>
      <c r="N1" s="1749"/>
      <c r="O1" s="1749"/>
      <c r="P1" s="1749"/>
      <c r="Q1" s="1749"/>
      <c r="R1" s="1749"/>
      <c r="S1" s="349"/>
    </row>
    <row r="2" spans="1:19" ht="15.5">
      <c r="A2" s="1749" t="s">
        <v>1197</v>
      </c>
      <c r="B2" s="1749"/>
      <c r="C2" s="1749"/>
      <c r="D2" s="1749"/>
      <c r="E2" s="1749"/>
      <c r="F2" s="1749"/>
      <c r="G2" s="1749"/>
      <c r="H2" s="1749"/>
      <c r="I2" s="1749"/>
      <c r="J2" s="1749"/>
      <c r="K2" s="1749"/>
      <c r="L2" s="1749"/>
      <c r="M2" s="1749"/>
      <c r="N2" s="1749"/>
      <c r="O2" s="1749"/>
      <c r="P2" s="1749"/>
      <c r="Q2" s="1749"/>
      <c r="R2" s="1749"/>
      <c r="S2" s="349"/>
    </row>
    <row r="3" spans="1:19" ht="15.5">
      <c r="A3" s="1749" t="s">
        <v>1198</v>
      </c>
      <c r="B3" s="1749"/>
      <c r="C3" s="1749"/>
      <c r="D3" s="1749"/>
      <c r="E3" s="1749"/>
      <c r="F3" s="1749"/>
      <c r="G3" s="1749"/>
      <c r="H3" s="1749"/>
      <c r="I3" s="1749"/>
      <c r="J3" s="1749"/>
      <c r="K3" s="1749"/>
      <c r="L3" s="1749"/>
      <c r="M3" s="1749"/>
      <c r="N3" s="1749"/>
      <c r="O3" s="1749"/>
      <c r="P3" s="1749"/>
      <c r="Q3" s="1749"/>
      <c r="R3" s="1749"/>
      <c r="S3" s="349"/>
    </row>
    <row r="4" spans="1:19" ht="13">
      <c r="A4" s="349"/>
      <c r="B4" s="350"/>
      <c r="C4" s="349"/>
    </row>
    <row r="5" spans="1:19" s="262" customFormat="1" ht="15.5">
      <c r="B5" s="351"/>
      <c r="D5" s="262" t="s">
        <v>868</v>
      </c>
      <c r="E5" s="264" t="s">
        <v>1983</v>
      </c>
      <c r="F5" s="265"/>
      <c r="G5" s="265"/>
      <c r="H5" s="265"/>
    </row>
    <row r="6" spans="1:19" ht="15.5">
      <c r="D6" s="349"/>
      <c r="N6" s="1668"/>
    </row>
    <row r="7" spans="1:19" ht="13">
      <c r="D7" s="349" t="s">
        <v>869</v>
      </c>
      <c r="J7" s="1750"/>
      <c r="K7" s="1750"/>
      <c r="L7" s="1750"/>
      <c r="N7" s="1750"/>
      <c r="O7" s="1750"/>
      <c r="P7" s="1750"/>
      <c r="Q7" s="1750"/>
      <c r="R7" s="1750"/>
    </row>
    <row r="8" spans="1:19" ht="13">
      <c r="D8" s="1743" t="s">
        <v>870</v>
      </c>
      <c r="E8" s="1744"/>
      <c r="F8" s="1744"/>
      <c r="G8" s="1744"/>
      <c r="H8" s="1745"/>
      <c r="I8" s="353"/>
      <c r="J8" s="1746" t="s">
        <v>1199</v>
      </c>
      <c r="K8" s="1747"/>
      <c r="L8" s="1748"/>
      <c r="M8" s="353"/>
      <c r="N8" s="1746" t="s">
        <v>1200</v>
      </c>
      <c r="O8" s="1747"/>
      <c r="P8" s="1747"/>
      <c r="Q8" s="1747"/>
      <c r="R8" s="1748"/>
      <c r="S8" s="353"/>
    </row>
    <row r="9" spans="1:19" ht="13">
      <c r="D9" s="354" t="s">
        <v>164</v>
      </c>
      <c r="E9" s="354" t="s">
        <v>165</v>
      </c>
      <c r="F9" s="354" t="s">
        <v>1201</v>
      </c>
      <c r="G9" s="354" t="s">
        <v>1202</v>
      </c>
      <c r="H9" s="354" t="s">
        <v>1203</v>
      </c>
      <c r="I9" s="353"/>
      <c r="J9" s="354" t="s">
        <v>1204</v>
      </c>
      <c r="K9" s="354" t="s">
        <v>1205</v>
      </c>
      <c r="L9" s="354" t="s">
        <v>1206</v>
      </c>
      <c r="M9" s="353"/>
      <c r="N9" s="354" t="s">
        <v>1207</v>
      </c>
      <c r="O9" s="354" t="s">
        <v>1208</v>
      </c>
      <c r="P9" s="354" t="s">
        <v>1209</v>
      </c>
      <c r="Q9" s="354" t="s">
        <v>1210</v>
      </c>
      <c r="R9" s="354" t="s">
        <v>1211</v>
      </c>
      <c r="S9" s="353"/>
    </row>
    <row r="10" spans="1:19" ht="63" customHeight="1">
      <c r="B10" s="355" t="s">
        <v>1212</v>
      </c>
      <c r="D10" s="356" t="s">
        <v>159</v>
      </c>
      <c r="E10" s="356" t="s">
        <v>871</v>
      </c>
      <c r="F10" s="356" t="s">
        <v>960</v>
      </c>
      <c r="G10" s="356" t="s">
        <v>959</v>
      </c>
      <c r="H10" s="356" t="s">
        <v>1213</v>
      </c>
      <c r="I10" s="609"/>
      <c r="J10" s="356" t="s">
        <v>874</v>
      </c>
      <c r="K10" s="356" t="s">
        <v>1214</v>
      </c>
      <c r="L10" s="356" t="s">
        <v>1215</v>
      </c>
      <c r="M10" s="609"/>
      <c r="N10" s="356" t="s">
        <v>958</v>
      </c>
      <c r="O10" s="356" t="s">
        <v>1216</v>
      </c>
      <c r="P10" s="356" t="s">
        <v>1217</v>
      </c>
      <c r="Q10" s="356" t="s">
        <v>1218</v>
      </c>
      <c r="R10" s="356" t="s">
        <v>1219</v>
      </c>
      <c r="S10" s="609"/>
    </row>
    <row r="11" spans="1:19">
      <c r="E11" s="609"/>
      <c r="F11" s="609"/>
      <c r="G11" s="609"/>
      <c r="H11" s="609"/>
      <c r="I11" s="609"/>
      <c r="J11" s="609"/>
      <c r="K11" s="609"/>
      <c r="L11" s="609"/>
      <c r="M11" s="609"/>
      <c r="N11" s="609"/>
      <c r="O11" s="609"/>
      <c r="P11" s="609"/>
      <c r="Q11" s="609"/>
      <c r="R11" s="609"/>
      <c r="S11" s="609"/>
    </row>
    <row r="12" spans="1:19">
      <c r="B12" s="352">
        <v>1</v>
      </c>
      <c r="D12" s="298" t="s">
        <v>957</v>
      </c>
      <c r="E12" s="609"/>
      <c r="F12" s="609"/>
      <c r="G12" s="609"/>
      <c r="H12" s="609"/>
      <c r="I12" s="609"/>
      <c r="J12" s="614" t="s">
        <v>1828</v>
      </c>
      <c r="K12" s="609"/>
      <c r="L12" s="614">
        <v>0</v>
      </c>
      <c r="M12" s="609"/>
      <c r="N12" s="1520" t="s">
        <v>1828</v>
      </c>
      <c r="O12" s="609"/>
      <c r="P12" s="609"/>
      <c r="Q12" s="609"/>
      <c r="R12" s="614">
        <v>0</v>
      </c>
      <c r="S12" s="609"/>
    </row>
    <row r="13" spans="1:19">
      <c r="E13" s="609"/>
      <c r="F13" s="609"/>
      <c r="G13" s="609"/>
      <c r="H13" s="609"/>
      <c r="I13" s="609"/>
      <c r="J13" s="1508"/>
      <c r="K13" s="609"/>
      <c r="L13" s="609"/>
      <c r="M13" s="609"/>
      <c r="N13" s="1508"/>
      <c r="O13" s="609"/>
      <c r="P13" s="609"/>
      <c r="Q13" s="609"/>
      <c r="R13" s="609"/>
      <c r="S13" s="609"/>
    </row>
    <row r="14" spans="1:19">
      <c r="B14" s="1481">
        <f>B12+1</f>
        <v>2</v>
      </c>
      <c r="D14" s="298" t="s">
        <v>1592</v>
      </c>
      <c r="E14" s="1480"/>
      <c r="F14" s="1480"/>
      <c r="G14" s="1480"/>
      <c r="H14" s="1480"/>
      <c r="I14" s="1480"/>
      <c r="J14" s="614" t="s">
        <v>1974</v>
      </c>
      <c r="K14" s="1480"/>
      <c r="L14" s="1480"/>
      <c r="M14" s="1480"/>
      <c r="N14" s="1520" t="s">
        <v>1976</v>
      </c>
      <c r="O14" s="1480"/>
      <c r="P14" s="1480"/>
      <c r="Q14" s="1480"/>
      <c r="R14" s="1480"/>
      <c r="S14" s="1480"/>
    </row>
    <row r="15" spans="1:19">
      <c r="B15" s="1481"/>
      <c r="E15" s="1480"/>
      <c r="F15" s="1480"/>
      <c r="G15" s="1480"/>
      <c r="H15" s="1480"/>
      <c r="I15" s="1480"/>
      <c r="J15" s="1480"/>
      <c r="K15" s="1480"/>
      <c r="L15" s="1480"/>
      <c r="M15" s="1480"/>
      <c r="N15" s="1480"/>
      <c r="O15" s="1480"/>
      <c r="P15" s="1480"/>
      <c r="Q15" s="1480"/>
      <c r="R15" s="1480"/>
      <c r="S15" s="1480"/>
    </row>
    <row r="16" spans="1:19">
      <c r="B16" s="352">
        <f>B14+1</f>
        <v>3</v>
      </c>
      <c r="D16" s="357" t="s">
        <v>493</v>
      </c>
      <c r="E16" s="614">
        <v>31</v>
      </c>
      <c r="F16" s="620">
        <v>0</v>
      </c>
      <c r="G16" s="620">
        <v>214</v>
      </c>
      <c r="H16" s="619">
        <f t="shared" ref="H16:H27" si="0">IF(F16=0,0.5,F16/G16)</f>
        <v>0.5</v>
      </c>
      <c r="I16" s="618"/>
      <c r="J16" s="614">
        <v>0</v>
      </c>
      <c r="K16" s="612">
        <f t="shared" ref="K16:K27" si="1">+J16*H16</f>
        <v>0</v>
      </c>
      <c r="L16" s="612">
        <f>+K16+L12</f>
        <v>0</v>
      </c>
      <c r="M16" s="618"/>
      <c r="N16" s="614">
        <v>0</v>
      </c>
      <c r="O16" s="612">
        <f t="shared" ref="O16:O27" si="2">IF($D$187="True-Up Adjustment",N16-J16,0)</f>
        <v>0</v>
      </c>
      <c r="P16" s="612">
        <f t="shared" ref="P16:P27" si="3">IF($D$187="True-Up Adjustment",IF(AND(J16&gt;=0,N16&gt;=0),IF(O16&gt;=0,K16+O16,N16/J16*K16),IF(AND(J16&lt;0,N16&lt;0),IF(O16&lt;0,K16+O16,N16/J16*K16),0)),0)</f>
        <v>0</v>
      </c>
      <c r="Q16" s="612">
        <f t="shared" ref="Q16:Q27" si="4">IF(AND(J16&gt;=0,N16&lt;0),N16,IF(AND(J16&lt;0,N16&gt;=0),N16,0))</f>
        <v>0</v>
      </c>
      <c r="R16" s="612">
        <f>P16+Q16+R12</f>
        <v>0</v>
      </c>
      <c r="S16" s="618"/>
    </row>
    <row r="17" spans="2:19">
      <c r="B17" s="352">
        <f t="shared" ref="B17:B28" si="5">+B16+1</f>
        <v>4</v>
      </c>
      <c r="D17" s="357" t="s">
        <v>494</v>
      </c>
      <c r="E17" s="614">
        <v>28</v>
      </c>
      <c r="F17" s="620">
        <v>0</v>
      </c>
      <c r="G17" s="620">
        <v>214</v>
      </c>
      <c r="H17" s="619">
        <f t="shared" si="0"/>
        <v>0.5</v>
      </c>
      <c r="I17" s="618"/>
      <c r="J17" s="614">
        <v>0</v>
      </c>
      <c r="K17" s="612">
        <f t="shared" si="1"/>
        <v>0</v>
      </c>
      <c r="L17" s="612">
        <f t="shared" ref="L17:L27" si="6">+K17+L16</f>
        <v>0</v>
      </c>
      <c r="M17" s="618"/>
      <c r="N17" s="614">
        <v>0</v>
      </c>
      <c r="O17" s="612">
        <f t="shared" si="2"/>
        <v>0</v>
      </c>
      <c r="P17" s="612">
        <f t="shared" si="3"/>
        <v>0</v>
      </c>
      <c r="Q17" s="612">
        <f t="shared" si="4"/>
        <v>0</v>
      </c>
      <c r="R17" s="612">
        <f t="shared" ref="R17:R27" si="7">R16+P17+Q17</f>
        <v>0</v>
      </c>
      <c r="S17" s="618"/>
    </row>
    <row r="18" spans="2:19">
      <c r="B18" s="352">
        <f t="shared" si="5"/>
        <v>5</v>
      </c>
      <c r="D18" s="357" t="s">
        <v>517</v>
      </c>
      <c r="E18" s="614">
        <v>31</v>
      </c>
      <c r="F18" s="620">
        <v>0</v>
      </c>
      <c r="G18" s="620">
        <v>214</v>
      </c>
      <c r="H18" s="619">
        <f t="shared" si="0"/>
        <v>0.5</v>
      </c>
      <c r="I18" s="618"/>
      <c r="J18" s="614">
        <v>0</v>
      </c>
      <c r="K18" s="612">
        <f t="shared" si="1"/>
        <v>0</v>
      </c>
      <c r="L18" s="612">
        <f t="shared" si="6"/>
        <v>0</v>
      </c>
      <c r="M18" s="618"/>
      <c r="N18" s="614">
        <v>0</v>
      </c>
      <c r="O18" s="612">
        <f t="shared" si="2"/>
        <v>0</v>
      </c>
      <c r="P18" s="612">
        <f t="shared" si="3"/>
        <v>0</v>
      </c>
      <c r="Q18" s="612">
        <f t="shared" si="4"/>
        <v>0</v>
      </c>
      <c r="R18" s="612">
        <f t="shared" si="7"/>
        <v>0</v>
      </c>
      <c r="S18" s="618"/>
    </row>
    <row r="19" spans="2:19">
      <c r="B19" s="352">
        <f t="shared" si="5"/>
        <v>6</v>
      </c>
      <c r="D19" s="357" t="s">
        <v>161</v>
      </c>
      <c r="E19" s="614">
        <v>30</v>
      </c>
      <c r="F19" s="620">
        <v>0</v>
      </c>
      <c r="G19" s="620">
        <v>214</v>
      </c>
      <c r="H19" s="619">
        <f t="shared" si="0"/>
        <v>0.5</v>
      </c>
      <c r="I19" s="618"/>
      <c r="J19" s="614">
        <v>0</v>
      </c>
      <c r="K19" s="612">
        <f t="shared" si="1"/>
        <v>0</v>
      </c>
      <c r="L19" s="612">
        <f t="shared" si="6"/>
        <v>0</v>
      </c>
      <c r="M19" s="618"/>
      <c r="N19" s="614">
        <v>0</v>
      </c>
      <c r="O19" s="612">
        <f t="shared" si="2"/>
        <v>0</v>
      </c>
      <c r="P19" s="612">
        <f t="shared" si="3"/>
        <v>0</v>
      </c>
      <c r="Q19" s="612">
        <f t="shared" si="4"/>
        <v>0</v>
      </c>
      <c r="R19" s="612">
        <f t="shared" si="7"/>
        <v>0</v>
      </c>
      <c r="S19" s="618"/>
    </row>
    <row r="20" spans="2:19">
      <c r="B20" s="352">
        <f t="shared" si="5"/>
        <v>7</v>
      </c>
      <c r="D20" s="357" t="s">
        <v>162</v>
      </c>
      <c r="E20" s="614">
        <v>31</v>
      </c>
      <c r="F20" s="620">
        <v>0</v>
      </c>
      <c r="G20" s="620">
        <v>214</v>
      </c>
      <c r="H20" s="619">
        <f t="shared" si="0"/>
        <v>0.5</v>
      </c>
      <c r="I20" s="618"/>
      <c r="J20" s="614">
        <v>0</v>
      </c>
      <c r="K20" s="612">
        <f t="shared" si="1"/>
        <v>0</v>
      </c>
      <c r="L20" s="612">
        <f t="shared" si="6"/>
        <v>0</v>
      </c>
      <c r="M20" s="618"/>
      <c r="N20" s="614">
        <v>0</v>
      </c>
      <c r="O20" s="612">
        <f t="shared" si="2"/>
        <v>0</v>
      </c>
      <c r="P20" s="612">
        <f t="shared" si="3"/>
        <v>0</v>
      </c>
      <c r="Q20" s="612">
        <f t="shared" si="4"/>
        <v>0</v>
      </c>
      <c r="R20" s="612">
        <f t="shared" si="7"/>
        <v>0</v>
      </c>
      <c r="S20" s="618"/>
    </row>
    <row r="21" spans="2:19">
      <c r="B21" s="352">
        <f t="shared" si="5"/>
        <v>8</v>
      </c>
      <c r="D21" s="357" t="s">
        <v>163</v>
      </c>
      <c r="E21" s="614">
        <v>30</v>
      </c>
      <c r="F21" s="620">
        <f t="shared" ref="F21:F26" si="8">F22+E22</f>
        <v>185</v>
      </c>
      <c r="G21" s="620">
        <v>214</v>
      </c>
      <c r="H21" s="619">
        <f t="shared" si="0"/>
        <v>0.86448598130841126</v>
      </c>
      <c r="I21" s="618"/>
      <c r="J21" s="614">
        <v>0</v>
      </c>
      <c r="K21" s="612">
        <f t="shared" si="1"/>
        <v>0</v>
      </c>
      <c r="L21" s="612">
        <f t="shared" si="6"/>
        <v>0</v>
      </c>
      <c r="M21" s="618"/>
      <c r="N21" s="614">
        <v>0</v>
      </c>
      <c r="O21" s="612">
        <f t="shared" si="2"/>
        <v>0</v>
      </c>
      <c r="P21" s="612">
        <f t="shared" si="3"/>
        <v>0</v>
      </c>
      <c r="Q21" s="612">
        <f t="shared" si="4"/>
        <v>0</v>
      </c>
      <c r="R21" s="612">
        <f t="shared" si="7"/>
        <v>0</v>
      </c>
      <c r="S21" s="618"/>
    </row>
    <row r="22" spans="2:19">
      <c r="B22" s="352">
        <f t="shared" si="5"/>
        <v>9</v>
      </c>
      <c r="D22" s="357" t="s">
        <v>496</v>
      </c>
      <c r="E22" s="614">
        <v>31</v>
      </c>
      <c r="F22" s="620">
        <f t="shared" si="8"/>
        <v>154</v>
      </c>
      <c r="G22" s="620">
        <v>214</v>
      </c>
      <c r="H22" s="619">
        <f t="shared" si="0"/>
        <v>0.71962616822429903</v>
      </c>
      <c r="I22" s="618"/>
      <c r="J22" s="614">
        <v>0</v>
      </c>
      <c r="K22" s="612">
        <f t="shared" si="1"/>
        <v>0</v>
      </c>
      <c r="L22" s="612">
        <f t="shared" si="6"/>
        <v>0</v>
      </c>
      <c r="M22" s="618"/>
      <c r="N22" s="614">
        <v>0</v>
      </c>
      <c r="O22" s="612">
        <f t="shared" si="2"/>
        <v>0</v>
      </c>
      <c r="P22" s="612">
        <f t="shared" si="3"/>
        <v>0</v>
      </c>
      <c r="Q22" s="612">
        <f t="shared" si="4"/>
        <v>0</v>
      </c>
      <c r="R22" s="612">
        <f t="shared" si="7"/>
        <v>0</v>
      </c>
      <c r="S22" s="618"/>
    </row>
    <row r="23" spans="2:19">
      <c r="B23" s="352">
        <f t="shared" si="5"/>
        <v>10</v>
      </c>
      <c r="D23" s="357" t="s">
        <v>518</v>
      </c>
      <c r="E23" s="614">
        <v>31</v>
      </c>
      <c r="F23" s="620">
        <f t="shared" si="8"/>
        <v>123</v>
      </c>
      <c r="G23" s="620">
        <v>214</v>
      </c>
      <c r="H23" s="619">
        <f t="shared" si="0"/>
        <v>0.57476635514018692</v>
      </c>
      <c r="I23" s="618"/>
      <c r="J23" s="614">
        <v>0</v>
      </c>
      <c r="K23" s="612">
        <f t="shared" si="1"/>
        <v>0</v>
      </c>
      <c r="L23" s="612">
        <f t="shared" si="6"/>
        <v>0</v>
      </c>
      <c r="M23" s="618"/>
      <c r="N23" s="614">
        <v>0</v>
      </c>
      <c r="O23" s="612">
        <f t="shared" si="2"/>
        <v>0</v>
      </c>
      <c r="P23" s="612">
        <f t="shared" si="3"/>
        <v>0</v>
      </c>
      <c r="Q23" s="612">
        <f t="shared" si="4"/>
        <v>0</v>
      </c>
      <c r="R23" s="612">
        <f t="shared" si="7"/>
        <v>0</v>
      </c>
      <c r="S23" s="618"/>
    </row>
    <row r="24" spans="2:19">
      <c r="B24" s="352">
        <f t="shared" si="5"/>
        <v>11</v>
      </c>
      <c r="D24" s="357" t="s">
        <v>498</v>
      </c>
      <c r="E24" s="614">
        <v>30</v>
      </c>
      <c r="F24" s="620">
        <f t="shared" si="8"/>
        <v>93</v>
      </c>
      <c r="G24" s="620">
        <v>214</v>
      </c>
      <c r="H24" s="619">
        <f t="shared" si="0"/>
        <v>0.43457943925233644</v>
      </c>
      <c r="I24" s="618"/>
      <c r="J24" s="614">
        <v>0</v>
      </c>
      <c r="K24" s="612">
        <f t="shared" si="1"/>
        <v>0</v>
      </c>
      <c r="L24" s="612">
        <f t="shared" si="6"/>
        <v>0</v>
      </c>
      <c r="M24" s="618"/>
      <c r="N24" s="614">
        <v>0</v>
      </c>
      <c r="O24" s="612">
        <f t="shared" si="2"/>
        <v>0</v>
      </c>
      <c r="P24" s="612">
        <f t="shared" si="3"/>
        <v>0</v>
      </c>
      <c r="Q24" s="612">
        <f t="shared" si="4"/>
        <v>0</v>
      </c>
      <c r="R24" s="612">
        <f t="shared" si="7"/>
        <v>0</v>
      </c>
      <c r="S24" s="618"/>
    </row>
    <row r="25" spans="2:19">
      <c r="B25" s="352">
        <f t="shared" si="5"/>
        <v>12</v>
      </c>
      <c r="D25" s="357" t="s">
        <v>499</v>
      </c>
      <c r="E25" s="614">
        <v>31</v>
      </c>
      <c r="F25" s="620">
        <f t="shared" si="8"/>
        <v>62</v>
      </c>
      <c r="G25" s="620">
        <v>214</v>
      </c>
      <c r="H25" s="619">
        <f t="shared" si="0"/>
        <v>0.28971962616822428</v>
      </c>
      <c r="I25" s="618"/>
      <c r="J25" s="614">
        <v>0</v>
      </c>
      <c r="K25" s="612">
        <f t="shared" si="1"/>
        <v>0</v>
      </c>
      <c r="L25" s="612">
        <f t="shared" si="6"/>
        <v>0</v>
      </c>
      <c r="M25" s="618"/>
      <c r="N25" s="614">
        <v>0</v>
      </c>
      <c r="O25" s="612">
        <f t="shared" si="2"/>
        <v>0</v>
      </c>
      <c r="P25" s="612">
        <f t="shared" si="3"/>
        <v>0</v>
      </c>
      <c r="Q25" s="612">
        <f t="shared" si="4"/>
        <v>0</v>
      </c>
      <c r="R25" s="612">
        <f t="shared" si="7"/>
        <v>0</v>
      </c>
      <c r="S25" s="618"/>
    </row>
    <row r="26" spans="2:19">
      <c r="B26" s="352">
        <f t="shared" si="5"/>
        <v>13</v>
      </c>
      <c r="D26" s="357" t="s">
        <v>500</v>
      </c>
      <c r="E26" s="614">
        <v>30</v>
      </c>
      <c r="F26" s="620">
        <f t="shared" si="8"/>
        <v>32</v>
      </c>
      <c r="G26" s="620">
        <v>214</v>
      </c>
      <c r="H26" s="619">
        <f t="shared" si="0"/>
        <v>0.14953271028037382</v>
      </c>
      <c r="I26" s="618"/>
      <c r="J26" s="614">
        <v>0</v>
      </c>
      <c r="K26" s="612">
        <f t="shared" si="1"/>
        <v>0</v>
      </c>
      <c r="L26" s="612">
        <f t="shared" si="6"/>
        <v>0</v>
      </c>
      <c r="M26" s="618"/>
      <c r="N26" s="614">
        <v>0</v>
      </c>
      <c r="O26" s="612">
        <f t="shared" si="2"/>
        <v>0</v>
      </c>
      <c r="P26" s="612">
        <f t="shared" si="3"/>
        <v>0</v>
      </c>
      <c r="Q26" s="612">
        <f t="shared" si="4"/>
        <v>0</v>
      </c>
      <c r="R26" s="612">
        <f t="shared" si="7"/>
        <v>0</v>
      </c>
      <c r="S26" s="618"/>
    </row>
    <row r="27" spans="2:19">
      <c r="B27" s="352">
        <f t="shared" si="5"/>
        <v>14</v>
      </c>
      <c r="D27" s="358" t="s">
        <v>715</v>
      </c>
      <c r="E27" s="614">
        <v>31</v>
      </c>
      <c r="F27" s="620">
        <v>1</v>
      </c>
      <c r="G27" s="620">
        <v>214</v>
      </c>
      <c r="H27" s="619">
        <f t="shared" si="0"/>
        <v>4.6728971962616819E-3</v>
      </c>
      <c r="I27" s="618"/>
      <c r="J27" s="614">
        <v>0</v>
      </c>
      <c r="K27" s="612">
        <f t="shared" si="1"/>
        <v>0</v>
      </c>
      <c r="L27" s="612">
        <f t="shared" si="6"/>
        <v>0</v>
      </c>
      <c r="M27" s="618"/>
      <c r="N27" s="614">
        <v>0</v>
      </c>
      <c r="O27" s="612">
        <f t="shared" si="2"/>
        <v>0</v>
      </c>
      <c r="P27" s="612">
        <f t="shared" si="3"/>
        <v>0</v>
      </c>
      <c r="Q27" s="612">
        <f t="shared" si="4"/>
        <v>0</v>
      </c>
      <c r="R27" s="612">
        <f t="shared" si="7"/>
        <v>0</v>
      </c>
      <c r="S27" s="618"/>
    </row>
    <row r="28" spans="2:19">
      <c r="B28" s="352">
        <f t="shared" si="5"/>
        <v>15</v>
      </c>
      <c r="D28" s="359" t="str">
        <f>"Total (Sum of Lines "&amp;B16&amp;" - "&amp;B27&amp;")"</f>
        <v>Total (Sum of Lines 3 - 14)</v>
      </c>
      <c r="E28" s="617">
        <f>SUM(E16:E27)</f>
        <v>365</v>
      </c>
      <c r="F28" s="360"/>
      <c r="G28" s="360"/>
      <c r="H28" s="361"/>
      <c r="I28" s="615"/>
      <c r="J28" s="617">
        <f>SUM(J16:J27)</f>
        <v>0</v>
      </c>
      <c r="K28" s="617">
        <f>SUM(K16:K27)</f>
        <v>0</v>
      </c>
      <c r="L28" s="616"/>
      <c r="M28" s="615"/>
      <c r="N28" s="617">
        <f>SUM(N16:N27)</f>
        <v>0</v>
      </c>
      <c r="O28" s="617">
        <f>SUM(O16:O27)</f>
        <v>0</v>
      </c>
      <c r="P28" s="617">
        <f>SUM(P16:P27)</f>
        <v>0</v>
      </c>
      <c r="Q28" s="617">
        <f>SUM(Q16:Q27)</f>
        <v>0</v>
      </c>
      <c r="R28" s="616"/>
      <c r="S28" s="615"/>
    </row>
    <row r="29" spans="2:19">
      <c r="D29" s="362"/>
      <c r="E29" s="362"/>
      <c r="F29" s="362"/>
      <c r="G29" s="362"/>
      <c r="H29" s="363"/>
      <c r="I29" s="363"/>
      <c r="K29" s="364"/>
      <c r="L29" s="363"/>
      <c r="M29" s="363"/>
      <c r="O29" s="364"/>
      <c r="P29" s="364"/>
      <c r="Q29" s="364"/>
      <c r="R29" s="363"/>
      <c r="S29" s="363"/>
    </row>
    <row r="30" spans="2:19">
      <c r="B30" s="352">
        <f>B28+1</f>
        <v>16</v>
      </c>
      <c r="D30" s="298" t="s">
        <v>875</v>
      </c>
      <c r="I30" s="363"/>
      <c r="J30" s="614" t="str">
        <f>$J$12</f>
        <v>12/31/2021 (Actuals)</v>
      </c>
      <c r="L30" s="614">
        <f>'1C - ADIT BOY'!E11</f>
        <v>3780215.8899677629</v>
      </c>
      <c r="M30" s="365"/>
      <c r="N30" s="1520" t="str">
        <f>$N$12</f>
        <v>12/31/2021 (Actuals)</v>
      </c>
      <c r="R30" s="614">
        <f>'1C - ADIT BOY'!E11</f>
        <v>3780215.8899677629</v>
      </c>
    </row>
    <row r="31" spans="2:19">
      <c r="B31" s="352">
        <f>B30+1</f>
        <v>17</v>
      </c>
      <c r="D31" s="298" t="s">
        <v>1473</v>
      </c>
      <c r="I31" s="363"/>
      <c r="J31" s="366" t="s">
        <v>611</v>
      </c>
      <c r="L31" s="367">
        <v>0</v>
      </c>
      <c r="M31" s="368"/>
      <c r="N31" s="366"/>
      <c r="R31" s="367">
        <v>0</v>
      </c>
    </row>
    <row r="32" spans="2:19">
      <c r="B32" s="352">
        <f>B31+1</f>
        <v>18</v>
      </c>
      <c r="D32" s="298" t="s">
        <v>876</v>
      </c>
      <c r="I32" s="363"/>
      <c r="J32" s="359" t="str">
        <f>"(Col. "&amp;L9&amp;", Line "&amp;B30&amp;" + Line "&amp;B31&amp;")"</f>
        <v>(Col. (H), Line 16 + Line 17)</v>
      </c>
      <c r="L32" s="613">
        <f>L30+L31</f>
        <v>3780215.8899677629</v>
      </c>
      <c r="M32" s="363"/>
      <c r="N32" s="359" t="str">
        <f>"(Col. "&amp;R9&amp;", Line "&amp;B30&amp;" + Line "&amp;B31&amp;")"</f>
        <v>(Col. (M), Line 16 + Line 17)</v>
      </c>
      <c r="R32" s="613">
        <f>R30+R31</f>
        <v>3780215.8899677629</v>
      </c>
    </row>
    <row r="33" spans="2:19">
      <c r="I33" s="363"/>
      <c r="L33" s="613"/>
      <c r="M33" s="363"/>
      <c r="R33" s="613"/>
    </row>
    <row r="34" spans="2:19">
      <c r="B34" s="352">
        <f>B32+1</f>
        <v>19</v>
      </c>
      <c r="D34" s="298" t="s">
        <v>877</v>
      </c>
      <c r="I34" s="363"/>
      <c r="J34" s="614" t="str">
        <f>$J$14</f>
        <v>2022 Projected</v>
      </c>
      <c r="L34" s="614">
        <v>4167526.8902710392</v>
      </c>
      <c r="M34" s="365"/>
      <c r="N34" s="1520" t="str">
        <f>$N$14</f>
        <v>12/31/2022 (Actuals)</v>
      </c>
      <c r="R34" s="614">
        <f>'1B - ADIT EOY'!E11</f>
        <v>4385570.563376396</v>
      </c>
    </row>
    <row r="35" spans="2:19">
      <c r="B35" s="352">
        <f>B34+1</f>
        <v>20</v>
      </c>
      <c r="D35" s="298" t="s">
        <v>1474</v>
      </c>
      <c r="I35" s="363"/>
      <c r="J35" s="366" t="s">
        <v>611</v>
      </c>
      <c r="L35" s="367">
        <v>0</v>
      </c>
      <c r="M35" s="363"/>
      <c r="N35" s="366"/>
      <c r="R35" s="367">
        <v>0</v>
      </c>
    </row>
    <row r="36" spans="2:19">
      <c r="B36" s="352">
        <f>B35+1</f>
        <v>21</v>
      </c>
      <c r="D36" s="298" t="s">
        <v>881</v>
      </c>
      <c r="G36" s="359"/>
      <c r="I36" s="363"/>
      <c r="J36" s="359" t="str">
        <f>"(Col. "&amp;L9&amp;", Line "&amp;B34&amp;" + Line "&amp;B35&amp;")"</f>
        <v>(Col. (H), Line 19 + Line 20)</v>
      </c>
      <c r="L36" s="613">
        <f>L34+L35</f>
        <v>4167526.8902710392</v>
      </c>
      <c r="M36" s="363"/>
      <c r="N36" s="359" t="str">
        <f>"(Col. "&amp;R9&amp;", Line "&amp;B34&amp;" + Line "&amp;B35&amp;")"</f>
        <v>(Col. (M), Line 19 + Line 20)</v>
      </c>
      <c r="R36" s="613">
        <f>R34+R35</f>
        <v>4385570.563376396</v>
      </c>
    </row>
    <row r="37" spans="2:19">
      <c r="I37" s="363"/>
      <c r="L37" s="613"/>
      <c r="M37" s="363"/>
      <c r="R37" s="613"/>
    </row>
    <row r="38" spans="2:19">
      <c r="B38" s="352">
        <f>B36+1</f>
        <v>22</v>
      </c>
      <c r="D38" s="298" t="s">
        <v>955</v>
      </c>
      <c r="I38" s="363"/>
      <c r="J38" s="359" t="str">
        <f>"([Col. "&amp;L9&amp;", Line "&amp;B32&amp;" + Line "&amp;B36&amp;"] /2)"</f>
        <v>([Col. (H), Line 18 + Line 21] /2)</v>
      </c>
      <c r="L38" s="612">
        <f>(L32+L36)/2</f>
        <v>3973871.3901194008</v>
      </c>
      <c r="M38" s="363"/>
      <c r="N38" s="359" t="str">
        <f>"([Col. "&amp;R9&amp;", Line "&amp;B32&amp;" + Line "&amp;B36&amp;"] /2)"</f>
        <v>([Col. (M), Line 18 + Line 21] /2)</v>
      </c>
      <c r="R38" s="612">
        <f>(R32+R36)/2</f>
        <v>4082893.2266720794</v>
      </c>
    </row>
    <row r="39" spans="2:19">
      <c r="B39" s="352">
        <f>B38+1</f>
        <v>23</v>
      </c>
      <c r="D39" s="362" t="s">
        <v>954</v>
      </c>
      <c r="E39" s="362"/>
      <c r="F39" s="362"/>
      <c r="G39" s="362"/>
      <c r="H39" s="363"/>
      <c r="I39" s="363"/>
      <c r="J39" s="359" t="str">
        <f>"(Col. "&amp;L9&amp;", Line "&amp;B27&amp;" )"</f>
        <v>(Col. (H), Line 14 )</v>
      </c>
      <c r="K39" s="364"/>
      <c r="L39" s="612">
        <f>L27</f>
        <v>0</v>
      </c>
      <c r="M39" s="363"/>
      <c r="N39" s="359" t="str">
        <f>"(Col. "&amp;R9&amp;", Line "&amp;B27&amp;" )"</f>
        <v>(Col. (M), Line 14 )</v>
      </c>
      <c r="R39" s="612">
        <f>R27</f>
        <v>0</v>
      </c>
    </row>
    <row r="40" spans="2:19" ht="13.5" thickBot="1">
      <c r="B40" s="352">
        <f>B39+1</f>
        <v>24</v>
      </c>
      <c r="D40" s="369" t="s">
        <v>1441</v>
      </c>
      <c r="E40" s="362"/>
      <c r="F40" s="362"/>
      <c r="G40" s="362"/>
      <c r="H40" s="363"/>
      <c r="I40" s="363"/>
      <c r="J40" s="359" t="str">
        <f>"(Col. "&amp;L9&amp;", Line "&amp;B38&amp;" + Line "&amp;B39&amp;")"</f>
        <v>(Col. (H), Line 22 + Line 23)</v>
      </c>
      <c r="K40" s="364"/>
      <c r="L40" s="611">
        <f>L38+L39</f>
        <v>3973871.3901194008</v>
      </c>
      <c r="M40" s="363"/>
      <c r="N40" s="359" t="str">
        <f>"(Col. "&amp;R9&amp;", Line "&amp;B38&amp;" + Line "&amp;B39&amp;")"</f>
        <v>(Col. (M), Line 22 + Line 23)</v>
      </c>
      <c r="R40" s="611">
        <f>R38+R39</f>
        <v>4082893.2266720794</v>
      </c>
    </row>
    <row r="41" spans="2:19">
      <c r="I41" s="363"/>
      <c r="L41" s="612"/>
      <c r="M41" s="363"/>
      <c r="R41" s="612"/>
      <c r="S41" s="363"/>
    </row>
    <row r="42" spans="2:19" ht="13">
      <c r="D42" s="349" t="s">
        <v>1220</v>
      </c>
      <c r="J42" s="370"/>
      <c r="K42" s="371"/>
      <c r="L42" s="371"/>
      <c r="N42" s="371"/>
      <c r="O42" s="371"/>
      <c r="P42" s="371"/>
      <c r="Q42" s="371"/>
      <c r="R42" s="371"/>
    </row>
    <row r="43" spans="2:19" ht="13">
      <c r="D43" s="1743" t="s">
        <v>870</v>
      </c>
      <c r="E43" s="1744"/>
      <c r="F43" s="1744"/>
      <c r="G43" s="1744"/>
      <c r="H43" s="1745"/>
      <c r="I43" s="353"/>
      <c r="J43" s="1746" t="s">
        <v>1199</v>
      </c>
      <c r="K43" s="1747"/>
      <c r="L43" s="1748"/>
      <c r="M43" s="353"/>
      <c r="N43" s="1746" t="s">
        <v>1200</v>
      </c>
      <c r="O43" s="1747"/>
      <c r="P43" s="1747"/>
      <c r="Q43" s="1747"/>
      <c r="R43" s="1748"/>
      <c r="S43" s="353"/>
    </row>
    <row r="44" spans="2:19" ht="13">
      <c r="D44" s="354" t="s">
        <v>164</v>
      </c>
      <c r="E44" s="354" t="s">
        <v>165</v>
      </c>
      <c r="F44" s="354" t="s">
        <v>1201</v>
      </c>
      <c r="G44" s="354" t="s">
        <v>1202</v>
      </c>
      <c r="H44" s="354" t="s">
        <v>1203</v>
      </c>
      <c r="I44" s="353"/>
      <c r="J44" s="354" t="s">
        <v>1204</v>
      </c>
      <c r="K44" s="354" t="s">
        <v>1205</v>
      </c>
      <c r="L44" s="354" t="s">
        <v>1206</v>
      </c>
      <c r="M44" s="353"/>
      <c r="N44" s="354" t="s">
        <v>1207</v>
      </c>
      <c r="O44" s="354" t="s">
        <v>1208</v>
      </c>
      <c r="P44" s="354" t="s">
        <v>1209</v>
      </c>
      <c r="Q44" s="354" t="s">
        <v>1210</v>
      </c>
      <c r="R44" s="354" t="s">
        <v>1211</v>
      </c>
      <c r="S44" s="353"/>
    </row>
    <row r="45" spans="2:19" ht="50">
      <c r="B45" s="355" t="s">
        <v>1212</v>
      </c>
      <c r="D45" s="356" t="s">
        <v>159</v>
      </c>
      <c r="E45" s="356" t="s">
        <v>871</v>
      </c>
      <c r="F45" s="356" t="s">
        <v>872</v>
      </c>
      <c r="G45" s="356" t="s">
        <v>873</v>
      </c>
      <c r="H45" s="356" t="s">
        <v>1213</v>
      </c>
      <c r="I45" s="609"/>
      <c r="J45" s="356" t="s">
        <v>874</v>
      </c>
      <c r="K45" s="356" t="s">
        <v>1214</v>
      </c>
      <c r="L45" s="356" t="s">
        <v>1215</v>
      </c>
      <c r="M45" s="609"/>
      <c r="N45" s="356" t="s">
        <v>958</v>
      </c>
      <c r="O45" s="356" t="s">
        <v>1216</v>
      </c>
      <c r="P45" s="356" t="s">
        <v>1217</v>
      </c>
      <c r="Q45" s="356" t="s">
        <v>1218</v>
      </c>
      <c r="R45" s="356" t="s">
        <v>1219</v>
      </c>
      <c r="S45" s="609"/>
    </row>
    <row r="46" spans="2:19">
      <c r="E46" s="609"/>
      <c r="F46" s="609"/>
      <c r="G46" s="609"/>
      <c r="H46" s="609"/>
      <c r="I46" s="609"/>
      <c r="J46" s="609"/>
      <c r="K46" s="609"/>
      <c r="L46" s="609"/>
      <c r="M46" s="609"/>
      <c r="N46" s="609"/>
      <c r="O46" s="609"/>
      <c r="P46" s="609"/>
      <c r="Q46" s="609"/>
      <c r="R46" s="609"/>
      <c r="S46" s="609"/>
    </row>
    <row r="47" spans="2:19">
      <c r="B47" s="352">
        <f>B40+1</f>
        <v>25</v>
      </c>
      <c r="D47" s="298" t="s">
        <v>957</v>
      </c>
      <c r="E47" s="609"/>
      <c r="F47" s="609"/>
      <c r="G47" s="609"/>
      <c r="H47" s="609"/>
      <c r="I47" s="609"/>
      <c r="J47" s="614" t="str">
        <f>$J$12</f>
        <v>12/31/2021 (Actuals)</v>
      </c>
      <c r="K47" s="609"/>
      <c r="L47" s="614">
        <v>0</v>
      </c>
      <c r="M47" s="609"/>
      <c r="N47" s="1520" t="str">
        <f>$N$12</f>
        <v>12/31/2021 (Actuals)</v>
      </c>
      <c r="O47" s="609"/>
      <c r="P47" s="609"/>
      <c r="Q47" s="609"/>
      <c r="R47" s="614">
        <v>0</v>
      </c>
      <c r="S47" s="609"/>
    </row>
    <row r="48" spans="2:19">
      <c r="E48" s="609"/>
      <c r="F48" s="609"/>
      <c r="G48" s="609"/>
      <c r="H48" s="609"/>
      <c r="I48" s="609"/>
      <c r="J48" s="609"/>
      <c r="K48" s="609"/>
      <c r="L48" s="609"/>
      <c r="M48" s="609"/>
      <c r="N48" s="609"/>
      <c r="O48" s="609"/>
      <c r="P48" s="609"/>
      <c r="Q48" s="609"/>
      <c r="R48" s="609"/>
      <c r="S48" s="609"/>
    </row>
    <row r="49" spans="2:19">
      <c r="B49" s="1481">
        <f>B47+1</f>
        <v>26</v>
      </c>
      <c r="D49" s="298" t="s">
        <v>1592</v>
      </c>
      <c r="E49" s="1480"/>
      <c r="F49" s="1480"/>
      <c r="G49" s="1480"/>
      <c r="H49" s="1480"/>
      <c r="I49" s="1480"/>
      <c r="J49" s="614" t="str">
        <f>$J$14</f>
        <v>2022 Projected</v>
      </c>
      <c r="K49" s="1480"/>
      <c r="L49" s="1480"/>
      <c r="M49" s="1480"/>
      <c r="N49" s="1520" t="str">
        <f>$N$14</f>
        <v>12/31/2022 (Actuals)</v>
      </c>
      <c r="O49" s="1480"/>
      <c r="P49" s="1480"/>
      <c r="Q49" s="1480"/>
      <c r="R49" s="1480"/>
      <c r="S49" s="1480"/>
    </row>
    <row r="50" spans="2:19">
      <c r="B50" s="1481"/>
      <c r="E50" s="1480"/>
      <c r="F50" s="1480"/>
      <c r="G50" s="1480"/>
      <c r="H50" s="1480"/>
      <c r="I50" s="1480"/>
      <c r="J50" s="1480"/>
      <c r="K50" s="1480"/>
      <c r="L50" s="1480"/>
      <c r="M50" s="1480"/>
      <c r="N50" s="1480"/>
      <c r="O50" s="1480"/>
      <c r="P50" s="1480"/>
      <c r="Q50" s="1480"/>
      <c r="R50" s="1480"/>
      <c r="S50" s="1480"/>
    </row>
    <row r="51" spans="2:19">
      <c r="B51" s="352">
        <f>B49+1</f>
        <v>27</v>
      </c>
      <c r="D51" s="357" t="s">
        <v>493</v>
      </c>
      <c r="E51" s="614">
        <v>31</v>
      </c>
      <c r="F51" s="620">
        <v>0</v>
      </c>
      <c r="G51" s="620">
        <v>214</v>
      </c>
      <c r="H51" s="619">
        <f t="shared" ref="H51:H62" si="9">IF(F51=0,0.5,F51/G51)</f>
        <v>0.5</v>
      </c>
      <c r="I51" s="618"/>
      <c r="J51" s="614"/>
      <c r="K51" s="612">
        <f t="shared" ref="K51:K62" si="10">+J51*H51</f>
        <v>0</v>
      </c>
      <c r="L51" s="612">
        <f>+K51+L47</f>
        <v>0</v>
      </c>
      <c r="M51" s="618"/>
      <c r="N51" s="614">
        <v>0</v>
      </c>
      <c r="O51" s="612">
        <f t="shared" ref="O51:O62" si="11">IF($D$187="True-Up Adjustment",N51-J51,0)</f>
        <v>0</v>
      </c>
      <c r="P51" s="612">
        <f t="shared" ref="P51:P62" si="12">IF($D$187="True-Up Adjustment",IF(AND(J51&gt;=0,N51&gt;=0),IF(O51&gt;=0,K51+O51,N51/J51*K51),IF(AND(J51&lt;0,N51&lt;0),IF(O51&lt;0,K51+O51,N51/J51*K51),0)),0)</f>
        <v>0</v>
      </c>
      <c r="Q51" s="612">
        <f t="shared" ref="Q51:Q62" si="13">IF(AND(J51&gt;=0,N51&lt;0),N51,IF(AND(J51&lt;0,N51&gt;=0),N51,0))</f>
        <v>0</v>
      </c>
      <c r="R51" s="612">
        <f>R47+P51+Q51</f>
        <v>0</v>
      </c>
      <c r="S51" s="618"/>
    </row>
    <row r="52" spans="2:19">
      <c r="B52" s="352">
        <f t="shared" ref="B52:B63" si="14">+B51+1</f>
        <v>28</v>
      </c>
      <c r="D52" s="357" t="s">
        <v>494</v>
      </c>
      <c r="E52" s="614">
        <v>28</v>
      </c>
      <c r="F52" s="620">
        <v>0</v>
      </c>
      <c r="G52" s="620">
        <v>214</v>
      </c>
      <c r="H52" s="619">
        <f t="shared" si="9"/>
        <v>0.5</v>
      </c>
      <c r="I52" s="618"/>
      <c r="J52" s="614"/>
      <c r="K52" s="612">
        <f t="shared" si="10"/>
        <v>0</v>
      </c>
      <c r="L52" s="612">
        <f t="shared" ref="L52:L62" si="15">+K52+L51</f>
        <v>0</v>
      </c>
      <c r="M52" s="618"/>
      <c r="N52" s="614">
        <v>0</v>
      </c>
      <c r="O52" s="612">
        <f t="shared" si="11"/>
        <v>0</v>
      </c>
      <c r="P52" s="612">
        <f t="shared" si="12"/>
        <v>0</v>
      </c>
      <c r="Q52" s="612">
        <f t="shared" si="13"/>
        <v>0</v>
      </c>
      <c r="R52" s="612">
        <f t="shared" ref="R52:R62" si="16">R51+P52+Q52</f>
        <v>0</v>
      </c>
      <c r="S52" s="618"/>
    </row>
    <row r="53" spans="2:19">
      <c r="B53" s="352">
        <f t="shared" si="14"/>
        <v>29</v>
      </c>
      <c r="D53" s="357" t="s">
        <v>517</v>
      </c>
      <c r="E53" s="614">
        <v>31</v>
      </c>
      <c r="F53" s="620">
        <v>0</v>
      </c>
      <c r="G53" s="620">
        <v>214</v>
      </c>
      <c r="H53" s="619">
        <f t="shared" si="9"/>
        <v>0.5</v>
      </c>
      <c r="I53" s="618"/>
      <c r="J53" s="614"/>
      <c r="K53" s="612">
        <f t="shared" si="10"/>
        <v>0</v>
      </c>
      <c r="L53" s="612">
        <f t="shared" si="15"/>
        <v>0</v>
      </c>
      <c r="M53" s="618"/>
      <c r="N53" s="614">
        <v>0</v>
      </c>
      <c r="O53" s="612">
        <f t="shared" si="11"/>
        <v>0</v>
      </c>
      <c r="P53" s="612">
        <f t="shared" si="12"/>
        <v>0</v>
      </c>
      <c r="Q53" s="612">
        <f t="shared" si="13"/>
        <v>0</v>
      </c>
      <c r="R53" s="612">
        <f t="shared" si="16"/>
        <v>0</v>
      </c>
      <c r="S53" s="618"/>
    </row>
    <row r="54" spans="2:19">
      <c r="B54" s="352">
        <f t="shared" si="14"/>
        <v>30</v>
      </c>
      <c r="D54" s="357" t="s">
        <v>161</v>
      </c>
      <c r="E54" s="614">
        <v>30</v>
      </c>
      <c r="F54" s="620">
        <v>0</v>
      </c>
      <c r="G54" s="620">
        <v>214</v>
      </c>
      <c r="H54" s="619">
        <f t="shared" si="9"/>
        <v>0.5</v>
      </c>
      <c r="I54" s="618"/>
      <c r="J54" s="614"/>
      <c r="K54" s="612">
        <f t="shared" si="10"/>
        <v>0</v>
      </c>
      <c r="L54" s="612">
        <f t="shared" si="15"/>
        <v>0</v>
      </c>
      <c r="M54" s="618"/>
      <c r="N54" s="614">
        <v>0</v>
      </c>
      <c r="O54" s="612">
        <f t="shared" si="11"/>
        <v>0</v>
      </c>
      <c r="P54" s="612">
        <f t="shared" si="12"/>
        <v>0</v>
      </c>
      <c r="Q54" s="612">
        <f t="shared" si="13"/>
        <v>0</v>
      </c>
      <c r="R54" s="612">
        <f t="shared" si="16"/>
        <v>0</v>
      </c>
      <c r="S54" s="618"/>
    </row>
    <row r="55" spans="2:19">
      <c r="B55" s="352">
        <f t="shared" si="14"/>
        <v>31</v>
      </c>
      <c r="D55" s="357" t="s">
        <v>162</v>
      </c>
      <c r="E55" s="614">
        <v>31</v>
      </c>
      <c r="F55" s="620">
        <v>0</v>
      </c>
      <c r="G55" s="620">
        <v>214</v>
      </c>
      <c r="H55" s="619">
        <f t="shared" si="9"/>
        <v>0.5</v>
      </c>
      <c r="I55" s="618"/>
      <c r="J55" s="614"/>
      <c r="K55" s="612">
        <f t="shared" si="10"/>
        <v>0</v>
      </c>
      <c r="L55" s="612">
        <f t="shared" si="15"/>
        <v>0</v>
      </c>
      <c r="M55" s="618"/>
      <c r="N55" s="614">
        <v>0</v>
      </c>
      <c r="O55" s="612">
        <f t="shared" si="11"/>
        <v>0</v>
      </c>
      <c r="P55" s="612">
        <f t="shared" si="12"/>
        <v>0</v>
      </c>
      <c r="Q55" s="612">
        <f t="shared" si="13"/>
        <v>0</v>
      </c>
      <c r="R55" s="612">
        <f t="shared" si="16"/>
        <v>0</v>
      </c>
      <c r="S55" s="618"/>
    </row>
    <row r="56" spans="2:19">
      <c r="B56" s="352">
        <f t="shared" si="14"/>
        <v>32</v>
      </c>
      <c r="D56" s="357" t="s">
        <v>163</v>
      </c>
      <c r="E56" s="614">
        <v>30</v>
      </c>
      <c r="F56" s="620">
        <f t="shared" ref="F56:F61" si="17">F57+E57</f>
        <v>185</v>
      </c>
      <c r="G56" s="620">
        <v>214</v>
      </c>
      <c r="H56" s="619">
        <f t="shared" si="9"/>
        <v>0.86448598130841126</v>
      </c>
      <c r="I56" s="618"/>
      <c r="J56" s="614"/>
      <c r="K56" s="612">
        <f t="shared" si="10"/>
        <v>0</v>
      </c>
      <c r="L56" s="612">
        <f t="shared" si="15"/>
        <v>0</v>
      </c>
      <c r="M56" s="618"/>
      <c r="N56" s="614">
        <v>0</v>
      </c>
      <c r="O56" s="612">
        <f t="shared" si="11"/>
        <v>0</v>
      </c>
      <c r="P56" s="612">
        <f t="shared" si="12"/>
        <v>0</v>
      </c>
      <c r="Q56" s="612">
        <f t="shared" si="13"/>
        <v>0</v>
      </c>
      <c r="R56" s="612">
        <f t="shared" si="16"/>
        <v>0</v>
      </c>
      <c r="S56" s="618"/>
    </row>
    <row r="57" spans="2:19">
      <c r="B57" s="352">
        <f t="shared" si="14"/>
        <v>33</v>
      </c>
      <c r="D57" s="357" t="s">
        <v>496</v>
      </c>
      <c r="E57" s="614">
        <v>31</v>
      </c>
      <c r="F57" s="620">
        <f t="shared" si="17"/>
        <v>154</v>
      </c>
      <c r="G57" s="620">
        <v>214</v>
      </c>
      <c r="H57" s="619">
        <f t="shared" si="9"/>
        <v>0.71962616822429903</v>
      </c>
      <c r="I57" s="618"/>
      <c r="J57" s="614"/>
      <c r="K57" s="612">
        <f t="shared" si="10"/>
        <v>0</v>
      </c>
      <c r="L57" s="612">
        <f t="shared" si="15"/>
        <v>0</v>
      </c>
      <c r="M57" s="618"/>
      <c r="N57" s="614">
        <v>0</v>
      </c>
      <c r="O57" s="612">
        <f t="shared" si="11"/>
        <v>0</v>
      </c>
      <c r="P57" s="612">
        <f t="shared" si="12"/>
        <v>0</v>
      </c>
      <c r="Q57" s="612">
        <f t="shared" si="13"/>
        <v>0</v>
      </c>
      <c r="R57" s="612">
        <f t="shared" si="16"/>
        <v>0</v>
      </c>
      <c r="S57" s="618"/>
    </row>
    <row r="58" spans="2:19">
      <c r="B58" s="352">
        <f t="shared" si="14"/>
        <v>34</v>
      </c>
      <c r="D58" s="357" t="s">
        <v>518</v>
      </c>
      <c r="E58" s="614">
        <v>31</v>
      </c>
      <c r="F58" s="620">
        <f t="shared" si="17"/>
        <v>123</v>
      </c>
      <c r="G58" s="620">
        <v>214</v>
      </c>
      <c r="H58" s="619">
        <f t="shared" si="9"/>
        <v>0.57476635514018692</v>
      </c>
      <c r="I58" s="618"/>
      <c r="J58" s="614"/>
      <c r="K58" s="612">
        <f t="shared" si="10"/>
        <v>0</v>
      </c>
      <c r="L58" s="612">
        <f t="shared" si="15"/>
        <v>0</v>
      </c>
      <c r="M58" s="618"/>
      <c r="N58" s="614">
        <v>0</v>
      </c>
      <c r="O58" s="612">
        <f t="shared" si="11"/>
        <v>0</v>
      </c>
      <c r="P58" s="612">
        <f t="shared" si="12"/>
        <v>0</v>
      </c>
      <c r="Q58" s="612">
        <f t="shared" si="13"/>
        <v>0</v>
      </c>
      <c r="R58" s="612">
        <f t="shared" si="16"/>
        <v>0</v>
      </c>
      <c r="S58" s="618"/>
    </row>
    <row r="59" spans="2:19">
      <c r="B59" s="352">
        <f t="shared" si="14"/>
        <v>35</v>
      </c>
      <c r="D59" s="357" t="s">
        <v>498</v>
      </c>
      <c r="E59" s="614">
        <v>30</v>
      </c>
      <c r="F59" s="620">
        <f t="shared" si="17"/>
        <v>93</v>
      </c>
      <c r="G59" s="620">
        <v>214</v>
      </c>
      <c r="H59" s="619">
        <f t="shared" si="9"/>
        <v>0.43457943925233644</v>
      </c>
      <c r="I59" s="618"/>
      <c r="J59" s="614"/>
      <c r="K59" s="612">
        <f t="shared" si="10"/>
        <v>0</v>
      </c>
      <c r="L59" s="612">
        <f t="shared" si="15"/>
        <v>0</v>
      </c>
      <c r="M59" s="618"/>
      <c r="N59" s="614">
        <v>0</v>
      </c>
      <c r="O59" s="612">
        <f t="shared" si="11"/>
        <v>0</v>
      </c>
      <c r="P59" s="612">
        <f t="shared" si="12"/>
        <v>0</v>
      </c>
      <c r="Q59" s="612">
        <f t="shared" si="13"/>
        <v>0</v>
      </c>
      <c r="R59" s="612">
        <f t="shared" si="16"/>
        <v>0</v>
      </c>
      <c r="S59" s="618"/>
    </row>
    <row r="60" spans="2:19">
      <c r="B60" s="352">
        <f t="shared" si="14"/>
        <v>36</v>
      </c>
      <c r="D60" s="357" t="s">
        <v>499</v>
      </c>
      <c r="E60" s="614">
        <v>31</v>
      </c>
      <c r="F60" s="620">
        <f t="shared" si="17"/>
        <v>62</v>
      </c>
      <c r="G60" s="620">
        <v>214</v>
      </c>
      <c r="H60" s="619">
        <f t="shared" si="9"/>
        <v>0.28971962616822428</v>
      </c>
      <c r="I60" s="618"/>
      <c r="J60" s="614"/>
      <c r="K60" s="612">
        <f t="shared" si="10"/>
        <v>0</v>
      </c>
      <c r="L60" s="612">
        <f t="shared" si="15"/>
        <v>0</v>
      </c>
      <c r="M60" s="618"/>
      <c r="N60" s="614">
        <v>0</v>
      </c>
      <c r="O60" s="612">
        <f t="shared" si="11"/>
        <v>0</v>
      </c>
      <c r="P60" s="612">
        <f t="shared" si="12"/>
        <v>0</v>
      </c>
      <c r="Q60" s="612">
        <f t="shared" si="13"/>
        <v>0</v>
      </c>
      <c r="R60" s="612">
        <f t="shared" si="16"/>
        <v>0</v>
      </c>
      <c r="S60" s="618"/>
    </row>
    <row r="61" spans="2:19">
      <c r="B61" s="352">
        <f t="shared" si="14"/>
        <v>37</v>
      </c>
      <c r="D61" s="357" t="s">
        <v>500</v>
      </c>
      <c r="E61" s="614">
        <v>30</v>
      </c>
      <c r="F61" s="620">
        <f t="shared" si="17"/>
        <v>32</v>
      </c>
      <c r="G61" s="620">
        <v>214</v>
      </c>
      <c r="H61" s="619">
        <f t="shared" si="9"/>
        <v>0.14953271028037382</v>
      </c>
      <c r="I61" s="618"/>
      <c r="J61" s="614"/>
      <c r="K61" s="612">
        <f t="shared" si="10"/>
        <v>0</v>
      </c>
      <c r="L61" s="612">
        <f t="shared" si="15"/>
        <v>0</v>
      </c>
      <c r="M61" s="618"/>
      <c r="N61" s="614">
        <v>0</v>
      </c>
      <c r="O61" s="612">
        <f t="shared" si="11"/>
        <v>0</v>
      </c>
      <c r="P61" s="612">
        <f t="shared" si="12"/>
        <v>0</v>
      </c>
      <c r="Q61" s="612">
        <f t="shared" si="13"/>
        <v>0</v>
      </c>
      <c r="R61" s="612">
        <f t="shared" si="16"/>
        <v>0</v>
      </c>
      <c r="S61" s="618"/>
    </row>
    <row r="62" spans="2:19">
      <c r="B62" s="352">
        <f t="shared" si="14"/>
        <v>38</v>
      </c>
      <c r="D62" s="358" t="s">
        <v>715</v>
      </c>
      <c r="E62" s="614">
        <v>31</v>
      </c>
      <c r="F62" s="620">
        <v>1</v>
      </c>
      <c r="G62" s="620">
        <v>214</v>
      </c>
      <c r="H62" s="619">
        <f t="shared" si="9"/>
        <v>4.6728971962616819E-3</v>
      </c>
      <c r="I62" s="618"/>
      <c r="J62" s="614"/>
      <c r="K62" s="612">
        <f t="shared" si="10"/>
        <v>0</v>
      </c>
      <c r="L62" s="612">
        <f t="shared" si="15"/>
        <v>0</v>
      </c>
      <c r="M62" s="618"/>
      <c r="N62" s="614">
        <v>0</v>
      </c>
      <c r="O62" s="612">
        <f t="shared" si="11"/>
        <v>0</v>
      </c>
      <c r="P62" s="612">
        <f t="shared" si="12"/>
        <v>0</v>
      </c>
      <c r="Q62" s="612">
        <f t="shared" si="13"/>
        <v>0</v>
      </c>
      <c r="R62" s="612">
        <f t="shared" si="16"/>
        <v>0</v>
      </c>
      <c r="S62" s="618"/>
    </row>
    <row r="63" spans="2:19">
      <c r="B63" s="352">
        <f t="shared" si="14"/>
        <v>39</v>
      </c>
      <c r="D63" s="359" t="str">
        <f>"Total (Sum of Lines "&amp;B51&amp;" - "&amp;B62&amp;")"</f>
        <v>Total (Sum of Lines 27 - 38)</v>
      </c>
      <c r="E63" s="617">
        <f>SUM(E51:E62)</f>
        <v>365</v>
      </c>
      <c r="F63" s="360"/>
      <c r="G63" s="360"/>
      <c r="H63" s="361"/>
      <c r="I63" s="615"/>
      <c r="J63" s="617">
        <f>SUM(J51:J62)</f>
        <v>0</v>
      </c>
      <c r="K63" s="617">
        <f>SUM(K51:K62)</f>
        <v>0</v>
      </c>
      <c r="L63" s="617">
        <f>SUM(L51:L62)</f>
        <v>0</v>
      </c>
      <c r="M63" s="615"/>
      <c r="N63" s="617">
        <f>SUM(N51:N62)</f>
        <v>0</v>
      </c>
      <c r="O63" s="617">
        <f>SUM(O51:O62)</f>
        <v>0</v>
      </c>
      <c r="P63" s="617">
        <f>SUM(P51:P62)</f>
        <v>0</v>
      </c>
      <c r="Q63" s="617">
        <f>SUM(Q51:Q62)</f>
        <v>0</v>
      </c>
      <c r="R63" s="616"/>
      <c r="S63" s="615"/>
    </row>
    <row r="64" spans="2:19">
      <c r="D64" s="362"/>
      <c r="E64" s="362"/>
      <c r="F64" s="362"/>
      <c r="G64" s="362"/>
      <c r="H64" s="363"/>
      <c r="I64" s="363"/>
      <c r="K64" s="364"/>
      <c r="L64" s="363"/>
      <c r="M64" s="363"/>
      <c r="N64" s="372"/>
      <c r="O64" s="364"/>
      <c r="P64" s="364"/>
      <c r="Q64" s="364"/>
      <c r="R64" s="363"/>
      <c r="S64" s="363"/>
    </row>
    <row r="65" spans="2:19" ht="15" customHeight="1">
      <c r="B65" s="352">
        <f>B63+1</f>
        <v>40</v>
      </c>
      <c r="D65" s="298" t="s">
        <v>875</v>
      </c>
      <c r="I65" s="363"/>
      <c r="J65" s="614" t="str">
        <f>$J$12</f>
        <v>12/31/2021 (Actuals)</v>
      </c>
      <c r="L65" s="614">
        <v>0</v>
      </c>
      <c r="M65" s="365"/>
      <c r="N65" s="1520" t="str">
        <f>$N$12</f>
        <v>12/31/2021 (Actuals)</v>
      </c>
      <c r="R65" s="614">
        <v>0</v>
      </c>
    </row>
    <row r="66" spans="2:19">
      <c r="B66" s="352">
        <f>B65+1</f>
        <v>41</v>
      </c>
      <c r="D66" s="298" t="s">
        <v>1473</v>
      </c>
      <c r="I66" s="363"/>
      <c r="J66" s="366" t="s">
        <v>611</v>
      </c>
      <c r="L66" s="367">
        <v>0</v>
      </c>
      <c r="M66" s="368"/>
      <c r="N66" s="366"/>
      <c r="R66" s="367">
        <v>0</v>
      </c>
    </row>
    <row r="67" spans="2:19">
      <c r="B67" s="352">
        <f>B66+1</f>
        <v>42</v>
      </c>
      <c r="D67" s="298" t="s">
        <v>876</v>
      </c>
      <c r="I67" s="363"/>
      <c r="J67" s="359" t="str">
        <f>"(Col. "&amp;L44&amp;", Line "&amp;B65&amp;" + Line "&amp;B66&amp;")"</f>
        <v>(Col. (H), Line 40 + Line 41)</v>
      </c>
      <c r="L67" s="613">
        <f>L65+L66</f>
        <v>0</v>
      </c>
      <c r="M67" s="363"/>
      <c r="N67" s="359" t="str">
        <f>"(Col. "&amp;R44&amp;", Line "&amp;B65&amp;" + Line "&amp;B66&amp;")"</f>
        <v>(Col. (M), Line 40 + Line 41)</v>
      </c>
      <c r="R67" s="613">
        <f>R65+R66</f>
        <v>0</v>
      </c>
    </row>
    <row r="68" spans="2:19">
      <c r="I68" s="363"/>
      <c r="L68" s="613"/>
      <c r="M68" s="363"/>
      <c r="R68" s="613"/>
    </row>
    <row r="69" spans="2:19">
      <c r="B69" s="352">
        <f>B67+1</f>
        <v>43</v>
      </c>
      <c r="D69" s="298" t="s">
        <v>956</v>
      </c>
      <c r="I69" s="363"/>
      <c r="J69" s="614" t="str">
        <f>$J$14</f>
        <v>2022 Projected</v>
      </c>
      <c r="L69" s="614">
        <v>0</v>
      </c>
      <c r="M69" s="365"/>
      <c r="N69" s="1520" t="str">
        <f>$N$14</f>
        <v>12/31/2022 (Actuals)</v>
      </c>
      <c r="R69" s="614">
        <v>0</v>
      </c>
    </row>
    <row r="70" spans="2:19">
      <c r="B70" s="352">
        <f>B69+1</f>
        <v>44</v>
      </c>
      <c r="D70" s="298" t="s">
        <v>1474</v>
      </c>
      <c r="I70" s="363"/>
      <c r="J70" s="366" t="s">
        <v>611</v>
      </c>
      <c r="L70" s="367">
        <v>0</v>
      </c>
      <c r="M70" s="363"/>
      <c r="N70" s="366"/>
      <c r="R70" s="367">
        <v>0</v>
      </c>
    </row>
    <row r="71" spans="2:19">
      <c r="B71" s="352">
        <f>B70+1</f>
        <v>45</v>
      </c>
      <c r="D71" s="298" t="s">
        <v>881</v>
      </c>
      <c r="I71" s="363"/>
      <c r="J71" s="359" t="str">
        <f>"(Col. "&amp;L44&amp;", Line "&amp;B69&amp;" + Line "&amp;B70&amp;")"</f>
        <v>(Col. (H), Line 43 + Line 44)</v>
      </c>
      <c r="L71" s="613">
        <f>L69+L70</f>
        <v>0</v>
      </c>
      <c r="M71" s="363"/>
      <c r="N71" s="359" t="str">
        <f>"(Col. "&amp;R44&amp;", Line "&amp;B69&amp;" + Line "&amp;B70&amp;")"</f>
        <v>(Col. (M), Line 43 + Line 44)</v>
      </c>
      <c r="R71" s="613">
        <f>R69+R70</f>
        <v>0</v>
      </c>
    </row>
    <row r="72" spans="2:19">
      <c r="I72" s="363"/>
      <c r="L72" s="613"/>
      <c r="M72" s="363"/>
      <c r="R72" s="613"/>
    </row>
    <row r="73" spans="2:19">
      <c r="B73" s="352">
        <f>B71+1</f>
        <v>46</v>
      </c>
      <c r="D73" s="298" t="s">
        <v>955</v>
      </c>
      <c r="I73" s="363"/>
      <c r="J73" s="359" t="str">
        <f>"([Col. "&amp;L44&amp;", Line "&amp;B67&amp;" + Line "&amp;B71&amp;"] /2)"</f>
        <v>([Col. (H), Line 42 + Line 45] /2)</v>
      </c>
      <c r="L73" s="612">
        <f>(L67+L71)/2</f>
        <v>0</v>
      </c>
      <c r="M73" s="363"/>
      <c r="N73" s="359" t="str">
        <f>"([Col. "&amp;R44&amp;", Line "&amp;B67&amp;" + Line "&amp;B71&amp;"] /2)"</f>
        <v>([Col. (M), Line 42 + Line 45] /2)</v>
      </c>
      <c r="R73" s="612">
        <f>(R67+R71)/2</f>
        <v>0</v>
      </c>
    </row>
    <row r="74" spans="2:19">
      <c r="B74" s="352">
        <f>B73+1</f>
        <v>47</v>
      </c>
      <c r="D74" s="362" t="s">
        <v>954</v>
      </c>
      <c r="E74" s="362"/>
      <c r="F74" s="362"/>
      <c r="G74" s="362"/>
      <c r="H74" s="363"/>
      <c r="I74" s="363"/>
      <c r="J74" s="359" t="str">
        <f>"(Col. "&amp;L44&amp;", Line "&amp;B62&amp;" )"</f>
        <v>(Col. (H), Line 38 )</v>
      </c>
      <c r="K74" s="364"/>
      <c r="L74" s="612">
        <f>L62</f>
        <v>0</v>
      </c>
      <c r="M74" s="363"/>
      <c r="N74" s="359" t="str">
        <f>"(Col. "&amp;R44&amp;", Line "&amp;B62&amp;" )"</f>
        <v>(Col. (M), Line 38 )</v>
      </c>
      <c r="R74" s="612">
        <f>R62</f>
        <v>0</v>
      </c>
    </row>
    <row r="75" spans="2:19" ht="13.5" thickBot="1">
      <c r="B75" s="352">
        <f>B74+1</f>
        <v>48</v>
      </c>
      <c r="D75" s="369" t="s">
        <v>1442</v>
      </c>
      <c r="E75" s="362"/>
      <c r="F75" s="362"/>
      <c r="G75" s="362"/>
      <c r="H75" s="363"/>
      <c r="I75" s="363"/>
      <c r="J75" s="359" t="str">
        <f>"(Col. "&amp;L44&amp;", Line "&amp;B73&amp;" + Line "&amp;B74&amp;")"</f>
        <v>(Col. (H), Line 46 + Line 47)</v>
      </c>
      <c r="K75" s="364"/>
      <c r="L75" s="611">
        <f>L73+L74</f>
        <v>0</v>
      </c>
      <c r="M75" s="363"/>
      <c r="N75" s="359" t="str">
        <f>"(Col. "&amp;R44&amp;", Line "&amp;B73&amp;" + Line "&amp;B74&amp;")"</f>
        <v>(Col. (M), Line 46 + Line 47)</v>
      </c>
      <c r="R75" s="611">
        <f>R73+R74</f>
        <v>0</v>
      </c>
    </row>
    <row r="76" spans="2:19" ht="13">
      <c r="D76" s="349"/>
    </row>
    <row r="77" spans="2:19" ht="13">
      <c r="D77" s="349" t="s">
        <v>878</v>
      </c>
      <c r="J77" s="370"/>
      <c r="K77" s="371"/>
      <c r="L77" s="371"/>
      <c r="N77" s="371"/>
      <c r="O77" s="371"/>
      <c r="P77" s="371"/>
      <c r="Q77" s="371"/>
      <c r="R77" s="371"/>
    </row>
    <row r="78" spans="2:19" ht="13">
      <c r="D78" s="1743" t="s">
        <v>870</v>
      </c>
      <c r="E78" s="1744"/>
      <c r="F78" s="1744"/>
      <c r="G78" s="1744"/>
      <c r="H78" s="1745"/>
      <c r="I78" s="353"/>
      <c r="J78" s="1746" t="s">
        <v>1199</v>
      </c>
      <c r="K78" s="1747"/>
      <c r="L78" s="1748"/>
      <c r="M78" s="353"/>
      <c r="N78" s="1746" t="s">
        <v>1200</v>
      </c>
      <c r="O78" s="1747"/>
      <c r="P78" s="1747"/>
      <c r="Q78" s="1747"/>
      <c r="R78" s="1748"/>
      <c r="S78" s="353"/>
    </row>
    <row r="79" spans="2:19" ht="13">
      <c r="D79" s="354" t="s">
        <v>164</v>
      </c>
      <c r="E79" s="354" t="s">
        <v>165</v>
      </c>
      <c r="F79" s="354" t="s">
        <v>1201</v>
      </c>
      <c r="G79" s="354" t="s">
        <v>1202</v>
      </c>
      <c r="H79" s="354" t="s">
        <v>1203</v>
      </c>
      <c r="I79" s="353"/>
      <c r="J79" s="354" t="s">
        <v>1204</v>
      </c>
      <c r="K79" s="354" t="s">
        <v>1205</v>
      </c>
      <c r="L79" s="354" t="s">
        <v>1206</v>
      </c>
      <c r="M79" s="353"/>
      <c r="N79" s="354" t="s">
        <v>1207</v>
      </c>
      <c r="O79" s="354" t="s">
        <v>1208</v>
      </c>
      <c r="P79" s="354" t="s">
        <v>1209</v>
      </c>
      <c r="Q79" s="354" t="s">
        <v>1210</v>
      </c>
      <c r="R79" s="354" t="s">
        <v>1211</v>
      </c>
      <c r="S79" s="353"/>
    </row>
    <row r="80" spans="2:19" ht="50">
      <c r="B80" s="355" t="s">
        <v>1212</v>
      </c>
      <c r="D80" s="356" t="s">
        <v>159</v>
      </c>
      <c r="E80" s="356" t="s">
        <v>871</v>
      </c>
      <c r="F80" s="356" t="s">
        <v>872</v>
      </c>
      <c r="G80" s="356" t="s">
        <v>873</v>
      </c>
      <c r="H80" s="356" t="s">
        <v>1213</v>
      </c>
      <c r="I80" s="609"/>
      <c r="J80" s="356" t="s">
        <v>874</v>
      </c>
      <c r="K80" s="356" t="s">
        <v>1214</v>
      </c>
      <c r="L80" s="356" t="s">
        <v>1215</v>
      </c>
      <c r="M80" s="609"/>
      <c r="N80" s="356" t="s">
        <v>958</v>
      </c>
      <c r="O80" s="356" t="s">
        <v>1216</v>
      </c>
      <c r="P80" s="356" t="s">
        <v>1217</v>
      </c>
      <c r="Q80" s="356" t="s">
        <v>1218</v>
      </c>
      <c r="R80" s="356" t="s">
        <v>1219</v>
      </c>
      <c r="S80" s="609"/>
    </row>
    <row r="81" spans="2:19">
      <c r="E81" s="609"/>
      <c r="F81" s="609"/>
      <c r="G81" s="609"/>
      <c r="H81" s="609"/>
      <c r="I81" s="609"/>
      <c r="J81" s="609"/>
      <c r="K81" s="609"/>
      <c r="L81" s="609"/>
      <c r="M81" s="609"/>
      <c r="N81" s="609"/>
      <c r="O81" s="609"/>
      <c r="P81" s="609"/>
      <c r="Q81" s="609"/>
      <c r="R81" s="609"/>
      <c r="S81" s="609"/>
    </row>
    <row r="82" spans="2:19">
      <c r="B82" s="352">
        <f>B75+1</f>
        <v>49</v>
      </c>
      <c r="D82" s="298" t="s">
        <v>957</v>
      </c>
      <c r="E82" s="609"/>
      <c r="F82" s="609"/>
      <c r="G82" s="609"/>
      <c r="H82" s="609"/>
      <c r="I82" s="609"/>
      <c r="J82" s="614" t="str">
        <f>$J$12</f>
        <v>12/31/2021 (Actuals)</v>
      </c>
      <c r="K82" s="609"/>
      <c r="L82" s="614">
        <f>'1C - ADIT BOY'!$H$175</f>
        <v>-114877076.66255881</v>
      </c>
      <c r="M82" s="609"/>
      <c r="N82" s="1520" t="str">
        <f>$N$12</f>
        <v>12/31/2021 (Actuals)</v>
      </c>
      <c r="O82" s="609"/>
      <c r="P82" s="609"/>
      <c r="Q82" s="609"/>
      <c r="R82" s="614">
        <f>'1C - ADIT BOY'!$H$175</f>
        <v>-114877076.66255881</v>
      </c>
      <c r="S82" s="609"/>
    </row>
    <row r="83" spans="2:19">
      <c r="E83" s="609"/>
      <c r="F83" s="609"/>
      <c r="G83" s="609"/>
      <c r="H83" s="609"/>
      <c r="I83" s="609"/>
      <c r="J83" s="1508"/>
      <c r="K83" s="609"/>
      <c r="L83" s="609"/>
      <c r="M83" s="609"/>
      <c r="N83" s="1508"/>
      <c r="O83" s="609"/>
      <c r="P83" s="609"/>
      <c r="Q83" s="609"/>
      <c r="R83" s="609"/>
      <c r="S83" s="609"/>
    </row>
    <row r="84" spans="2:19">
      <c r="B84" s="1481">
        <f>B82+1</f>
        <v>50</v>
      </c>
      <c r="D84" s="298" t="s">
        <v>1592</v>
      </c>
      <c r="E84" s="1480"/>
      <c r="F84" s="1480"/>
      <c r="G84" s="1480"/>
      <c r="H84" s="1480"/>
      <c r="I84" s="1480"/>
      <c r="J84" s="614" t="str">
        <f>$J$14</f>
        <v>2022 Projected</v>
      </c>
      <c r="K84" s="1480"/>
      <c r="L84" s="1480"/>
      <c r="M84" s="1480"/>
      <c r="N84" s="1520" t="str">
        <f>$N$14</f>
        <v>12/31/2022 (Actuals)</v>
      </c>
      <c r="O84" s="1480"/>
      <c r="P84" s="1480"/>
      <c r="Q84" s="1480"/>
      <c r="R84" s="1480"/>
      <c r="S84" s="1480"/>
    </row>
    <row r="85" spans="2:19">
      <c r="B85" s="1481"/>
      <c r="E85" s="1480"/>
      <c r="F85" s="1480"/>
      <c r="G85" s="1480"/>
      <c r="H85" s="1480"/>
      <c r="I85" s="1480"/>
      <c r="J85" s="1480"/>
      <c r="K85" s="1480"/>
      <c r="L85" s="1480"/>
      <c r="M85" s="1480"/>
      <c r="N85" s="1480"/>
      <c r="O85" s="1480"/>
      <c r="P85" s="1480"/>
      <c r="Q85" s="1480"/>
      <c r="R85" s="1480"/>
      <c r="S85" s="1480"/>
    </row>
    <row r="86" spans="2:19">
      <c r="B86" s="352">
        <f>B84+1</f>
        <v>51</v>
      </c>
      <c r="D86" s="357" t="s">
        <v>493</v>
      </c>
      <c r="E86" s="614">
        <v>31</v>
      </c>
      <c r="F86" s="620">
        <v>0</v>
      </c>
      <c r="G86" s="620">
        <v>214</v>
      </c>
      <c r="H86" s="619">
        <f t="shared" ref="H86:H97" si="18">IF(F86=0,0.5,F86/G86)</f>
        <v>0.5</v>
      </c>
      <c r="I86" s="618"/>
      <c r="J86" s="614">
        <v>-1900512.3490739278</v>
      </c>
      <c r="K86" s="612">
        <f t="shared" ref="K86:K97" si="19">+J86*H86</f>
        <v>-950256.17453696392</v>
      </c>
      <c r="L86" s="612">
        <f>+K86+L82</f>
        <v>-115827332.83709577</v>
      </c>
      <c r="M86" s="618"/>
      <c r="N86" s="614">
        <v>276155.35978121875</v>
      </c>
      <c r="O86" s="612">
        <f t="shared" ref="O86:O97" si="20">IF($D$187="True-Up Adjustment",N86-J86,0)</f>
        <v>2176667.7088551465</v>
      </c>
      <c r="P86" s="612">
        <f t="shared" ref="P86:P97" si="21">IF($D$187="True-Up Adjustment",IF(AND(J86&gt;=0,N86&gt;=0),IF(O86&gt;=0,K86+O86,N86/J86*K86),IF(AND(J86&lt;0,N86&lt;0),IF(O86&lt;0,K86+O86,N86/J86*K86),0)),0)</f>
        <v>0</v>
      </c>
      <c r="Q86" s="612">
        <f t="shared" ref="Q86:Q97" si="22">IF(AND(J86&gt;=0,N86&lt;0),N86,IF(AND(J86&lt;0,N86&gt;=0),N86,0))</f>
        <v>276155.35978121875</v>
      </c>
      <c r="R86" s="612">
        <f>R82+P86+Q86</f>
        <v>-114600921.30277759</v>
      </c>
      <c r="S86" s="618"/>
    </row>
    <row r="87" spans="2:19">
      <c r="B87" s="352">
        <f t="shared" ref="B87:B98" si="23">+B86+1</f>
        <v>52</v>
      </c>
      <c r="D87" s="357" t="s">
        <v>494</v>
      </c>
      <c r="E87" s="614">
        <v>28</v>
      </c>
      <c r="F87" s="620">
        <v>0</v>
      </c>
      <c r="G87" s="620">
        <v>214</v>
      </c>
      <c r="H87" s="619">
        <f t="shared" si="18"/>
        <v>0.5</v>
      </c>
      <c r="I87" s="618"/>
      <c r="J87" s="614">
        <v>-1843592.5760899335</v>
      </c>
      <c r="K87" s="612">
        <f t="shared" si="19"/>
        <v>-921796.28804496676</v>
      </c>
      <c r="L87" s="612">
        <f t="shared" ref="L87:L97" si="24">+K87+L86</f>
        <v>-116749129.12514073</v>
      </c>
      <c r="M87" s="618"/>
      <c r="N87" s="614">
        <v>269694.79808870325</v>
      </c>
      <c r="O87" s="612">
        <f t="shared" si="20"/>
        <v>2113287.3741786368</v>
      </c>
      <c r="P87" s="612">
        <f t="shared" si="21"/>
        <v>0</v>
      </c>
      <c r="Q87" s="612">
        <f t="shared" si="22"/>
        <v>269694.79808870325</v>
      </c>
      <c r="R87" s="612">
        <f t="shared" ref="R87:R97" si="25">R86+P87+Q87</f>
        <v>-114331226.50468889</v>
      </c>
      <c r="S87" s="618"/>
    </row>
    <row r="88" spans="2:19">
      <c r="B88" s="352">
        <f t="shared" si="23"/>
        <v>53</v>
      </c>
      <c r="D88" s="357" t="s">
        <v>517</v>
      </c>
      <c r="E88" s="614">
        <v>31</v>
      </c>
      <c r="F88" s="620">
        <v>0</v>
      </c>
      <c r="G88" s="620">
        <v>214</v>
      </c>
      <c r="H88" s="619">
        <f t="shared" si="18"/>
        <v>0.5</v>
      </c>
      <c r="I88" s="618"/>
      <c r="J88" s="614">
        <v>181569.25656161012</v>
      </c>
      <c r="K88" s="612">
        <f t="shared" si="19"/>
        <v>90784.62828080506</v>
      </c>
      <c r="L88" s="612">
        <f t="shared" si="24"/>
        <v>-116658344.49685992</v>
      </c>
      <c r="M88" s="618"/>
      <c r="N88" s="614">
        <v>200105.29731653535</v>
      </c>
      <c r="O88" s="612">
        <f t="shared" si="20"/>
        <v>18536.040754925227</v>
      </c>
      <c r="P88" s="612">
        <f t="shared" si="21"/>
        <v>109320.66903573029</v>
      </c>
      <c r="Q88" s="612">
        <f t="shared" si="22"/>
        <v>0</v>
      </c>
      <c r="R88" s="612">
        <f t="shared" si="25"/>
        <v>-114221905.83565316</v>
      </c>
      <c r="S88" s="618"/>
    </row>
    <row r="89" spans="2:19">
      <c r="B89" s="352">
        <f t="shared" si="23"/>
        <v>54</v>
      </c>
      <c r="D89" s="357" t="s">
        <v>161</v>
      </c>
      <c r="E89" s="614">
        <v>30</v>
      </c>
      <c r="F89" s="620">
        <v>0</v>
      </c>
      <c r="G89" s="620">
        <v>214</v>
      </c>
      <c r="H89" s="619">
        <f t="shared" si="18"/>
        <v>0.5</v>
      </c>
      <c r="I89" s="618"/>
      <c r="J89" s="614">
        <v>531731.88240161713</v>
      </c>
      <c r="K89" s="612">
        <f t="shared" si="19"/>
        <v>265865.94120080856</v>
      </c>
      <c r="L89" s="612">
        <f t="shared" si="24"/>
        <v>-116392478.55565912</v>
      </c>
      <c r="M89" s="618"/>
      <c r="N89" s="614">
        <v>175561.17501976664</v>
      </c>
      <c r="O89" s="612">
        <f t="shared" si="20"/>
        <v>-356170.70738185046</v>
      </c>
      <c r="P89" s="612">
        <f t="shared" si="21"/>
        <v>87780.58750988332</v>
      </c>
      <c r="Q89" s="612">
        <f t="shared" si="22"/>
        <v>0</v>
      </c>
      <c r="R89" s="612">
        <f t="shared" si="25"/>
        <v>-114134125.24814327</v>
      </c>
      <c r="S89" s="618"/>
    </row>
    <row r="90" spans="2:19">
      <c r="B90" s="352">
        <f t="shared" si="23"/>
        <v>55</v>
      </c>
      <c r="D90" s="357" t="s">
        <v>162</v>
      </c>
      <c r="E90" s="614">
        <v>31</v>
      </c>
      <c r="F90" s="620">
        <v>0</v>
      </c>
      <c r="G90" s="620">
        <v>214</v>
      </c>
      <c r="H90" s="619">
        <f t="shared" si="18"/>
        <v>0.5</v>
      </c>
      <c r="I90" s="618"/>
      <c r="J90" s="614">
        <v>639102.50156721054</v>
      </c>
      <c r="K90" s="612">
        <f t="shared" si="19"/>
        <v>319551.25078360527</v>
      </c>
      <c r="L90" s="612">
        <f t="shared" si="24"/>
        <v>-116072927.30487551</v>
      </c>
      <c r="M90" s="618"/>
      <c r="N90" s="614">
        <v>168730.42859650651</v>
      </c>
      <c r="O90" s="612">
        <f t="shared" si="20"/>
        <v>-470372.07297070406</v>
      </c>
      <c r="P90" s="612">
        <f t="shared" si="21"/>
        <v>84365.214298253253</v>
      </c>
      <c r="Q90" s="612">
        <f t="shared" si="22"/>
        <v>0</v>
      </c>
      <c r="R90" s="612">
        <f t="shared" si="25"/>
        <v>-114049760.03384502</v>
      </c>
      <c r="S90" s="618"/>
    </row>
    <row r="91" spans="2:19">
      <c r="B91" s="352">
        <f t="shared" si="23"/>
        <v>56</v>
      </c>
      <c r="D91" s="357" t="s">
        <v>163</v>
      </c>
      <c r="E91" s="614">
        <v>30</v>
      </c>
      <c r="F91" s="620">
        <f t="shared" ref="F91:F96" si="26">F92+E92</f>
        <v>185</v>
      </c>
      <c r="G91" s="620">
        <v>214</v>
      </c>
      <c r="H91" s="619">
        <f t="shared" si="18"/>
        <v>0.86448598130841126</v>
      </c>
      <c r="I91" s="618"/>
      <c r="J91" s="614">
        <v>529485.41385809158</v>
      </c>
      <c r="K91" s="612">
        <f t="shared" si="19"/>
        <v>457732.71758760256</v>
      </c>
      <c r="L91" s="612">
        <f t="shared" si="24"/>
        <v>-115615194.5872879</v>
      </c>
      <c r="M91" s="618"/>
      <c r="N91" s="614">
        <v>178726.30755323032</v>
      </c>
      <c r="O91" s="612">
        <f t="shared" si="20"/>
        <v>-350759.10630486126</v>
      </c>
      <c r="P91" s="612">
        <f t="shared" si="21"/>
        <v>154506.38737078322</v>
      </c>
      <c r="Q91" s="612">
        <f t="shared" si="22"/>
        <v>0</v>
      </c>
      <c r="R91" s="612">
        <f t="shared" si="25"/>
        <v>-113895253.64647424</v>
      </c>
      <c r="S91" s="618"/>
    </row>
    <row r="92" spans="2:19">
      <c r="B92" s="352">
        <f t="shared" si="23"/>
        <v>57</v>
      </c>
      <c r="D92" s="357" t="s">
        <v>496</v>
      </c>
      <c r="E92" s="614">
        <v>31</v>
      </c>
      <c r="F92" s="620">
        <f t="shared" si="26"/>
        <v>154</v>
      </c>
      <c r="G92" s="620">
        <v>214</v>
      </c>
      <c r="H92" s="619">
        <f t="shared" si="18"/>
        <v>0.71962616822429903</v>
      </c>
      <c r="I92" s="618"/>
      <c r="J92" s="614">
        <v>824086.15264582389</v>
      </c>
      <c r="K92" s="612">
        <f t="shared" si="19"/>
        <v>593033.96031521901</v>
      </c>
      <c r="L92" s="612">
        <f t="shared" si="24"/>
        <v>-115022160.62697269</v>
      </c>
      <c r="M92" s="618"/>
      <c r="N92" s="614">
        <v>157577.42474177567</v>
      </c>
      <c r="O92" s="612">
        <f t="shared" si="20"/>
        <v>-666508.72790404828</v>
      </c>
      <c r="P92" s="612">
        <f t="shared" si="21"/>
        <v>113396.83836557687</v>
      </c>
      <c r="Q92" s="612">
        <f t="shared" si="22"/>
        <v>0</v>
      </c>
      <c r="R92" s="612">
        <f t="shared" si="25"/>
        <v>-113781856.80810867</v>
      </c>
      <c r="S92" s="618"/>
    </row>
    <row r="93" spans="2:19">
      <c r="B93" s="352">
        <f t="shared" si="23"/>
        <v>58</v>
      </c>
      <c r="D93" s="357" t="s">
        <v>518</v>
      </c>
      <c r="E93" s="614">
        <v>31</v>
      </c>
      <c r="F93" s="620">
        <f t="shared" si="26"/>
        <v>123</v>
      </c>
      <c r="G93" s="620">
        <v>214</v>
      </c>
      <c r="H93" s="619">
        <f t="shared" si="18"/>
        <v>0.57476635514018692</v>
      </c>
      <c r="I93" s="618"/>
      <c r="J93" s="614">
        <v>671586.13382132736</v>
      </c>
      <c r="K93" s="612">
        <f t="shared" si="19"/>
        <v>386005.11429917417</v>
      </c>
      <c r="L93" s="612">
        <f t="shared" si="24"/>
        <v>-114636155.51267351</v>
      </c>
      <c r="M93" s="618"/>
      <c r="N93" s="614">
        <v>152783.55910961103</v>
      </c>
      <c r="O93" s="612">
        <f t="shared" si="20"/>
        <v>-518802.57471171633</v>
      </c>
      <c r="P93" s="612">
        <f t="shared" si="21"/>
        <v>87814.849394776436</v>
      </c>
      <c r="Q93" s="612">
        <f t="shared" si="22"/>
        <v>0</v>
      </c>
      <c r="R93" s="612">
        <f t="shared" si="25"/>
        <v>-113694041.95871389</v>
      </c>
      <c r="S93" s="618"/>
    </row>
    <row r="94" spans="2:19">
      <c r="B94" s="352">
        <f t="shared" si="23"/>
        <v>59</v>
      </c>
      <c r="D94" s="357" t="s">
        <v>498</v>
      </c>
      <c r="E94" s="614">
        <v>30</v>
      </c>
      <c r="F94" s="620">
        <f t="shared" si="26"/>
        <v>93</v>
      </c>
      <c r="G94" s="620">
        <v>214</v>
      </c>
      <c r="H94" s="619">
        <f t="shared" si="18"/>
        <v>0.43457943925233644</v>
      </c>
      <c r="I94" s="618"/>
      <c r="J94" s="614">
        <v>435918.18478654121</v>
      </c>
      <c r="K94" s="612">
        <f t="shared" si="19"/>
        <v>189441.08030443147</v>
      </c>
      <c r="L94" s="612">
        <f t="shared" si="24"/>
        <v>-114446714.43236908</v>
      </c>
      <c r="M94" s="618"/>
      <c r="N94" s="614">
        <v>49266.783611763327</v>
      </c>
      <c r="O94" s="612">
        <f t="shared" si="20"/>
        <v>-386651.40117477789</v>
      </c>
      <c r="P94" s="612">
        <f t="shared" si="21"/>
        <v>21410.331195766306</v>
      </c>
      <c r="Q94" s="612">
        <f t="shared" si="22"/>
        <v>0</v>
      </c>
      <c r="R94" s="612">
        <f t="shared" si="25"/>
        <v>-113672631.62751812</v>
      </c>
      <c r="S94" s="618"/>
    </row>
    <row r="95" spans="2:19">
      <c r="B95" s="352">
        <f t="shared" si="23"/>
        <v>60</v>
      </c>
      <c r="D95" s="357" t="s">
        <v>499</v>
      </c>
      <c r="E95" s="614">
        <v>31</v>
      </c>
      <c r="F95" s="620">
        <f t="shared" si="26"/>
        <v>62</v>
      </c>
      <c r="G95" s="620">
        <v>214</v>
      </c>
      <c r="H95" s="619">
        <f t="shared" si="18"/>
        <v>0.28971962616822428</v>
      </c>
      <c r="I95" s="618"/>
      <c r="J95" s="614">
        <v>773875.13767432282</v>
      </c>
      <c r="K95" s="612">
        <f t="shared" si="19"/>
        <v>224206.81558788789</v>
      </c>
      <c r="L95" s="612">
        <f t="shared" si="24"/>
        <v>-114222507.61678119</v>
      </c>
      <c r="M95" s="618"/>
      <c r="N95" s="614">
        <v>-5792.3007041715064</v>
      </c>
      <c r="O95" s="612">
        <f t="shared" si="20"/>
        <v>-779667.43837849435</v>
      </c>
      <c r="P95" s="612">
        <f t="shared" si="21"/>
        <v>0</v>
      </c>
      <c r="Q95" s="612">
        <f t="shared" si="22"/>
        <v>-5792.3007041715064</v>
      </c>
      <c r="R95" s="612">
        <f t="shared" si="25"/>
        <v>-113678423.92822228</v>
      </c>
      <c r="S95" s="618"/>
    </row>
    <row r="96" spans="2:19">
      <c r="B96" s="352">
        <f t="shared" si="23"/>
        <v>61</v>
      </c>
      <c r="D96" s="357" t="s">
        <v>500</v>
      </c>
      <c r="E96" s="614">
        <v>30</v>
      </c>
      <c r="F96" s="620">
        <f t="shared" si="26"/>
        <v>32</v>
      </c>
      <c r="G96" s="620">
        <v>214</v>
      </c>
      <c r="H96" s="619">
        <f t="shared" si="18"/>
        <v>0.14953271028037382</v>
      </c>
      <c r="I96" s="618"/>
      <c r="J96" s="614">
        <v>857671.70947146881</v>
      </c>
      <c r="K96" s="612">
        <f t="shared" si="19"/>
        <v>128249.9752480701</v>
      </c>
      <c r="L96" s="612">
        <f t="shared" si="24"/>
        <v>-114094257.64153312</v>
      </c>
      <c r="M96" s="618"/>
      <c r="N96" s="614">
        <v>-17781.303341586681</v>
      </c>
      <c r="O96" s="612">
        <f t="shared" si="20"/>
        <v>-875453.01281305554</v>
      </c>
      <c r="P96" s="612">
        <f t="shared" si="21"/>
        <v>0</v>
      </c>
      <c r="Q96" s="612">
        <f t="shared" si="22"/>
        <v>-17781.303341586681</v>
      </c>
      <c r="R96" s="612">
        <f t="shared" si="25"/>
        <v>-113696205.23156387</v>
      </c>
      <c r="S96" s="618"/>
    </row>
    <row r="97" spans="2:19">
      <c r="B97" s="352">
        <f t="shared" si="23"/>
        <v>62</v>
      </c>
      <c r="D97" s="358" t="s">
        <v>715</v>
      </c>
      <c r="E97" s="614">
        <v>31</v>
      </c>
      <c r="F97" s="620">
        <v>1</v>
      </c>
      <c r="G97" s="620">
        <v>214</v>
      </c>
      <c r="H97" s="619">
        <f t="shared" si="18"/>
        <v>4.6728971962616819E-3</v>
      </c>
      <c r="I97" s="618"/>
      <c r="J97" s="367">
        <v>776200.20612562634</v>
      </c>
      <c r="K97" s="612">
        <f t="shared" si="19"/>
        <v>3627.1037669421789</v>
      </c>
      <c r="L97" s="612">
        <f t="shared" si="24"/>
        <v>-114090630.53776617</v>
      </c>
      <c r="M97" s="618"/>
      <c r="N97" s="614">
        <v>-159764.39947171335</v>
      </c>
      <c r="O97" s="612">
        <f t="shared" si="20"/>
        <v>-935964.60559733969</v>
      </c>
      <c r="P97" s="612">
        <f t="shared" si="21"/>
        <v>0</v>
      </c>
      <c r="Q97" s="612">
        <f t="shared" si="22"/>
        <v>-159764.39947171335</v>
      </c>
      <c r="R97" s="612">
        <f t="shared" si="25"/>
        <v>-113855969.63103558</v>
      </c>
      <c r="S97" s="618"/>
    </row>
    <row r="98" spans="2:19">
      <c r="B98" s="352">
        <f t="shared" si="23"/>
        <v>63</v>
      </c>
      <c r="D98" s="359" t="str">
        <f>"Total (Sum of Lines "&amp;B86&amp;" - "&amp;B97&amp;")"</f>
        <v>Total (Sum of Lines 51 - 62)</v>
      </c>
      <c r="E98" s="617">
        <f>SUM(E86:E97)</f>
        <v>365</v>
      </c>
      <c r="F98" s="360"/>
      <c r="G98" s="360"/>
      <c r="H98" s="361"/>
      <c r="I98" s="615"/>
      <c r="J98" s="617">
        <f>SUM(J86:J97)</f>
        <v>2477121.6537497779</v>
      </c>
      <c r="K98" s="617">
        <f>SUM(K86:K97)</f>
        <v>786446.12479261553</v>
      </c>
      <c r="L98" s="617"/>
      <c r="M98" s="615"/>
      <c r="N98" s="617">
        <f>SUM(N86:N97)</f>
        <v>1445263.1303016394</v>
      </c>
      <c r="O98" s="617">
        <f>SUM(O86:O97)</f>
        <v>-1031858.5234481391</v>
      </c>
      <c r="P98" s="617">
        <f>SUM(P86:P97)</f>
        <v>658594.87717076973</v>
      </c>
      <c r="Q98" s="617">
        <f>SUM(Q86:Q97)</f>
        <v>362512.15435245045</v>
      </c>
      <c r="R98" s="616"/>
      <c r="S98" s="615"/>
    </row>
    <row r="99" spans="2:19">
      <c r="D99" s="362"/>
      <c r="E99" s="362"/>
      <c r="F99" s="362"/>
      <c r="G99" s="362"/>
      <c r="H99" s="363"/>
      <c r="I99" s="363"/>
      <c r="K99" s="364"/>
      <c r="L99" s="363"/>
      <c r="M99" s="363"/>
      <c r="N99" s="372"/>
      <c r="O99" s="364"/>
      <c r="P99" s="364"/>
      <c r="Q99" s="364"/>
      <c r="R99" s="363"/>
      <c r="S99" s="363"/>
    </row>
    <row r="100" spans="2:19" ht="15" customHeight="1">
      <c r="B100" s="352">
        <f>B98+1</f>
        <v>64</v>
      </c>
      <c r="D100" s="298" t="s">
        <v>875</v>
      </c>
      <c r="I100" s="363"/>
      <c r="J100" s="614" t="str">
        <f>$J$12</f>
        <v>12/31/2021 (Actuals)</v>
      </c>
      <c r="L100" s="614">
        <f>'1C - ADIT BOY'!E13</f>
        <v>-180690372.02358872</v>
      </c>
      <c r="M100" s="365"/>
      <c r="N100" s="1520" t="str">
        <f>$N$12</f>
        <v>12/31/2021 (Actuals)</v>
      </c>
      <c r="R100" s="614">
        <f>'1C - ADIT BOY'!E13</f>
        <v>-180690372.02358872</v>
      </c>
    </row>
    <row r="101" spans="2:19">
      <c r="B101" s="352">
        <f>B100+1</f>
        <v>65</v>
      </c>
      <c r="D101" s="298" t="s">
        <v>879</v>
      </c>
      <c r="I101" s="363"/>
      <c r="J101" s="366" t="s">
        <v>611</v>
      </c>
      <c r="L101" s="367">
        <v>0</v>
      </c>
      <c r="M101" s="368"/>
      <c r="N101" s="366"/>
      <c r="R101" s="367">
        <v>0</v>
      </c>
    </row>
    <row r="102" spans="2:19">
      <c r="B102" s="352">
        <f>B101+1</f>
        <v>66</v>
      </c>
      <c r="D102" s="298" t="s">
        <v>876</v>
      </c>
      <c r="I102" s="363"/>
      <c r="J102" s="359" t="str">
        <f>"(Col. "&amp;L79&amp;", Line "&amp;B100&amp;" + Line "&amp;B101&amp;")"</f>
        <v>(Col. (H), Line 64 + Line 65)</v>
      </c>
      <c r="L102" s="613">
        <f>L100+L101</f>
        <v>-180690372.02358872</v>
      </c>
      <c r="M102" s="363"/>
      <c r="N102" s="359" t="str">
        <f>"(Col. "&amp;R79&amp;", Line "&amp;B100&amp;" + Line "&amp;B101&amp;")"</f>
        <v>(Col. (M), Line 64 + Line 65)</v>
      </c>
      <c r="R102" s="613">
        <f>R100+R101</f>
        <v>-180690372.02358872</v>
      </c>
    </row>
    <row r="103" spans="2:19">
      <c r="I103" s="363"/>
      <c r="L103" s="613"/>
      <c r="M103" s="363"/>
      <c r="R103" s="613"/>
    </row>
    <row r="104" spans="2:19">
      <c r="B104" s="352">
        <f>B102+1</f>
        <v>67</v>
      </c>
      <c r="D104" s="298" t="s">
        <v>956</v>
      </c>
      <c r="I104" s="363"/>
      <c r="J104" s="614" t="str">
        <f>$J$14</f>
        <v>2022 Projected</v>
      </c>
      <c r="L104" s="614">
        <v>-193176626.45628822</v>
      </c>
      <c r="M104" s="365"/>
      <c r="N104" s="1520" t="str">
        <f>$N$14</f>
        <v>12/31/2022 (Actuals)</v>
      </c>
      <c r="R104" s="614">
        <f>'1B - ADIT EOY'!E13</f>
        <v>-194393835.68442327</v>
      </c>
    </row>
    <row r="105" spans="2:19">
      <c r="B105" s="352">
        <f>B104+1</f>
        <v>68</v>
      </c>
      <c r="D105" s="298" t="s">
        <v>880</v>
      </c>
      <c r="I105" s="363"/>
      <c r="J105" s="366" t="s">
        <v>611</v>
      </c>
      <c r="L105" s="367">
        <v>0</v>
      </c>
      <c r="M105" s="363"/>
      <c r="N105" s="366"/>
      <c r="R105" s="367">
        <v>0</v>
      </c>
    </row>
    <row r="106" spans="2:19">
      <c r="B106" s="352">
        <f>B105+1</f>
        <v>69</v>
      </c>
      <c r="D106" s="298" t="s">
        <v>881</v>
      </c>
      <c r="I106" s="363"/>
      <c r="J106" s="359" t="str">
        <f>"(Col. "&amp;L79&amp;", Line "&amp;B104&amp;" + Line "&amp;B105&amp;")"</f>
        <v>(Col. (H), Line 67 + Line 68)</v>
      </c>
      <c r="L106" s="613">
        <f>L104+L105</f>
        <v>-193176626.45628822</v>
      </c>
      <c r="M106" s="363"/>
      <c r="N106" s="359" t="str">
        <f>"(Col. "&amp;R79&amp;", Line "&amp;B104&amp;" + Line "&amp;B105&amp;")"</f>
        <v>(Col. (M), Line 67 + Line 68)</v>
      </c>
      <c r="R106" s="613">
        <f>R104+R105</f>
        <v>-194393835.68442327</v>
      </c>
    </row>
    <row r="107" spans="2:19">
      <c r="I107" s="363"/>
      <c r="L107" s="613"/>
      <c r="M107" s="363"/>
      <c r="R107" s="613"/>
    </row>
    <row r="108" spans="2:19">
      <c r="B108" s="352">
        <f>B106+1</f>
        <v>70</v>
      </c>
      <c r="D108" s="298" t="s">
        <v>955</v>
      </c>
      <c r="I108" s="363"/>
      <c r="J108" s="359" t="str">
        <f>"([Col. "&amp;L79&amp;", Line "&amp;B102&amp;" + Line "&amp;B106&amp;"] /2)"</f>
        <v>([Col. (H), Line 66 + Line 69] /2)</v>
      </c>
      <c r="L108" s="612">
        <f>(L102+L106)/2</f>
        <v>-186933499.23993847</v>
      </c>
      <c r="M108" s="363"/>
      <c r="N108" s="359" t="str">
        <f>"([Col. "&amp;R79&amp;", Line "&amp;B102&amp;" + Line "&amp;B106&amp;"] /2)"</f>
        <v>([Col. (M), Line 66 + Line 69] /2)</v>
      </c>
      <c r="R108" s="612">
        <f>(R102+R106)/2</f>
        <v>-187542103.85400599</v>
      </c>
    </row>
    <row r="109" spans="2:19">
      <c r="B109" s="352">
        <f>B108+1</f>
        <v>71</v>
      </c>
      <c r="D109" s="362" t="s">
        <v>954</v>
      </c>
      <c r="E109" s="362"/>
      <c r="F109" s="362"/>
      <c r="G109" s="362"/>
      <c r="H109" s="363"/>
      <c r="I109" s="363"/>
      <c r="J109" s="359" t="str">
        <f>"(Col. "&amp;L79&amp;", Line "&amp;B97&amp;" )"</f>
        <v>(Col. (H), Line 62 )</v>
      </c>
      <c r="K109" s="364"/>
      <c r="L109" s="612">
        <f>L97</f>
        <v>-114090630.53776617</v>
      </c>
      <c r="M109" s="363"/>
      <c r="N109" s="359" t="str">
        <f>"(Col. "&amp;R79&amp;", Line "&amp;B97&amp;" )"</f>
        <v>(Col. (M), Line 62 )</v>
      </c>
      <c r="R109" s="612">
        <f>R97</f>
        <v>-113855969.63103558</v>
      </c>
    </row>
    <row r="110" spans="2:19" ht="13.5" thickBot="1">
      <c r="B110" s="352">
        <f>B109+1</f>
        <v>72</v>
      </c>
      <c r="D110" s="369" t="s">
        <v>1445</v>
      </c>
      <c r="E110" s="362"/>
      <c r="F110" s="362"/>
      <c r="G110" s="362"/>
      <c r="H110" s="363"/>
      <c r="I110" s="363"/>
      <c r="J110" s="359" t="str">
        <f>"(Col. "&amp;L79&amp;", Line "&amp;B108&amp;" + Line "&amp;B109&amp;")"</f>
        <v>(Col. (H), Line 70 + Line 71)</v>
      </c>
      <c r="K110" s="364"/>
      <c r="L110" s="611">
        <f>L108+L109</f>
        <v>-301024129.77770466</v>
      </c>
      <c r="M110" s="363"/>
      <c r="N110" s="359" t="str">
        <f>"(Col. "&amp;R79&amp;", Line "&amp;B108&amp;" + Line "&amp;B109&amp;")"</f>
        <v>(Col. (M), Line 70 + Line 71)</v>
      </c>
      <c r="R110" s="611">
        <f>R108+R109</f>
        <v>-301398073.48504156</v>
      </c>
    </row>
    <row r="111" spans="2:19" ht="13">
      <c r="D111" s="349"/>
    </row>
    <row r="112" spans="2:19" ht="13">
      <c r="D112" s="349" t="s">
        <v>882</v>
      </c>
      <c r="J112" s="1750"/>
      <c r="K112" s="1750"/>
      <c r="L112" s="1750"/>
      <c r="N112" s="1750"/>
      <c r="O112" s="1750"/>
      <c r="P112" s="1750"/>
      <c r="Q112" s="1750"/>
      <c r="R112" s="1750"/>
    </row>
    <row r="113" spans="2:19" ht="13">
      <c r="D113" s="1743" t="s">
        <v>870</v>
      </c>
      <c r="E113" s="1744"/>
      <c r="F113" s="1744"/>
      <c r="G113" s="1744"/>
      <c r="H113" s="1745"/>
      <c r="I113" s="353"/>
      <c r="J113" s="1746" t="s">
        <v>1199</v>
      </c>
      <c r="K113" s="1747"/>
      <c r="L113" s="1748"/>
      <c r="M113" s="353"/>
      <c r="N113" s="1746" t="s">
        <v>1200</v>
      </c>
      <c r="O113" s="1747"/>
      <c r="P113" s="1747"/>
      <c r="Q113" s="1747"/>
      <c r="R113" s="1748"/>
      <c r="S113" s="353"/>
    </row>
    <row r="114" spans="2:19" ht="13">
      <c r="D114" s="354" t="s">
        <v>164</v>
      </c>
      <c r="E114" s="354" t="s">
        <v>165</v>
      </c>
      <c r="F114" s="354" t="s">
        <v>1201</v>
      </c>
      <c r="G114" s="354" t="s">
        <v>1202</v>
      </c>
      <c r="H114" s="354" t="s">
        <v>1203</v>
      </c>
      <c r="I114" s="353"/>
      <c r="J114" s="354" t="s">
        <v>1204</v>
      </c>
      <c r="K114" s="354" t="s">
        <v>1205</v>
      </c>
      <c r="L114" s="354" t="s">
        <v>1206</v>
      </c>
      <c r="M114" s="353"/>
      <c r="N114" s="354" t="s">
        <v>1207</v>
      </c>
      <c r="O114" s="354" t="s">
        <v>1208</v>
      </c>
      <c r="P114" s="354" t="s">
        <v>1209</v>
      </c>
      <c r="Q114" s="354" t="s">
        <v>1210</v>
      </c>
      <c r="R114" s="354" t="s">
        <v>1211</v>
      </c>
      <c r="S114" s="353"/>
    </row>
    <row r="115" spans="2:19" ht="50">
      <c r="B115" s="355" t="s">
        <v>1212</v>
      </c>
      <c r="D115" s="356" t="s">
        <v>159</v>
      </c>
      <c r="E115" s="356" t="s">
        <v>871</v>
      </c>
      <c r="F115" s="356" t="s">
        <v>872</v>
      </c>
      <c r="G115" s="356" t="s">
        <v>873</v>
      </c>
      <c r="H115" s="356" t="s">
        <v>1213</v>
      </c>
      <c r="I115" s="609"/>
      <c r="J115" s="356" t="s">
        <v>874</v>
      </c>
      <c r="K115" s="356" t="s">
        <v>1214</v>
      </c>
      <c r="L115" s="356" t="s">
        <v>1215</v>
      </c>
      <c r="M115" s="609"/>
      <c r="N115" s="356" t="s">
        <v>958</v>
      </c>
      <c r="O115" s="356" t="s">
        <v>1216</v>
      </c>
      <c r="P115" s="356" t="s">
        <v>1217</v>
      </c>
      <c r="Q115" s="356" t="s">
        <v>1218</v>
      </c>
      <c r="R115" s="356" t="s">
        <v>1219</v>
      </c>
      <c r="S115" s="609"/>
    </row>
    <row r="116" spans="2:19">
      <c r="E116" s="609"/>
      <c r="F116" s="609"/>
      <c r="G116" s="609"/>
      <c r="H116" s="609"/>
      <c r="I116" s="609"/>
      <c r="J116" s="609"/>
      <c r="K116" s="609"/>
      <c r="L116" s="609"/>
      <c r="M116" s="609"/>
      <c r="N116" s="609"/>
      <c r="O116" s="609"/>
      <c r="P116" s="609"/>
      <c r="Q116" s="609"/>
      <c r="R116" s="609"/>
      <c r="S116" s="609"/>
    </row>
    <row r="117" spans="2:19">
      <c r="B117" s="352">
        <f>B110+1</f>
        <v>73</v>
      </c>
      <c r="D117" s="298" t="s">
        <v>957</v>
      </c>
      <c r="E117" s="609"/>
      <c r="F117" s="609"/>
      <c r="G117" s="609"/>
      <c r="H117" s="609"/>
      <c r="I117" s="609"/>
      <c r="J117" s="614" t="str">
        <f>$J$12</f>
        <v>12/31/2021 (Actuals)</v>
      </c>
      <c r="K117" s="609"/>
      <c r="L117" s="614">
        <v>0</v>
      </c>
      <c r="M117" s="609"/>
      <c r="N117" s="1520" t="str">
        <f>$N$12</f>
        <v>12/31/2021 (Actuals)</v>
      </c>
      <c r="O117" s="609"/>
      <c r="P117" s="609"/>
      <c r="Q117" s="609"/>
      <c r="R117" s="614">
        <v>0</v>
      </c>
      <c r="S117" s="609"/>
    </row>
    <row r="118" spans="2:19">
      <c r="E118" s="609"/>
      <c r="F118" s="609"/>
      <c r="G118" s="609"/>
      <c r="H118" s="609"/>
      <c r="I118" s="609"/>
      <c r="J118" s="1508"/>
      <c r="K118" s="609"/>
      <c r="L118" s="609"/>
      <c r="M118" s="609"/>
      <c r="N118" s="1508"/>
      <c r="O118" s="609"/>
      <c r="P118" s="609"/>
      <c r="Q118" s="609"/>
      <c r="R118" s="609"/>
      <c r="S118" s="609"/>
    </row>
    <row r="119" spans="2:19">
      <c r="B119" s="1481">
        <f>B117+1</f>
        <v>74</v>
      </c>
      <c r="D119" s="298" t="s">
        <v>1592</v>
      </c>
      <c r="E119" s="1480"/>
      <c r="F119" s="1480"/>
      <c r="G119" s="1480"/>
      <c r="H119" s="1480"/>
      <c r="I119" s="1480"/>
      <c r="J119" s="614" t="str">
        <f>$J$14</f>
        <v>2022 Projected</v>
      </c>
      <c r="K119" s="1480"/>
      <c r="L119" s="1480"/>
      <c r="M119" s="1480"/>
      <c r="N119" s="1520" t="str">
        <f>$N$14</f>
        <v>12/31/2022 (Actuals)</v>
      </c>
      <c r="O119" s="1480"/>
      <c r="P119" s="1480"/>
      <c r="Q119" s="1480"/>
      <c r="R119" s="1480"/>
      <c r="S119" s="1480"/>
    </row>
    <row r="120" spans="2:19">
      <c r="B120" s="1481"/>
      <c r="E120" s="1480"/>
      <c r="F120" s="1480"/>
      <c r="G120" s="1480"/>
      <c r="H120" s="1480"/>
      <c r="I120" s="1480"/>
      <c r="J120" s="1480"/>
      <c r="K120" s="1480"/>
      <c r="L120" s="1480"/>
      <c r="M120" s="1480"/>
      <c r="N120" s="1480"/>
      <c r="O120" s="1480"/>
      <c r="P120" s="1480"/>
      <c r="Q120" s="1480"/>
      <c r="R120" s="1480"/>
      <c r="S120" s="1480"/>
    </row>
    <row r="121" spans="2:19">
      <c r="B121" s="352">
        <f>B119+1</f>
        <v>75</v>
      </c>
      <c r="D121" s="357" t="s">
        <v>493</v>
      </c>
      <c r="E121" s="614">
        <v>31</v>
      </c>
      <c r="F121" s="620">
        <v>0</v>
      </c>
      <c r="G121" s="620">
        <v>214</v>
      </c>
      <c r="H121" s="619">
        <f t="shared" ref="H121:H132" si="27">IF(F121=0,0.5,F121/G121)</f>
        <v>0.5</v>
      </c>
      <c r="I121" s="618"/>
      <c r="J121" s="614">
        <v>0</v>
      </c>
      <c r="K121" s="612">
        <f t="shared" ref="K121:K132" si="28">+J121*H121</f>
        <v>0</v>
      </c>
      <c r="L121" s="612">
        <f>+K121</f>
        <v>0</v>
      </c>
      <c r="M121" s="618"/>
      <c r="N121" s="614">
        <v>0</v>
      </c>
      <c r="O121" s="612">
        <f t="shared" ref="O121:O132" si="29">IF($D$187="True-Up Adjustment",N121-J121,0)</f>
        <v>0</v>
      </c>
      <c r="P121" s="612">
        <f t="shared" ref="P121:P132" si="30">IF($D$187="True-Up Adjustment",IF(AND(J121&gt;=0,N121&gt;=0),IF(O121&gt;=0,K121+O121,N121/J121*K121),IF(AND(J121&lt;0,N121&lt;0),IF(O121&lt;0,K121+O121,N121/J121*K121),0)),0)</f>
        <v>0</v>
      </c>
      <c r="Q121" s="612">
        <f t="shared" ref="Q121:Q132" si="31">IF(AND(J121&gt;=0,N121&lt;0),N121,IF(AND(J121&lt;0,N121&gt;=0),N121,0))</f>
        <v>0</v>
      </c>
      <c r="R121" s="612">
        <f>P121+Q121+R117</f>
        <v>0</v>
      </c>
      <c r="S121" s="618"/>
    </row>
    <row r="122" spans="2:19">
      <c r="B122" s="352">
        <f t="shared" ref="B122:B133" si="32">+B121+1</f>
        <v>76</v>
      </c>
      <c r="D122" s="357" t="s">
        <v>494</v>
      </c>
      <c r="E122" s="614">
        <v>28</v>
      </c>
      <c r="F122" s="620">
        <v>0</v>
      </c>
      <c r="G122" s="620">
        <v>214</v>
      </c>
      <c r="H122" s="619">
        <f t="shared" si="27"/>
        <v>0.5</v>
      </c>
      <c r="I122" s="618"/>
      <c r="J122" s="614">
        <v>0</v>
      </c>
      <c r="K122" s="612">
        <f t="shared" si="28"/>
        <v>0</v>
      </c>
      <c r="L122" s="612">
        <f t="shared" ref="L122:L132" si="33">+K122+L121</f>
        <v>0</v>
      </c>
      <c r="M122" s="618"/>
      <c r="N122" s="614">
        <v>0</v>
      </c>
      <c r="O122" s="612">
        <f t="shared" si="29"/>
        <v>0</v>
      </c>
      <c r="P122" s="612">
        <f t="shared" si="30"/>
        <v>0</v>
      </c>
      <c r="Q122" s="612">
        <f t="shared" si="31"/>
        <v>0</v>
      </c>
      <c r="R122" s="612">
        <f t="shared" ref="R122:R132" si="34">R121+P122+Q122</f>
        <v>0</v>
      </c>
      <c r="S122" s="618"/>
    </row>
    <row r="123" spans="2:19">
      <c r="B123" s="352">
        <f t="shared" si="32"/>
        <v>77</v>
      </c>
      <c r="D123" s="357" t="s">
        <v>517</v>
      </c>
      <c r="E123" s="614">
        <v>31</v>
      </c>
      <c r="F123" s="620">
        <v>0</v>
      </c>
      <c r="G123" s="620">
        <v>214</v>
      </c>
      <c r="H123" s="619">
        <f t="shared" si="27"/>
        <v>0.5</v>
      </c>
      <c r="I123" s="618"/>
      <c r="J123" s="614">
        <v>0</v>
      </c>
      <c r="K123" s="612">
        <f t="shared" si="28"/>
        <v>0</v>
      </c>
      <c r="L123" s="612">
        <f t="shared" si="33"/>
        <v>0</v>
      </c>
      <c r="M123" s="618"/>
      <c r="N123" s="614">
        <v>0</v>
      </c>
      <c r="O123" s="612">
        <f t="shared" si="29"/>
        <v>0</v>
      </c>
      <c r="P123" s="612">
        <f t="shared" si="30"/>
        <v>0</v>
      </c>
      <c r="Q123" s="612">
        <f t="shared" si="31"/>
        <v>0</v>
      </c>
      <c r="R123" s="612">
        <f t="shared" si="34"/>
        <v>0</v>
      </c>
      <c r="S123" s="618"/>
    </row>
    <row r="124" spans="2:19">
      <c r="B124" s="352">
        <f t="shared" si="32"/>
        <v>78</v>
      </c>
      <c r="D124" s="357" t="s">
        <v>161</v>
      </c>
      <c r="E124" s="614">
        <v>30</v>
      </c>
      <c r="F124" s="620">
        <v>0</v>
      </c>
      <c r="G124" s="620">
        <v>214</v>
      </c>
      <c r="H124" s="619">
        <f t="shared" si="27"/>
        <v>0.5</v>
      </c>
      <c r="I124" s="618"/>
      <c r="J124" s="614">
        <v>0</v>
      </c>
      <c r="K124" s="612">
        <f t="shared" si="28"/>
        <v>0</v>
      </c>
      <c r="L124" s="612">
        <f t="shared" si="33"/>
        <v>0</v>
      </c>
      <c r="M124" s="618"/>
      <c r="N124" s="614">
        <v>0</v>
      </c>
      <c r="O124" s="612">
        <f t="shared" si="29"/>
        <v>0</v>
      </c>
      <c r="P124" s="612">
        <f t="shared" si="30"/>
        <v>0</v>
      </c>
      <c r="Q124" s="612">
        <f t="shared" si="31"/>
        <v>0</v>
      </c>
      <c r="R124" s="612">
        <f t="shared" si="34"/>
        <v>0</v>
      </c>
      <c r="S124" s="618"/>
    </row>
    <row r="125" spans="2:19">
      <c r="B125" s="352">
        <f t="shared" si="32"/>
        <v>79</v>
      </c>
      <c r="D125" s="357" t="s">
        <v>162</v>
      </c>
      <c r="E125" s="614">
        <v>31</v>
      </c>
      <c r="F125" s="620">
        <v>0</v>
      </c>
      <c r="G125" s="620">
        <v>214</v>
      </c>
      <c r="H125" s="619">
        <f t="shared" si="27"/>
        <v>0.5</v>
      </c>
      <c r="I125" s="618"/>
      <c r="J125" s="614">
        <v>0</v>
      </c>
      <c r="K125" s="612">
        <f t="shared" si="28"/>
        <v>0</v>
      </c>
      <c r="L125" s="612">
        <f t="shared" si="33"/>
        <v>0</v>
      </c>
      <c r="M125" s="618"/>
      <c r="N125" s="614">
        <v>0</v>
      </c>
      <c r="O125" s="612">
        <f t="shared" si="29"/>
        <v>0</v>
      </c>
      <c r="P125" s="612">
        <f t="shared" si="30"/>
        <v>0</v>
      </c>
      <c r="Q125" s="612">
        <f t="shared" si="31"/>
        <v>0</v>
      </c>
      <c r="R125" s="612">
        <f t="shared" si="34"/>
        <v>0</v>
      </c>
      <c r="S125" s="618"/>
    </row>
    <row r="126" spans="2:19">
      <c r="B126" s="352">
        <f t="shared" si="32"/>
        <v>80</v>
      </c>
      <c r="D126" s="357" t="s">
        <v>163</v>
      </c>
      <c r="E126" s="614">
        <v>30</v>
      </c>
      <c r="F126" s="620">
        <f t="shared" ref="F126:F131" si="35">F127+E127</f>
        <v>185</v>
      </c>
      <c r="G126" s="620">
        <v>214</v>
      </c>
      <c r="H126" s="619">
        <f t="shared" si="27"/>
        <v>0.86448598130841126</v>
      </c>
      <c r="I126" s="618"/>
      <c r="J126" s="614">
        <v>0</v>
      </c>
      <c r="K126" s="612">
        <f t="shared" si="28"/>
        <v>0</v>
      </c>
      <c r="L126" s="612">
        <f t="shared" si="33"/>
        <v>0</v>
      </c>
      <c r="M126" s="618"/>
      <c r="N126" s="614">
        <v>0</v>
      </c>
      <c r="O126" s="612">
        <f t="shared" si="29"/>
        <v>0</v>
      </c>
      <c r="P126" s="612">
        <f t="shared" si="30"/>
        <v>0</v>
      </c>
      <c r="Q126" s="612">
        <f t="shared" si="31"/>
        <v>0</v>
      </c>
      <c r="R126" s="612">
        <f t="shared" si="34"/>
        <v>0</v>
      </c>
      <c r="S126" s="618"/>
    </row>
    <row r="127" spans="2:19">
      <c r="B127" s="352">
        <f t="shared" si="32"/>
        <v>81</v>
      </c>
      <c r="D127" s="357" t="s">
        <v>496</v>
      </c>
      <c r="E127" s="614">
        <v>31</v>
      </c>
      <c r="F127" s="620">
        <f t="shared" si="35"/>
        <v>154</v>
      </c>
      <c r="G127" s="620">
        <v>214</v>
      </c>
      <c r="H127" s="619">
        <f t="shared" si="27"/>
        <v>0.71962616822429903</v>
      </c>
      <c r="I127" s="618"/>
      <c r="J127" s="614">
        <v>0</v>
      </c>
      <c r="K127" s="612">
        <f t="shared" si="28"/>
        <v>0</v>
      </c>
      <c r="L127" s="612">
        <f t="shared" si="33"/>
        <v>0</v>
      </c>
      <c r="M127" s="618"/>
      <c r="N127" s="614">
        <v>0</v>
      </c>
      <c r="O127" s="612">
        <f t="shared" si="29"/>
        <v>0</v>
      </c>
      <c r="P127" s="612">
        <f t="shared" si="30"/>
        <v>0</v>
      </c>
      <c r="Q127" s="612">
        <f t="shared" si="31"/>
        <v>0</v>
      </c>
      <c r="R127" s="612">
        <f t="shared" si="34"/>
        <v>0</v>
      </c>
      <c r="S127" s="618"/>
    </row>
    <row r="128" spans="2:19">
      <c r="B128" s="352">
        <f t="shared" si="32"/>
        <v>82</v>
      </c>
      <c r="D128" s="357" t="s">
        <v>518</v>
      </c>
      <c r="E128" s="614">
        <v>31</v>
      </c>
      <c r="F128" s="620">
        <f t="shared" si="35"/>
        <v>123</v>
      </c>
      <c r="G128" s="620">
        <v>214</v>
      </c>
      <c r="H128" s="619">
        <f t="shared" si="27"/>
        <v>0.57476635514018692</v>
      </c>
      <c r="I128" s="618"/>
      <c r="J128" s="614">
        <v>0</v>
      </c>
      <c r="K128" s="612">
        <f t="shared" si="28"/>
        <v>0</v>
      </c>
      <c r="L128" s="612">
        <f t="shared" si="33"/>
        <v>0</v>
      </c>
      <c r="M128" s="618"/>
      <c r="N128" s="614">
        <v>0</v>
      </c>
      <c r="O128" s="612">
        <f t="shared" si="29"/>
        <v>0</v>
      </c>
      <c r="P128" s="612">
        <f t="shared" si="30"/>
        <v>0</v>
      </c>
      <c r="Q128" s="612">
        <f t="shared" si="31"/>
        <v>0</v>
      </c>
      <c r="R128" s="612">
        <f t="shared" si="34"/>
        <v>0</v>
      </c>
      <c r="S128" s="618"/>
    </row>
    <row r="129" spans="2:19">
      <c r="B129" s="352">
        <f t="shared" si="32"/>
        <v>83</v>
      </c>
      <c r="D129" s="357" t="s">
        <v>498</v>
      </c>
      <c r="E129" s="614">
        <v>30</v>
      </c>
      <c r="F129" s="620">
        <f t="shared" si="35"/>
        <v>93</v>
      </c>
      <c r="G129" s="620">
        <v>214</v>
      </c>
      <c r="H129" s="619">
        <f t="shared" si="27"/>
        <v>0.43457943925233644</v>
      </c>
      <c r="I129" s="618"/>
      <c r="J129" s="614">
        <v>0</v>
      </c>
      <c r="K129" s="612">
        <f t="shared" si="28"/>
        <v>0</v>
      </c>
      <c r="L129" s="612">
        <f t="shared" si="33"/>
        <v>0</v>
      </c>
      <c r="M129" s="618"/>
      <c r="N129" s="614">
        <v>0</v>
      </c>
      <c r="O129" s="612">
        <f t="shared" si="29"/>
        <v>0</v>
      </c>
      <c r="P129" s="612">
        <f t="shared" si="30"/>
        <v>0</v>
      </c>
      <c r="Q129" s="612">
        <f t="shared" si="31"/>
        <v>0</v>
      </c>
      <c r="R129" s="612">
        <f t="shared" si="34"/>
        <v>0</v>
      </c>
      <c r="S129" s="618"/>
    </row>
    <row r="130" spans="2:19">
      <c r="B130" s="352">
        <f t="shared" si="32"/>
        <v>84</v>
      </c>
      <c r="D130" s="357" t="s">
        <v>499</v>
      </c>
      <c r="E130" s="614">
        <v>31</v>
      </c>
      <c r="F130" s="620">
        <f t="shared" si="35"/>
        <v>62</v>
      </c>
      <c r="G130" s="620">
        <v>214</v>
      </c>
      <c r="H130" s="619">
        <f t="shared" si="27"/>
        <v>0.28971962616822428</v>
      </c>
      <c r="I130" s="618"/>
      <c r="J130" s="614">
        <v>0</v>
      </c>
      <c r="K130" s="612">
        <f t="shared" si="28"/>
        <v>0</v>
      </c>
      <c r="L130" s="612">
        <f t="shared" si="33"/>
        <v>0</v>
      </c>
      <c r="M130" s="618"/>
      <c r="N130" s="614">
        <v>0</v>
      </c>
      <c r="O130" s="612">
        <f t="shared" si="29"/>
        <v>0</v>
      </c>
      <c r="P130" s="612">
        <f t="shared" si="30"/>
        <v>0</v>
      </c>
      <c r="Q130" s="612">
        <f t="shared" si="31"/>
        <v>0</v>
      </c>
      <c r="R130" s="612">
        <f t="shared" si="34"/>
        <v>0</v>
      </c>
      <c r="S130" s="618"/>
    </row>
    <row r="131" spans="2:19">
      <c r="B131" s="352">
        <f t="shared" si="32"/>
        <v>85</v>
      </c>
      <c r="D131" s="357" t="s">
        <v>500</v>
      </c>
      <c r="E131" s="614">
        <v>30</v>
      </c>
      <c r="F131" s="620">
        <f t="shared" si="35"/>
        <v>32</v>
      </c>
      <c r="G131" s="620">
        <v>214</v>
      </c>
      <c r="H131" s="619">
        <f t="shared" si="27"/>
        <v>0.14953271028037382</v>
      </c>
      <c r="I131" s="618"/>
      <c r="J131" s="614">
        <v>0</v>
      </c>
      <c r="K131" s="612">
        <f t="shared" si="28"/>
        <v>0</v>
      </c>
      <c r="L131" s="612">
        <f t="shared" si="33"/>
        <v>0</v>
      </c>
      <c r="M131" s="618"/>
      <c r="N131" s="614">
        <v>0</v>
      </c>
      <c r="O131" s="612">
        <f t="shared" si="29"/>
        <v>0</v>
      </c>
      <c r="P131" s="612">
        <f t="shared" si="30"/>
        <v>0</v>
      </c>
      <c r="Q131" s="612">
        <f t="shared" si="31"/>
        <v>0</v>
      </c>
      <c r="R131" s="612">
        <f t="shared" si="34"/>
        <v>0</v>
      </c>
      <c r="S131" s="618"/>
    </row>
    <row r="132" spans="2:19">
      <c r="B132" s="352">
        <f t="shared" si="32"/>
        <v>86</v>
      </c>
      <c r="D132" s="358" t="s">
        <v>715</v>
      </c>
      <c r="E132" s="614">
        <v>31</v>
      </c>
      <c r="F132" s="620">
        <v>1</v>
      </c>
      <c r="G132" s="620">
        <v>214</v>
      </c>
      <c r="H132" s="619">
        <f t="shared" si="27"/>
        <v>4.6728971962616819E-3</v>
      </c>
      <c r="I132" s="618"/>
      <c r="J132" s="614">
        <v>0</v>
      </c>
      <c r="K132" s="612">
        <f t="shared" si="28"/>
        <v>0</v>
      </c>
      <c r="L132" s="612">
        <f t="shared" si="33"/>
        <v>0</v>
      </c>
      <c r="M132" s="618"/>
      <c r="N132" s="614">
        <v>0</v>
      </c>
      <c r="O132" s="612">
        <f t="shared" si="29"/>
        <v>0</v>
      </c>
      <c r="P132" s="612">
        <f t="shared" si="30"/>
        <v>0</v>
      </c>
      <c r="Q132" s="612">
        <f t="shared" si="31"/>
        <v>0</v>
      </c>
      <c r="R132" s="612">
        <f t="shared" si="34"/>
        <v>0</v>
      </c>
      <c r="S132" s="618"/>
    </row>
    <row r="133" spans="2:19">
      <c r="B133" s="352">
        <f t="shared" si="32"/>
        <v>87</v>
      </c>
      <c r="D133" s="359" t="str">
        <f>"Total (Sum of Lines "&amp;B121&amp;" - "&amp;B132&amp;")"</f>
        <v>Total (Sum of Lines 75 - 86)</v>
      </c>
      <c r="E133" s="617">
        <f>SUM(E121:E132)</f>
        <v>365</v>
      </c>
      <c r="F133" s="360"/>
      <c r="G133" s="360"/>
      <c r="H133" s="361"/>
      <c r="I133" s="615"/>
      <c r="J133" s="617">
        <f>SUM(J121:J132)</f>
        <v>0</v>
      </c>
      <c r="K133" s="617">
        <f>SUM(K121:K132)</f>
        <v>0</v>
      </c>
      <c r="L133" s="616"/>
      <c r="M133" s="615"/>
      <c r="N133" s="617">
        <f>SUM(N121:N132)</f>
        <v>0</v>
      </c>
      <c r="O133" s="617">
        <f>SUM(O121:O132)</f>
        <v>0</v>
      </c>
      <c r="P133" s="617">
        <f>SUM(P121:P132)</f>
        <v>0</v>
      </c>
      <c r="Q133" s="617">
        <f>SUM(Q121:Q132)</f>
        <v>0</v>
      </c>
      <c r="R133" s="616"/>
      <c r="S133" s="615"/>
    </row>
    <row r="134" spans="2:19">
      <c r="D134" s="362"/>
      <c r="E134" s="362"/>
      <c r="F134" s="362"/>
      <c r="G134" s="362"/>
      <c r="H134" s="363"/>
      <c r="I134" s="363"/>
      <c r="K134" s="364"/>
      <c r="L134" s="363"/>
      <c r="M134" s="363"/>
      <c r="N134" s="372"/>
      <c r="O134" s="364"/>
      <c r="P134" s="364"/>
      <c r="Q134" s="364"/>
      <c r="R134" s="363"/>
      <c r="S134" s="363"/>
    </row>
    <row r="135" spans="2:19">
      <c r="B135" s="352">
        <f>B133+1</f>
        <v>88</v>
      </c>
      <c r="D135" s="298" t="s">
        <v>875</v>
      </c>
      <c r="I135" s="363"/>
      <c r="J135" s="614" t="str">
        <f>$J$12</f>
        <v>12/31/2021 (Actuals)</v>
      </c>
      <c r="L135" s="614">
        <f>'1C - ADIT BOY'!E14</f>
        <v>-7164578.4017846771</v>
      </c>
      <c r="M135" s="365"/>
      <c r="N135" s="1520" t="str">
        <f>$N$12</f>
        <v>12/31/2021 (Actuals)</v>
      </c>
      <c r="R135" s="614">
        <f>'1C - ADIT BOY'!E14</f>
        <v>-7164578.4017846771</v>
      </c>
    </row>
    <row r="136" spans="2:19">
      <c r="B136" s="352">
        <f>B135+1</f>
        <v>89</v>
      </c>
      <c r="D136" s="298" t="s">
        <v>1473</v>
      </c>
      <c r="I136" s="363"/>
      <c r="J136" s="366" t="s">
        <v>611</v>
      </c>
      <c r="L136" s="367">
        <v>0</v>
      </c>
      <c r="M136" s="368"/>
      <c r="N136" s="366"/>
      <c r="R136" s="367">
        <v>0</v>
      </c>
    </row>
    <row r="137" spans="2:19">
      <c r="B137" s="352">
        <f>B136+1</f>
        <v>90</v>
      </c>
      <c r="D137" s="298" t="s">
        <v>876</v>
      </c>
      <c r="I137" s="363"/>
      <c r="J137" s="359" t="str">
        <f>"(Col. "&amp;L114&amp;", Line "&amp;B135&amp;" + Line "&amp;B136&amp;")"</f>
        <v>(Col. (H), Line 88 + Line 89)</v>
      </c>
      <c r="L137" s="613">
        <f>L135+L136</f>
        <v>-7164578.4017846771</v>
      </c>
      <c r="M137" s="363"/>
      <c r="N137" s="359" t="str">
        <f>"(Col. "&amp;R114&amp;", Line "&amp;B135&amp;" + Line "&amp;B136&amp;")"</f>
        <v>(Col. (M), Line 88 + Line 89)</v>
      </c>
      <c r="R137" s="613">
        <f>R135+R136</f>
        <v>-7164578.4017846771</v>
      </c>
    </row>
    <row r="138" spans="2:19">
      <c r="I138" s="363"/>
      <c r="L138" s="613"/>
      <c r="M138" s="363"/>
      <c r="R138" s="613"/>
    </row>
    <row r="139" spans="2:19">
      <c r="B139" s="352">
        <f>B137+1</f>
        <v>91</v>
      </c>
      <c r="D139" s="298" t="s">
        <v>956</v>
      </c>
      <c r="I139" s="363"/>
      <c r="J139" s="614" t="str">
        <f>$J$14</f>
        <v>2022 Projected</v>
      </c>
      <c r="L139" s="614">
        <v>-6997843.7177728191</v>
      </c>
      <c r="M139" s="365"/>
      <c r="N139" s="1520" t="str">
        <f>$N$14</f>
        <v>12/31/2022 (Actuals)</v>
      </c>
      <c r="R139" s="614">
        <f>'1B - ADIT EOY'!E14</f>
        <v>-7761311.6728330646</v>
      </c>
    </row>
    <row r="140" spans="2:19">
      <c r="B140" s="352">
        <f>B139+1</f>
        <v>92</v>
      </c>
      <c r="D140" s="298" t="s">
        <v>1474</v>
      </c>
      <c r="I140" s="363"/>
      <c r="J140" s="366" t="s">
        <v>611</v>
      </c>
      <c r="L140" s="367">
        <v>0</v>
      </c>
      <c r="M140" s="363"/>
      <c r="N140" s="366"/>
      <c r="R140" s="367">
        <v>0</v>
      </c>
    </row>
    <row r="141" spans="2:19">
      <c r="B141" s="352">
        <f>B140+1</f>
        <v>93</v>
      </c>
      <c r="D141" s="298" t="s">
        <v>881</v>
      </c>
      <c r="I141" s="363"/>
      <c r="J141" s="359" t="str">
        <f>"(Col. "&amp;L114&amp;", Line "&amp;B139&amp;" + Line "&amp;B140&amp;")"</f>
        <v>(Col. (H), Line 91 + Line 92)</v>
      </c>
      <c r="L141" s="613">
        <f>L139+L140</f>
        <v>-6997843.7177728191</v>
      </c>
      <c r="M141" s="363"/>
      <c r="N141" s="359" t="str">
        <f>"(Col. "&amp;R114&amp;", Line "&amp;B139&amp;" + Line "&amp;B140&amp;")"</f>
        <v>(Col. (M), Line 91 + Line 92)</v>
      </c>
      <c r="R141" s="613">
        <f>R139+R140</f>
        <v>-7761311.6728330646</v>
      </c>
    </row>
    <row r="142" spans="2:19">
      <c r="I142" s="363"/>
      <c r="L142" s="613"/>
      <c r="M142" s="363"/>
      <c r="R142" s="613"/>
    </row>
    <row r="143" spans="2:19">
      <c r="B143" s="352">
        <f>B141+1</f>
        <v>94</v>
      </c>
      <c r="D143" s="298" t="s">
        <v>955</v>
      </c>
      <c r="I143" s="363"/>
      <c r="J143" s="359" t="str">
        <f>"([Col. "&amp;L114&amp;", Line "&amp;B137&amp;" + Line "&amp;B141&amp;"] /2)"</f>
        <v>([Col. (H), Line 90 + Line 93] /2)</v>
      </c>
      <c r="L143" s="612">
        <f>(L137+L141)/2</f>
        <v>-7081211.0597787481</v>
      </c>
      <c r="M143" s="363"/>
      <c r="N143" s="359" t="str">
        <f>"([Col. "&amp;R114&amp;", Line "&amp;B137&amp;" + Line "&amp;B141&amp;"] /2)"</f>
        <v>([Col. (M), Line 90 + Line 93] /2)</v>
      </c>
      <c r="R143" s="612">
        <f>(R137+R141)/2</f>
        <v>-7462945.0373088708</v>
      </c>
    </row>
    <row r="144" spans="2:19">
      <c r="B144" s="352">
        <f>B143+1</f>
        <v>95</v>
      </c>
      <c r="D144" s="362" t="s">
        <v>954</v>
      </c>
      <c r="E144" s="362"/>
      <c r="F144" s="362"/>
      <c r="G144" s="362"/>
      <c r="H144" s="363"/>
      <c r="I144" s="363"/>
      <c r="J144" s="359" t="str">
        <f>"(Col. "&amp;L114&amp;", Line "&amp;B132&amp;" )"</f>
        <v>(Col. (H), Line 86 )</v>
      </c>
      <c r="K144" s="364"/>
      <c r="L144" s="612">
        <f>L132</f>
        <v>0</v>
      </c>
      <c r="M144" s="363"/>
      <c r="N144" s="359" t="str">
        <f>"(Col. "&amp;R114&amp;", Line "&amp;B132&amp;" )"</f>
        <v>(Col. (M), Line 86 )</v>
      </c>
      <c r="R144" s="612">
        <f>R132</f>
        <v>0</v>
      </c>
    </row>
    <row r="145" spans="2:19" ht="13.5" thickBot="1">
      <c r="B145" s="352">
        <f>B144+1</f>
        <v>96</v>
      </c>
      <c r="D145" s="369" t="s">
        <v>1444</v>
      </c>
      <c r="E145" s="362"/>
      <c r="F145" s="362"/>
      <c r="G145" s="362"/>
      <c r="H145" s="363"/>
      <c r="I145" s="363"/>
      <c r="J145" s="359" t="str">
        <f>"(Col. "&amp;L114&amp;", Line "&amp;B143&amp;" + Line "&amp;B144&amp;")"</f>
        <v>(Col. (H), Line 94 + Line 95)</v>
      </c>
      <c r="K145" s="364"/>
      <c r="L145" s="611">
        <f>L143+L144</f>
        <v>-7081211.0597787481</v>
      </c>
      <c r="M145" s="363"/>
      <c r="N145" s="359" t="str">
        <f>"(Col. "&amp;R114&amp;", Line "&amp;B143&amp;" + Line "&amp;B144&amp;")"</f>
        <v>(Col. (M), Line 94 + Line 95)</v>
      </c>
      <c r="R145" s="611">
        <f>R143+R144</f>
        <v>-7462945.0373088708</v>
      </c>
    </row>
    <row r="146" spans="2:19">
      <c r="D146" s="362"/>
      <c r="E146" s="362"/>
      <c r="F146" s="362"/>
      <c r="G146" s="362"/>
      <c r="H146" s="363"/>
      <c r="I146" s="363"/>
      <c r="K146" s="364"/>
      <c r="L146" s="363"/>
      <c r="M146" s="363"/>
      <c r="O146" s="364"/>
      <c r="P146" s="364"/>
      <c r="Q146" s="364"/>
      <c r="R146" s="363"/>
      <c r="S146" s="363"/>
    </row>
    <row r="147" spans="2:19" ht="13">
      <c r="D147" s="349" t="s">
        <v>1221</v>
      </c>
      <c r="J147" s="1750"/>
      <c r="K147" s="1750"/>
      <c r="L147" s="1750"/>
      <c r="N147" s="1750"/>
      <c r="O147" s="1750"/>
      <c r="P147" s="1750"/>
      <c r="Q147" s="1750"/>
      <c r="R147" s="1750"/>
    </row>
    <row r="148" spans="2:19" ht="13">
      <c r="D148" s="1743" t="s">
        <v>870</v>
      </c>
      <c r="E148" s="1744"/>
      <c r="F148" s="1744"/>
      <c r="G148" s="1744"/>
      <c r="H148" s="1745"/>
      <c r="I148" s="353"/>
      <c r="J148" s="1746" t="s">
        <v>1222</v>
      </c>
      <c r="K148" s="1747"/>
      <c r="L148" s="1748"/>
      <c r="M148" s="353"/>
      <c r="N148" s="1746" t="s">
        <v>1223</v>
      </c>
      <c r="O148" s="1747"/>
      <c r="P148" s="1747"/>
      <c r="Q148" s="1747"/>
      <c r="R148" s="1748"/>
      <c r="S148" s="353"/>
    </row>
    <row r="149" spans="2:19" ht="13">
      <c r="D149" s="354" t="s">
        <v>164</v>
      </c>
      <c r="E149" s="354" t="s">
        <v>165</v>
      </c>
      <c r="F149" s="354" t="s">
        <v>1201</v>
      </c>
      <c r="G149" s="354" t="s">
        <v>1202</v>
      </c>
      <c r="H149" s="354" t="s">
        <v>1203</v>
      </c>
      <c r="I149" s="353"/>
      <c r="J149" s="354" t="s">
        <v>1204</v>
      </c>
      <c r="K149" s="354" t="s">
        <v>1205</v>
      </c>
      <c r="L149" s="354" t="s">
        <v>1206</v>
      </c>
      <c r="M149" s="353"/>
      <c r="N149" s="354" t="s">
        <v>1207</v>
      </c>
      <c r="O149" s="354" t="s">
        <v>1208</v>
      </c>
      <c r="P149" s="354" t="s">
        <v>1209</v>
      </c>
      <c r="Q149" s="354" t="s">
        <v>1210</v>
      </c>
      <c r="R149" s="354" t="s">
        <v>1211</v>
      </c>
      <c r="S149" s="353"/>
    </row>
    <row r="150" spans="2:19" ht="50">
      <c r="B150" s="355" t="s">
        <v>1212</v>
      </c>
      <c r="D150" s="356" t="s">
        <v>159</v>
      </c>
      <c r="E150" s="356" t="s">
        <v>871</v>
      </c>
      <c r="F150" s="356" t="s">
        <v>872</v>
      </c>
      <c r="G150" s="356" t="s">
        <v>873</v>
      </c>
      <c r="H150" s="356" t="s">
        <v>1213</v>
      </c>
      <c r="I150" s="609"/>
      <c r="J150" s="356" t="s">
        <v>874</v>
      </c>
      <c r="K150" s="356" t="s">
        <v>1214</v>
      </c>
      <c r="L150" s="356" t="s">
        <v>1215</v>
      </c>
      <c r="M150" s="609"/>
      <c r="N150" s="356" t="s">
        <v>958</v>
      </c>
      <c r="O150" s="356" t="s">
        <v>1216</v>
      </c>
      <c r="P150" s="356" t="s">
        <v>1217</v>
      </c>
      <c r="Q150" s="356" t="s">
        <v>1218</v>
      </c>
      <c r="R150" s="356" t="s">
        <v>1219</v>
      </c>
      <c r="S150" s="609"/>
    </row>
    <row r="151" spans="2:19">
      <c r="E151" s="609"/>
      <c r="F151" s="609"/>
      <c r="G151" s="609"/>
      <c r="H151" s="609"/>
      <c r="I151" s="609"/>
      <c r="J151" s="609"/>
      <c r="K151" s="609"/>
      <c r="L151" s="609"/>
      <c r="M151" s="609"/>
      <c r="N151" s="609"/>
      <c r="O151" s="609"/>
      <c r="P151" s="609"/>
      <c r="Q151" s="609"/>
      <c r="R151" s="609"/>
      <c r="S151" s="609"/>
    </row>
    <row r="152" spans="2:19">
      <c r="B152" s="352">
        <f>B145+1</f>
        <v>97</v>
      </c>
      <c r="D152" s="298" t="s">
        <v>1224</v>
      </c>
      <c r="E152" s="609"/>
      <c r="F152" s="609"/>
      <c r="G152" s="609"/>
      <c r="H152" s="609"/>
      <c r="I152" s="609"/>
      <c r="J152" s="614" t="str">
        <f>$J$12</f>
        <v>12/31/2021 (Actuals)</v>
      </c>
      <c r="K152" s="609"/>
      <c r="L152" s="614">
        <v>0</v>
      </c>
      <c r="M152" s="609"/>
      <c r="N152" s="1520" t="str">
        <f>$N$12</f>
        <v>12/31/2021 (Actuals)</v>
      </c>
      <c r="O152" s="609"/>
      <c r="P152" s="609"/>
      <c r="Q152" s="609"/>
      <c r="R152" s="614">
        <v>0</v>
      </c>
      <c r="S152" s="609"/>
    </row>
    <row r="153" spans="2:19">
      <c r="E153" s="609"/>
      <c r="F153" s="609"/>
      <c r="G153" s="609"/>
      <c r="H153" s="609"/>
      <c r="I153" s="609"/>
      <c r="J153" s="609"/>
      <c r="K153" s="609"/>
      <c r="L153" s="609"/>
      <c r="M153" s="609"/>
      <c r="N153" s="609"/>
      <c r="O153" s="609"/>
      <c r="P153" s="609"/>
      <c r="Q153" s="609"/>
      <c r="R153" s="609"/>
      <c r="S153" s="609"/>
    </row>
    <row r="154" spans="2:19">
      <c r="B154" s="1481">
        <f>B152+1</f>
        <v>98</v>
      </c>
      <c r="D154" s="298" t="s">
        <v>1592</v>
      </c>
      <c r="E154" s="1480"/>
      <c r="F154" s="1480"/>
      <c r="G154" s="1480"/>
      <c r="H154" s="1480"/>
      <c r="I154" s="1480"/>
      <c r="J154" s="614" t="str">
        <f>$J$14</f>
        <v>2022 Projected</v>
      </c>
      <c r="K154" s="1480"/>
      <c r="L154" s="1480"/>
      <c r="M154" s="1480"/>
      <c r="N154" s="1520" t="str">
        <f>$N$14</f>
        <v>12/31/2022 (Actuals)</v>
      </c>
      <c r="O154" s="1480"/>
      <c r="P154" s="1480"/>
      <c r="Q154" s="1480"/>
      <c r="R154" s="1480"/>
      <c r="S154" s="1480"/>
    </row>
    <row r="155" spans="2:19">
      <c r="B155" s="1481"/>
      <c r="E155" s="1480"/>
      <c r="F155" s="1480"/>
      <c r="G155" s="1480"/>
      <c r="H155" s="1480"/>
      <c r="I155" s="1480"/>
      <c r="J155" s="1480"/>
      <c r="K155" s="1480"/>
      <c r="L155" s="1480"/>
      <c r="M155" s="1480"/>
      <c r="N155" s="1480"/>
      <c r="O155" s="1480"/>
      <c r="P155" s="1480"/>
      <c r="Q155" s="1480"/>
      <c r="R155" s="1480"/>
      <c r="S155" s="1480"/>
    </row>
    <row r="156" spans="2:19">
      <c r="B156" s="352">
        <f>B154+1</f>
        <v>99</v>
      </c>
      <c r="D156" s="357" t="s">
        <v>493</v>
      </c>
      <c r="E156" s="614">
        <v>31</v>
      </c>
      <c r="F156" s="620">
        <v>0</v>
      </c>
      <c r="G156" s="620">
        <v>214</v>
      </c>
      <c r="H156" s="619">
        <f t="shared" ref="H156:H167" si="36">IF(F156=0,0.5,F156/G156)</f>
        <v>0.5</v>
      </c>
      <c r="I156" s="618"/>
      <c r="J156" s="614">
        <v>0</v>
      </c>
      <c r="K156" s="612">
        <f t="shared" ref="K156:K167" si="37">+J156*H156</f>
        <v>0</v>
      </c>
      <c r="L156" s="612">
        <f>+K156</f>
        <v>0</v>
      </c>
      <c r="M156" s="618"/>
      <c r="N156" s="614">
        <v>0</v>
      </c>
      <c r="O156" s="612">
        <f t="shared" ref="O156:O167" si="38">IF($D$187="True-Up Adjustment",N156-J156,0)</f>
        <v>0</v>
      </c>
      <c r="P156" s="612">
        <f t="shared" ref="P156:P167" si="39">IF($D$187="True-Up Adjustment",IF(AND(J156&gt;=0,N156&gt;=0),IF(O156&gt;=0,K156+O156,N156/J156*K156),IF(AND(J156&lt;0,N156&lt;0),IF(O156&lt;0,K156+O156,N156/J156*K156),0)),0)</f>
        <v>0</v>
      </c>
      <c r="Q156" s="612">
        <f t="shared" ref="Q156:Q167" si="40">IF(AND(J156&gt;=0,N156&lt;0),N156,IF(AND(J156&lt;0,N156&gt;=0),N156,0))</f>
        <v>0</v>
      </c>
      <c r="R156" s="612">
        <f>P156+Q156+R152</f>
        <v>0</v>
      </c>
      <c r="S156" s="618"/>
    </row>
    <row r="157" spans="2:19">
      <c r="B157" s="352">
        <f t="shared" ref="B157:B168" si="41">+B156+1</f>
        <v>100</v>
      </c>
      <c r="D157" s="357" t="s">
        <v>494</v>
      </c>
      <c r="E157" s="614">
        <v>28</v>
      </c>
      <c r="F157" s="620">
        <v>0</v>
      </c>
      <c r="G157" s="620">
        <v>214</v>
      </c>
      <c r="H157" s="619">
        <f t="shared" si="36"/>
        <v>0.5</v>
      </c>
      <c r="I157" s="618"/>
      <c r="J157" s="614">
        <v>0</v>
      </c>
      <c r="K157" s="612">
        <f t="shared" si="37"/>
        <v>0</v>
      </c>
      <c r="L157" s="612">
        <f t="shared" ref="L157:L167" si="42">+K157+L156</f>
        <v>0</v>
      </c>
      <c r="M157" s="618"/>
      <c r="N157" s="614">
        <v>0</v>
      </c>
      <c r="O157" s="612">
        <f t="shared" si="38"/>
        <v>0</v>
      </c>
      <c r="P157" s="612">
        <f t="shared" si="39"/>
        <v>0</v>
      </c>
      <c r="Q157" s="612">
        <f t="shared" si="40"/>
        <v>0</v>
      </c>
      <c r="R157" s="612">
        <f t="shared" ref="R157:R167" si="43">R156+P157+Q157</f>
        <v>0</v>
      </c>
      <c r="S157" s="618"/>
    </row>
    <row r="158" spans="2:19">
      <c r="B158" s="352">
        <f t="shared" si="41"/>
        <v>101</v>
      </c>
      <c r="D158" s="357" t="s">
        <v>517</v>
      </c>
      <c r="E158" s="614">
        <v>31</v>
      </c>
      <c r="F158" s="620">
        <v>0</v>
      </c>
      <c r="G158" s="620">
        <v>214</v>
      </c>
      <c r="H158" s="619">
        <f t="shared" si="36"/>
        <v>0.5</v>
      </c>
      <c r="I158" s="618"/>
      <c r="J158" s="614">
        <v>0</v>
      </c>
      <c r="K158" s="612">
        <f t="shared" si="37"/>
        <v>0</v>
      </c>
      <c r="L158" s="612">
        <f t="shared" si="42"/>
        <v>0</v>
      </c>
      <c r="M158" s="618"/>
      <c r="N158" s="614">
        <v>0</v>
      </c>
      <c r="O158" s="612">
        <f t="shared" si="38"/>
        <v>0</v>
      </c>
      <c r="P158" s="612">
        <f t="shared" si="39"/>
        <v>0</v>
      </c>
      <c r="Q158" s="612">
        <f t="shared" si="40"/>
        <v>0</v>
      </c>
      <c r="R158" s="612">
        <f t="shared" si="43"/>
        <v>0</v>
      </c>
      <c r="S158" s="618"/>
    </row>
    <row r="159" spans="2:19">
      <c r="B159" s="352">
        <f t="shared" si="41"/>
        <v>102</v>
      </c>
      <c r="D159" s="357" t="s">
        <v>161</v>
      </c>
      <c r="E159" s="614">
        <v>30</v>
      </c>
      <c r="F159" s="620">
        <v>0</v>
      </c>
      <c r="G159" s="620">
        <v>214</v>
      </c>
      <c r="H159" s="619">
        <f t="shared" si="36"/>
        <v>0.5</v>
      </c>
      <c r="I159" s="618"/>
      <c r="J159" s="614">
        <v>0</v>
      </c>
      <c r="K159" s="612">
        <f t="shared" si="37"/>
        <v>0</v>
      </c>
      <c r="L159" s="612">
        <f t="shared" si="42"/>
        <v>0</v>
      </c>
      <c r="M159" s="618"/>
      <c r="N159" s="614">
        <v>0</v>
      </c>
      <c r="O159" s="612">
        <f t="shared" si="38"/>
        <v>0</v>
      </c>
      <c r="P159" s="612">
        <f t="shared" si="39"/>
        <v>0</v>
      </c>
      <c r="Q159" s="612">
        <f t="shared" si="40"/>
        <v>0</v>
      </c>
      <c r="R159" s="612">
        <f t="shared" si="43"/>
        <v>0</v>
      </c>
      <c r="S159" s="618"/>
    </row>
    <row r="160" spans="2:19">
      <c r="B160" s="352">
        <f t="shared" si="41"/>
        <v>103</v>
      </c>
      <c r="D160" s="357" t="s">
        <v>162</v>
      </c>
      <c r="E160" s="614">
        <v>31</v>
      </c>
      <c r="F160" s="620">
        <v>0</v>
      </c>
      <c r="G160" s="620">
        <v>214</v>
      </c>
      <c r="H160" s="619">
        <f t="shared" si="36"/>
        <v>0.5</v>
      </c>
      <c r="I160" s="618"/>
      <c r="J160" s="614">
        <v>0</v>
      </c>
      <c r="K160" s="612">
        <f t="shared" si="37"/>
        <v>0</v>
      </c>
      <c r="L160" s="612">
        <f t="shared" si="42"/>
        <v>0</v>
      </c>
      <c r="M160" s="618"/>
      <c r="N160" s="614">
        <v>0</v>
      </c>
      <c r="O160" s="612">
        <f t="shared" si="38"/>
        <v>0</v>
      </c>
      <c r="P160" s="612">
        <f t="shared" si="39"/>
        <v>0</v>
      </c>
      <c r="Q160" s="612">
        <f t="shared" si="40"/>
        <v>0</v>
      </c>
      <c r="R160" s="612">
        <f t="shared" si="43"/>
        <v>0</v>
      </c>
      <c r="S160" s="618"/>
    </row>
    <row r="161" spans="2:19">
      <c r="B161" s="352">
        <f t="shared" si="41"/>
        <v>104</v>
      </c>
      <c r="D161" s="357" t="s">
        <v>163</v>
      </c>
      <c r="E161" s="614">
        <v>30</v>
      </c>
      <c r="F161" s="620">
        <f t="shared" ref="F161:F166" si="44">F162+E162</f>
        <v>185</v>
      </c>
      <c r="G161" s="620">
        <v>214</v>
      </c>
      <c r="H161" s="619">
        <f t="shared" si="36"/>
        <v>0.86448598130841126</v>
      </c>
      <c r="I161" s="618"/>
      <c r="J161" s="614">
        <v>0</v>
      </c>
      <c r="K161" s="612">
        <f t="shared" si="37"/>
        <v>0</v>
      </c>
      <c r="L161" s="612">
        <f t="shared" si="42"/>
        <v>0</v>
      </c>
      <c r="M161" s="618"/>
      <c r="N161" s="614">
        <v>0</v>
      </c>
      <c r="O161" s="612">
        <f t="shared" si="38"/>
        <v>0</v>
      </c>
      <c r="P161" s="612">
        <f t="shared" si="39"/>
        <v>0</v>
      </c>
      <c r="Q161" s="612">
        <f t="shared" si="40"/>
        <v>0</v>
      </c>
      <c r="R161" s="612">
        <f t="shared" si="43"/>
        <v>0</v>
      </c>
      <c r="S161" s="618"/>
    </row>
    <row r="162" spans="2:19">
      <c r="B162" s="352">
        <f t="shared" si="41"/>
        <v>105</v>
      </c>
      <c r="D162" s="357" t="s">
        <v>496</v>
      </c>
      <c r="E162" s="614">
        <v>31</v>
      </c>
      <c r="F162" s="620">
        <f t="shared" si="44"/>
        <v>154</v>
      </c>
      <c r="G162" s="620">
        <v>214</v>
      </c>
      <c r="H162" s="619">
        <f t="shared" si="36"/>
        <v>0.71962616822429903</v>
      </c>
      <c r="I162" s="618"/>
      <c r="J162" s="614">
        <v>0</v>
      </c>
      <c r="K162" s="612">
        <f t="shared" si="37"/>
        <v>0</v>
      </c>
      <c r="L162" s="612">
        <f t="shared" si="42"/>
        <v>0</v>
      </c>
      <c r="M162" s="618"/>
      <c r="N162" s="614">
        <v>0</v>
      </c>
      <c r="O162" s="612">
        <f t="shared" si="38"/>
        <v>0</v>
      </c>
      <c r="P162" s="612">
        <f t="shared" si="39"/>
        <v>0</v>
      </c>
      <c r="Q162" s="612">
        <f t="shared" si="40"/>
        <v>0</v>
      </c>
      <c r="R162" s="612">
        <f t="shared" si="43"/>
        <v>0</v>
      </c>
      <c r="S162" s="618"/>
    </row>
    <row r="163" spans="2:19">
      <c r="B163" s="352">
        <f t="shared" si="41"/>
        <v>106</v>
      </c>
      <c r="D163" s="357" t="s">
        <v>518</v>
      </c>
      <c r="E163" s="614">
        <v>31</v>
      </c>
      <c r="F163" s="620">
        <f t="shared" si="44"/>
        <v>123</v>
      </c>
      <c r="G163" s="620">
        <v>214</v>
      </c>
      <c r="H163" s="619">
        <f t="shared" si="36"/>
        <v>0.57476635514018692</v>
      </c>
      <c r="I163" s="618"/>
      <c r="J163" s="614">
        <v>0</v>
      </c>
      <c r="K163" s="612">
        <f t="shared" si="37"/>
        <v>0</v>
      </c>
      <c r="L163" s="612">
        <f t="shared" si="42"/>
        <v>0</v>
      </c>
      <c r="M163" s="618"/>
      <c r="N163" s="614">
        <v>0</v>
      </c>
      <c r="O163" s="612">
        <f t="shared" si="38"/>
        <v>0</v>
      </c>
      <c r="P163" s="612">
        <f t="shared" si="39"/>
        <v>0</v>
      </c>
      <c r="Q163" s="612">
        <f t="shared" si="40"/>
        <v>0</v>
      </c>
      <c r="R163" s="612">
        <f t="shared" si="43"/>
        <v>0</v>
      </c>
      <c r="S163" s="618"/>
    </row>
    <row r="164" spans="2:19">
      <c r="B164" s="352">
        <f t="shared" si="41"/>
        <v>107</v>
      </c>
      <c r="D164" s="357" t="s">
        <v>498</v>
      </c>
      <c r="E164" s="614">
        <v>30</v>
      </c>
      <c r="F164" s="620">
        <f t="shared" si="44"/>
        <v>93</v>
      </c>
      <c r="G164" s="620">
        <v>214</v>
      </c>
      <c r="H164" s="619">
        <f t="shared" si="36"/>
        <v>0.43457943925233644</v>
      </c>
      <c r="I164" s="618"/>
      <c r="J164" s="614">
        <v>0</v>
      </c>
      <c r="K164" s="612">
        <f t="shared" si="37"/>
        <v>0</v>
      </c>
      <c r="L164" s="612">
        <f t="shared" si="42"/>
        <v>0</v>
      </c>
      <c r="M164" s="618"/>
      <c r="N164" s="614">
        <v>0</v>
      </c>
      <c r="O164" s="612">
        <f t="shared" si="38"/>
        <v>0</v>
      </c>
      <c r="P164" s="612">
        <f t="shared" si="39"/>
        <v>0</v>
      </c>
      <c r="Q164" s="612">
        <f t="shared" si="40"/>
        <v>0</v>
      </c>
      <c r="R164" s="612">
        <f t="shared" si="43"/>
        <v>0</v>
      </c>
      <c r="S164" s="618"/>
    </row>
    <row r="165" spans="2:19">
      <c r="B165" s="352">
        <f t="shared" si="41"/>
        <v>108</v>
      </c>
      <c r="D165" s="357" t="s">
        <v>499</v>
      </c>
      <c r="E165" s="614">
        <v>31</v>
      </c>
      <c r="F165" s="620">
        <f t="shared" si="44"/>
        <v>62</v>
      </c>
      <c r="G165" s="620">
        <v>214</v>
      </c>
      <c r="H165" s="619">
        <f t="shared" si="36"/>
        <v>0.28971962616822428</v>
      </c>
      <c r="I165" s="618"/>
      <c r="J165" s="614">
        <v>0</v>
      </c>
      <c r="K165" s="612">
        <f t="shared" si="37"/>
        <v>0</v>
      </c>
      <c r="L165" s="612">
        <f t="shared" si="42"/>
        <v>0</v>
      </c>
      <c r="M165" s="618"/>
      <c r="N165" s="614">
        <v>0</v>
      </c>
      <c r="O165" s="612">
        <f t="shared" si="38"/>
        <v>0</v>
      </c>
      <c r="P165" s="612">
        <f t="shared" si="39"/>
        <v>0</v>
      </c>
      <c r="Q165" s="612">
        <f t="shared" si="40"/>
        <v>0</v>
      </c>
      <c r="R165" s="612">
        <f t="shared" si="43"/>
        <v>0</v>
      </c>
      <c r="S165" s="618"/>
    </row>
    <row r="166" spans="2:19">
      <c r="B166" s="352">
        <f t="shared" si="41"/>
        <v>109</v>
      </c>
      <c r="D166" s="357" t="s">
        <v>500</v>
      </c>
      <c r="E166" s="614">
        <v>30</v>
      </c>
      <c r="F166" s="620">
        <f t="shared" si="44"/>
        <v>32</v>
      </c>
      <c r="G166" s="620">
        <v>214</v>
      </c>
      <c r="H166" s="619">
        <f t="shared" si="36"/>
        <v>0.14953271028037382</v>
      </c>
      <c r="I166" s="618"/>
      <c r="J166" s="614">
        <v>0</v>
      </c>
      <c r="K166" s="612">
        <f t="shared" si="37"/>
        <v>0</v>
      </c>
      <c r="L166" s="612">
        <f t="shared" si="42"/>
        <v>0</v>
      </c>
      <c r="M166" s="618"/>
      <c r="N166" s="614">
        <v>0</v>
      </c>
      <c r="O166" s="612">
        <f t="shared" si="38"/>
        <v>0</v>
      </c>
      <c r="P166" s="612">
        <f t="shared" si="39"/>
        <v>0</v>
      </c>
      <c r="Q166" s="612">
        <f t="shared" si="40"/>
        <v>0</v>
      </c>
      <c r="R166" s="612">
        <f t="shared" si="43"/>
        <v>0</v>
      </c>
      <c r="S166" s="618"/>
    </row>
    <row r="167" spans="2:19">
      <c r="B167" s="352">
        <f t="shared" si="41"/>
        <v>110</v>
      </c>
      <c r="D167" s="358" t="s">
        <v>715</v>
      </c>
      <c r="E167" s="614">
        <v>31</v>
      </c>
      <c r="F167" s="620">
        <v>1</v>
      </c>
      <c r="G167" s="620">
        <v>214</v>
      </c>
      <c r="H167" s="619">
        <f t="shared" si="36"/>
        <v>4.6728971962616819E-3</v>
      </c>
      <c r="I167" s="618"/>
      <c r="J167" s="614">
        <v>0</v>
      </c>
      <c r="K167" s="612">
        <f t="shared" si="37"/>
        <v>0</v>
      </c>
      <c r="L167" s="612">
        <f t="shared" si="42"/>
        <v>0</v>
      </c>
      <c r="M167" s="618"/>
      <c r="N167" s="614">
        <v>0</v>
      </c>
      <c r="O167" s="612">
        <f t="shared" si="38"/>
        <v>0</v>
      </c>
      <c r="P167" s="612">
        <f t="shared" si="39"/>
        <v>0</v>
      </c>
      <c r="Q167" s="612">
        <f t="shared" si="40"/>
        <v>0</v>
      </c>
      <c r="R167" s="612">
        <f t="shared" si="43"/>
        <v>0</v>
      </c>
      <c r="S167" s="618"/>
    </row>
    <row r="168" spans="2:19">
      <c r="B168" s="352">
        <f t="shared" si="41"/>
        <v>111</v>
      </c>
      <c r="D168" s="359" t="str">
        <f>"Total (Sum of Lines "&amp;B156&amp;" - "&amp;B167&amp;")"</f>
        <v>Total (Sum of Lines 99 - 110)</v>
      </c>
      <c r="E168" s="617">
        <f>SUM(E156:E167)</f>
        <v>365</v>
      </c>
      <c r="F168" s="360"/>
      <c r="G168" s="360"/>
      <c r="H168" s="361"/>
      <c r="I168" s="615"/>
      <c r="J168" s="617">
        <f>SUM(J156:J167)</f>
        <v>0</v>
      </c>
      <c r="K168" s="617">
        <f>SUM(K156:K167)</f>
        <v>0</v>
      </c>
      <c r="L168" s="616"/>
      <c r="M168" s="615"/>
      <c r="N168" s="617">
        <f>SUM(N156:N167)</f>
        <v>0</v>
      </c>
      <c r="O168" s="617">
        <f>SUM(O156:O167)</f>
        <v>0</v>
      </c>
      <c r="P168" s="617">
        <f>SUM(P156:P167)</f>
        <v>0</v>
      </c>
      <c r="Q168" s="617">
        <f>SUM(Q156:Q167)</f>
        <v>0</v>
      </c>
      <c r="R168" s="616"/>
      <c r="S168" s="615"/>
    </row>
    <row r="169" spans="2:19">
      <c r="D169" s="362"/>
      <c r="E169" s="362"/>
      <c r="F169" s="362"/>
      <c r="G169" s="362"/>
      <c r="H169" s="363"/>
      <c r="I169" s="363"/>
      <c r="K169" s="364"/>
      <c r="L169" s="363"/>
      <c r="M169" s="363"/>
      <c r="N169" s="372"/>
      <c r="O169" s="364"/>
      <c r="P169" s="364"/>
      <c r="Q169" s="364"/>
      <c r="R169" s="363"/>
      <c r="S169" s="363"/>
    </row>
    <row r="170" spans="2:19">
      <c r="B170" s="352">
        <f>B168+1</f>
        <v>112</v>
      </c>
      <c r="D170" s="298" t="s">
        <v>1225</v>
      </c>
      <c r="I170" s="363"/>
      <c r="J170" s="614" t="str">
        <f>$J$12</f>
        <v>12/31/2021 (Actuals)</v>
      </c>
      <c r="L170" s="614">
        <f>'1C - ADIT BOY'!E15</f>
        <v>-479472.83983666898</v>
      </c>
      <c r="M170" s="365"/>
      <c r="N170" s="1520" t="str">
        <f>$N$12</f>
        <v>12/31/2021 (Actuals)</v>
      </c>
      <c r="R170" s="614">
        <f>'1C - ADIT BOY'!E15</f>
        <v>-479472.83983666898</v>
      </c>
    </row>
    <row r="171" spans="2:19">
      <c r="B171" s="352">
        <f>B170+1</f>
        <v>113</v>
      </c>
      <c r="D171" s="298" t="s">
        <v>1226</v>
      </c>
      <c r="I171" s="363"/>
      <c r="J171" s="366" t="s">
        <v>611</v>
      </c>
      <c r="L171" s="367">
        <v>0</v>
      </c>
      <c r="M171" s="368"/>
      <c r="N171" s="366"/>
      <c r="R171" s="367">
        <v>0</v>
      </c>
    </row>
    <row r="172" spans="2:19">
      <c r="B172" s="352">
        <f>B171+1</f>
        <v>114</v>
      </c>
      <c r="D172" s="298" t="s">
        <v>1227</v>
      </c>
      <c r="I172" s="363"/>
      <c r="J172" s="359" t="str">
        <f>"(Col. "&amp;L149&amp;", Line "&amp;B170&amp;" + Line "&amp;B171&amp;")"</f>
        <v>(Col. (H), Line 112 + Line 113)</v>
      </c>
      <c r="L172" s="613">
        <f>L170+L171</f>
        <v>-479472.83983666898</v>
      </c>
      <c r="M172" s="363"/>
      <c r="N172" s="359" t="str">
        <f>"(Col. "&amp;R149&amp;", Line "&amp;B170&amp;" + Line "&amp;B171&amp;")"</f>
        <v>(Col. (M), Line 112 + Line 113)</v>
      </c>
      <c r="R172" s="613">
        <f>R170+R171</f>
        <v>-479472.83983666898</v>
      </c>
    </row>
    <row r="173" spans="2:19">
      <c r="I173" s="363"/>
      <c r="L173" s="613"/>
      <c r="M173" s="363"/>
      <c r="R173" s="613"/>
    </row>
    <row r="174" spans="2:19">
      <c r="B174" s="352">
        <f>B172+1</f>
        <v>115</v>
      </c>
      <c r="D174" s="298" t="s">
        <v>1228</v>
      </c>
      <c r="I174" s="363"/>
      <c r="J174" s="614" t="str">
        <f>$J$14</f>
        <v>2022 Projected</v>
      </c>
      <c r="L174" s="614">
        <v>-379476.58038143395</v>
      </c>
      <c r="M174" s="365"/>
      <c r="N174" s="1520" t="str">
        <f>$N$14</f>
        <v>12/31/2022 (Actuals)</v>
      </c>
      <c r="R174" s="614">
        <f>'1B - ADIT EOY'!E15</f>
        <v>-380594.86679411237</v>
      </c>
    </row>
    <row r="175" spans="2:19">
      <c r="B175" s="352">
        <f>B174+1</f>
        <v>116</v>
      </c>
      <c r="D175" s="298" t="s">
        <v>1229</v>
      </c>
      <c r="I175" s="363"/>
      <c r="J175" s="366" t="s">
        <v>611</v>
      </c>
      <c r="L175" s="367">
        <v>0</v>
      </c>
      <c r="M175" s="363"/>
      <c r="N175" s="366"/>
      <c r="R175" s="367">
        <v>0</v>
      </c>
    </row>
    <row r="176" spans="2:19">
      <c r="B176" s="352">
        <f>B175+1</f>
        <v>117</v>
      </c>
      <c r="D176" s="298" t="s">
        <v>1230</v>
      </c>
      <c r="I176" s="363"/>
      <c r="J176" s="359" t="str">
        <f>"(Col. "&amp;L149&amp;", Line "&amp;B174&amp;" + Line "&amp;B175&amp;")"</f>
        <v>(Col. (H), Line 115 + Line 116)</v>
      </c>
      <c r="L176" s="613">
        <f>L174+L175</f>
        <v>-379476.58038143395</v>
      </c>
      <c r="M176" s="363"/>
      <c r="N176" s="359" t="str">
        <f>"(Col. "&amp;R149&amp;", Line "&amp;B174&amp;" + Line "&amp;B175&amp;")"</f>
        <v>(Col. (M), Line 115 + Line 116)</v>
      </c>
      <c r="R176" s="613">
        <f>R174+R175</f>
        <v>-380594.86679411237</v>
      </c>
    </row>
    <row r="177" spans="1:19">
      <c r="I177" s="363"/>
      <c r="L177" s="613"/>
      <c r="M177" s="363"/>
      <c r="R177" s="613"/>
    </row>
    <row r="178" spans="1:19">
      <c r="B178" s="352">
        <f>B176+1</f>
        <v>118</v>
      </c>
      <c r="D178" s="298" t="s">
        <v>955</v>
      </c>
      <c r="I178" s="363"/>
      <c r="J178" s="359" t="str">
        <f>"([Col. "&amp;L149&amp;", Line "&amp;B172&amp;" + Line "&amp;B176&amp;"] /2)"</f>
        <v>([Col. (H), Line 114 + Line 117] /2)</v>
      </c>
      <c r="L178" s="612">
        <f>(L172+L176)/2</f>
        <v>-429474.71010905143</v>
      </c>
      <c r="M178" s="363"/>
      <c r="N178" s="359" t="str">
        <f>"([Col. "&amp;R149&amp;", Line "&amp;B172&amp;" + Line "&amp;B176&amp;"] /2)"</f>
        <v>([Col. (M), Line 114 + Line 117] /2)</v>
      </c>
      <c r="R178" s="612">
        <f>(R172+R176)/2</f>
        <v>-430033.85331539065</v>
      </c>
    </row>
    <row r="179" spans="1:19">
      <c r="B179" s="352">
        <f>B178+1</f>
        <v>119</v>
      </c>
      <c r="D179" s="362" t="s">
        <v>1231</v>
      </c>
      <c r="E179" s="362"/>
      <c r="F179" s="362"/>
      <c r="G179" s="362"/>
      <c r="H179" s="363"/>
      <c r="I179" s="363"/>
      <c r="J179" s="359" t="str">
        <f>"(Col. "&amp;L149&amp;", Line "&amp;B167&amp;" )"</f>
        <v>(Col. (H), Line 110 )</v>
      </c>
      <c r="K179" s="364"/>
      <c r="L179" s="612">
        <f>L167</f>
        <v>0</v>
      </c>
      <c r="M179" s="363"/>
      <c r="N179" s="359" t="str">
        <f>"(Col. "&amp;R149&amp;", Line "&amp;B167&amp;" )"</f>
        <v>(Col. (M), Line 110 )</v>
      </c>
      <c r="R179" s="612">
        <f>R167</f>
        <v>0</v>
      </c>
    </row>
    <row r="180" spans="1:19" ht="13.5" thickBot="1">
      <c r="B180" s="352">
        <f>B179+1</f>
        <v>120</v>
      </c>
      <c r="D180" s="369" t="s">
        <v>1443</v>
      </c>
      <c r="E180" s="362"/>
      <c r="F180" s="362"/>
      <c r="G180" s="362"/>
      <c r="H180" s="363"/>
      <c r="I180" s="363"/>
      <c r="J180" s="359" t="str">
        <f>"(Col. "&amp;L149&amp;", Line "&amp;B178&amp;" + Line "&amp;B179&amp;")"</f>
        <v>(Col. (H), Line 118 + Line 119)</v>
      </c>
      <c r="K180" s="364"/>
      <c r="L180" s="611">
        <f>L178+L179</f>
        <v>-429474.71010905143</v>
      </c>
      <c r="M180" s="363"/>
      <c r="N180" s="359" t="str">
        <f>"(Col. "&amp;R149&amp;", Line "&amp;B178&amp;" + Line "&amp;B179&amp;")"</f>
        <v>(Col. (M), Line 118 + Line 119)</v>
      </c>
      <c r="R180" s="611">
        <f>R178+R179</f>
        <v>-430033.85331539065</v>
      </c>
    </row>
    <row r="181" spans="1:19">
      <c r="D181" s="362"/>
      <c r="E181" s="362"/>
      <c r="F181" s="362"/>
      <c r="G181" s="362"/>
      <c r="H181" s="363"/>
      <c r="I181" s="363"/>
      <c r="K181" s="364"/>
      <c r="L181" s="363"/>
      <c r="M181" s="363"/>
      <c r="O181" s="364"/>
      <c r="P181" s="364"/>
      <c r="Q181" s="364"/>
      <c r="R181" s="363"/>
      <c r="S181" s="363"/>
    </row>
    <row r="182" spans="1:19" ht="13">
      <c r="A182" s="373"/>
      <c r="B182" s="374" t="s">
        <v>1181</v>
      </c>
      <c r="C182" s="373"/>
      <c r="D182" s="373"/>
      <c r="E182" s="373"/>
      <c r="F182" s="373"/>
      <c r="G182" s="373"/>
      <c r="H182" s="373"/>
      <c r="I182" s="373"/>
      <c r="J182" s="373"/>
      <c r="K182" s="373"/>
      <c r="L182" s="373"/>
      <c r="M182" s="373"/>
      <c r="N182" s="373"/>
      <c r="O182" s="373"/>
      <c r="P182" s="373"/>
      <c r="Q182" s="373"/>
      <c r="R182" s="373"/>
      <c r="S182" s="373"/>
    </row>
    <row r="184" spans="1:19" ht="12.75" customHeight="1">
      <c r="B184" s="1752" t="s">
        <v>1232</v>
      </c>
      <c r="C184" s="1752"/>
      <c r="D184" s="1752"/>
      <c r="E184" s="1752"/>
      <c r="F184" s="1752"/>
      <c r="G184" s="1752"/>
      <c r="H184" s="1752"/>
      <c r="I184" s="1752"/>
      <c r="J184" s="1752"/>
      <c r="K184" s="1752"/>
      <c r="L184" s="1752"/>
      <c r="M184" s="363"/>
      <c r="O184" s="364"/>
      <c r="P184" s="364"/>
      <c r="Q184" s="364"/>
      <c r="R184" s="363"/>
      <c r="S184" s="363"/>
    </row>
    <row r="185" spans="1:19">
      <c r="B185" s="1752"/>
      <c r="C185" s="1752"/>
      <c r="D185" s="1752"/>
      <c r="E185" s="1752"/>
      <c r="F185" s="1752"/>
      <c r="G185" s="1752"/>
      <c r="H185" s="1752"/>
      <c r="I185" s="1752"/>
      <c r="J185" s="1752"/>
      <c r="K185" s="1752"/>
      <c r="L185" s="1752"/>
      <c r="M185" s="363"/>
      <c r="O185" s="364"/>
      <c r="P185" s="364"/>
      <c r="Q185" s="364"/>
      <c r="R185" s="363"/>
      <c r="S185" s="363"/>
    </row>
    <row r="186" spans="1:19">
      <c r="D186" s="362"/>
      <c r="E186" s="362"/>
      <c r="F186" s="362"/>
      <c r="G186" s="362"/>
      <c r="H186" s="363"/>
      <c r="I186" s="363"/>
      <c r="K186" s="364"/>
      <c r="L186" s="363"/>
      <c r="M186" s="363"/>
      <c r="O186" s="364"/>
      <c r="P186" s="364"/>
      <c r="Q186" s="364"/>
      <c r="R186" s="363"/>
      <c r="S186" s="363"/>
    </row>
    <row r="187" spans="1:19" ht="13">
      <c r="B187" s="350" t="s">
        <v>1233</v>
      </c>
      <c r="D187" s="375" t="s">
        <v>2004</v>
      </c>
      <c r="E187" s="376" t="str">
        <f>IF(D187="Projected Activity","Check",IF(D187="True-Up Adjustment","Check","Error"))</f>
        <v>Check</v>
      </c>
      <c r="F187" s="363"/>
      <c r="G187" s="363"/>
      <c r="H187" s="363"/>
      <c r="I187" s="363"/>
      <c r="K187" s="364"/>
      <c r="L187" s="363"/>
      <c r="M187" s="363"/>
      <c r="O187" s="364"/>
      <c r="P187" s="364"/>
      <c r="Q187" s="364"/>
      <c r="R187" s="363"/>
      <c r="S187" s="363"/>
    </row>
    <row r="188" spans="1:19">
      <c r="D188" s="362"/>
      <c r="E188" s="362"/>
      <c r="F188" s="362"/>
      <c r="G188" s="362"/>
      <c r="H188" s="363"/>
      <c r="I188" s="363"/>
      <c r="K188" s="364"/>
      <c r="L188" s="363"/>
      <c r="M188" s="363"/>
      <c r="O188" s="364"/>
      <c r="P188" s="364"/>
      <c r="Q188" s="364"/>
      <c r="R188" s="363"/>
      <c r="S188" s="363"/>
    </row>
    <row r="189" spans="1:19">
      <c r="B189" s="1753" t="s">
        <v>1234</v>
      </c>
      <c r="C189" s="1753"/>
      <c r="D189" s="1753"/>
      <c r="E189" s="1753"/>
      <c r="F189" s="1753"/>
      <c r="G189" s="1753"/>
      <c r="H189" s="1753"/>
      <c r="I189" s="1753"/>
      <c r="J189" s="1753"/>
      <c r="K189" s="1753"/>
      <c r="L189" s="1753"/>
      <c r="M189" s="363"/>
      <c r="O189" s="364"/>
      <c r="P189" s="364"/>
      <c r="Q189" s="364"/>
      <c r="R189" s="363"/>
      <c r="S189" s="363"/>
    </row>
    <row r="190" spans="1:19">
      <c r="B190" s="1753"/>
      <c r="C190" s="1753"/>
      <c r="D190" s="1753"/>
      <c r="E190" s="1753"/>
      <c r="F190" s="1753"/>
      <c r="G190" s="1753"/>
      <c r="H190" s="1753"/>
      <c r="I190" s="1753"/>
      <c r="J190" s="1753"/>
      <c r="K190" s="1753"/>
      <c r="L190" s="1753"/>
      <c r="M190" s="363"/>
      <c r="O190" s="364"/>
      <c r="P190" s="364"/>
      <c r="Q190" s="364"/>
      <c r="R190" s="363"/>
      <c r="S190" s="363"/>
    </row>
    <row r="191" spans="1:19">
      <c r="D191" s="362"/>
      <c r="E191" s="362"/>
      <c r="F191" s="362"/>
      <c r="G191" s="362"/>
      <c r="H191" s="363"/>
      <c r="I191" s="363"/>
      <c r="K191" s="364"/>
      <c r="L191" s="363"/>
      <c r="M191" s="363"/>
      <c r="O191" s="364"/>
      <c r="P191" s="364"/>
      <c r="Q191" s="364"/>
      <c r="R191" s="363"/>
      <c r="S191" s="363"/>
    </row>
    <row r="192" spans="1:19" ht="13">
      <c r="A192" s="373"/>
      <c r="B192" s="374" t="s">
        <v>883</v>
      </c>
      <c r="C192" s="373"/>
      <c r="D192" s="373"/>
      <c r="E192" s="373"/>
      <c r="F192" s="373"/>
      <c r="G192" s="373"/>
      <c r="H192" s="373"/>
      <c r="I192" s="373"/>
      <c r="J192" s="373"/>
      <c r="K192" s="373"/>
      <c r="L192" s="373"/>
      <c r="M192" s="373"/>
      <c r="N192" s="373"/>
      <c r="O192" s="373"/>
      <c r="P192" s="373"/>
      <c r="Q192" s="373"/>
      <c r="R192" s="373"/>
      <c r="S192" s="373"/>
    </row>
    <row r="194" spans="1:12" ht="15.75" customHeight="1">
      <c r="A194" s="349"/>
      <c r="B194" s="350" t="s">
        <v>9</v>
      </c>
      <c r="C194" s="1752" t="s">
        <v>953</v>
      </c>
      <c r="D194" s="1752"/>
      <c r="E194" s="1752"/>
      <c r="F194" s="1752"/>
      <c r="G194" s="1752"/>
      <c r="H194" s="1752"/>
      <c r="I194" s="1752"/>
      <c r="J194" s="1752"/>
      <c r="K194" s="1752"/>
      <c r="L194" s="1752"/>
    </row>
    <row r="195" spans="1:12" ht="13">
      <c r="A195" s="349"/>
      <c r="B195" s="350"/>
      <c r="C195" s="1752"/>
      <c r="D195" s="1752"/>
      <c r="E195" s="1752"/>
      <c r="F195" s="1752"/>
      <c r="G195" s="1752"/>
      <c r="H195" s="1752"/>
      <c r="I195" s="1752"/>
      <c r="J195" s="1752"/>
      <c r="K195" s="1752"/>
      <c r="L195" s="1752"/>
    </row>
    <row r="196" spans="1:12">
      <c r="C196" s="1752"/>
      <c r="D196" s="1752"/>
      <c r="E196" s="1752"/>
      <c r="F196" s="1752"/>
      <c r="G196" s="1752"/>
      <c r="H196" s="1752"/>
      <c r="I196" s="1752"/>
      <c r="J196" s="1752"/>
      <c r="K196" s="1752"/>
      <c r="L196" s="1752"/>
    </row>
    <row r="197" spans="1:12">
      <c r="C197" s="1752"/>
      <c r="D197" s="1752"/>
      <c r="E197" s="1752"/>
      <c r="F197" s="1752"/>
      <c r="G197" s="1752"/>
      <c r="H197" s="1752"/>
      <c r="I197" s="1752"/>
      <c r="J197" s="1752"/>
      <c r="K197" s="1752"/>
      <c r="L197" s="1752"/>
    </row>
    <row r="198" spans="1:12" ht="15.75" customHeight="1">
      <c r="A198" s="349"/>
      <c r="B198" s="350" t="s">
        <v>10</v>
      </c>
      <c r="C198" s="1752" t="s">
        <v>952</v>
      </c>
      <c r="D198" s="1752"/>
      <c r="E198" s="1752"/>
      <c r="F198" s="1752"/>
      <c r="G198" s="1752"/>
      <c r="H198" s="1752"/>
      <c r="I198" s="1752"/>
      <c r="J198" s="1752"/>
      <c r="K198" s="1752"/>
      <c r="L198" s="1752"/>
    </row>
    <row r="199" spans="1:12" ht="13">
      <c r="A199" s="349"/>
      <c r="B199" s="350"/>
      <c r="C199" s="1752"/>
      <c r="D199" s="1752"/>
      <c r="E199" s="1752"/>
      <c r="F199" s="1752"/>
      <c r="G199" s="1752"/>
      <c r="H199" s="1752"/>
      <c r="I199" s="1752"/>
      <c r="J199" s="1752"/>
      <c r="K199" s="1752"/>
      <c r="L199" s="1752"/>
    </row>
    <row r="200" spans="1:12" ht="13">
      <c r="A200" s="349"/>
      <c r="B200" s="350"/>
      <c r="C200" s="1752"/>
      <c r="D200" s="1752"/>
      <c r="E200" s="1752"/>
      <c r="F200" s="1752"/>
      <c r="G200" s="1752"/>
      <c r="H200" s="1752"/>
      <c r="I200" s="1752"/>
      <c r="J200" s="1752"/>
      <c r="K200" s="1752"/>
      <c r="L200" s="1752"/>
    </row>
    <row r="201" spans="1:12" ht="13">
      <c r="A201" s="349"/>
      <c r="B201" s="350"/>
      <c r="C201" s="1752"/>
      <c r="D201" s="1752"/>
      <c r="E201" s="1752"/>
      <c r="F201" s="1752"/>
      <c r="G201" s="1752"/>
      <c r="H201" s="1752"/>
      <c r="I201" s="1752"/>
      <c r="J201" s="1752"/>
      <c r="K201" s="1752"/>
      <c r="L201" s="1752"/>
    </row>
    <row r="202" spans="1:12" ht="13">
      <c r="A202" s="349"/>
      <c r="B202" s="350"/>
      <c r="C202" s="1752"/>
      <c r="D202" s="1752"/>
      <c r="E202" s="1752"/>
      <c r="F202" s="1752"/>
      <c r="G202" s="1752"/>
      <c r="H202" s="1752"/>
      <c r="I202" s="1752"/>
      <c r="J202" s="1752"/>
      <c r="K202" s="1752"/>
      <c r="L202" s="1752"/>
    </row>
    <row r="203" spans="1:12">
      <c r="C203" s="1752"/>
      <c r="D203" s="1752"/>
      <c r="E203" s="1752"/>
      <c r="F203" s="1752"/>
      <c r="G203" s="1752"/>
      <c r="H203" s="1752"/>
      <c r="I203" s="1752"/>
      <c r="J203" s="1752"/>
      <c r="K203" s="1752"/>
      <c r="L203" s="1752"/>
    </row>
    <row r="204" spans="1:12">
      <c r="C204" s="1752"/>
      <c r="D204" s="1752"/>
      <c r="E204" s="1752"/>
      <c r="F204" s="1752"/>
      <c r="G204" s="1752"/>
      <c r="H204" s="1752"/>
      <c r="I204" s="1752"/>
      <c r="J204" s="1752"/>
      <c r="K204" s="1752"/>
      <c r="L204" s="1752"/>
    </row>
    <row r="205" spans="1:12" ht="15.75" customHeight="1">
      <c r="A205" s="349"/>
      <c r="B205" s="350" t="s">
        <v>11</v>
      </c>
      <c r="C205" s="1752" t="s">
        <v>951</v>
      </c>
      <c r="D205" s="1752"/>
      <c r="E205" s="1752"/>
      <c r="F205" s="1752"/>
      <c r="G205" s="1752"/>
      <c r="H205" s="1752"/>
      <c r="I205" s="1752"/>
      <c r="J205" s="1752"/>
      <c r="K205" s="1752"/>
      <c r="L205" s="1752"/>
    </row>
    <row r="206" spans="1:12" ht="13">
      <c r="A206" s="349"/>
      <c r="B206" s="350"/>
      <c r="C206" s="1752"/>
      <c r="D206" s="1752"/>
      <c r="E206" s="1752"/>
      <c r="F206" s="1752"/>
      <c r="G206" s="1752"/>
      <c r="H206" s="1752"/>
      <c r="I206" s="1752"/>
      <c r="J206" s="1752"/>
      <c r="K206" s="1752"/>
      <c r="L206" s="1752"/>
    </row>
    <row r="207" spans="1:12" ht="13">
      <c r="A207" s="349"/>
      <c r="B207" s="350"/>
      <c r="C207" s="1752"/>
      <c r="D207" s="1752"/>
      <c r="E207" s="1752"/>
      <c r="F207" s="1752"/>
      <c r="G207" s="1752"/>
      <c r="H207" s="1752"/>
      <c r="I207" s="1752"/>
      <c r="J207" s="1752"/>
      <c r="K207" s="1752"/>
      <c r="L207" s="1752"/>
    </row>
    <row r="208" spans="1:12" ht="13">
      <c r="A208" s="349"/>
      <c r="B208" s="350"/>
      <c r="C208" s="1752"/>
      <c r="D208" s="1752"/>
      <c r="E208" s="1752"/>
      <c r="F208" s="1752"/>
      <c r="G208" s="1752"/>
      <c r="H208" s="1752"/>
      <c r="I208" s="1752"/>
      <c r="J208" s="1752"/>
      <c r="K208" s="1752"/>
      <c r="L208" s="1752"/>
    </row>
    <row r="209" spans="1:12" ht="15.75" customHeight="1">
      <c r="A209" s="349"/>
      <c r="B209" s="350" t="s">
        <v>14</v>
      </c>
      <c r="C209" s="1752" t="s">
        <v>950</v>
      </c>
      <c r="D209" s="1752"/>
      <c r="E209" s="1752"/>
      <c r="F209" s="1752"/>
      <c r="G209" s="1752"/>
      <c r="H209" s="1752"/>
      <c r="I209" s="1752"/>
      <c r="J209" s="1752"/>
      <c r="K209" s="1752"/>
      <c r="L209" s="1752"/>
    </row>
    <row r="210" spans="1:12" ht="15.75" customHeight="1">
      <c r="C210" s="1752"/>
      <c r="D210" s="1752"/>
      <c r="E210" s="1752"/>
      <c r="F210" s="1752"/>
      <c r="G210" s="1752"/>
      <c r="H210" s="1752"/>
      <c r="I210" s="1752"/>
      <c r="J210" s="1752"/>
      <c r="K210" s="1752"/>
      <c r="L210" s="1752"/>
    </row>
    <row r="211" spans="1:12" ht="15.75" customHeight="1">
      <c r="A211" s="349"/>
      <c r="B211" s="350" t="s">
        <v>134</v>
      </c>
      <c r="C211" s="1752" t="s">
        <v>949</v>
      </c>
      <c r="D211" s="1752"/>
      <c r="E211" s="1752"/>
      <c r="F211" s="1752"/>
      <c r="G211" s="1752"/>
      <c r="H211" s="1752"/>
      <c r="I211" s="1752"/>
      <c r="J211" s="1752"/>
      <c r="K211" s="1752"/>
      <c r="L211" s="1752"/>
    </row>
    <row r="212" spans="1:12" ht="15.75" customHeight="1">
      <c r="C212" s="1752"/>
      <c r="D212" s="1752"/>
      <c r="E212" s="1752"/>
      <c r="F212" s="1752"/>
      <c r="G212" s="1752"/>
      <c r="H212" s="1752"/>
      <c r="I212" s="1752"/>
      <c r="J212" s="1752"/>
      <c r="K212" s="1752"/>
      <c r="L212" s="1752"/>
    </row>
    <row r="213" spans="1:12" ht="15.75" customHeight="1">
      <c r="A213" s="349"/>
      <c r="B213" s="350" t="s">
        <v>135</v>
      </c>
      <c r="C213" s="1751" t="s">
        <v>1566</v>
      </c>
      <c r="D213" s="1751"/>
      <c r="E213" s="1751"/>
      <c r="F213" s="1751"/>
      <c r="G213" s="1751"/>
      <c r="H213" s="1751"/>
      <c r="I213" s="1751"/>
      <c r="J213" s="1751"/>
      <c r="K213" s="1751"/>
      <c r="L213" s="1751"/>
    </row>
    <row r="214" spans="1:12">
      <c r="C214" s="1751"/>
      <c r="D214" s="1751"/>
      <c r="E214" s="1751"/>
      <c r="F214" s="1751"/>
      <c r="G214" s="1751"/>
      <c r="H214" s="1751"/>
      <c r="I214" s="1751"/>
      <c r="J214" s="1751"/>
      <c r="K214" s="1751"/>
      <c r="L214" s="1751"/>
    </row>
    <row r="280" spans="14:17" ht="13">
      <c r="N280" s="1650"/>
      <c r="O280" s="1650"/>
      <c r="P280" s="1650"/>
      <c r="Q280" s="1650"/>
    </row>
    <row r="281" spans="14:17" ht="13">
      <c r="N281" s="1650"/>
      <c r="O281" s="1650"/>
      <c r="P281" s="1650"/>
      <c r="Q281" s="1650"/>
    </row>
    <row r="282" spans="14:17" ht="13">
      <c r="N282" s="1650"/>
      <c r="O282" s="1650"/>
      <c r="P282" s="1650"/>
      <c r="Q282" s="1650"/>
    </row>
    <row r="283" spans="14:17" ht="13">
      <c r="N283" s="1650"/>
      <c r="O283" s="1650"/>
      <c r="P283" s="1650"/>
      <c r="Q283" s="1650"/>
    </row>
    <row r="284" spans="14:17" ht="13">
      <c r="N284" s="1650"/>
      <c r="O284" s="1650"/>
      <c r="P284" s="1650"/>
      <c r="Q284" s="1650"/>
    </row>
    <row r="285" spans="14:17" ht="13">
      <c r="N285" s="1650"/>
      <c r="O285" s="1650"/>
      <c r="P285" s="1650"/>
      <c r="Q285" s="1650"/>
    </row>
    <row r="286" spans="14:17" ht="13">
      <c r="N286" s="1650"/>
      <c r="O286" s="1650"/>
      <c r="P286" s="1650"/>
      <c r="Q286" s="1650"/>
    </row>
    <row r="287" spans="14:17" ht="13">
      <c r="N287" s="1650"/>
      <c r="O287" s="1650"/>
      <c r="P287" s="1650"/>
      <c r="Q287" s="1650"/>
    </row>
    <row r="288" spans="14:17" ht="13">
      <c r="N288" s="1650"/>
      <c r="O288" s="1650"/>
      <c r="P288" s="1650"/>
      <c r="Q288" s="1650"/>
    </row>
    <row r="289" spans="14:17" ht="13">
      <c r="N289" s="1650"/>
      <c r="O289" s="1650"/>
      <c r="P289" s="1650"/>
      <c r="Q289" s="1650"/>
    </row>
    <row r="290" spans="14:17" ht="13">
      <c r="N290" s="1650"/>
      <c r="O290" s="1650"/>
      <c r="P290" s="1650"/>
      <c r="Q290" s="1650"/>
    </row>
    <row r="291" spans="14:17" ht="13">
      <c r="N291" s="1650"/>
      <c r="O291" s="1650"/>
      <c r="P291" s="1650"/>
      <c r="Q291" s="1650"/>
    </row>
  </sheetData>
  <mergeCells count="32">
    <mergeCell ref="C213:L214"/>
    <mergeCell ref="N148:R148"/>
    <mergeCell ref="B184:L185"/>
    <mergeCell ref="B189:L190"/>
    <mergeCell ref="C194:L197"/>
    <mergeCell ref="C198:L204"/>
    <mergeCell ref="C205:L208"/>
    <mergeCell ref="C209:L210"/>
    <mergeCell ref="C211:L212"/>
    <mergeCell ref="J147:L147"/>
    <mergeCell ref="N147:R147"/>
    <mergeCell ref="D148:H148"/>
    <mergeCell ref="J148:L148"/>
    <mergeCell ref="D43:H43"/>
    <mergeCell ref="J43:L43"/>
    <mergeCell ref="N43:R43"/>
    <mergeCell ref="D78:H78"/>
    <mergeCell ref="J78:L78"/>
    <mergeCell ref="N78:R78"/>
    <mergeCell ref="J112:L112"/>
    <mergeCell ref="N112:R112"/>
    <mergeCell ref="D113:H113"/>
    <mergeCell ref="J113:L113"/>
    <mergeCell ref="N113:R113"/>
    <mergeCell ref="D8:H8"/>
    <mergeCell ref="J8:L8"/>
    <mergeCell ref="N8:R8"/>
    <mergeCell ref="A1:R1"/>
    <mergeCell ref="A2:R2"/>
    <mergeCell ref="A3:R3"/>
    <mergeCell ref="J7:L7"/>
    <mergeCell ref="N7:R7"/>
  </mergeCells>
  <pageMargins left="0.25" right="0.25" top="0.75" bottom="0.75" header="0.3" footer="0.3"/>
  <pageSetup scale="34" fitToHeight="2" orientation="landscape" r:id="rId1"/>
  <rowBreaks count="2" manualBreakCount="2">
    <brk id="99" max="18" man="1"/>
    <brk id="18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2"/>
  <sheetViews>
    <sheetView view="pageBreakPreview" topLeftCell="B16" zoomScale="70" zoomScaleNormal="80" zoomScaleSheetLayoutView="70" workbookViewId="0">
      <selection activeCell="B1" sqref="A1:XFD1048576"/>
    </sheetView>
  </sheetViews>
  <sheetFormatPr defaultColWidth="11.453125" defaultRowHeight="12.5"/>
  <cols>
    <col min="1" max="1" width="6.26953125" style="1350" customWidth="1"/>
    <col min="2" max="2" width="58.1796875" style="1351" customWidth="1"/>
    <col min="3" max="3" width="31" style="1351" customWidth="1"/>
    <col min="4" max="4" width="24.7265625" style="1351" customWidth="1"/>
    <col min="5" max="5" width="20.54296875" style="1351" customWidth="1"/>
    <col min="6" max="6" width="22.26953125" style="1351" customWidth="1"/>
    <col min="7" max="7" width="23.453125" style="1351" customWidth="1"/>
    <col min="8" max="9" width="23.1796875" style="1351" customWidth="1"/>
    <col min="10" max="10" width="27.54296875" style="1351" customWidth="1"/>
    <col min="11" max="11" width="26.1796875" style="1351" customWidth="1"/>
    <col min="12" max="12" width="21" style="1351" customWidth="1"/>
    <col min="13" max="13" width="20.26953125" style="1351" customWidth="1"/>
    <col min="14" max="16" width="15.1796875" style="1351" customWidth="1"/>
    <col min="17" max="16384" width="11.453125" style="1351"/>
  </cols>
  <sheetData>
    <row r="1" spans="1:17" ht="18">
      <c r="D1" s="1352"/>
      <c r="E1" s="1352"/>
      <c r="G1" s="1401" t="str">
        <f>+'ATT H-3D'!$A$4</f>
        <v>Delmarva Power &amp; Light Company</v>
      </c>
      <c r="H1" s="1352"/>
      <c r="I1" s="872"/>
      <c r="J1" s="1352"/>
    </row>
    <row r="2" spans="1:17" ht="15.5">
      <c r="A2" s="1353"/>
      <c r="D2" s="1352"/>
      <c r="E2" s="1352"/>
      <c r="F2" s="1352"/>
      <c r="G2" s="1241" t="s">
        <v>521</v>
      </c>
      <c r="H2" s="1352"/>
      <c r="I2" s="1352"/>
      <c r="J2" s="1352"/>
      <c r="K2" s="1352"/>
      <c r="M2" s="1355"/>
      <c r="P2" s="1352"/>
    </row>
    <row r="3" spans="1:17" ht="15.5">
      <c r="A3" s="1353"/>
      <c r="D3" s="1352"/>
      <c r="E3" s="1352"/>
      <c r="F3" s="1352"/>
      <c r="G3" s="1400" t="s">
        <v>473</v>
      </c>
      <c r="H3" s="1354"/>
      <c r="I3" s="1354"/>
      <c r="J3" s="1354"/>
      <c r="K3" s="1354"/>
      <c r="L3" s="1354"/>
      <c r="P3" s="1352"/>
    </row>
    <row r="4" spans="1:17">
      <c r="A4" s="1353"/>
      <c r="D4" s="1352"/>
      <c r="E4" s="1352"/>
      <c r="F4" s="1352"/>
      <c r="G4" s="1146"/>
      <c r="H4" s="1352"/>
      <c r="I4" s="1352"/>
      <c r="J4" s="1352"/>
      <c r="K4" s="1352"/>
      <c r="P4" s="1352"/>
    </row>
    <row r="5" spans="1:17" ht="13">
      <c r="A5" s="1353"/>
      <c r="B5" s="1356"/>
      <c r="C5" s="1356"/>
      <c r="D5" s="1356"/>
      <c r="E5" s="1356"/>
      <c r="F5" s="1356"/>
      <c r="G5" s="1356"/>
      <c r="H5" s="1356"/>
      <c r="I5" s="1356"/>
      <c r="J5" s="1356"/>
      <c r="K5" s="1356"/>
      <c r="P5" s="1352"/>
    </row>
    <row r="6" spans="1:17" s="1359" customFormat="1" ht="13">
      <c r="A6" s="1357"/>
      <c r="B6" s="1358" t="s">
        <v>1457</v>
      </c>
      <c r="C6" s="1885" t="s">
        <v>1150</v>
      </c>
      <c r="D6" s="1886"/>
      <c r="E6" s="1887"/>
      <c r="F6" s="1888" t="s">
        <v>70</v>
      </c>
      <c r="G6" s="1889"/>
      <c r="H6" s="1889"/>
      <c r="I6" s="1888" t="s">
        <v>1151</v>
      </c>
      <c r="J6" s="1893"/>
      <c r="K6" s="1885" t="s">
        <v>1152</v>
      </c>
      <c r="L6" s="1889"/>
      <c r="M6" s="1894"/>
      <c r="P6" s="872"/>
      <c r="Q6" s="872"/>
    </row>
    <row r="7" spans="1:17" s="1363" customFormat="1" ht="25.5">
      <c r="A7" s="1360" t="s">
        <v>475</v>
      </c>
      <c r="B7" s="1361" t="s">
        <v>159</v>
      </c>
      <c r="C7" s="1361" t="s">
        <v>208</v>
      </c>
      <c r="D7" s="1361" t="s">
        <v>145</v>
      </c>
      <c r="E7" s="1362" t="s">
        <v>476</v>
      </c>
      <c r="F7" s="1361" t="s">
        <v>208</v>
      </c>
      <c r="G7" s="1361" t="s">
        <v>210</v>
      </c>
      <c r="H7" s="1362" t="s">
        <v>476</v>
      </c>
      <c r="I7" s="1361" t="s">
        <v>760</v>
      </c>
      <c r="J7" s="1362" t="s">
        <v>476</v>
      </c>
      <c r="K7" s="1361" t="s">
        <v>208</v>
      </c>
      <c r="L7" s="1361" t="s">
        <v>145</v>
      </c>
      <c r="M7" s="1362" t="s">
        <v>476</v>
      </c>
      <c r="Q7" s="1359"/>
    </row>
    <row r="8" spans="1:17" s="1365" customFormat="1" ht="13">
      <c r="A8" s="1357"/>
      <c r="B8" s="1364" t="s">
        <v>480</v>
      </c>
      <c r="C8" s="1364" t="s">
        <v>481</v>
      </c>
      <c r="D8" s="1364" t="s">
        <v>482</v>
      </c>
      <c r="E8" s="1361" t="s">
        <v>483</v>
      </c>
      <c r="F8" s="1364" t="s">
        <v>484</v>
      </c>
      <c r="G8" s="1361" t="s">
        <v>485</v>
      </c>
      <c r="H8" s="1364" t="s">
        <v>486</v>
      </c>
      <c r="I8" s="1361" t="s">
        <v>487</v>
      </c>
      <c r="J8" s="1364" t="s">
        <v>488</v>
      </c>
      <c r="K8" s="1361" t="s">
        <v>489</v>
      </c>
      <c r="L8" s="1361" t="s">
        <v>490</v>
      </c>
      <c r="M8" s="1361" t="s">
        <v>516</v>
      </c>
      <c r="Q8" s="1359"/>
    </row>
    <row r="9" spans="1:17" s="1365" customFormat="1">
      <c r="A9" s="1357"/>
      <c r="B9" s="1366" t="s">
        <v>1471</v>
      </c>
      <c r="C9" s="1354">
        <v>19</v>
      </c>
      <c r="D9" s="1354">
        <v>23</v>
      </c>
      <c r="E9" s="1367">
        <v>24</v>
      </c>
      <c r="F9" s="1354">
        <v>30</v>
      </c>
      <c r="G9" s="1354">
        <v>31</v>
      </c>
      <c r="H9" s="1354">
        <v>12</v>
      </c>
      <c r="I9" s="1354">
        <v>10</v>
      </c>
      <c r="J9" s="1354">
        <v>11</v>
      </c>
      <c r="K9" s="1354"/>
      <c r="L9" s="1367"/>
      <c r="M9" s="1354"/>
    </row>
    <row r="10" spans="1:17" s="1370" customFormat="1" ht="92.25" customHeight="1">
      <c r="A10" s="1353"/>
      <c r="B10" s="1364"/>
      <c r="C10" s="1368" t="s">
        <v>1455</v>
      </c>
      <c r="D10" s="1369" t="s">
        <v>1582</v>
      </c>
      <c r="E10" s="1385" t="s">
        <v>1583</v>
      </c>
      <c r="F10" s="1369" t="s">
        <v>1456</v>
      </c>
      <c r="G10" s="1369" t="s">
        <v>1584</v>
      </c>
      <c r="H10" s="1385" t="s">
        <v>1583</v>
      </c>
      <c r="I10" s="686" t="s">
        <v>1585</v>
      </c>
      <c r="J10" s="1385" t="s">
        <v>1586</v>
      </c>
      <c r="K10" s="1368" t="s">
        <v>935</v>
      </c>
      <c r="L10" s="1368" t="s">
        <v>936</v>
      </c>
      <c r="M10" s="1368" t="s">
        <v>937</v>
      </c>
    </row>
    <row r="11" spans="1:17">
      <c r="A11" s="1353">
        <v>1</v>
      </c>
      <c r="B11" s="1371" t="s">
        <v>492</v>
      </c>
      <c r="C11" s="1372">
        <f>+'9A - Gross Plant &amp; ARO'!L11</f>
        <v>1836499158</v>
      </c>
      <c r="D11" s="1372">
        <f>+'9A - Gross Plant &amp; ARO'!M11</f>
        <v>332287846.86000001</v>
      </c>
      <c r="E11" s="1372">
        <f>+'9A - Gross Plant &amp; ARO'!N11</f>
        <v>149777044</v>
      </c>
      <c r="F11" s="1373">
        <f>+'9A - Gross Plant &amp; ARO'!D51</f>
        <v>453785073.57000005</v>
      </c>
      <c r="G11" s="1373">
        <f>+'9A - Gross Plant &amp; ARO'!E51</f>
        <v>80723685.609999999</v>
      </c>
      <c r="H11" s="1373">
        <f>+'9A - Gross Plant &amp; ARO'!G51</f>
        <v>63394086</v>
      </c>
      <c r="I11" s="1373">
        <f>+'9A - Gross Plant &amp; ARO'!F51</f>
        <v>19081654.510000005</v>
      </c>
      <c r="J11" s="1373">
        <f>+'9A - Gross Plant &amp; ARO'!H51</f>
        <v>20160103</v>
      </c>
      <c r="K11" s="1372">
        <f t="shared" ref="K11:K23" si="0">+C11-F11</f>
        <v>1382714084.4299998</v>
      </c>
      <c r="L11" s="1372">
        <f>+D11-G11-I11</f>
        <v>232482506.74000001</v>
      </c>
      <c r="M11" s="1372">
        <f>+E11-J11-H11</f>
        <v>66222855</v>
      </c>
    </row>
    <row r="12" spans="1:17">
      <c r="A12" s="1353">
        <v>2</v>
      </c>
      <c r="B12" s="1371" t="s">
        <v>493</v>
      </c>
      <c r="C12" s="1372">
        <f>+'9A - Gross Plant &amp; ARO'!L12</f>
        <v>1838905270.0699999</v>
      </c>
      <c r="D12" s="1372">
        <f>+'9A - Gross Plant &amp; ARO'!M12</f>
        <v>308642244.02000004</v>
      </c>
      <c r="E12" s="1372">
        <f>+'9A - Gross Plant &amp; ARO'!N12</f>
        <v>154501164.45336401</v>
      </c>
      <c r="F12" s="1373">
        <f>+'9A - Gross Plant &amp; ARO'!D52</f>
        <v>457019998.37000006</v>
      </c>
      <c r="G12" s="1373">
        <f>+'9A - Gross Plant &amp; ARO'!E52</f>
        <v>77509611.670000002</v>
      </c>
      <c r="H12" s="1373">
        <f>+'9A - Gross Plant &amp; ARO'!G52</f>
        <v>62965020.314404003</v>
      </c>
      <c r="I12" s="1373">
        <f>+'9A - Gross Plant &amp; ARO'!F52</f>
        <v>19764603.629999999</v>
      </c>
      <c r="J12" s="1373">
        <f>+'9A - Gross Plant &amp; ARO'!H52</f>
        <v>21169201.742856</v>
      </c>
      <c r="K12" s="1372">
        <f t="shared" si="0"/>
        <v>1381885271.6999998</v>
      </c>
      <c r="L12" s="1372">
        <f>+D12-G12-I12</f>
        <v>211368028.72000003</v>
      </c>
      <c r="M12" s="1372">
        <f t="shared" ref="M12:M23" si="1">+E12-J12-H12</f>
        <v>70366942.396104008</v>
      </c>
    </row>
    <row r="13" spans="1:17">
      <c r="A13" s="1353">
        <v>3</v>
      </c>
      <c r="B13" s="1352" t="s">
        <v>494</v>
      </c>
      <c r="C13" s="1372">
        <f>+'9A - Gross Plant &amp; ARO'!L13</f>
        <v>1843580469.4200001</v>
      </c>
      <c r="D13" s="1372">
        <f>+'9A - Gross Plant &amp; ARO'!M13</f>
        <v>309978450.18000001</v>
      </c>
      <c r="E13" s="1372">
        <f>+'9A - Gross Plant &amp; ARO'!N13</f>
        <v>155135480.19034803</v>
      </c>
      <c r="F13" s="1373">
        <f>+'9A - Gross Plant &amp; ARO'!D53</f>
        <v>459693818.91000003</v>
      </c>
      <c r="G13" s="1373">
        <f>+'9A - Gross Plant &amp; ARO'!E53</f>
        <v>78663746.609999999</v>
      </c>
      <c r="H13" s="1373">
        <f>+'9A - Gross Plant &amp; ARO'!G53</f>
        <v>62654895.708662011</v>
      </c>
      <c r="I13" s="1373">
        <f>+'9A - Gross Plant &amp; ARO'!F53</f>
        <v>20401031.109999999</v>
      </c>
      <c r="J13" s="1373">
        <f>+'9A - Gross Plant &amp; ARO'!H53</f>
        <v>21717053.401806001</v>
      </c>
      <c r="K13" s="1372">
        <f t="shared" si="0"/>
        <v>1383886650.51</v>
      </c>
      <c r="L13" s="1372">
        <f t="shared" ref="L13:L23" si="2">+D13-G13-I13</f>
        <v>210913672.45999998</v>
      </c>
      <c r="M13" s="1372">
        <f t="shared" si="1"/>
        <v>70763531.079880029</v>
      </c>
    </row>
    <row r="14" spans="1:17">
      <c r="A14" s="1353">
        <v>4</v>
      </c>
      <c r="B14" s="1352" t="s">
        <v>495</v>
      </c>
      <c r="C14" s="1372">
        <f>+'9A - Gross Plant &amp; ARO'!L14</f>
        <v>1845942220.28</v>
      </c>
      <c r="D14" s="1372">
        <f>+'9A - Gross Plant &amp; ARO'!M14</f>
        <v>312064950.79999995</v>
      </c>
      <c r="E14" s="1372">
        <f>+'9A - Gross Plant &amp; ARO'!N14</f>
        <v>169181573.14021403</v>
      </c>
      <c r="F14" s="1373">
        <f>+'9A - Gross Plant &amp; ARO'!D54</f>
        <v>462376748.72000003</v>
      </c>
      <c r="G14" s="1373">
        <f>+'9A - Gross Plant &amp; ARO'!E54</f>
        <v>79960194.640000015</v>
      </c>
      <c r="H14" s="1373">
        <f>+'9A - Gross Plant &amp; ARO'!G54</f>
        <v>63077664.115822002</v>
      </c>
      <c r="I14" s="1373">
        <f>+'9A - Gross Plant &amp; ARO'!F54</f>
        <v>21062963.649999999</v>
      </c>
      <c r="J14" s="1373">
        <f>+'9A - Gross Plant &amp; ARO'!H54</f>
        <v>22854768.223413002</v>
      </c>
      <c r="K14" s="1372">
        <f t="shared" si="0"/>
        <v>1383565471.5599999</v>
      </c>
      <c r="L14" s="1372">
        <f t="shared" si="2"/>
        <v>211041792.50999993</v>
      </c>
      <c r="M14" s="1372">
        <f t="shared" si="1"/>
        <v>83249140.800979033</v>
      </c>
    </row>
    <row r="15" spans="1:17">
      <c r="A15" s="1353">
        <v>5</v>
      </c>
      <c r="B15" s="1352" t="s">
        <v>161</v>
      </c>
      <c r="C15" s="1372">
        <f>+'9A - Gross Plant &amp; ARO'!L15</f>
        <v>1850426162.3300004</v>
      </c>
      <c r="D15" s="1372">
        <f>+'9A - Gross Plant &amp; ARO'!M15</f>
        <v>313367526.25999999</v>
      </c>
      <c r="E15" s="1372">
        <f>+'9A - Gross Plant &amp; ARO'!N15</f>
        <v>174908270.21655902</v>
      </c>
      <c r="F15" s="1373">
        <f>+'9A - Gross Plant &amp; ARO'!D55</f>
        <v>464872587.68000001</v>
      </c>
      <c r="G15" s="1373">
        <f>+'9A - Gross Plant &amp; ARO'!E55</f>
        <v>81076076.850000009</v>
      </c>
      <c r="H15" s="1373">
        <f>+'9A - Gross Plant &amp; ARO'!G55</f>
        <v>63501739.872901</v>
      </c>
      <c r="I15" s="1373">
        <f>+'9A - Gross Plant &amp; ARO'!F55</f>
        <v>21724358.109999999</v>
      </c>
      <c r="J15" s="1373">
        <f>+'9A - Gross Plant &amp; ARO'!H55</f>
        <v>23881795.160390999</v>
      </c>
      <c r="K15" s="1372">
        <f t="shared" si="0"/>
        <v>1385553574.6500003</v>
      </c>
      <c r="L15" s="1372">
        <f t="shared" si="2"/>
        <v>210567091.29999995</v>
      </c>
      <c r="M15" s="1372">
        <f t="shared" si="1"/>
        <v>87524735.183267027</v>
      </c>
    </row>
    <row r="16" spans="1:17">
      <c r="A16" s="1353">
        <v>6</v>
      </c>
      <c r="B16" s="1352" t="s">
        <v>162</v>
      </c>
      <c r="C16" s="1372">
        <f>+'9A - Gross Plant &amp; ARO'!L16</f>
        <v>1853701146.3800004</v>
      </c>
      <c r="D16" s="1372">
        <f>+'9A - Gross Plant &amp; ARO'!M16</f>
        <v>320964341.22000003</v>
      </c>
      <c r="E16" s="1372">
        <f>+'9A - Gross Plant &amp; ARO'!N16</f>
        <v>171852434.619371</v>
      </c>
      <c r="F16" s="1373">
        <f>+'9A - Gross Plant &amp; ARO'!D56</f>
        <v>467936358.49000001</v>
      </c>
      <c r="G16" s="1373">
        <f>+'9A - Gross Plant &amp; ARO'!E56</f>
        <v>82412216</v>
      </c>
      <c r="H16" s="1373">
        <f>+'9A - Gross Plant &amp; ARO'!G56</f>
        <v>63945892.419626005</v>
      </c>
      <c r="I16" s="1373">
        <f>+'9A - Gross Plant &amp; ARO'!F56</f>
        <v>22758130.66</v>
      </c>
      <c r="J16" s="1373">
        <f>+'9A - Gross Plant &amp; ARO'!H56</f>
        <v>24623837.829549</v>
      </c>
      <c r="K16" s="1372">
        <f t="shared" si="0"/>
        <v>1385764787.8900003</v>
      </c>
      <c r="L16" s="1372">
        <f t="shared" si="2"/>
        <v>215793994.56000003</v>
      </c>
      <c r="M16" s="1372">
        <f t="shared" si="1"/>
        <v>83282704.370195985</v>
      </c>
    </row>
    <row r="17" spans="1:15">
      <c r="A17" s="1353">
        <v>7</v>
      </c>
      <c r="B17" s="1352" t="s">
        <v>163</v>
      </c>
      <c r="C17" s="1372">
        <f>+'9A - Gross Plant &amp; ARO'!L17</f>
        <v>1857028375.8400002</v>
      </c>
      <c r="D17" s="1372">
        <f>+'9A - Gross Plant &amp; ARO'!M17</f>
        <v>322861198.85000008</v>
      </c>
      <c r="E17" s="1372">
        <f>+'9A - Gross Plant &amp; ARO'!N17</f>
        <v>172032658.25502405</v>
      </c>
      <c r="F17" s="1373">
        <f>+'9A - Gross Plant &amp; ARO'!D57</f>
        <v>469743746.08000004</v>
      </c>
      <c r="G17" s="1373">
        <f>+'9A - Gross Plant &amp; ARO'!E57</f>
        <v>83663472.25</v>
      </c>
      <c r="H17" s="1373">
        <f>+'9A - Gross Plant &amp; ARO'!G57</f>
        <v>64369956.535005003</v>
      </c>
      <c r="I17" s="1373">
        <f>+'9A - Gross Plant &amp; ARO'!F57</f>
        <v>23505627.350000001</v>
      </c>
      <c r="J17" s="1373">
        <f>+'9A - Gross Plant &amp; ARO'!H57</f>
        <v>25593678.099276002</v>
      </c>
      <c r="K17" s="1372">
        <f t="shared" si="0"/>
        <v>1387284629.7600002</v>
      </c>
      <c r="L17" s="1372">
        <f t="shared" si="2"/>
        <v>215692099.25000009</v>
      </c>
      <c r="M17" s="1372">
        <f t="shared" si="1"/>
        <v>82069023.620743036</v>
      </c>
    </row>
    <row r="18" spans="1:15">
      <c r="A18" s="1353">
        <v>8</v>
      </c>
      <c r="B18" s="1352" t="s">
        <v>496</v>
      </c>
      <c r="C18" s="1372">
        <f>+'9A - Gross Plant &amp; ARO'!L18</f>
        <v>1857027485.8800004</v>
      </c>
      <c r="D18" s="1372">
        <f>+'9A - Gross Plant &amp; ARO'!M18</f>
        <v>324627245.67999995</v>
      </c>
      <c r="E18" s="1372">
        <f>+'9A - Gross Plant &amp; ARO'!N18</f>
        <v>172495837.93954799</v>
      </c>
      <c r="F18" s="1373">
        <f>+'9A - Gross Plant &amp; ARO'!D58</f>
        <v>473308398.03000003</v>
      </c>
      <c r="G18" s="1373">
        <f>+'9A - Gross Plant &amp; ARO'!E58</f>
        <v>84891272.25</v>
      </c>
      <c r="H18" s="1373">
        <f>+'9A - Gross Plant &amp; ARO'!G58</f>
        <v>64832290.074794009</v>
      </c>
      <c r="I18" s="1373">
        <f>+'9A - Gross Plant &amp; ARO'!F58</f>
        <v>24260579.780000001</v>
      </c>
      <c r="J18" s="1373">
        <f>+'9A - Gross Plant &amp; ARO'!H58</f>
        <v>26562841.150356002</v>
      </c>
      <c r="K18" s="1372">
        <f t="shared" si="0"/>
        <v>1383719087.8500004</v>
      </c>
      <c r="L18" s="1372">
        <f t="shared" si="2"/>
        <v>215475393.64999995</v>
      </c>
      <c r="M18" s="1372">
        <f t="shared" si="1"/>
        <v>81100706.714397982</v>
      </c>
    </row>
    <row r="19" spans="1:15">
      <c r="A19" s="1353">
        <v>9</v>
      </c>
      <c r="B19" s="1352" t="s">
        <v>497</v>
      </c>
      <c r="C19" s="1372">
        <f>+'9A - Gross Plant &amp; ARO'!L19</f>
        <v>1863304216.74</v>
      </c>
      <c r="D19" s="1372">
        <f>+'9A - Gross Plant &amp; ARO'!M19</f>
        <v>326973743.80000007</v>
      </c>
      <c r="E19" s="1372">
        <f>+'9A - Gross Plant &amp; ARO'!N19</f>
        <v>173533352.08164501</v>
      </c>
      <c r="F19" s="1373">
        <f>+'9A - Gross Plant &amp; ARO'!D59</f>
        <v>475731683.94</v>
      </c>
      <c r="G19" s="1373">
        <f>+'9A - Gross Plant &amp; ARO'!E59</f>
        <v>86048729.270000011</v>
      </c>
      <c r="H19" s="1373">
        <f>+'9A - Gross Plant &amp; ARO'!G59</f>
        <v>65272717.009904005</v>
      </c>
      <c r="I19" s="1373">
        <f>+'9A - Gross Plant &amp; ARO'!F59</f>
        <v>25020262.369999997</v>
      </c>
      <c r="J19" s="1373">
        <f>+'9A - Gross Plant &amp; ARO'!H59</f>
        <v>27528985.435497001</v>
      </c>
      <c r="K19" s="1372">
        <f t="shared" si="0"/>
        <v>1387572532.8</v>
      </c>
      <c r="L19" s="1372">
        <f t="shared" si="2"/>
        <v>215904752.16000006</v>
      </c>
      <c r="M19" s="1372">
        <f t="shared" si="1"/>
        <v>80731649.636244029</v>
      </c>
    </row>
    <row r="20" spans="1:15">
      <c r="A20" s="1353">
        <v>10</v>
      </c>
      <c r="B20" s="1352" t="s">
        <v>498</v>
      </c>
      <c r="C20" s="1372">
        <f>+'9A - Gross Plant &amp; ARO'!L20</f>
        <v>1864862926.2655568</v>
      </c>
      <c r="D20" s="1372">
        <f>+'9A - Gross Plant &amp; ARO'!M20</f>
        <v>325861563.68589932</v>
      </c>
      <c r="E20" s="1372">
        <f>+'9A - Gross Plant &amp; ARO'!N20</f>
        <v>173596720.146447</v>
      </c>
      <c r="F20" s="1373">
        <f>+'9A - Gross Plant &amp; ARO'!D60</f>
        <v>477248793.91000003</v>
      </c>
      <c r="G20" s="1373">
        <f>+'9A - Gross Plant &amp; ARO'!E60</f>
        <v>86206626.9771</v>
      </c>
      <c r="H20" s="1373">
        <f>+'9A - Gross Plant &amp; ARO'!G60</f>
        <v>65462512.498217002</v>
      </c>
      <c r="I20" s="1373">
        <f>+'9A - Gross Plant &amp; ARO'!F60</f>
        <v>25783457.93</v>
      </c>
      <c r="J20" s="1373">
        <f>+'9A - Gross Plant &amp; ARO'!H60</f>
        <v>28523558.091168001</v>
      </c>
      <c r="K20" s="1372">
        <f t="shared" si="0"/>
        <v>1387614132.3555567</v>
      </c>
      <c r="L20" s="1372">
        <f t="shared" si="2"/>
        <v>213871478.7787993</v>
      </c>
      <c r="M20" s="1372">
        <f t="shared" si="1"/>
        <v>79610649.557062015</v>
      </c>
    </row>
    <row r="21" spans="1:15">
      <c r="A21" s="1353">
        <v>11</v>
      </c>
      <c r="B21" s="1352" t="s">
        <v>499</v>
      </c>
      <c r="C21" s="1372">
        <f>+'9A - Gross Plant &amp; ARO'!L21</f>
        <v>1872138906.27</v>
      </c>
      <c r="D21" s="1372">
        <f>+'9A - Gross Plant &amp; ARO'!M21</f>
        <v>335116633.29999995</v>
      </c>
      <c r="E21" s="1372">
        <f>+'9A - Gross Plant &amp; ARO'!N21</f>
        <v>170226802.311721</v>
      </c>
      <c r="F21" s="1373">
        <f>+'9A - Gross Plant &amp; ARO'!D61</f>
        <v>479637360.13999999</v>
      </c>
      <c r="G21" s="1373">
        <f>+'9A - Gross Plant &amp; ARO'!E61</f>
        <v>86356103.329999998</v>
      </c>
      <c r="H21" s="1373">
        <f>+'9A - Gross Plant &amp; ARO'!G61</f>
        <v>66977953.437620997</v>
      </c>
      <c r="I21" s="1373">
        <f>+'9A - Gross Plant &amp; ARO'!F61</f>
        <v>26592144.09</v>
      </c>
      <c r="J21" s="1373">
        <f>+'9A - Gross Plant &amp; ARO'!H61</f>
        <v>29492229.483989999</v>
      </c>
      <c r="K21" s="1372">
        <f t="shared" si="0"/>
        <v>1392501546.1300001</v>
      </c>
      <c r="L21" s="1372">
        <f t="shared" si="2"/>
        <v>222168385.87999997</v>
      </c>
      <c r="M21" s="1372">
        <f t="shared" si="1"/>
        <v>73756619.390110016</v>
      </c>
    </row>
    <row r="22" spans="1:15">
      <c r="A22" s="1353">
        <v>12</v>
      </c>
      <c r="B22" s="1352" t="s">
        <v>500</v>
      </c>
      <c r="C22" s="1372">
        <f>+'9A - Gross Plant &amp; ARO'!L22</f>
        <v>1881515812.4699996</v>
      </c>
      <c r="D22" s="1372">
        <f>+'9A - Gross Plant &amp; ARO'!M22</f>
        <v>345432140.13999993</v>
      </c>
      <c r="E22" s="1372">
        <f>+'9A - Gross Plant &amp; ARO'!N22</f>
        <v>170515406.41222098</v>
      </c>
      <c r="F22" s="1373">
        <f>+'9A - Gross Plant &amp; ARO'!D62</f>
        <v>481972076.89999998</v>
      </c>
      <c r="G22" s="1373">
        <f>+'9A - Gross Plant &amp; ARO'!E62</f>
        <v>88004821.269999996</v>
      </c>
      <c r="H22" s="1373">
        <f>+'9A - Gross Plant &amp; ARO'!G62</f>
        <v>67411976.008690998</v>
      </c>
      <c r="I22" s="1373">
        <f>+'9A - Gross Plant &amp; ARO'!F62</f>
        <v>28290292.405251</v>
      </c>
      <c r="J22" s="1373">
        <f>+'9A - Gross Plant &amp; ARO'!H62</f>
        <v>30466109.927000999</v>
      </c>
      <c r="K22" s="1372">
        <f t="shared" si="0"/>
        <v>1399543735.5699997</v>
      </c>
      <c r="L22" s="1372">
        <f t="shared" si="2"/>
        <v>229137026.46474895</v>
      </c>
      <c r="M22" s="1372">
        <f t="shared" si="1"/>
        <v>72637320.476528987</v>
      </c>
    </row>
    <row r="23" spans="1:15">
      <c r="A23" s="1353">
        <v>13</v>
      </c>
      <c r="B23" s="1352" t="s">
        <v>501</v>
      </c>
      <c r="C23" s="1372">
        <f>+'9A - Gross Plant &amp; ARO'!L23</f>
        <v>1901457886</v>
      </c>
      <c r="D23" s="1372">
        <f>+'9A - Gross Plant &amp; ARO'!M23</f>
        <v>366180091.56999999</v>
      </c>
      <c r="E23" s="1372">
        <f>+'9A - Gross Plant &amp; ARO'!N23</f>
        <v>169867618</v>
      </c>
      <c r="F23" s="1373">
        <f>+'9A - Gross Plant &amp; ARO'!D63</f>
        <v>484485970</v>
      </c>
      <c r="G23" s="1373">
        <f>+'9A - Gross Plant &amp; ARO'!E63</f>
        <v>84140460.459999993</v>
      </c>
      <c r="H23" s="1373">
        <f>+'9A - Gross Plant &amp; ARO'!G63</f>
        <v>67850115</v>
      </c>
      <c r="I23" s="1373">
        <f>+'9A - Gross Plant &amp; ARO'!F63</f>
        <v>28269576</v>
      </c>
      <c r="J23" s="1373">
        <f>+'9A - Gross Plant &amp; ARO'!H63</f>
        <v>31617353</v>
      </c>
      <c r="K23" s="1372">
        <f t="shared" si="0"/>
        <v>1416971916</v>
      </c>
      <c r="L23" s="1372">
        <f t="shared" si="2"/>
        <v>253770055.11000001</v>
      </c>
      <c r="M23" s="1372">
        <f t="shared" si="1"/>
        <v>70400150</v>
      </c>
    </row>
    <row r="24" spans="1:15">
      <c r="A24" s="1353">
        <v>14</v>
      </c>
      <c r="B24" s="901" t="s">
        <v>735</v>
      </c>
      <c r="C24" s="1374">
        <f t="shared" ref="C24:M24" si="3">SUM(C11:C23)/13</f>
        <v>1858953079.6881201</v>
      </c>
      <c r="D24" s="1374">
        <f t="shared" si="3"/>
        <v>326489075.10506916</v>
      </c>
      <c r="E24" s="1374">
        <f t="shared" si="3"/>
        <v>167509566.28972787</v>
      </c>
      <c r="F24" s="1374">
        <f t="shared" si="3"/>
        <v>469831739.5953846</v>
      </c>
      <c r="G24" s="1374">
        <f t="shared" si="3"/>
        <v>83050539.78362307</v>
      </c>
      <c r="H24" s="1374">
        <f t="shared" si="3"/>
        <v>64747447.615049765</v>
      </c>
      <c r="I24" s="1374">
        <f t="shared" si="3"/>
        <v>23578052.430403925</v>
      </c>
      <c r="J24" s="1374">
        <f t="shared" si="3"/>
        <v>25707039.580407921</v>
      </c>
      <c r="K24" s="1374">
        <f t="shared" si="3"/>
        <v>1389121340.0927351</v>
      </c>
      <c r="L24" s="1374">
        <f t="shared" si="3"/>
        <v>219860482.8910422</v>
      </c>
      <c r="M24" s="1374">
        <f t="shared" si="3"/>
        <v>77055079.09427017</v>
      </c>
    </row>
    <row r="25" spans="1:15" ht="12" customHeight="1">
      <c r="A25" s="1353">
        <v>15</v>
      </c>
      <c r="B25" s="901" t="s">
        <v>734</v>
      </c>
      <c r="C25" s="940"/>
      <c r="D25" s="940">
        <f>+'10 - Merger Costs'!G34</f>
        <v>0</v>
      </c>
      <c r="E25" s="940"/>
      <c r="F25" s="940"/>
      <c r="G25" s="940">
        <f>+'10 - Merger Costs'!C51</f>
        <v>0</v>
      </c>
      <c r="H25" s="940"/>
      <c r="I25" s="940">
        <f>+'10 - Merger Costs'!D51</f>
        <v>0</v>
      </c>
      <c r="J25" s="940"/>
      <c r="K25" s="940">
        <f>+C25-F25</f>
        <v>0</v>
      </c>
      <c r="L25" s="940">
        <f>+D25-G25-I25</f>
        <v>0</v>
      </c>
      <c r="M25" s="940">
        <f>+E25-J25-H25</f>
        <v>0</v>
      </c>
    </row>
    <row r="26" spans="1:15" ht="13" thickBot="1">
      <c r="A26" s="1353">
        <v>16</v>
      </c>
      <c r="B26" s="901" t="s">
        <v>731</v>
      </c>
      <c r="C26" s="1375">
        <f>+C24-C25</f>
        <v>1858953079.6881201</v>
      </c>
      <c r="D26" s="1375">
        <f t="shared" ref="D26:M26" si="4">+D24-D25</f>
        <v>326489075.10506916</v>
      </c>
      <c r="E26" s="1375">
        <f t="shared" si="4"/>
        <v>167509566.28972787</v>
      </c>
      <c r="F26" s="1375">
        <f t="shared" si="4"/>
        <v>469831739.5953846</v>
      </c>
      <c r="G26" s="1375">
        <f t="shared" si="4"/>
        <v>83050539.78362307</v>
      </c>
      <c r="H26" s="1375">
        <f t="shared" si="4"/>
        <v>64747447.615049765</v>
      </c>
      <c r="I26" s="1375">
        <f t="shared" si="4"/>
        <v>23578052.430403925</v>
      </c>
      <c r="J26" s="1375">
        <f t="shared" si="4"/>
        <v>25707039.580407921</v>
      </c>
      <c r="K26" s="1375">
        <f t="shared" si="4"/>
        <v>1389121340.0927351</v>
      </c>
      <c r="L26" s="1375">
        <f t="shared" si="4"/>
        <v>219860482.8910422</v>
      </c>
      <c r="M26" s="1375">
        <f t="shared" si="4"/>
        <v>77055079.09427017</v>
      </c>
    </row>
    <row r="27" spans="1:15" ht="13" thickTop="1">
      <c r="A27" s="1353"/>
      <c r="B27" s="1352"/>
      <c r="C27" s="1376"/>
      <c r="D27" s="1377"/>
      <c r="E27" s="1377"/>
      <c r="F27" s="1377"/>
      <c r="G27" s="1376"/>
      <c r="H27" s="1376"/>
      <c r="I27" s="1376"/>
      <c r="J27" s="1376"/>
    </row>
    <row r="28" spans="1:15" ht="13">
      <c r="A28" s="1353"/>
      <c r="B28" s="1378"/>
      <c r="C28" s="1890" t="s">
        <v>503</v>
      </c>
      <c r="D28" s="1890"/>
      <c r="E28" s="1890"/>
      <c r="F28" s="1890"/>
      <c r="G28" s="1890"/>
      <c r="H28" s="1890"/>
      <c r="I28" s="1890"/>
      <c r="J28" s="1890"/>
    </row>
    <row r="29" spans="1:15" ht="72" customHeight="1">
      <c r="A29" s="1353" t="s">
        <v>475</v>
      </c>
      <c r="B29" s="1364" t="s">
        <v>159</v>
      </c>
      <c r="C29" s="1364" t="s">
        <v>474</v>
      </c>
      <c r="D29" s="1364" t="s">
        <v>535</v>
      </c>
      <c r="E29" s="1356"/>
      <c r="F29" s="1361" t="s">
        <v>532</v>
      </c>
      <c r="G29" s="1364"/>
      <c r="H29" s="1379" t="s">
        <v>504</v>
      </c>
      <c r="I29" s="1379" t="s">
        <v>505</v>
      </c>
      <c r="J29" s="1379" t="s">
        <v>506</v>
      </c>
      <c r="K29" s="1379" t="s">
        <v>507</v>
      </c>
      <c r="L29" s="1379" t="s">
        <v>508</v>
      </c>
      <c r="M29" s="1379" t="s">
        <v>751</v>
      </c>
    </row>
    <row r="30" spans="1:15" s="1370" customFormat="1" ht="13">
      <c r="A30" s="1353"/>
      <c r="B30" s="1364" t="s">
        <v>480</v>
      </c>
      <c r="C30" s="1361" t="s">
        <v>477</v>
      </c>
      <c r="D30" s="1361" t="s">
        <v>1561</v>
      </c>
      <c r="E30" s="1361" t="s">
        <v>478</v>
      </c>
      <c r="F30" s="1361" t="s">
        <v>533</v>
      </c>
      <c r="G30" s="1361" t="s">
        <v>479</v>
      </c>
      <c r="H30" s="1379"/>
      <c r="I30" s="1379"/>
      <c r="J30" s="1380"/>
      <c r="K30" s="1380"/>
      <c r="L30" s="1380"/>
      <c r="M30" s="1380"/>
      <c r="N30" s="1351"/>
      <c r="O30" s="1351"/>
    </row>
    <row r="31" spans="1:15" s="1370" customFormat="1" ht="13">
      <c r="C31" s="1364" t="s">
        <v>481</v>
      </c>
      <c r="D31" s="1364" t="s">
        <v>482</v>
      </c>
      <c r="E31" s="1361" t="s">
        <v>483</v>
      </c>
      <c r="F31" s="1364" t="s">
        <v>484</v>
      </c>
      <c r="G31" s="1361" t="s">
        <v>485</v>
      </c>
      <c r="H31" s="1364" t="s">
        <v>486</v>
      </c>
      <c r="I31" s="1361" t="s">
        <v>487</v>
      </c>
      <c r="J31" s="1364" t="s">
        <v>488</v>
      </c>
      <c r="K31" s="1364" t="s">
        <v>489</v>
      </c>
      <c r="L31" s="1361" t="s">
        <v>490</v>
      </c>
      <c r="M31" s="1381" t="s">
        <v>516</v>
      </c>
      <c r="N31" s="1351"/>
      <c r="O31" s="1351"/>
    </row>
    <row r="32" spans="1:15" s="1370" customFormat="1">
      <c r="A32" s="1353"/>
      <c r="B32" s="1382" t="s">
        <v>1471</v>
      </c>
      <c r="C32" s="1383" t="s">
        <v>294</v>
      </c>
      <c r="D32" s="1383">
        <v>28</v>
      </c>
      <c r="E32" s="1383">
        <v>50</v>
      </c>
      <c r="F32" s="1383">
        <v>47</v>
      </c>
      <c r="G32" s="1383">
        <v>45</v>
      </c>
      <c r="H32" s="1384"/>
      <c r="I32" s="1384" t="s">
        <v>297</v>
      </c>
      <c r="J32" s="1384"/>
      <c r="K32" s="1384"/>
      <c r="L32" s="1384"/>
      <c r="M32" s="1384"/>
      <c r="N32" s="1351"/>
      <c r="O32" s="1351"/>
    </row>
    <row r="33" spans="1:16" s="1370" customFormat="1" ht="51" customHeight="1">
      <c r="A33" s="1353"/>
      <c r="B33" s="1364"/>
      <c r="C33" s="1385" t="s">
        <v>64</v>
      </c>
      <c r="D33" s="1369" t="s">
        <v>938</v>
      </c>
      <c r="E33" s="1386" t="s">
        <v>1472</v>
      </c>
      <c r="F33" s="1369" t="s">
        <v>534</v>
      </c>
      <c r="G33" s="1387" t="s">
        <v>1458</v>
      </c>
      <c r="H33" s="1387" t="s">
        <v>1487</v>
      </c>
      <c r="I33" s="1384" t="s">
        <v>1459</v>
      </c>
      <c r="J33" s="1379" t="s">
        <v>290</v>
      </c>
      <c r="K33" s="1379" t="s">
        <v>290</v>
      </c>
      <c r="L33" s="1379" t="s">
        <v>290</v>
      </c>
      <c r="M33" s="1379" t="s">
        <v>290</v>
      </c>
      <c r="N33" s="1351"/>
      <c r="O33" s="1351"/>
    </row>
    <row r="34" spans="1:16">
      <c r="A34" s="1353">
        <v>17</v>
      </c>
      <c r="B34" s="1371" t="s">
        <v>492</v>
      </c>
      <c r="C34" s="1372"/>
      <c r="D34" s="1373">
        <v>0</v>
      </c>
      <c r="E34" s="1373">
        <v>7163071</v>
      </c>
      <c r="F34" s="1372"/>
      <c r="G34" s="1373">
        <f>+'5 - Cost Support 1'!G109</f>
        <v>22401308.095409892</v>
      </c>
      <c r="H34" s="1372"/>
      <c r="I34" s="1372"/>
      <c r="J34" s="1388"/>
      <c r="K34" s="1388"/>
      <c r="L34" s="1388"/>
      <c r="M34" s="1388"/>
    </row>
    <row r="35" spans="1:16">
      <c r="A35" s="1353">
        <v>18</v>
      </c>
      <c r="B35" s="1371" t="s">
        <v>493</v>
      </c>
      <c r="C35" s="1372"/>
      <c r="D35" s="1373">
        <v>0</v>
      </c>
      <c r="E35" s="1373">
        <v>7879014.5312437005</v>
      </c>
      <c r="F35" s="1389"/>
      <c r="G35" s="1373">
        <f>+'5 - Cost Support 1'!H109</f>
        <v>22101068.372565851</v>
      </c>
      <c r="H35" s="1389"/>
      <c r="I35" s="1372"/>
      <c r="J35" s="1388"/>
      <c r="K35" s="1388"/>
      <c r="L35" s="1388"/>
      <c r="M35" s="1388"/>
    </row>
    <row r="36" spans="1:16">
      <c r="A36" s="1353">
        <v>19</v>
      </c>
      <c r="B36" s="1352" t="s">
        <v>494</v>
      </c>
      <c r="C36" s="1372"/>
      <c r="D36" s="1373">
        <v>0</v>
      </c>
      <c r="E36" s="1373">
        <v>7729114.0822246475</v>
      </c>
      <c r="F36" s="1389"/>
      <c r="G36" s="1373">
        <f>+'5 - Cost Support 1'!I109</f>
        <v>21608033.942857716</v>
      </c>
      <c r="H36" s="1389"/>
      <c r="I36" s="1372"/>
      <c r="J36" s="1388"/>
      <c r="K36" s="1388"/>
      <c r="L36" s="1388"/>
      <c r="M36" s="1388"/>
    </row>
    <row r="37" spans="1:16">
      <c r="A37" s="1353">
        <v>20</v>
      </c>
      <c r="B37" s="1352" t="s">
        <v>495</v>
      </c>
      <c r="C37" s="1372"/>
      <c r="D37" s="1373">
        <v>0</v>
      </c>
      <c r="E37" s="1373">
        <v>7627302.8230004916</v>
      </c>
      <c r="F37" s="1389"/>
      <c r="G37" s="1373">
        <f>+'5 - Cost Support 1'!J109</f>
        <v>21082115.9777021</v>
      </c>
      <c r="H37" s="1389"/>
      <c r="I37" s="1372"/>
      <c r="J37" s="1388"/>
      <c r="K37" s="1388"/>
      <c r="L37" s="1388"/>
      <c r="M37" s="1388"/>
    </row>
    <row r="38" spans="1:16">
      <c r="A38" s="1353">
        <v>21</v>
      </c>
      <c r="B38" s="1352" t="s">
        <v>161</v>
      </c>
      <c r="C38" s="1372"/>
      <c r="D38" s="1373">
        <v>0</v>
      </c>
      <c r="E38" s="1373">
        <v>7636921.0821739761</v>
      </c>
      <c r="F38" s="1389"/>
      <c r="G38" s="1373">
        <f>+'5 - Cost Support 1'!K109</f>
        <v>20566077.607322879</v>
      </c>
      <c r="H38" s="1389"/>
      <c r="I38" s="1372"/>
      <c r="J38" s="1388"/>
      <c r="K38" s="1388"/>
      <c r="L38" s="1388"/>
      <c r="M38" s="1388"/>
    </row>
    <row r="39" spans="1:16">
      <c r="A39" s="1353">
        <v>22</v>
      </c>
      <c r="B39" s="1352" t="s">
        <v>162</v>
      </c>
      <c r="C39" s="1372"/>
      <c r="D39" s="1373">
        <v>0</v>
      </c>
      <c r="E39" s="1373">
        <v>7617821.6047961013</v>
      </c>
      <c r="F39" s="1389"/>
      <c r="G39" s="1373">
        <f>+'5 - Cost Support 1'!L109</f>
        <v>20020278.667243633</v>
      </c>
      <c r="H39" s="1389"/>
      <c r="I39" s="1372"/>
      <c r="J39" s="1388"/>
      <c r="K39" s="1388"/>
      <c r="L39" s="1388"/>
      <c r="M39" s="1388"/>
    </row>
    <row r="40" spans="1:16">
      <c r="A40" s="1353">
        <v>23</v>
      </c>
      <c r="B40" s="1352" t="s">
        <v>163</v>
      </c>
      <c r="C40" s="1372"/>
      <c r="D40" s="1373">
        <v>0</v>
      </c>
      <c r="E40" s="1373">
        <v>7725998.1610883847</v>
      </c>
      <c r="F40" s="1389"/>
      <c r="G40" s="1373">
        <f>+'5 - Cost Support 1'!M109</f>
        <v>19575577.487693693</v>
      </c>
      <c r="H40" s="1389"/>
      <c r="I40" s="1372"/>
      <c r="J40" s="1388"/>
      <c r="K40" s="1388"/>
      <c r="L40" s="1388"/>
      <c r="M40" s="1388"/>
    </row>
    <row r="41" spans="1:16">
      <c r="A41" s="1353">
        <v>24</v>
      </c>
      <c r="B41" s="1352" t="s">
        <v>496</v>
      </c>
      <c r="C41" s="1372"/>
      <c r="D41" s="1373">
        <v>0</v>
      </c>
      <c r="E41" s="1373">
        <v>7737928.9303071499</v>
      </c>
      <c r="F41" s="1389"/>
      <c r="G41" s="1373">
        <f>+'5 - Cost Support 1'!N109</f>
        <v>19031647.810222447</v>
      </c>
      <c r="H41" s="1389"/>
      <c r="I41" s="1372"/>
      <c r="J41" s="1388"/>
      <c r="K41" s="1388"/>
      <c r="L41" s="1388"/>
      <c r="M41" s="1388"/>
    </row>
    <row r="42" spans="1:16">
      <c r="A42" s="1353">
        <v>25</v>
      </c>
      <c r="B42" s="1352" t="s">
        <v>497</v>
      </c>
      <c r="C42" s="1372"/>
      <c r="D42" s="1373">
        <v>0</v>
      </c>
      <c r="E42" s="1373">
        <v>7931724.51289606</v>
      </c>
      <c r="F42" s="1389"/>
      <c r="G42" s="1373">
        <f>+'5 - Cost Support 1'!O109</f>
        <v>18504807.803957839</v>
      </c>
      <c r="H42" s="1389"/>
      <c r="I42" s="1372"/>
      <c r="J42" s="1388"/>
      <c r="K42" s="1388"/>
      <c r="L42" s="1388"/>
      <c r="M42" s="1388"/>
    </row>
    <row r="43" spans="1:16">
      <c r="A43" s="1353">
        <v>26</v>
      </c>
      <c r="B43" s="1352" t="s">
        <v>498</v>
      </c>
      <c r="C43" s="1372"/>
      <c r="D43" s="1373">
        <v>0</v>
      </c>
      <c r="E43" s="1373">
        <v>8055099.3616638882</v>
      </c>
      <c r="F43" s="1389"/>
      <c r="G43" s="1373">
        <f>+'5 - Cost Support 1'!P109</f>
        <v>21480006.732070006</v>
      </c>
      <c r="H43" s="1389"/>
      <c r="I43" s="1372"/>
      <c r="J43" s="1388"/>
      <c r="K43" s="1388"/>
      <c r="L43" s="1388"/>
      <c r="M43" s="1388"/>
    </row>
    <row r="44" spans="1:16">
      <c r="A44" s="1353">
        <v>27</v>
      </c>
      <c r="B44" s="1352" t="s">
        <v>499</v>
      </c>
      <c r="C44" s="1372"/>
      <c r="D44" s="1373">
        <v>0</v>
      </c>
      <c r="E44" s="1373">
        <v>8133007.3515009796</v>
      </c>
      <c r="F44" s="1389"/>
      <c r="G44" s="1373">
        <f>+'5 - Cost Support 1'!Q109</f>
        <v>22789260.810096364</v>
      </c>
      <c r="H44" s="1389"/>
      <c r="I44" s="1372"/>
      <c r="J44" s="1388"/>
      <c r="K44" s="1388"/>
      <c r="L44" s="1388"/>
      <c r="M44" s="1388"/>
    </row>
    <row r="45" spans="1:16">
      <c r="A45" s="1353">
        <v>28</v>
      </c>
      <c r="B45" s="1352" t="s">
        <v>500</v>
      </c>
      <c r="C45" s="1372"/>
      <c r="D45" s="1373">
        <v>0</v>
      </c>
      <c r="E45" s="1373">
        <v>8353908.1445128666</v>
      </c>
      <c r="F45" s="1389"/>
      <c r="G45" s="1373">
        <f>+'5 - Cost Support 1'!R109</f>
        <v>22885950.997963555</v>
      </c>
      <c r="H45" s="1389"/>
      <c r="I45" s="1372"/>
      <c r="J45" s="1388"/>
      <c r="K45" s="1388"/>
      <c r="L45" s="1388"/>
      <c r="M45" s="1388"/>
    </row>
    <row r="46" spans="1:16">
      <c r="A46" s="1353">
        <v>29</v>
      </c>
      <c r="B46" s="1352" t="s">
        <v>501</v>
      </c>
      <c r="C46" s="1372"/>
      <c r="D46" s="1373">
        <v>5435572</v>
      </c>
      <c r="E46" s="1373">
        <v>8459335</v>
      </c>
      <c r="F46" s="1372"/>
      <c r="G46" s="1373">
        <f>+'5 - Cost Support 1'!S109</f>
        <v>22072086.606554832</v>
      </c>
      <c r="H46" s="1372"/>
      <c r="I46" s="1372"/>
      <c r="J46" s="1388"/>
      <c r="K46" s="1388"/>
      <c r="L46" s="1388"/>
      <c r="M46" s="1388"/>
    </row>
    <row r="47" spans="1:16" ht="13" thickBot="1">
      <c r="A47" s="1353">
        <v>30</v>
      </c>
      <c r="B47" s="901" t="s">
        <v>730</v>
      </c>
      <c r="C47" s="1375">
        <f>SUM(C34:C46)/13</f>
        <v>0</v>
      </c>
      <c r="D47" s="1375">
        <f t="shared" ref="D47:I47" si="5">SUM(D34:D46)/13</f>
        <v>418120.92307692306</v>
      </c>
      <c r="E47" s="1375">
        <f t="shared" si="5"/>
        <v>7850018.9681083262</v>
      </c>
      <c r="F47" s="1375">
        <f t="shared" si="5"/>
        <v>0</v>
      </c>
      <c r="G47" s="1375">
        <f t="shared" si="5"/>
        <v>21086016.993204676</v>
      </c>
      <c r="H47" s="1375">
        <f t="shared" si="5"/>
        <v>0</v>
      </c>
      <c r="I47" s="1375">
        <f t="shared" si="5"/>
        <v>0</v>
      </c>
      <c r="J47" s="1375"/>
      <c r="K47" s="1375"/>
      <c r="L47" s="1390"/>
      <c r="M47" s="1375"/>
      <c r="P47" s="1370"/>
    </row>
    <row r="48" spans="1:16" ht="13" thickTop="1">
      <c r="A48" s="1353"/>
      <c r="B48" s="1352"/>
      <c r="E48" s="298"/>
      <c r="F48" s="298"/>
      <c r="G48" s="298"/>
      <c r="H48" s="298"/>
      <c r="I48" s="1377"/>
      <c r="K48" s="1355"/>
      <c r="P48" s="1370"/>
    </row>
    <row r="49" spans="1:18">
      <c r="A49" s="1353"/>
      <c r="K49" s="1391"/>
      <c r="P49" s="1370"/>
    </row>
    <row r="50" spans="1:18">
      <c r="A50" s="1392"/>
      <c r="B50" s="1393"/>
      <c r="C50" s="1394"/>
      <c r="D50" s="1394"/>
      <c r="E50" s="1394"/>
      <c r="F50" s="1394"/>
      <c r="G50" s="1394"/>
      <c r="M50" s="1370"/>
      <c r="N50" s="1370"/>
      <c r="O50" s="1370"/>
      <c r="P50" s="1370"/>
      <c r="Q50" s="1370"/>
      <c r="R50" s="1370"/>
    </row>
    <row r="51" spans="1:18">
      <c r="A51" s="1392"/>
      <c r="B51" s="1393"/>
      <c r="C51" s="1394"/>
      <c r="D51" s="1394"/>
      <c r="E51" s="1394"/>
      <c r="F51" s="1394"/>
      <c r="G51" s="1394"/>
      <c r="M51" s="1370"/>
      <c r="N51" s="1370"/>
      <c r="O51" s="1370"/>
      <c r="P51" s="1370"/>
      <c r="Q51" s="1370"/>
      <c r="R51" s="1370"/>
    </row>
    <row r="52" spans="1:18">
      <c r="A52" s="1353" t="s">
        <v>509</v>
      </c>
    </row>
    <row r="53" spans="1:18" ht="12.75" customHeight="1">
      <c r="A53" s="1353" t="s">
        <v>9</v>
      </c>
      <c r="B53" s="1891" t="s">
        <v>1108</v>
      </c>
      <c r="C53" s="1891"/>
      <c r="D53" s="1891"/>
      <c r="E53" s="1891"/>
      <c r="F53" s="1891"/>
      <c r="G53" s="1891"/>
      <c r="H53" s="1891"/>
      <c r="I53" s="1891"/>
      <c r="J53" s="1891"/>
      <c r="K53" s="1891"/>
      <c r="L53" s="1891"/>
    </row>
    <row r="54" spans="1:18" ht="12.75" customHeight="1">
      <c r="A54" s="1353" t="s">
        <v>10</v>
      </c>
      <c r="B54" s="1892" t="s">
        <v>510</v>
      </c>
      <c r="C54" s="1892"/>
      <c r="D54" s="1892"/>
      <c r="E54" s="1892"/>
      <c r="F54" s="1892"/>
      <c r="G54" s="1892"/>
      <c r="H54" s="1892"/>
      <c r="I54" s="1892"/>
      <c r="J54" s="1892"/>
      <c r="K54" s="1892"/>
      <c r="L54" s="1892"/>
      <c r="M54" s="1355"/>
    </row>
    <row r="55" spans="1:18" ht="12.75" customHeight="1">
      <c r="A55" s="1353" t="s">
        <v>11</v>
      </c>
      <c r="B55" s="1351" t="s">
        <v>511</v>
      </c>
      <c r="C55" s="1395"/>
      <c r="D55" s="1395"/>
      <c r="E55" s="1395"/>
      <c r="F55" s="1395"/>
      <c r="G55" s="1395"/>
      <c r="H55" s="1395"/>
      <c r="I55" s="1395"/>
      <c r="J55" s="1395"/>
      <c r="K55" s="1395"/>
      <c r="L55" s="1395"/>
    </row>
    <row r="56" spans="1:18">
      <c r="A56" s="1353"/>
      <c r="B56" s="1396" t="s">
        <v>512</v>
      </c>
      <c r="C56" s="1397"/>
      <c r="D56" s="1397"/>
      <c r="E56" s="1397"/>
      <c r="F56" s="1397"/>
      <c r="G56" s="1397"/>
      <c r="H56" s="1397"/>
      <c r="I56" s="1397"/>
      <c r="J56" s="1397"/>
      <c r="K56" s="1397"/>
      <c r="L56" s="1397"/>
    </row>
    <row r="57" spans="1:18">
      <c r="A57" s="1353"/>
      <c r="B57" s="1396" t="s">
        <v>513</v>
      </c>
      <c r="C57" s="1397"/>
      <c r="D57" s="1397"/>
      <c r="E57" s="1397"/>
      <c r="F57" s="1397"/>
      <c r="G57" s="1397"/>
      <c r="H57" s="1397"/>
      <c r="I57" s="1397"/>
      <c r="J57" s="1397"/>
      <c r="K57" s="1397"/>
      <c r="L57" s="1397"/>
    </row>
    <row r="58" spans="1:18" ht="12.75" customHeight="1">
      <c r="A58" s="1353" t="s">
        <v>14</v>
      </c>
      <c r="B58" s="1351" t="s">
        <v>1570</v>
      </c>
    </row>
    <row r="59" spans="1:18" ht="12.75" customHeight="1">
      <c r="A59" s="1353" t="s">
        <v>134</v>
      </c>
      <c r="B59" s="1884" t="s">
        <v>1577</v>
      </c>
      <c r="C59" s="1884"/>
      <c r="D59" s="1884"/>
      <c r="E59" s="1884"/>
      <c r="F59" s="1884"/>
      <c r="G59" s="1884"/>
      <c r="H59" s="1884"/>
      <c r="I59" s="1884"/>
      <c r="J59" s="1884"/>
      <c r="K59" s="1884"/>
      <c r="L59" s="1884"/>
    </row>
    <row r="60" spans="1:18">
      <c r="A60" s="1353" t="s">
        <v>135</v>
      </c>
      <c r="B60" s="1351" t="s">
        <v>515</v>
      </c>
    </row>
    <row r="61" spans="1:18">
      <c r="A61" s="1353" t="s">
        <v>136</v>
      </c>
      <c r="B61" s="1351" t="s">
        <v>1486</v>
      </c>
    </row>
    <row r="62" spans="1:18">
      <c r="A62" s="1398" t="s">
        <v>514</v>
      </c>
      <c r="B62" s="1399" t="s">
        <v>1109</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8">
    <mergeCell ref="B59:L59"/>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view="pageBreakPreview" topLeftCell="A22" zoomScale="70" zoomScaleNormal="100" zoomScaleSheetLayoutView="70" workbookViewId="0">
      <selection sqref="A1:XFD1048576"/>
    </sheetView>
  </sheetViews>
  <sheetFormatPr defaultColWidth="11.453125" defaultRowHeight="12.5"/>
  <cols>
    <col min="1" max="1" width="6.26953125" style="1350" customWidth="1"/>
    <col min="2" max="2" width="37.26953125" style="1351" bestFit="1" customWidth="1"/>
    <col min="3" max="3" width="30.81640625" style="1351" customWidth="1"/>
    <col min="4" max="4" width="32.81640625" style="1351" customWidth="1"/>
    <col min="5" max="5" width="24.7265625" style="1351" customWidth="1"/>
    <col min="6" max="6" width="20.54296875" style="1351" customWidth="1"/>
    <col min="7" max="8" width="22.26953125" style="1351" customWidth="1"/>
    <col min="9" max="9" width="23.453125" style="1351" customWidth="1"/>
    <col min="10" max="10" width="23.1796875" style="1351" customWidth="1"/>
    <col min="11" max="12" width="27.54296875" style="1351" customWidth="1"/>
    <col min="13" max="13" width="26.1796875" style="1351" customWidth="1"/>
    <col min="14" max="14" width="24.453125" style="1351" customWidth="1"/>
    <col min="15" max="16" width="15.1796875" style="1351" customWidth="1"/>
    <col min="17" max="17" width="20.26953125" style="1351" customWidth="1"/>
    <col min="18" max="16384" width="11.453125" style="1351"/>
  </cols>
  <sheetData>
    <row r="1" spans="1:16" ht="18">
      <c r="C1" s="1352"/>
      <c r="D1" s="1352"/>
      <c r="E1" s="1352"/>
      <c r="F1" s="1352"/>
      <c r="I1" s="1401" t="str">
        <f>+'ATT H-3D'!$A$4</f>
        <v>Delmarva Power &amp; Light Company</v>
      </c>
      <c r="J1" s="1352"/>
      <c r="K1" s="1352"/>
      <c r="L1" s="1352"/>
    </row>
    <row r="2" spans="1:16" ht="15.5">
      <c r="A2" s="1353"/>
      <c r="C2" s="1352"/>
      <c r="D2" s="1352"/>
      <c r="E2" s="1352"/>
      <c r="F2" s="1352"/>
      <c r="G2" s="1352"/>
      <c r="H2" s="1352"/>
      <c r="I2" s="1241" t="s">
        <v>529</v>
      </c>
      <c r="J2" s="1352"/>
      <c r="K2" s="1352"/>
      <c r="L2" s="1352"/>
      <c r="M2" s="1352"/>
      <c r="O2" s="1355"/>
    </row>
    <row r="3" spans="1:16" ht="15.5">
      <c r="A3" s="1353"/>
      <c r="C3" s="1352"/>
      <c r="D3" s="1352"/>
      <c r="E3" s="1352"/>
      <c r="F3" s="1352"/>
      <c r="G3" s="1352"/>
      <c r="H3" s="1352"/>
      <c r="I3" s="1400" t="s">
        <v>530</v>
      </c>
      <c r="J3" s="1354"/>
      <c r="K3" s="1354"/>
      <c r="L3" s="1354"/>
      <c r="M3" s="1354"/>
      <c r="N3" s="1354"/>
    </row>
    <row r="4" spans="1:16" ht="13">
      <c r="A4" s="1353"/>
      <c r="C4" s="1352"/>
      <c r="D4" s="1352"/>
      <c r="E4" s="1402"/>
      <c r="F4" s="1352"/>
      <c r="G4" s="1352"/>
      <c r="H4" s="1352"/>
      <c r="I4" s="1146"/>
      <c r="J4" s="1352"/>
      <c r="K4" s="1352"/>
      <c r="L4" s="1352"/>
      <c r="M4" s="1352"/>
      <c r="P4" s="872"/>
    </row>
    <row r="5" spans="1:16" ht="13.5" thickBot="1">
      <c r="A5" s="1353"/>
      <c r="B5" s="1356"/>
      <c r="C5" s="1356"/>
      <c r="D5" s="1356"/>
      <c r="E5" s="1356"/>
      <c r="F5" s="1356"/>
      <c r="G5" s="1352"/>
      <c r="H5" s="1352"/>
      <c r="I5" s="1352"/>
      <c r="J5" s="1352"/>
      <c r="K5" s="1352"/>
      <c r="L5" s="1352"/>
      <c r="M5" s="1356"/>
    </row>
    <row r="6" spans="1:16" ht="13.5" thickBot="1">
      <c r="A6" s="1353"/>
      <c r="B6" s="1358" t="s">
        <v>777</v>
      </c>
      <c r="C6" s="1895" t="s">
        <v>1150</v>
      </c>
      <c r="D6" s="1898"/>
      <c r="E6" s="1898"/>
      <c r="F6" s="1899"/>
      <c r="G6" s="1895" t="s">
        <v>1164</v>
      </c>
      <c r="H6" s="1898"/>
      <c r="I6" s="1898"/>
      <c r="J6" s="1899"/>
      <c r="K6" s="1895" t="s">
        <v>1165</v>
      </c>
      <c r="L6" s="1898"/>
      <c r="M6" s="1898"/>
      <c r="N6" s="1899"/>
      <c r="P6" s="872"/>
    </row>
    <row r="7" spans="1:16" s="1405" customFormat="1" ht="25.5">
      <c r="A7" s="1403" t="s">
        <v>475</v>
      </c>
      <c r="B7" s="1361" t="s">
        <v>159</v>
      </c>
      <c r="C7" s="1361" t="s">
        <v>531</v>
      </c>
      <c r="D7" s="1361" t="s">
        <v>208</v>
      </c>
      <c r="E7" s="1361" t="s">
        <v>145</v>
      </c>
      <c r="F7" s="1404" t="s">
        <v>476</v>
      </c>
      <c r="G7" s="1361" t="s">
        <v>531</v>
      </c>
      <c r="H7" s="1361" t="s">
        <v>208</v>
      </c>
      <c r="I7" s="1361" t="s">
        <v>145</v>
      </c>
      <c r="J7" s="1404" t="s">
        <v>476</v>
      </c>
      <c r="K7" s="1361" t="s">
        <v>531</v>
      </c>
      <c r="L7" s="1361" t="s">
        <v>208</v>
      </c>
      <c r="M7" s="1361" t="s">
        <v>145</v>
      </c>
      <c r="N7" s="1404" t="s">
        <v>476</v>
      </c>
      <c r="O7" s="1352"/>
    </row>
    <row r="8" spans="1:16" s="1370" customFormat="1" ht="13">
      <c r="A8" s="1353"/>
      <c r="B8" s="1364" t="s">
        <v>480</v>
      </c>
      <c r="C8" s="1364" t="s">
        <v>481</v>
      </c>
      <c r="D8" s="1364" t="s">
        <v>482</v>
      </c>
      <c r="E8" s="1361" t="s">
        <v>483</v>
      </c>
      <c r="F8" s="1364" t="s">
        <v>484</v>
      </c>
      <c r="G8" s="1364" t="s">
        <v>485</v>
      </c>
      <c r="H8" s="1361" t="s">
        <v>486</v>
      </c>
      <c r="I8" s="1364" t="s">
        <v>487</v>
      </c>
      <c r="J8" s="1364" t="s">
        <v>488</v>
      </c>
      <c r="K8" s="1361" t="s">
        <v>489</v>
      </c>
      <c r="L8" s="1364" t="s">
        <v>490</v>
      </c>
      <c r="M8" s="1361" t="s">
        <v>516</v>
      </c>
      <c r="N8" s="1361" t="s">
        <v>729</v>
      </c>
      <c r="O8" s="1352"/>
    </row>
    <row r="9" spans="1:16" s="1370" customFormat="1">
      <c r="A9" s="1353"/>
      <c r="B9" s="1382" t="s">
        <v>1471</v>
      </c>
      <c r="C9" s="1354"/>
      <c r="D9" s="1354"/>
      <c r="E9" s="1354"/>
      <c r="F9" s="1367"/>
      <c r="G9" s="1354"/>
      <c r="H9" s="1354"/>
      <c r="I9" s="1354"/>
      <c r="J9" s="1367"/>
      <c r="K9" s="1354">
        <v>6</v>
      </c>
      <c r="L9" s="1354"/>
      <c r="M9" s="1354"/>
      <c r="N9" s="1367"/>
      <c r="O9" s="1352"/>
    </row>
    <row r="10" spans="1:16" s="1370" customFormat="1" ht="125.5">
      <c r="A10" s="1353"/>
      <c r="B10" s="1364"/>
      <c r="C10" s="1368" t="s">
        <v>933</v>
      </c>
      <c r="D10" s="1368" t="s">
        <v>1485</v>
      </c>
      <c r="E10" s="1369" t="s">
        <v>1587</v>
      </c>
      <c r="F10" s="1385" t="s">
        <v>1583</v>
      </c>
      <c r="G10" s="1368" t="s">
        <v>934</v>
      </c>
      <c r="H10" s="1368" t="s">
        <v>918</v>
      </c>
      <c r="I10" s="1369" t="s">
        <v>1565</v>
      </c>
      <c r="J10" s="1385" t="s">
        <v>491</v>
      </c>
      <c r="K10" s="1368" t="s">
        <v>919</v>
      </c>
      <c r="L10" s="1368" t="s">
        <v>920</v>
      </c>
      <c r="M10" s="1368" t="s">
        <v>921</v>
      </c>
      <c r="N10" s="1368" t="s">
        <v>922</v>
      </c>
      <c r="O10" s="1352"/>
    </row>
    <row r="11" spans="1:16">
      <c r="A11" s="1353">
        <v>1</v>
      </c>
      <c r="B11" s="1371" t="s">
        <v>492</v>
      </c>
      <c r="C11" s="1372">
        <v>4921279756.7599993</v>
      </c>
      <c r="D11" s="1372">
        <v>1836499158</v>
      </c>
      <c r="E11" s="1372">
        <v>332851693</v>
      </c>
      <c r="F11" s="1372">
        <v>149777044</v>
      </c>
      <c r="G11" s="1372">
        <v>7257594.2400000002</v>
      </c>
      <c r="H11" s="1372"/>
      <c r="I11" s="1372">
        <v>563846.14</v>
      </c>
      <c r="J11" s="1372"/>
      <c r="K11" s="1372">
        <f>+C11-G11</f>
        <v>4914022162.5199995</v>
      </c>
      <c r="L11" s="1372">
        <f>+D11-H11</f>
        <v>1836499158</v>
      </c>
      <c r="M11" s="1372">
        <f>+E11-I11</f>
        <v>332287846.86000001</v>
      </c>
      <c r="N11" s="1372">
        <f>+F11-J11</f>
        <v>149777044</v>
      </c>
      <c r="P11" s="1352"/>
    </row>
    <row r="12" spans="1:16">
      <c r="A12" s="1353">
        <v>2</v>
      </c>
      <c r="B12" s="1371" t="s">
        <v>493</v>
      </c>
      <c r="C12" s="1372">
        <v>4936565947.9500008</v>
      </c>
      <c r="D12" s="1372">
        <v>1838905270.0699999</v>
      </c>
      <c r="E12" s="1372">
        <v>309206090.16000003</v>
      </c>
      <c r="F12" s="1372">
        <v>154501164.45336401</v>
      </c>
      <c r="G12" s="1372">
        <v>7229220.7700000005</v>
      </c>
      <c r="H12" s="1372"/>
      <c r="I12" s="1372">
        <v>563846.14</v>
      </c>
      <c r="J12" s="1372"/>
      <c r="K12" s="1372">
        <f t="shared" ref="K12:K23" si="0">+C12-G12</f>
        <v>4929336727.1800003</v>
      </c>
      <c r="L12" s="1372">
        <f t="shared" ref="L12:L23" si="1">+D12-H12</f>
        <v>1838905270.0699999</v>
      </c>
      <c r="M12" s="1372">
        <f t="shared" ref="M12:M23" si="2">+E12-I12</f>
        <v>308642244.02000004</v>
      </c>
      <c r="N12" s="1372">
        <f t="shared" ref="N12:N23" si="3">+F12-J12</f>
        <v>154501164.45336401</v>
      </c>
      <c r="O12" s="1352"/>
      <c r="P12" s="1352"/>
    </row>
    <row r="13" spans="1:16">
      <c r="A13" s="1353">
        <v>3</v>
      </c>
      <c r="B13" s="1352" t="s">
        <v>494</v>
      </c>
      <c r="C13" s="1372">
        <v>4954078782.9200001</v>
      </c>
      <c r="D13" s="1372">
        <v>1843580469.4200001</v>
      </c>
      <c r="E13" s="1372">
        <v>310542296.31999999</v>
      </c>
      <c r="F13" s="1372">
        <v>155135480.19034803</v>
      </c>
      <c r="G13" s="1372">
        <v>7227965.0800000001</v>
      </c>
      <c r="H13" s="1372"/>
      <c r="I13" s="1372">
        <v>563846.14</v>
      </c>
      <c r="J13" s="1372"/>
      <c r="K13" s="1372">
        <f t="shared" si="0"/>
        <v>4946850817.8400002</v>
      </c>
      <c r="L13" s="1372">
        <f t="shared" si="1"/>
        <v>1843580469.4200001</v>
      </c>
      <c r="M13" s="1372">
        <f t="shared" si="2"/>
        <v>309978450.18000001</v>
      </c>
      <c r="N13" s="1372">
        <f t="shared" si="3"/>
        <v>155135480.19034803</v>
      </c>
      <c r="O13" s="1352"/>
      <c r="P13" s="1352"/>
    </row>
    <row r="14" spans="1:16">
      <c r="A14" s="1353">
        <v>4</v>
      </c>
      <c r="B14" s="1352" t="s">
        <v>495</v>
      </c>
      <c r="C14" s="1372">
        <v>4966643183.8399982</v>
      </c>
      <c r="D14" s="1372">
        <v>1845942220.28</v>
      </c>
      <c r="E14" s="1372">
        <v>312628796.93999994</v>
      </c>
      <c r="F14" s="1372">
        <v>169181573.14021403</v>
      </c>
      <c r="G14" s="1372">
        <v>7227965.0800000001</v>
      </c>
      <c r="H14" s="1372"/>
      <c r="I14" s="1372">
        <v>563846.14</v>
      </c>
      <c r="J14" s="1372"/>
      <c r="K14" s="1372">
        <f t="shared" si="0"/>
        <v>4959415218.7599983</v>
      </c>
      <c r="L14" s="1372">
        <f t="shared" si="1"/>
        <v>1845942220.28</v>
      </c>
      <c r="M14" s="1372">
        <f t="shared" si="2"/>
        <v>312064950.79999995</v>
      </c>
      <c r="N14" s="1372">
        <f t="shared" si="3"/>
        <v>169181573.14021403</v>
      </c>
      <c r="O14" s="1352"/>
      <c r="P14" s="1352"/>
    </row>
    <row r="15" spans="1:16">
      <c r="A15" s="1353">
        <v>5</v>
      </c>
      <c r="B15" s="1352" t="s">
        <v>161</v>
      </c>
      <c r="C15" s="1372">
        <v>4985087705.3900003</v>
      </c>
      <c r="D15" s="1372">
        <v>1850426162.3300004</v>
      </c>
      <c r="E15" s="1372">
        <v>313931372.39999998</v>
      </c>
      <c r="F15" s="1372">
        <v>174908270.21655902</v>
      </c>
      <c r="G15" s="1372">
        <v>7227965.0800000001</v>
      </c>
      <c r="H15" s="1372"/>
      <c r="I15" s="1372">
        <v>563846.14</v>
      </c>
      <c r="J15" s="1372"/>
      <c r="K15" s="1372">
        <f t="shared" si="0"/>
        <v>4977859740.3100004</v>
      </c>
      <c r="L15" s="1372">
        <f t="shared" si="1"/>
        <v>1850426162.3300004</v>
      </c>
      <c r="M15" s="1372">
        <f t="shared" si="2"/>
        <v>313367526.25999999</v>
      </c>
      <c r="N15" s="1372">
        <f t="shared" si="3"/>
        <v>174908270.21655902</v>
      </c>
      <c r="O15" s="1352"/>
      <c r="P15" s="1352"/>
    </row>
    <row r="16" spans="1:16">
      <c r="A16" s="1353">
        <v>6</v>
      </c>
      <c r="B16" s="1352" t="s">
        <v>162</v>
      </c>
      <c r="C16" s="1372">
        <v>5007076579.3500004</v>
      </c>
      <c r="D16" s="1372">
        <v>1853701146.3800004</v>
      </c>
      <c r="E16" s="1372">
        <v>321528187.36000001</v>
      </c>
      <c r="F16" s="1372">
        <v>171852434.619371</v>
      </c>
      <c r="G16" s="1372">
        <v>7227965.0800000001</v>
      </c>
      <c r="H16" s="1372"/>
      <c r="I16" s="1372">
        <v>563846.14</v>
      </c>
      <c r="J16" s="1372"/>
      <c r="K16" s="1372">
        <f t="shared" si="0"/>
        <v>4999848614.2700005</v>
      </c>
      <c r="L16" s="1372">
        <f t="shared" si="1"/>
        <v>1853701146.3800004</v>
      </c>
      <c r="M16" s="1372">
        <f t="shared" si="2"/>
        <v>320964341.22000003</v>
      </c>
      <c r="N16" s="1372">
        <f t="shared" si="3"/>
        <v>171852434.619371</v>
      </c>
      <c r="O16" s="1352"/>
      <c r="P16" s="1352"/>
    </row>
    <row r="17" spans="1:16">
      <c r="A17" s="1353">
        <v>7</v>
      </c>
      <c r="B17" s="1352" t="s">
        <v>163</v>
      </c>
      <c r="C17" s="1372">
        <v>5024891740.8300009</v>
      </c>
      <c r="D17" s="1372">
        <v>1857028375.8400002</v>
      </c>
      <c r="E17" s="1372">
        <v>323425044.99000007</v>
      </c>
      <c r="F17" s="1372">
        <v>172032658.25502405</v>
      </c>
      <c r="G17" s="1372">
        <v>7227965.0800000001</v>
      </c>
      <c r="H17" s="1372"/>
      <c r="I17" s="1372">
        <v>563846.14</v>
      </c>
      <c r="J17" s="1372"/>
      <c r="K17" s="1372">
        <f t="shared" si="0"/>
        <v>5017663775.750001</v>
      </c>
      <c r="L17" s="1372">
        <f t="shared" si="1"/>
        <v>1857028375.8400002</v>
      </c>
      <c r="M17" s="1372">
        <f t="shared" si="2"/>
        <v>322861198.85000008</v>
      </c>
      <c r="N17" s="1372">
        <f t="shared" si="3"/>
        <v>172032658.25502405</v>
      </c>
      <c r="O17" s="1352"/>
      <c r="P17" s="1352"/>
    </row>
    <row r="18" spans="1:16">
      <c r="A18" s="1353">
        <v>8</v>
      </c>
      <c r="B18" s="1352" t="s">
        <v>496</v>
      </c>
      <c r="C18" s="1372">
        <v>5033919702.3600016</v>
      </c>
      <c r="D18" s="1372">
        <v>1857027485.8800004</v>
      </c>
      <c r="E18" s="1372">
        <v>325191091.81999993</v>
      </c>
      <c r="F18" s="1372">
        <v>172495837.93954799</v>
      </c>
      <c r="G18" s="1372">
        <v>7220962.1000000006</v>
      </c>
      <c r="H18" s="1372"/>
      <c r="I18" s="1372">
        <v>563846.14</v>
      </c>
      <c r="J18" s="1372"/>
      <c r="K18" s="1372">
        <f t="shared" si="0"/>
        <v>5026698740.2600012</v>
      </c>
      <c r="L18" s="1372">
        <f t="shared" si="1"/>
        <v>1857027485.8800004</v>
      </c>
      <c r="M18" s="1372">
        <f t="shared" si="2"/>
        <v>324627245.67999995</v>
      </c>
      <c r="N18" s="1372">
        <f t="shared" si="3"/>
        <v>172495837.93954799</v>
      </c>
      <c r="O18" s="1352"/>
      <c r="P18" s="1352"/>
    </row>
    <row r="19" spans="1:16">
      <c r="A19" s="1353">
        <v>9</v>
      </c>
      <c r="B19" s="1352" t="s">
        <v>497</v>
      </c>
      <c r="C19" s="1372">
        <v>5053360290.6899996</v>
      </c>
      <c r="D19" s="1372">
        <v>1863304216.74</v>
      </c>
      <c r="E19" s="1372">
        <v>327537589.94000006</v>
      </c>
      <c r="F19" s="1372">
        <v>173533352.08164501</v>
      </c>
      <c r="G19" s="1372">
        <v>7208611.1000000006</v>
      </c>
      <c r="H19" s="1372"/>
      <c r="I19" s="1372">
        <v>563846.14</v>
      </c>
      <c r="J19" s="1372"/>
      <c r="K19" s="1372">
        <f t="shared" si="0"/>
        <v>5046151679.5899992</v>
      </c>
      <c r="L19" s="1372">
        <f t="shared" si="1"/>
        <v>1863304216.74</v>
      </c>
      <c r="M19" s="1372">
        <f t="shared" si="2"/>
        <v>326973743.80000007</v>
      </c>
      <c r="N19" s="1372">
        <f t="shared" si="3"/>
        <v>173533352.08164501</v>
      </c>
      <c r="O19" s="1352"/>
      <c r="P19" s="1352"/>
    </row>
    <row r="20" spans="1:16">
      <c r="A20" s="1353">
        <v>10</v>
      </c>
      <c r="B20" s="1352" t="s">
        <v>498</v>
      </c>
      <c r="C20" s="1372">
        <v>5076847234.6100016</v>
      </c>
      <c r="D20" s="1372">
        <v>1864862926.2655568</v>
      </c>
      <c r="E20" s="1372">
        <v>326485393.11589932</v>
      </c>
      <c r="F20" s="1372">
        <v>173596720.146447</v>
      </c>
      <c r="G20" s="1372">
        <v>6229660.6500000013</v>
      </c>
      <c r="H20" s="1372"/>
      <c r="I20" s="1372">
        <v>623829.42999999993</v>
      </c>
      <c r="J20" s="1372"/>
      <c r="K20" s="1372">
        <f t="shared" si="0"/>
        <v>5070617573.9600019</v>
      </c>
      <c r="L20" s="1372">
        <f t="shared" si="1"/>
        <v>1864862926.2655568</v>
      </c>
      <c r="M20" s="1372">
        <f t="shared" si="2"/>
        <v>325861563.68589932</v>
      </c>
      <c r="N20" s="1372">
        <f t="shared" si="3"/>
        <v>173596720.146447</v>
      </c>
      <c r="O20" s="1352"/>
      <c r="P20" s="1352"/>
    </row>
    <row r="21" spans="1:16">
      <c r="A21" s="1353">
        <v>11</v>
      </c>
      <c r="B21" s="1352" t="s">
        <v>499</v>
      </c>
      <c r="C21" s="1372">
        <v>5104101523.5099993</v>
      </c>
      <c r="D21" s="1372">
        <v>1872138906.27</v>
      </c>
      <c r="E21" s="1372">
        <v>335740462.72999996</v>
      </c>
      <c r="F21" s="1372">
        <v>170226802.311721</v>
      </c>
      <c r="G21" s="1372">
        <v>6229660.6500000013</v>
      </c>
      <c r="H21" s="1372"/>
      <c r="I21" s="1372">
        <v>623829.42999999993</v>
      </c>
      <c r="J21" s="1372"/>
      <c r="K21" s="1372">
        <f t="shared" si="0"/>
        <v>5097871862.8599997</v>
      </c>
      <c r="L21" s="1372">
        <f t="shared" si="1"/>
        <v>1872138906.27</v>
      </c>
      <c r="M21" s="1372">
        <f t="shared" si="2"/>
        <v>335116633.29999995</v>
      </c>
      <c r="N21" s="1372">
        <f t="shared" si="3"/>
        <v>170226802.311721</v>
      </c>
      <c r="O21" s="1352"/>
      <c r="P21" s="1352"/>
    </row>
    <row r="22" spans="1:16">
      <c r="A22" s="1353">
        <v>12</v>
      </c>
      <c r="B22" s="1352" t="s">
        <v>500</v>
      </c>
      <c r="C22" s="1372">
        <v>5133368554.0599995</v>
      </c>
      <c r="D22" s="1372">
        <v>1881515812.4699996</v>
      </c>
      <c r="E22" s="1372">
        <v>346055969.56999993</v>
      </c>
      <c r="F22" s="1372">
        <v>170515406.41222098</v>
      </c>
      <c r="G22" s="1372">
        <v>6231878.0000000009</v>
      </c>
      <c r="H22" s="1372"/>
      <c r="I22" s="1372">
        <v>623829.42999999993</v>
      </c>
      <c r="J22" s="1372"/>
      <c r="K22" s="1372">
        <f t="shared" si="0"/>
        <v>5127136676.0599995</v>
      </c>
      <c r="L22" s="1372">
        <f t="shared" si="1"/>
        <v>1881515812.4699996</v>
      </c>
      <c r="M22" s="1372">
        <f t="shared" si="2"/>
        <v>345432140.13999993</v>
      </c>
      <c r="N22" s="1372">
        <f t="shared" si="3"/>
        <v>170515406.41222098</v>
      </c>
      <c r="O22" s="1352"/>
      <c r="P22" s="1352"/>
    </row>
    <row r="23" spans="1:16">
      <c r="A23" s="1353">
        <v>13</v>
      </c>
      <c r="B23" s="1352" t="s">
        <v>501</v>
      </c>
      <c r="C23" s="1372">
        <f>'5 - Cost Support 1'!I231</f>
        <v>5200636381</v>
      </c>
      <c r="D23" s="1372">
        <f>'5 - Cost Support 1'!I234</f>
        <v>1901457886</v>
      </c>
      <c r="E23" s="1372">
        <f>'5 - Cost Support 1'!I235</f>
        <v>366803921</v>
      </c>
      <c r="F23" s="1372">
        <v>169867618</v>
      </c>
      <c r="G23" s="1372">
        <v>6217215.21</v>
      </c>
      <c r="H23" s="1372"/>
      <c r="I23" s="1372">
        <v>623829.42999999993</v>
      </c>
      <c r="J23" s="1372"/>
      <c r="K23" s="1372">
        <f t="shared" si="0"/>
        <v>5194419165.79</v>
      </c>
      <c r="L23" s="1372">
        <f t="shared" si="1"/>
        <v>1901457886</v>
      </c>
      <c r="M23" s="1372">
        <f t="shared" si="2"/>
        <v>366180091.56999999</v>
      </c>
      <c r="N23" s="1372">
        <f t="shared" si="3"/>
        <v>169867618</v>
      </c>
      <c r="O23" s="1352"/>
      <c r="P23" s="1352"/>
    </row>
    <row r="24" spans="1:16" ht="13" thickBot="1">
      <c r="A24" s="1353">
        <v>14</v>
      </c>
      <c r="B24" s="1406" t="s">
        <v>502</v>
      </c>
      <c r="C24" s="1375">
        <f t="shared" ref="C24:J24" si="4">SUM(C11:C23)/13</f>
        <v>5030604414.0976925</v>
      </c>
      <c r="D24" s="1375">
        <f t="shared" si="4"/>
        <v>1858953079.6881201</v>
      </c>
      <c r="E24" s="1375">
        <f t="shared" si="4"/>
        <v>327071377.64199233</v>
      </c>
      <c r="F24" s="1375">
        <f t="shared" si="4"/>
        <v>167509566.28972787</v>
      </c>
      <c r="G24" s="1375">
        <f t="shared" si="4"/>
        <v>6920356.0092307692</v>
      </c>
      <c r="H24" s="1375">
        <f t="shared" si="4"/>
        <v>0</v>
      </c>
      <c r="I24" s="1375">
        <f t="shared" si="4"/>
        <v>582302.53692307684</v>
      </c>
      <c r="J24" s="1375">
        <f t="shared" si="4"/>
        <v>0</v>
      </c>
      <c r="K24" s="1375">
        <f t="shared" ref="K24:N24" si="5">SUM(K11:K23)/13</f>
        <v>5023684058.0884619</v>
      </c>
      <c r="L24" s="1375">
        <f t="shared" si="5"/>
        <v>1858953079.6881201</v>
      </c>
      <c r="M24" s="1375">
        <f t="shared" si="5"/>
        <v>326489075.10506916</v>
      </c>
      <c r="N24" s="1375">
        <f t="shared" si="5"/>
        <v>167509566.28972787</v>
      </c>
      <c r="O24" s="1352"/>
    </row>
    <row r="25" spans="1:16" ht="13.5" thickTop="1" thickBot="1">
      <c r="A25" s="1353"/>
      <c r="B25" s="1352"/>
      <c r="C25" s="1376"/>
      <c r="D25" s="1376"/>
      <c r="E25" s="1377"/>
      <c r="F25" s="1377"/>
      <c r="G25" s="1352"/>
      <c r="H25" s="1352"/>
      <c r="I25" s="1376"/>
      <c r="J25" s="1376"/>
      <c r="K25" s="1376"/>
      <c r="L25" s="1376"/>
    </row>
    <row r="26" spans="1:16" s="1359" customFormat="1" ht="14.5" thickBot="1">
      <c r="A26" s="1357"/>
      <c r="B26" s="1356"/>
      <c r="C26" s="1895" t="s">
        <v>1166</v>
      </c>
      <c r="D26" s="1898"/>
      <c r="E26" s="1898"/>
      <c r="F26" s="1898"/>
      <c r="G26" s="1900"/>
      <c r="H26" s="1897"/>
      <c r="I26" s="1895" t="s">
        <v>1164</v>
      </c>
      <c r="J26" s="1900"/>
      <c r="K26" s="1900"/>
      <c r="L26" s="1900"/>
      <c r="M26" s="1900"/>
      <c r="N26" s="1897"/>
    </row>
    <row r="27" spans="1:16" s="1405" customFormat="1" ht="25.5">
      <c r="A27" s="1403" t="s">
        <v>475</v>
      </c>
      <c r="B27" s="1361" t="s">
        <v>159</v>
      </c>
      <c r="C27" s="1361" t="s">
        <v>531</v>
      </c>
      <c r="D27" s="1361" t="s">
        <v>208</v>
      </c>
      <c r="E27" s="1361" t="s">
        <v>761</v>
      </c>
      <c r="F27" s="1404" t="s">
        <v>762</v>
      </c>
      <c r="G27" s="1404" t="s">
        <v>763</v>
      </c>
      <c r="H27" s="1404" t="s">
        <v>764</v>
      </c>
      <c r="I27" s="1361" t="s">
        <v>531</v>
      </c>
      <c r="J27" s="1361" t="s">
        <v>208</v>
      </c>
      <c r="K27" s="1361" t="s">
        <v>761</v>
      </c>
      <c r="L27" s="1404" t="s">
        <v>762</v>
      </c>
      <c r="M27" s="1404" t="s">
        <v>763</v>
      </c>
      <c r="N27" s="1404" t="s">
        <v>764</v>
      </c>
    </row>
    <row r="28" spans="1:16" s="1370" customFormat="1" ht="13">
      <c r="A28" s="1353"/>
      <c r="B28" s="1364" t="s">
        <v>480</v>
      </c>
      <c r="C28" s="1364" t="s">
        <v>481</v>
      </c>
      <c r="D28" s="1364" t="s">
        <v>482</v>
      </c>
      <c r="E28" s="1361" t="s">
        <v>483</v>
      </c>
      <c r="F28" s="1364" t="s">
        <v>484</v>
      </c>
      <c r="G28" s="1364" t="s">
        <v>485</v>
      </c>
      <c r="H28" s="1361" t="s">
        <v>486</v>
      </c>
      <c r="I28" s="1364" t="s">
        <v>487</v>
      </c>
      <c r="J28" s="1364" t="s">
        <v>488</v>
      </c>
      <c r="K28" s="1361" t="s">
        <v>489</v>
      </c>
      <c r="L28" s="1364" t="s">
        <v>490</v>
      </c>
      <c r="M28" s="1361" t="s">
        <v>516</v>
      </c>
      <c r="N28" s="1361" t="s">
        <v>729</v>
      </c>
      <c r="O28" s="1352"/>
    </row>
    <row r="29" spans="1:16" s="1370" customFormat="1">
      <c r="A29" s="1353"/>
      <c r="B29" s="1382" t="s">
        <v>1471</v>
      </c>
      <c r="C29" s="1407"/>
      <c r="D29" s="1354"/>
      <c r="E29" s="1354"/>
      <c r="G29" s="1367"/>
      <c r="H29" s="1367"/>
      <c r="I29" s="1354"/>
      <c r="J29" s="1354"/>
      <c r="K29" s="1354"/>
      <c r="L29" s="1367"/>
    </row>
    <row r="30" spans="1:16" s="1370" customFormat="1" ht="88">
      <c r="A30" s="1353"/>
      <c r="B30" s="1364"/>
      <c r="C30" s="1368" t="s">
        <v>924</v>
      </c>
      <c r="D30" s="1368" t="s">
        <v>923</v>
      </c>
      <c r="E30" s="1369" t="s">
        <v>1588</v>
      </c>
      <c r="F30" s="686" t="s">
        <v>1589</v>
      </c>
      <c r="G30" s="1385" t="s">
        <v>1590</v>
      </c>
      <c r="H30" s="1385" t="s">
        <v>1590</v>
      </c>
      <c r="I30" s="1368" t="s">
        <v>924</v>
      </c>
      <c r="J30" s="1368" t="s">
        <v>923</v>
      </c>
      <c r="K30" s="1369" t="s">
        <v>925</v>
      </c>
      <c r="L30" s="1512" t="s">
        <v>926</v>
      </c>
      <c r="M30" s="1385" t="s">
        <v>491</v>
      </c>
      <c r="N30" s="1385" t="s">
        <v>491</v>
      </c>
    </row>
    <row r="31" spans="1:16">
      <c r="A31" s="1353">
        <v>15</v>
      </c>
      <c r="B31" s="1371" t="s">
        <v>492</v>
      </c>
      <c r="C31" s="1372">
        <v>1238105515</v>
      </c>
      <c r="D31" s="1372">
        <v>453785073.57000005</v>
      </c>
      <c r="E31" s="1372">
        <v>80813901</v>
      </c>
      <c r="F31" s="1372">
        <v>19081654.510000005</v>
      </c>
      <c r="G31" s="1372">
        <v>63394086</v>
      </c>
      <c r="H31" s="1372">
        <v>20160103</v>
      </c>
      <c r="I31" s="1372">
        <v>895747.17999999993</v>
      </c>
      <c r="J31" s="1372"/>
      <c r="K31" s="1372">
        <v>90215.39</v>
      </c>
      <c r="L31" s="1372">
        <v>0</v>
      </c>
      <c r="M31" s="1372">
        <v>0</v>
      </c>
      <c r="N31" s="1372">
        <v>0</v>
      </c>
      <c r="P31" s="1352"/>
    </row>
    <row r="32" spans="1:16">
      <c r="A32" s="1353">
        <v>16</v>
      </c>
      <c r="B32" s="1371" t="s">
        <v>493</v>
      </c>
      <c r="C32" s="1372">
        <v>1243789044.5099998</v>
      </c>
      <c r="D32" s="1372">
        <v>457019998.37000006</v>
      </c>
      <c r="E32" s="1372">
        <v>77622380.909999996</v>
      </c>
      <c r="F32" s="1372">
        <v>19764603.629999999</v>
      </c>
      <c r="G32" s="1372">
        <v>62965020.314404003</v>
      </c>
      <c r="H32" s="1372">
        <v>21169201.742856</v>
      </c>
      <c r="I32" s="1372">
        <v>923591.08</v>
      </c>
      <c r="J32" s="1372"/>
      <c r="K32" s="1372">
        <v>112769.24</v>
      </c>
      <c r="L32" s="1372">
        <v>0</v>
      </c>
      <c r="M32" s="1372">
        <v>0</v>
      </c>
      <c r="N32" s="1372">
        <v>0</v>
      </c>
      <c r="P32" s="1352"/>
    </row>
    <row r="33" spans="1:16">
      <c r="A33" s="1353">
        <v>17</v>
      </c>
      <c r="B33" s="1352" t="s">
        <v>494</v>
      </c>
      <c r="C33" s="1372">
        <v>1252726101.3200002</v>
      </c>
      <c r="D33" s="1372">
        <v>459693818.91000003</v>
      </c>
      <c r="E33" s="1372">
        <v>78799069.700000003</v>
      </c>
      <c r="F33" s="1372">
        <v>20401031.109999999</v>
      </c>
      <c r="G33" s="1372">
        <v>62654895.708662011</v>
      </c>
      <c r="H33" s="1372">
        <v>21717053.401806001</v>
      </c>
      <c r="I33" s="1372">
        <v>978552.78999999992</v>
      </c>
      <c r="J33" s="1372"/>
      <c r="K33" s="1372">
        <v>135323.09</v>
      </c>
      <c r="L33" s="1372">
        <v>0</v>
      </c>
      <c r="M33" s="1372">
        <v>0</v>
      </c>
      <c r="N33" s="1372">
        <v>0</v>
      </c>
      <c r="P33" s="1352"/>
    </row>
    <row r="34" spans="1:16">
      <c r="A34" s="1353">
        <v>18</v>
      </c>
      <c r="B34" s="1352" t="s">
        <v>495</v>
      </c>
      <c r="C34" s="1372">
        <v>1266038328.24</v>
      </c>
      <c r="D34" s="1372">
        <v>462376748.72000003</v>
      </c>
      <c r="E34" s="1372">
        <v>80118071.580000013</v>
      </c>
      <c r="F34" s="1372">
        <v>21062963.649999999</v>
      </c>
      <c r="G34" s="1372">
        <v>63077664.115822002</v>
      </c>
      <c r="H34" s="1372">
        <v>22854768.223413002</v>
      </c>
      <c r="I34" s="1372">
        <v>1034770.1699999999</v>
      </c>
      <c r="J34" s="1372"/>
      <c r="K34" s="1372">
        <v>157876.94</v>
      </c>
      <c r="L34" s="1372">
        <v>0</v>
      </c>
      <c r="M34" s="1372">
        <v>0</v>
      </c>
      <c r="N34" s="1372">
        <v>0</v>
      </c>
      <c r="P34" s="1352"/>
    </row>
    <row r="35" spans="1:16">
      <c r="A35" s="1353">
        <v>19</v>
      </c>
      <c r="B35" s="1352" t="s">
        <v>161</v>
      </c>
      <c r="C35" s="1372">
        <v>1269917416.8099999</v>
      </c>
      <c r="D35" s="1372">
        <v>464872587.68000001</v>
      </c>
      <c r="E35" s="1372">
        <v>81256507.640000015</v>
      </c>
      <c r="F35" s="1372">
        <v>21724358.109999999</v>
      </c>
      <c r="G35" s="1372">
        <v>63501739.872901</v>
      </c>
      <c r="H35" s="1372">
        <v>23881795.160390999</v>
      </c>
      <c r="I35" s="1372">
        <v>1090987.57</v>
      </c>
      <c r="J35" s="1372"/>
      <c r="K35" s="1372">
        <v>180430.79</v>
      </c>
      <c r="L35" s="1372">
        <v>0</v>
      </c>
      <c r="M35" s="1372">
        <v>0</v>
      </c>
      <c r="N35" s="1372">
        <v>0</v>
      </c>
      <c r="P35" s="1352"/>
    </row>
    <row r="36" spans="1:16" ht="13.5" customHeight="1">
      <c r="A36" s="1353">
        <v>20</v>
      </c>
      <c r="B36" s="1352" t="s">
        <v>162</v>
      </c>
      <c r="C36" s="1372">
        <v>1278801531.5499997</v>
      </c>
      <c r="D36" s="1372">
        <v>467936358.49000001</v>
      </c>
      <c r="E36" s="1372">
        <v>82615200.629999995</v>
      </c>
      <c r="F36" s="1372">
        <v>22758130.66</v>
      </c>
      <c r="G36" s="1372">
        <v>63945892.419626005</v>
      </c>
      <c r="H36" s="1372">
        <v>24623837.829549</v>
      </c>
      <c r="I36" s="1372">
        <v>1147204.95</v>
      </c>
      <c r="J36" s="1372"/>
      <c r="K36" s="1372">
        <v>202984.63</v>
      </c>
      <c r="L36" s="1372">
        <v>0</v>
      </c>
      <c r="M36" s="1372">
        <v>0</v>
      </c>
      <c r="N36" s="1372">
        <v>0</v>
      </c>
      <c r="P36" s="1352"/>
    </row>
    <row r="37" spans="1:16">
      <c r="A37" s="1353">
        <v>21</v>
      </c>
      <c r="B37" s="1352" t="s">
        <v>163</v>
      </c>
      <c r="C37" s="1372">
        <v>1287297274.04</v>
      </c>
      <c r="D37" s="1372">
        <v>469743746.08000004</v>
      </c>
      <c r="E37" s="1372">
        <v>83889010.719999999</v>
      </c>
      <c r="F37" s="1372">
        <v>23505627.350000001</v>
      </c>
      <c r="G37" s="1372">
        <v>64369956.535005003</v>
      </c>
      <c r="H37" s="1372">
        <v>25593678.099276002</v>
      </c>
      <c r="I37" s="1372">
        <v>1203422.3400000001</v>
      </c>
      <c r="J37" s="1372"/>
      <c r="K37" s="1372">
        <v>225538.47</v>
      </c>
      <c r="L37" s="1372">
        <v>0</v>
      </c>
      <c r="M37" s="1372">
        <v>0</v>
      </c>
      <c r="N37" s="1372">
        <v>0</v>
      </c>
      <c r="P37" s="1352"/>
    </row>
    <row r="38" spans="1:16">
      <c r="A38" s="1353">
        <v>22</v>
      </c>
      <c r="B38" s="1352" t="s">
        <v>496</v>
      </c>
      <c r="C38" s="1372">
        <v>1294340543.5699999</v>
      </c>
      <c r="D38" s="1372">
        <v>473308398.03000003</v>
      </c>
      <c r="E38" s="1372">
        <v>85139364.569999993</v>
      </c>
      <c r="F38" s="1372">
        <v>24260579.780000001</v>
      </c>
      <c r="G38" s="1372">
        <v>64832290.074794009</v>
      </c>
      <c r="H38" s="1372">
        <v>26562841.150356002</v>
      </c>
      <c r="I38" s="1372">
        <v>1252636.77</v>
      </c>
      <c r="J38" s="1372"/>
      <c r="K38" s="1372">
        <v>248092.32</v>
      </c>
      <c r="L38" s="1372">
        <v>0</v>
      </c>
      <c r="M38" s="1372">
        <v>0</v>
      </c>
      <c r="N38" s="1372">
        <v>0</v>
      </c>
      <c r="P38" s="1352"/>
    </row>
    <row r="39" spans="1:16">
      <c r="A39" s="1353">
        <v>23</v>
      </c>
      <c r="B39" s="1352" t="s">
        <v>497</v>
      </c>
      <c r="C39" s="1372">
        <v>1302360619.5800002</v>
      </c>
      <c r="D39" s="1372">
        <v>475731683.94</v>
      </c>
      <c r="E39" s="1372">
        <v>86319375.430000007</v>
      </c>
      <c r="F39" s="1372">
        <v>25020262.369999997</v>
      </c>
      <c r="G39" s="1372">
        <v>65272717.009904005</v>
      </c>
      <c r="H39" s="1372">
        <v>27528985.435497001</v>
      </c>
      <c r="I39" s="1372">
        <v>1296503.1499999999</v>
      </c>
      <c r="J39" s="1372"/>
      <c r="K39" s="1372">
        <v>270646.15999999997</v>
      </c>
      <c r="L39" s="1372">
        <v>0</v>
      </c>
      <c r="M39" s="1372">
        <v>0</v>
      </c>
      <c r="N39" s="1372">
        <v>0</v>
      </c>
      <c r="P39" s="1352"/>
    </row>
    <row r="40" spans="1:16">
      <c r="A40" s="1353">
        <v>24</v>
      </c>
      <c r="B40" s="1352" t="s">
        <v>498</v>
      </c>
      <c r="C40" s="1372">
        <v>1311208640.8071001</v>
      </c>
      <c r="D40" s="1372">
        <v>477248793.91000003</v>
      </c>
      <c r="E40" s="1372">
        <v>86487676.817100003</v>
      </c>
      <c r="F40" s="1372">
        <v>25783457.93</v>
      </c>
      <c r="G40" s="1372">
        <v>65462512.498217002</v>
      </c>
      <c r="H40" s="1372">
        <v>28523558.091168001</v>
      </c>
      <c r="I40" s="1372">
        <v>1310125.45</v>
      </c>
      <c r="J40" s="1372"/>
      <c r="K40" s="1372">
        <v>281049.83999999997</v>
      </c>
      <c r="L40" s="1372">
        <v>0</v>
      </c>
      <c r="M40" s="1372">
        <v>0</v>
      </c>
      <c r="N40" s="1372">
        <v>0</v>
      </c>
      <c r="P40" s="1352"/>
    </row>
    <row r="41" spans="1:16">
      <c r="A41" s="1353">
        <v>25</v>
      </c>
      <c r="B41" s="1352" t="s">
        <v>499</v>
      </c>
      <c r="C41" s="1372">
        <v>1317392971.02</v>
      </c>
      <c r="D41" s="1372">
        <v>479637360.13999999</v>
      </c>
      <c r="E41" s="1372">
        <v>86647483.069999993</v>
      </c>
      <c r="F41" s="1372">
        <v>26592144.09</v>
      </c>
      <c r="G41" s="1372">
        <v>66977953.437620997</v>
      </c>
      <c r="H41" s="1372">
        <v>29492229.483989999</v>
      </c>
      <c r="I41" s="1372">
        <v>1339574.53</v>
      </c>
      <c r="J41" s="1372"/>
      <c r="K41" s="1372">
        <v>291379.74</v>
      </c>
      <c r="L41" s="1372">
        <v>0</v>
      </c>
      <c r="M41" s="1372">
        <v>0</v>
      </c>
      <c r="N41" s="1372">
        <v>0</v>
      </c>
      <c r="P41" s="1352"/>
    </row>
    <row r="42" spans="1:16">
      <c r="A42" s="1353">
        <v>26</v>
      </c>
      <c r="B42" s="1352" t="s">
        <v>500</v>
      </c>
      <c r="C42" s="1372">
        <v>1324831711.42343</v>
      </c>
      <c r="D42" s="1372">
        <v>481972076.89999998</v>
      </c>
      <c r="E42" s="1372">
        <v>88306530.909999996</v>
      </c>
      <c r="F42" s="1372">
        <v>28290292.405251</v>
      </c>
      <c r="G42" s="1372">
        <v>67411976.008690998</v>
      </c>
      <c r="H42" s="1372">
        <v>30466109.927000999</v>
      </c>
      <c r="I42" s="1372">
        <v>1371240.94</v>
      </c>
      <c r="J42" s="1372"/>
      <c r="K42" s="1372">
        <v>301709.64</v>
      </c>
      <c r="L42" s="1372">
        <v>0</v>
      </c>
      <c r="M42" s="1372">
        <v>0</v>
      </c>
      <c r="N42" s="1372">
        <v>0</v>
      </c>
      <c r="P42" s="1352"/>
    </row>
    <row r="43" spans="1:16">
      <c r="A43" s="1353">
        <v>27</v>
      </c>
      <c r="B43" s="1352" t="s">
        <v>501</v>
      </c>
      <c r="C43" s="1372">
        <f>'5 - Cost Support 1'!I232</f>
        <v>1328136984</v>
      </c>
      <c r="D43" s="1372">
        <v>484485970</v>
      </c>
      <c r="E43" s="1372">
        <f>'5 - Cost Support 1'!I236</f>
        <v>84452500</v>
      </c>
      <c r="F43" s="1372">
        <f>'5 - Cost Support 1'!I233</f>
        <v>28269576</v>
      </c>
      <c r="G43" s="1372">
        <v>67850115</v>
      </c>
      <c r="H43" s="1372">
        <v>31617353</v>
      </c>
      <c r="I43" s="1372">
        <v>1386027.22</v>
      </c>
      <c r="J43" s="1372"/>
      <c r="K43" s="1372">
        <v>312039.54000000004</v>
      </c>
      <c r="L43" s="1372">
        <v>0</v>
      </c>
      <c r="M43" s="1372">
        <v>0</v>
      </c>
      <c r="N43" s="1372">
        <v>0</v>
      </c>
      <c r="P43" s="1352"/>
    </row>
    <row r="44" spans="1:16" ht="13" thickBot="1">
      <c r="A44" s="1353">
        <v>28</v>
      </c>
      <c r="B44" s="1406" t="s">
        <v>502</v>
      </c>
      <c r="C44" s="1375">
        <f t="shared" ref="C44:L44" si="6">SUM(C31:C43)/13</f>
        <v>1285765129.374656</v>
      </c>
      <c r="D44" s="1375">
        <f t="shared" si="6"/>
        <v>469831739.5953846</v>
      </c>
      <c r="E44" s="1375">
        <f t="shared" si="6"/>
        <v>83266697.921315372</v>
      </c>
      <c r="F44" s="1375">
        <f t="shared" si="6"/>
        <v>23578052.430403925</v>
      </c>
      <c r="G44" s="1375">
        <f t="shared" si="6"/>
        <v>64747447.615049765</v>
      </c>
      <c r="H44" s="1375">
        <f t="shared" si="6"/>
        <v>25707039.580407921</v>
      </c>
      <c r="I44" s="1375">
        <f t="shared" si="6"/>
        <v>1171568.0107692308</v>
      </c>
      <c r="J44" s="1375">
        <f t="shared" si="6"/>
        <v>0</v>
      </c>
      <c r="K44" s="1375">
        <f t="shared" si="6"/>
        <v>216158.13769230773</v>
      </c>
      <c r="L44" s="1375">
        <f t="shared" si="6"/>
        <v>0</v>
      </c>
      <c r="M44" s="1375">
        <f t="shared" ref="M44:N44" si="7">SUM(M31:M43)/13</f>
        <v>0</v>
      </c>
      <c r="N44" s="1375">
        <f t="shared" si="7"/>
        <v>0</v>
      </c>
    </row>
    <row r="45" spans="1:16" ht="13.5" thickTop="1" thickBot="1"/>
    <row r="46" spans="1:16" s="1359" customFormat="1" ht="14.5" thickBot="1">
      <c r="A46" s="1408"/>
      <c r="C46" s="1895" t="s">
        <v>818</v>
      </c>
      <c r="D46" s="1896"/>
      <c r="E46" s="1896"/>
      <c r="F46" s="1896"/>
      <c r="G46" s="1896"/>
      <c r="H46" s="1897"/>
    </row>
    <row r="47" spans="1:16" ht="26">
      <c r="A47" s="1360" t="s">
        <v>475</v>
      </c>
      <c r="B47" s="1361" t="s">
        <v>159</v>
      </c>
      <c r="C47" s="1361" t="s">
        <v>531</v>
      </c>
      <c r="D47" s="1361" t="s">
        <v>208</v>
      </c>
      <c r="E47" s="1361" t="s">
        <v>148</v>
      </c>
      <c r="F47" s="1361" t="s">
        <v>348</v>
      </c>
      <c r="G47" s="1362" t="s">
        <v>765</v>
      </c>
      <c r="H47" s="1362" t="s">
        <v>766</v>
      </c>
    </row>
    <row r="48" spans="1:16" ht="13">
      <c r="A48" s="1357"/>
      <c r="B48" s="1364" t="s">
        <v>480</v>
      </c>
      <c r="C48" s="1364" t="s">
        <v>481</v>
      </c>
      <c r="D48" s="1364" t="s">
        <v>482</v>
      </c>
      <c r="E48" s="1361" t="s">
        <v>483</v>
      </c>
      <c r="F48" s="1364" t="s">
        <v>484</v>
      </c>
      <c r="G48" s="1364" t="s">
        <v>485</v>
      </c>
      <c r="H48" s="1361" t="s">
        <v>486</v>
      </c>
    </row>
    <row r="49" spans="1:8">
      <c r="A49" s="1357"/>
      <c r="B49" s="1366" t="s">
        <v>1471</v>
      </c>
      <c r="C49" s="1354">
        <v>9</v>
      </c>
      <c r="D49" s="1354">
        <v>30</v>
      </c>
      <c r="E49" s="1354">
        <v>31</v>
      </c>
      <c r="F49" s="1354">
        <v>32</v>
      </c>
      <c r="G49" s="1354">
        <v>12</v>
      </c>
      <c r="H49" s="1354">
        <v>11</v>
      </c>
    </row>
    <row r="50" spans="1:8" ht="13">
      <c r="A50" s="1357"/>
      <c r="B50" s="1364"/>
      <c r="C50" s="1368" t="s">
        <v>927</v>
      </c>
      <c r="D50" s="1368" t="s">
        <v>928</v>
      </c>
      <c r="E50" s="1368" t="s">
        <v>929</v>
      </c>
      <c r="F50" s="1368" t="s">
        <v>930</v>
      </c>
      <c r="G50" s="1368" t="s">
        <v>932</v>
      </c>
      <c r="H50" s="1368" t="s">
        <v>931</v>
      </c>
    </row>
    <row r="51" spans="1:8">
      <c r="A51" s="1357">
        <v>29</v>
      </c>
      <c r="B51" s="1371" t="s">
        <v>492</v>
      </c>
      <c r="C51" s="1372">
        <f t="shared" ref="C51:C63" si="8">+C31-I31</f>
        <v>1237209767.8199999</v>
      </c>
      <c r="D51" s="1372">
        <f t="shared" ref="D51:D63" si="9">+D31-J31</f>
        <v>453785073.57000005</v>
      </c>
      <c r="E51" s="1372">
        <f t="shared" ref="E51:E63" si="10">+E31-K31</f>
        <v>80723685.609999999</v>
      </c>
      <c r="F51" s="1372">
        <f t="shared" ref="F51:F63" si="11">+F31-L31</f>
        <v>19081654.510000005</v>
      </c>
      <c r="G51" s="1372">
        <f t="shared" ref="G51:H62" si="12">+G31-M31</f>
        <v>63394086</v>
      </c>
      <c r="H51" s="1372">
        <f t="shared" si="12"/>
        <v>20160103</v>
      </c>
    </row>
    <row r="52" spans="1:8">
      <c r="A52" s="1357">
        <v>30</v>
      </c>
      <c r="B52" s="1371" t="s">
        <v>493</v>
      </c>
      <c r="C52" s="1372">
        <f t="shared" si="8"/>
        <v>1242865453.4299998</v>
      </c>
      <c r="D52" s="1372">
        <f t="shared" si="9"/>
        <v>457019998.37000006</v>
      </c>
      <c r="E52" s="1372">
        <f t="shared" si="10"/>
        <v>77509611.670000002</v>
      </c>
      <c r="F52" s="1372">
        <f t="shared" si="11"/>
        <v>19764603.629999999</v>
      </c>
      <c r="G52" s="1372">
        <f t="shared" si="12"/>
        <v>62965020.314404003</v>
      </c>
      <c r="H52" s="1372">
        <f t="shared" si="12"/>
        <v>21169201.742856</v>
      </c>
    </row>
    <row r="53" spans="1:8">
      <c r="A53" s="1357">
        <v>31</v>
      </c>
      <c r="B53" s="1352" t="s">
        <v>494</v>
      </c>
      <c r="C53" s="1372">
        <f t="shared" si="8"/>
        <v>1251747548.5300002</v>
      </c>
      <c r="D53" s="1372">
        <f t="shared" si="9"/>
        <v>459693818.91000003</v>
      </c>
      <c r="E53" s="1372">
        <f t="shared" si="10"/>
        <v>78663746.609999999</v>
      </c>
      <c r="F53" s="1372">
        <f t="shared" si="11"/>
        <v>20401031.109999999</v>
      </c>
      <c r="G53" s="1372">
        <f t="shared" si="12"/>
        <v>62654895.708662011</v>
      </c>
      <c r="H53" s="1372">
        <f t="shared" si="12"/>
        <v>21717053.401806001</v>
      </c>
    </row>
    <row r="54" spans="1:8">
      <c r="A54" s="1357">
        <v>32</v>
      </c>
      <c r="B54" s="1352" t="s">
        <v>495</v>
      </c>
      <c r="C54" s="1372">
        <f t="shared" si="8"/>
        <v>1265003558.0699999</v>
      </c>
      <c r="D54" s="1372">
        <f t="shared" si="9"/>
        <v>462376748.72000003</v>
      </c>
      <c r="E54" s="1372">
        <f t="shared" si="10"/>
        <v>79960194.640000015</v>
      </c>
      <c r="F54" s="1372">
        <f t="shared" si="11"/>
        <v>21062963.649999999</v>
      </c>
      <c r="G54" s="1372">
        <f t="shared" si="12"/>
        <v>63077664.115822002</v>
      </c>
      <c r="H54" s="1372">
        <f t="shared" si="12"/>
        <v>22854768.223413002</v>
      </c>
    </row>
    <row r="55" spans="1:8">
      <c r="A55" s="1357">
        <v>33</v>
      </c>
      <c r="B55" s="1352" t="s">
        <v>161</v>
      </c>
      <c r="C55" s="1372">
        <f t="shared" si="8"/>
        <v>1268826429.24</v>
      </c>
      <c r="D55" s="1372">
        <f t="shared" si="9"/>
        <v>464872587.68000001</v>
      </c>
      <c r="E55" s="1372">
        <f t="shared" si="10"/>
        <v>81076076.850000009</v>
      </c>
      <c r="F55" s="1372">
        <f t="shared" si="11"/>
        <v>21724358.109999999</v>
      </c>
      <c r="G55" s="1372">
        <f t="shared" si="12"/>
        <v>63501739.872901</v>
      </c>
      <c r="H55" s="1372">
        <f t="shared" si="12"/>
        <v>23881795.160390999</v>
      </c>
    </row>
    <row r="56" spans="1:8">
      <c r="A56" s="1357">
        <v>34</v>
      </c>
      <c r="B56" s="1352" t="s">
        <v>162</v>
      </c>
      <c r="C56" s="1372">
        <f t="shared" si="8"/>
        <v>1277654326.5999997</v>
      </c>
      <c r="D56" s="1372">
        <f t="shared" si="9"/>
        <v>467936358.49000001</v>
      </c>
      <c r="E56" s="1372">
        <f t="shared" si="10"/>
        <v>82412216</v>
      </c>
      <c r="F56" s="1372">
        <f t="shared" si="11"/>
        <v>22758130.66</v>
      </c>
      <c r="G56" s="1372">
        <f t="shared" si="12"/>
        <v>63945892.419626005</v>
      </c>
      <c r="H56" s="1372">
        <f t="shared" si="12"/>
        <v>24623837.829549</v>
      </c>
    </row>
    <row r="57" spans="1:8">
      <c r="A57" s="1357">
        <v>35</v>
      </c>
      <c r="B57" s="1352" t="s">
        <v>163</v>
      </c>
      <c r="C57" s="1372">
        <f t="shared" si="8"/>
        <v>1286093851.7</v>
      </c>
      <c r="D57" s="1372">
        <f t="shared" si="9"/>
        <v>469743746.08000004</v>
      </c>
      <c r="E57" s="1372">
        <f t="shared" si="10"/>
        <v>83663472.25</v>
      </c>
      <c r="F57" s="1372">
        <f t="shared" si="11"/>
        <v>23505627.350000001</v>
      </c>
      <c r="G57" s="1372">
        <f t="shared" si="12"/>
        <v>64369956.535005003</v>
      </c>
      <c r="H57" s="1372">
        <f t="shared" si="12"/>
        <v>25593678.099276002</v>
      </c>
    </row>
    <row r="58" spans="1:8">
      <c r="A58" s="1357">
        <v>36</v>
      </c>
      <c r="B58" s="1352" t="s">
        <v>496</v>
      </c>
      <c r="C58" s="1372">
        <f t="shared" si="8"/>
        <v>1293087906.8</v>
      </c>
      <c r="D58" s="1372">
        <f t="shared" si="9"/>
        <v>473308398.03000003</v>
      </c>
      <c r="E58" s="1372">
        <f>+E38-K38</f>
        <v>84891272.25</v>
      </c>
      <c r="F58" s="1372">
        <f t="shared" si="11"/>
        <v>24260579.780000001</v>
      </c>
      <c r="G58" s="1372">
        <f t="shared" si="12"/>
        <v>64832290.074794009</v>
      </c>
      <c r="H58" s="1372">
        <f t="shared" si="12"/>
        <v>26562841.150356002</v>
      </c>
    </row>
    <row r="59" spans="1:8">
      <c r="A59" s="1357">
        <v>37</v>
      </c>
      <c r="B59" s="1352" t="s">
        <v>497</v>
      </c>
      <c r="C59" s="1372">
        <f t="shared" si="8"/>
        <v>1301064116.4300001</v>
      </c>
      <c r="D59" s="1372">
        <f t="shared" si="9"/>
        <v>475731683.94</v>
      </c>
      <c r="E59" s="1372">
        <f>+E39-K39</f>
        <v>86048729.270000011</v>
      </c>
      <c r="F59" s="1372">
        <f t="shared" si="11"/>
        <v>25020262.369999997</v>
      </c>
      <c r="G59" s="1372">
        <f t="shared" si="12"/>
        <v>65272717.009904005</v>
      </c>
      <c r="H59" s="1372">
        <f t="shared" si="12"/>
        <v>27528985.435497001</v>
      </c>
    </row>
    <row r="60" spans="1:8">
      <c r="A60" s="1357">
        <v>38</v>
      </c>
      <c r="B60" s="1352" t="s">
        <v>498</v>
      </c>
      <c r="C60" s="1372">
        <f t="shared" si="8"/>
        <v>1309898515.3571</v>
      </c>
      <c r="D60" s="1372">
        <f t="shared" si="9"/>
        <v>477248793.91000003</v>
      </c>
      <c r="E60" s="1372">
        <f>+E40-K40</f>
        <v>86206626.9771</v>
      </c>
      <c r="F60" s="1372">
        <f t="shared" si="11"/>
        <v>25783457.93</v>
      </c>
      <c r="G60" s="1372">
        <f t="shared" si="12"/>
        <v>65462512.498217002</v>
      </c>
      <c r="H60" s="1372">
        <f t="shared" si="12"/>
        <v>28523558.091168001</v>
      </c>
    </row>
    <row r="61" spans="1:8">
      <c r="A61" s="1357">
        <v>39</v>
      </c>
      <c r="B61" s="1352" t="s">
        <v>499</v>
      </c>
      <c r="C61" s="1372">
        <f t="shared" si="8"/>
        <v>1316053396.49</v>
      </c>
      <c r="D61" s="1372">
        <f t="shared" si="9"/>
        <v>479637360.13999999</v>
      </c>
      <c r="E61" s="1372">
        <f t="shared" si="10"/>
        <v>86356103.329999998</v>
      </c>
      <c r="F61" s="1372">
        <f t="shared" si="11"/>
        <v>26592144.09</v>
      </c>
      <c r="G61" s="1372">
        <f t="shared" si="12"/>
        <v>66977953.437620997</v>
      </c>
      <c r="H61" s="1372">
        <f t="shared" si="12"/>
        <v>29492229.483989999</v>
      </c>
    </row>
    <row r="62" spans="1:8">
      <c r="A62" s="1357">
        <v>40</v>
      </c>
      <c r="B62" s="1352" t="s">
        <v>500</v>
      </c>
      <c r="C62" s="1372">
        <f t="shared" si="8"/>
        <v>1323460470.4834299</v>
      </c>
      <c r="D62" s="1372">
        <f t="shared" si="9"/>
        <v>481972076.89999998</v>
      </c>
      <c r="E62" s="1372">
        <f t="shared" si="10"/>
        <v>88004821.269999996</v>
      </c>
      <c r="F62" s="1372">
        <f t="shared" si="11"/>
        <v>28290292.405251</v>
      </c>
      <c r="G62" s="1372">
        <f t="shared" si="12"/>
        <v>67411976.008690998</v>
      </c>
      <c r="H62" s="1372">
        <f t="shared" si="12"/>
        <v>30466109.927000999</v>
      </c>
    </row>
    <row r="63" spans="1:8">
      <c r="A63" s="1357">
        <v>41</v>
      </c>
      <c r="B63" s="1352" t="s">
        <v>501</v>
      </c>
      <c r="C63" s="1372">
        <f t="shared" si="8"/>
        <v>1326750956.78</v>
      </c>
      <c r="D63" s="1372">
        <f t="shared" si="9"/>
        <v>484485970</v>
      </c>
      <c r="E63" s="1372">
        <f t="shared" si="10"/>
        <v>84140460.459999993</v>
      </c>
      <c r="F63" s="1372">
        <f t="shared" si="11"/>
        <v>28269576</v>
      </c>
      <c r="G63" s="1372">
        <f t="shared" ref="G63" si="13">+G43-M43</f>
        <v>67850115</v>
      </c>
      <c r="H63" s="1372">
        <f t="shared" ref="H63" si="14">+H43-N43</f>
        <v>31617353</v>
      </c>
    </row>
    <row r="64" spans="1:8" ht="13" thickBot="1">
      <c r="A64" s="1357">
        <v>42</v>
      </c>
      <c r="B64" s="1406" t="s">
        <v>502</v>
      </c>
      <c r="C64" s="1375">
        <f t="shared" ref="C64:F64" si="15">SUM(C51:C63)/13</f>
        <v>1284593561.3638868</v>
      </c>
      <c r="D64" s="1375">
        <f t="shared" si="15"/>
        <v>469831739.5953846</v>
      </c>
      <c r="E64" s="1375">
        <f t="shared" si="15"/>
        <v>83050539.78362307</v>
      </c>
      <c r="F64" s="1375">
        <f t="shared" si="15"/>
        <v>23578052.430403925</v>
      </c>
      <c r="G64" s="1375">
        <f t="shared" ref="G64:H64" si="16">SUM(G51:G63)/13</f>
        <v>64747447.615049765</v>
      </c>
      <c r="H64" s="1375">
        <f t="shared" si="16"/>
        <v>25707039.580407921</v>
      </c>
    </row>
    <row r="65" spans="1:2" ht="13" thickTop="1"/>
    <row r="68" spans="1:2">
      <c r="A68" s="1353" t="s">
        <v>634</v>
      </c>
    </row>
    <row r="69" spans="1:2">
      <c r="A69" s="1353" t="s">
        <v>9</v>
      </c>
      <c r="B69" s="1399" t="s">
        <v>1109</v>
      </c>
    </row>
    <row r="70" spans="1:2">
      <c r="A70" s="1353"/>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view="pageBreakPreview" topLeftCell="A43" zoomScale="60" zoomScaleNormal="90" workbookViewId="0">
      <selection sqref="A1:XFD1048576"/>
    </sheetView>
  </sheetViews>
  <sheetFormatPr defaultColWidth="9.1796875" defaultRowHeight="12.5"/>
  <cols>
    <col min="1" max="1" width="6.1796875" style="1426" customWidth="1"/>
    <col min="2" max="2" width="79.7265625" style="1426" customWidth="1"/>
    <col min="3" max="6" width="15" style="1426" customWidth="1"/>
    <col min="7" max="7" width="14.1796875" style="1426" bestFit="1" customWidth="1"/>
    <col min="8" max="8" width="9.1796875" style="1426"/>
    <col min="9" max="9" width="17.7265625" style="1426" bestFit="1" customWidth="1"/>
    <col min="10" max="10" width="16" style="1426" bestFit="1" customWidth="1"/>
    <col min="11" max="11" width="9.1796875" style="1426"/>
    <col min="12" max="12" width="11.453125" style="1426" bestFit="1" customWidth="1"/>
    <col min="13" max="13" width="17.54296875" style="1426" customWidth="1"/>
    <col min="14" max="16384" width="9.1796875" style="1426"/>
  </cols>
  <sheetData>
    <row r="1" spans="1:13" ht="18">
      <c r="A1" s="1788" t="str">
        <f>+'ATT H-3D'!$A$4</f>
        <v>Delmarva Power &amp; Light Company</v>
      </c>
      <c r="B1" s="1788"/>
      <c r="C1" s="1788"/>
      <c r="D1" s="1788"/>
      <c r="E1" s="1788"/>
      <c r="F1" s="1788"/>
      <c r="I1" s="1427"/>
    </row>
    <row r="2" spans="1:13" ht="15.5">
      <c r="A2" s="1903" t="s">
        <v>528</v>
      </c>
      <c r="B2" s="1903"/>
      <c r="C2" s="1903"/>
      <c r="D2" s="1903"/>
      <c r="E2" s="1903"/>
      <c r="F2" s="1903"/>
    </row>
    <row r="3" spans="1:13" ht="13">
      <c r="A3" s="1901"/>
      <c r="B3" s="1901"/>
      <c r="C3" s="1901"/>
      <c r="D3" s="1901"/>
      <c r="E3" s="1901"/>
      <c r="F3" s="1236"/>
    </row>
    <row r="4" spans="1:13" ht="13">
      <c r="B4" s="1428" t="s">
        <v>480</v>
      </c>
      <c r="C4" s="1428" t="s">
        <v>481</v>
      </c>
      <c r="D4" s="1428" t="s">
        <v>482</v>
      </c>
      <c r="E4" s="1428" t="s">
        <v>483</v>
      </c>
      <c r="F4" s="1428" t="s">
        <v>522</v>
      </c>
      <c r="G4" s="1428" t="s">
        <v>523</v>
      </c>
      <c r="H4" s="1429"/>
      <c r="I4" s="1428"/>
      <c r="J4" s="1428"/>
      <c r="K4" s="1428"/>
      <c r="L4" s="1428"/>
      <c r="M4" s="1428"/>
    </row>
    <row r="5" spans="1:13" ht="13">
      <c r="B5" s="1409" t="s">
        <v>524</v>
      </c>
    </row>
    <row r="6" spans="1:13">
      <c r="B6" s="1371" t="s">
        <v>525</v>
      </c>
      <c r="C6" s="1410" t="s">
        <v>42</v>
      </c>
      <c r="D6" s="1410" t="s">
        <v>733</v>
      </c>
      <c r="E6" s="1415"/>
      <c r="F6" s="1415"/>
      <c r="G6" s="1411" t="s">
        <v>42</v>
      </c>
    </row>
    <row r="7" spans="1:13">
      <c r="A7" s="1411">
        <v>1</v>
      </c>
      <c r="B7" s="1412" t="s">
        <v>732</v>
      </c>
      <c r="C7" s="1413">
        <v>0</v>
      </c>
      <c r="D7" s="1414">
        <v>1</v>
      </c>
      <c r="E7" s="1415"/>
      <c r="F7" s="1415"/>
      <c r="G7" s="1416">
        <f>+C7*D7</f>
        <v>0</v>
      </c>
      <c r="H7" s="1411"/>
    </row>
    <row r="8" spans="1:13">
      <c r="A8" s="1411">
        <v>2</v>
      </c>
      <c r="B8" s="1412" t="s">
        <v>536</v>
      </c>
      <c r="C8" s="1417">
        <v>0</v>
      </c>
      <c r="D8" s="1414">
        <f>+'ATT H-3D'!H24</f>
        <v>0.14625503638690887</v>
      </c>
      <c r="E8" s="1415"/>
      <c r="F8" s="1415"/>
      <c r="G8" s="1416">
        <f>+C8*D8</f>
        <v>0</v>
      </c>
      <c r="H8" s="1411"/>
    </row>
    <row r="9" spans="1:13">
      <c r="A9" s="1411">
        <v>3</v>
      </c>
      <c r="B9" s="1412"/>
      <c r="C9" s="1418"/>
      <c r="D9" s="1415"/>
      <c r="E9" s="1415"/>
      <c r="F9" s="1415"/>
      <c r="G9" s="1416">
        <f t="shared" ref="G9" si="0">+C9*D9</f>
        <v>0</v>
      </c>
      <c r="H9" s="1411"/>
    </row>
    <row r="10" spans="1:13">
      <c r="A10" s="1411">
        <v>4</v>
      </c>
      <c r="B10" s="1371" t="s">
        <v>42</v>
      </c>
      <c r="C10" s="1416">
        <f>SUM(C7:C9)</f>
        <v>0</v>
      </c>
      <c r="D10" s="1416"/>
      <c r="E10" s="1416"/>
      <c r="F10" s="1416"/>
      <c r="G10" s="1416">
        <f>SUM(G7:G9)</f>
        <v>0</v>
      </c>
      <c r="H10" s="1411"/>
      <c r="L10" s="1430"/>
    </row>
    <row r="11" spans="1:13">
      <c r="A11" s="1411">
        <v>5</v>
      </c>
      <c r="B11" s="1431"/>
      <c r="C11" s="1431"/>
      <c r="D11" s="1431"/>
      <c r="E11" s="1431"/>
      <c r="F11" s="1431"/>
      <c r="G11" s="1431"/>
      <c r="H11" s="1411"/>
      <c r="L11" s="1430"/>
    </row>
    <row r="12" spans="1:13" ht="13">
      <c r="A12" s="1411">
        <v>6</v>
      </c>
      <c r="B12" s="1409" t="s">
        <v>768</v>
      </c>
      <c r="C12" s="1431"/>
      <c r="D12" s="1431"/>
      <c r="E12" s="1431"/>
      <c r="F12" s="1431"/>
      <c r="G12" s="1431"/>
      <c r="H12" s="1411"/>
      <c r="I12" s="298"/>
    </row>
    <row r="13" spans="1:13">
      <c r="A13" s="1411">
        <v>7</v>
      </c>
      <c r="B13" s="1371" t="s">
        <v>525</v>
      </c>
      <c r="C13" s="1410" t="s">
        <v>42</v>
      </c>
      <c r="D13" s="1410" t="s">
        <v>733</v>
      </c>
      <c r="E13" s="1419"/>
      <c r="F13" s="1419"/>
      <c r="G13" s="1411" t="s">
        <v>42</v>
      </c>
      <c r="H13" s="1411"/>
      <c r="I13" s="298"/>
    </row>
    <row r="14" spans="1:13">
      <c r="A14" s="1411">
        <v>8</v>
      </c>
      <c r="B14" s="1412" t="s">
        <v>769</v>
      </c>
      <c r="C14" s="1417">
        <f>+C86</f>
        <v>0</v>
      </c>
      <c r="D14" s="1414">
        <f>+'ATT H-3D'!H24</f>
        <v>0.14625503638690887</v>
      </c>
      <c r="E14" s="1419"/>
      <c r="F14" s="1419"/>
      <c r="G14" s="1420">
        <f>+C14*D14</f>
        <v>0</v>
      </c>
      <c r="H14" s="1411"/>
      <c r="I14" s="298"/>
    </row>
    <row r="15" spans="1:13">
      <c r="A15" s="1411">
        <v>9</v>
      </c>
      <c r="B15" s="1412" t="s">
        <v>770</v>
      </c>
      <c r="C15" s="1417">
        <f>+D86</f>
        <v>0</v>
      </c>
      <c r="D15" s="1414">
        <f>+'ATT H-3D'!H24</f>
        <v>0.14625503638690887</v>
      </c>
      <c r="E15" s="1419"/>
      <c r="F15" s="1419"/>
      <c r="G15" s="1420">
        <f>+C15*D15</f>
        <v>0</v>
      </c>
      <c r="H15" s="1411"/>
      <c r="I15" s="298"/>
    </row>
    <row r="16" spans="1:13">
      <c r="A16" s="1411">
        <v>10</v>
      </c>
      <c r="B16" s="1412"/>
      <c r="C16" s="1421"/>
      <c r="D16" s="1419"/>
      <c r="E16" s="1419"/>
      <c r="F16" s="1419"/>
      <c r="G16" s="1420">
        <f t="shared" ref="G16" si="1">+C16*D16</f>
        <v>0</v>
      </c>
      <c r="H16" s="1411"/>
      <c r="I16" s="298"/>
    </row>
    <row r="17" spans="1:9">
      <c r="A17" s="1411">
        <v>11</v>
      </c>
      <c r="B17" s="1371" t="s">
        <v>42</v>
      </c>
      <c r="C17" s="1416">
        <f>SUM(C14:C16)</f>
        <v>0</v>
      </c>
      <c r="D17" s="1420"/>
      <c r="E17" s="1420"/>
      <c r="F17" s="1420"/>
      <c r="G17" s="1420">
        <f>SUM(G14:G16)</f>
        <v>0</v>
      </c>
      <c r="H17" s="1411"/>
      <c r="I17" s="298"/>
    </row>
    <row r="18" spans="1:9">
      <c r="A18" s="1428"/>
      <c r="B18" s="1371"/>
      <c r="C18" s="1416"/>
      <c r="D18" s="1416"/>
      <c r="E18" s="1416"/>
      <c r="F18" s="1416"/>
      <c r="G18" s="1416"/>
      <c r="H18" s="1411"/>
      <c r="I18" s="298"/>
    </row>
    <row r="19" spans="1:9" ht="13">
      <c r="A19" s="1432"/>
      <c r="B19" s="1409" t="s">
        <v>820</v>
      </c>
      <c r="C19" s="1422" t="s">
        <v>209</v>
      </c>
      <c r="D19" s="1422" t="s">
        <v>760</v>
      </c>
      <c r="H19" s="1411"/>
    </row>
    <row r="20" spans="1:9" ht="13">
      <c r="B20" s="1409" t="s">
        <v>520</v>
      </c>
      <c r="C20" s="1371"/>
      <c r="D20" s="1371"/>
      <c r="E20" s="1371"/>
      <c r="F20" s="1371"/>
      <c r="G20" s="1411" t="s">
        <v>42</v>
      </c>
    </row>
    <row r="21" spans="1:9">
      <c r="A21" s="1411">
        <v>12</v>
      </c>
      <c r="B21" s="1371" t="s">
        <v>492</v>
      </c>
      <c r="C21" s="1417">
        <v>0</v>
      </c>
      <c r="D21" s="1417">
        <v>0</v>
      </c>
      <c r="E21" s="1423"/>
      <c r="F21" s="1423"/>
      <c r="G21" s="1416">
        <f t="shared" ref="G21:G33" si="2">SUM(C21:F21)</f>
        <v>0</v>
      </c>
      <c r="H21" s="1411"/>
      <c r="I21" s="799"/>
    </row>
    <row r="22" spans="1:9">
      <c r="A22" s="1411">
        <v>13</v>
      </c>
      <c r="B22" s="1371" t="s">
        <v>493</v>
      </c>
      <c r="C22" s="1417">
        <v>0</v>
      </c>
      <c r="D22" s="1417">
        <v>0</v>
      </c>
      <c r="E22" s="1423"/>
      <c r="F22" s="1423"/>
      <c r="G22" s="1416">
        <f t="shared" si="2"/>
        <v>0</v>
      </c>
      <c r="H22" s="1411"/>
      <c r="I22" s="799"/>
    </row>
    <row r="23" spans="1:9">
      <c r="A23" s="1411">
        <v>14</v>
      </c>
      <c r="B23" s="1371" t="s">
        <v>494</v>
      </c>
      <c r="C23" s="1417">
        <v>0</v>
      </c>
      <c r="D23" s="1417">
        <v>0</v>
      </c>
      <c r="E23" s="1423"/>
      <c r="F23" s="1423"/>
      <c r="G23" s="1416">
        <f t="shared" si="2"/>
        <v>0</v>
      </c>
      <c r="H23" s="1411"/>
      <c r="I23" s="799"/>
    </row>
    <row r="24" spans="1:9">
      <c r="A24" s="1411">
        <v>15</v>
      </c>
      <c r="B24" s="1371" t="s">
        <v>495</v>
      </c>
      <c r="C24" s="1417">
        <v>0</v>
      </c>
      <c r="D24" s="1417">
        <v>0</v>
      </c>
      <c r="E24" s="1423"/>
      <c r="F24" s="1423"/>
      <c r="G24" s="1416">
        <f t="shared" si="2"/>
        <v>0</v>
      </c>
      <c r="H24" s="1411"/>
      <c r="I24" s="799"/>
    </row>
    <row r="25" spans="1:9">
      <c r="A25" s="1411">
        <v>16</v>
      </c>
      <c r="B25" s="1371" t="s">
        <v>161</v>
      </c>
      <c r="C25" s="1417">
        <v>0</v>
      </c>
      <c r="D25" s="1417">
        <v>0</v>
      </c>
      <c r="E25" s="1423"/>
      <c r="F25" s="1423"/>
      <c r="G25" s="1416">
        <f t="shared" si="2"/>
        <v>0</v>
      </c>
      <c r="H25" s="1411"/>
      <c r="I25" s="799"/>
    </row>
    <row r="26" spans="1:9">
      <c r="A26" s="1411">
        <v>17</v>
      </c>
      <c r="B26" s="1371" t="s">
        <v>162</v>
      </c>
      <c r="C26" s="1417">
        <v>0</v>
      </c>
      <c r="D26" s="1417">
        <v>0</v>
      </c>
      <c r="E26" s="1423"/>
      <c r="F26" s="1423"/>
      <c r="G26" s="1416">
        <f t="shared" si="2"/>
        <v>0</v>
      </c>
      <c r="H26" s="1411"/>
      <c r="I26" s="799"/>
    </row>
    <row r="27" spans="1:9">
      <c r="A27" s="1411">
        <v>18</v>
      </c>
      <c r="B27" s="1371" t="s">
        <v>163</v>
      </c>
      <c r="C27" s="1417">
        <v>0</v>
      </c>
      <c r="D27" s="1417">
        <v>0</v>
      </c>
      <c r="E27" s="1423"/>
      <c r="F27" s="1423"/>
      <c r="G27" s="1416">
        <f t="shared" si="2"/>
        <v>0</v>
      </c>
      <c r="H27" s="1411"/>
      <c r="I27" s="799"/>
    </row>
    <row r="28" spans="1:9">
      <c r="A28" s="1411">
        <v>19</v>
      </c>
      <c r="B28" s="1371" t="s">
        <v>496</v>
      </c>
      <c r="C28" s="1417">
        <v>0</v>
      </c>
      <c r="D28" s="1417">
        <v>0</v>
      </c>
      <c r="E28" s="1423"/>
      <c r="F28" s="1423"/>
      <c r="G28" s="1416">
        <f t="shared" si="2"/>
        <v>0</v>
      </c>
      <c r="H28" s="1411"/>
      <c r="I28" s="799"/>
    </row>
    <row r="29" spans="1:9">
      <c r="A29" s="1411">
        <v>20</v>
      </c>
      <c r="B29" s="1371" t="s">
        <v>497</v>
      </c>
      <c r="C29" s="1417">
        <v>0</v>
      </c>
      <c r="D29" s="1417">
        <v>0</v>
      </c>
      <c r="E29" s="1423"/>
      <c r="F29" s="1423"/>
      <c r="G29" s="1416">
        <f t="shared" si="2"/>
        <v>0</v>
      </c>
      <c r="H29" s="1411"/>
      <c r="I29" s="799"/>
    </row>
    <row r="30" spans="1:9">
      <c r="A30" s="1411">
        <v>21</v>
      </c>
      <c r="B30" s="1371" t="s">
        <v>498</v>
      </c>
      <c r="C30" s="1417">
        <v>0</v>
      </c>
      <c r="D30" s="1417">
        <v>0</v>
      </c>
      <c r="E30" s="1423"/>
      <c r="F30" s="1423"/>
      <c r="G30" s="1416">
        <f t="shared" si="2"/>
        <v>0</v>
      </c>
      <c r="H30" s="1411"/>
      <c r="I30" s="799"/>
    </row>
    <row r="31" spans="1:9">
      <c r="A31" s="1411">
        <v>22</v>
      </c>
      <c r="B31" s="1371" t="s">
        <v>499</v>
      </c>
      <c r="C31" s="1417">
        <v>0</v>
      </c>
      <c r="D31" s="1417">
        <v>0</v>
      </c>
      <c r="E31" s="1423"/>
      <c r="F31" s="1423"/>
      <c r="G31" s="1416">
        <f t="shared" si="2"/>
        <v>0</v>
      </c>
      <c r="H31" s="1411"/>
      <c r="I31" s="799"/>
    </row>
    <row r="32" spans="1:9">
      <c r="A32" s="1411">
        <v>23</v>
      </c>
      <c r="B32" s="1371" t="s">
        <v>500</v>
      </c>
      <c r="C32" s="1417">
        <v>0</v>
      </c>
      <c r="D32" s="1417">
        <v>0</v>
      </c>
      <c r="E32" s="1423"/>
      <c r="F32" s="1423"/>
      <c r="G32" s="1416">
        <f t="shared" si="2"/>
        <v>0</v>
      </c>
      <c r="H32" s="1411"/>
      <c r="I32" s="799"/>
    </row>
    <row r="33" spans="1:9">
      <c r="A33" s="1411">
        <v>24</v>
      </c>
      <c r="B33" s="1371" t="s">
        <v>501</v>
      </c>
      <c r="C33" s="1417">
        <v>0</v>
      </c>
      <c r="D33" s="1417">
        <v>0</v>
      </c>
      <c r="E33" s="1423"/>
      <c r="F33" s="1423"/>
      <c r="G33" s="1416">
        <f t="shared" si="2"/>
        <v>0</v>
      </c>
      <c r="H33" s="1411"/>
      <c r="I33" s="799"/>
    </row>
    <row r="34" spans="1:9">
      <c r="A34" s="1411">
        <v>25</v>
      </c>
      <c r="B34" s="1371" t="s">
        <v>519</v>
      </c>
      <c r="C34" s="1424">
        <f>AVERAGE(C21:C33)</f>
        <v>0</v>
      </c>
      <c r="D34" s="1424">
        <f>AVERAGE(D21:D33)</f>
        <v>0</v>
      </c>
      <c r="E34" s="1424"/>
      <c r="F34" s="1424"/>
      <c r="G34" s="1424">
        <f>AVERAGE(G21:G33)</f>
        <v>0</v>
      </c>
      <c r="H34" s="1411"/>
      <c r="I34" s="799"/>
    </row>
    <row r="35" spans="1:9">
      <c r="A35" s="1411"/>
      <c r="B35" s="1371"/>
      <c r="C35" s="1424"/>
      <c r="D35" s="1424"/>
      <c r="E35" s="1424"/>
      <c r="I35" s="799"/>
    </row>
    <row r="36" spans="1:9">
      <c r="I36" s="799"/>
    </row>
    <row r="37" spans="1:9" ht="13">
      <c r="B37" s="1409" t="s">
        <v>70</v>
      </c>
      <c r="C37" s="1422" t="s">
        <v>209</v>
      </c>
      <c r="D37" s="1422" t="s">
        <v>760</v>
      </c>
      <c r="E37" s="1371"/>
      <c r="F37" s="1371"/>
      <c r="G37" s="1411" t="s">
        <v>42</v>
      </c>
      <c r="I37" s="799"/>
    </row>
    <row r="38" spans="1:9">
      <c r="A38" s="1411">
        <v>26</v>
      </c>
      <c r="B38" s="1371" t="s">
        <v>492</v>
      </c>
      <c r="C38" s="1417">
        <v>0</v>
      </c>
      <c r="D38" s="1425">
        <v>0</v>
      </c>
      <c r="E38" s="1423"/>
      <c r="F38" s="1423"/>
      <c r="G38" s="1416">
        <f t="shared" ref="G38:G50" si="3">SUM(C38:F38)</f>
        <v>0</v>
      </c>
      <c r="H38" s="1411"/>
      <c r="I38" s="799"/>
    </row>
    <row r="39" spans="1:9">
      <c r="A39" s="1411">
        <v>27</v>
      </c>
      <c r="B39" s="1371" t="s">
        <v>493</v>
      </c>
      <c r="C39" s="1417">
        <v>0</v>
      </c>
      <c r="D39" s="1417">
        <v>0</v>
      </c>
      <c r="E39" s="1423"/>
      <c r="F39" s="1423"/>
      <c r="G39" s="1416">
        <f t="shared" si="3"/>
        <v>0</v>
      </c>
      <c r="H39" s="1411"/>
      <c r="I39" s="799"/>
    </row>
    <row r="40" spans="1:9">
      <c r="A40" s="1411">
        <v>28</v>
      </c>
      <c r="B40" s="1371" t="s">
        <v>494</v>
      </c>
      <c r="C40" s="1417">
        <v>0</v>
      </c>
      <c r="D40" s="1417">
        <v>0</v>
      </c>
      <c r="E40" s="1423"/>
      <c r="F40" s="1423"/>
      <c r="G40" s="1416">
        <f t="shared" si="3"/>
        <v>0</v>
      </c>
      <c r="H40" s="1411"/>
      <c r="I40" s="799"/>
    </row>
    <row r="41" spans="1:9">
      <c r="A41" s="1411">
        <v>29</v>
      </c>
      <c r="B41" s="1371" t="s">
        <v>495</v>
      </c>
      <c r="C41" s="1417">
        <v>0</v>
      </c>
      <c r="D41" s="1417">
        <v>0</v>
      </c>
      <c r="E41" s="1423"/>
      <c r="F41" s="1423"/>
      <c r="G41" s="1416">
        <f t="shared" si="3"/>
        <v>0</v>
      </c>
      <c r="H41" s="1411"/>
      <c r="I41" s="799"/>
    </row>
    <row r="42" spans="1:9">
      <c r="A42" s="1411">
        <v>30</v>
      </c>
      <c r="B42" s="1371" t="s">
        <v>161</v>
      </c>
      <c r="C42" s="1417">
        <v>0</v>
      </c>
      <c r="D42" s="1417">
        <v>0</v>
      </c>
      <c r="E42" s="1423"/>
      <c r="F42" s="1423"/>
      <c r="G42" s="1416">
        <f t="shared" si="3"/>
        <v>0</v>
      </c>
      <c r="H42" s="1411"/>
      <c r="I42" s="799"/>
    </row>
    <row r="43" spans="1:9">
      <c r="A43" s="1411">
        <v>31</v>
      </c>
      <c r="B43" s="1371" t="s">
        <v>162</v>
      </c>
      <c r="C43" s="1417">
        <v>0</v>
      </c>
      <c r="D43" s="1417">
        <v>0</v>
      </c>
      <c r="E43" s="1423"/>
      <c r="F43" s="1423"/>
      <c r="G43" s="1416">
        <f t="shared" si="3"/>
        <v>0</v>
      </c>
      <c r="H43" s="1411"/>
      <c r="I43" s="799"/>
    </row>
    <row r="44" spans="1:9">
      <c r="A44" s="1411">
        <v>32</v>
      </c>
      <c r="B44" s="1371" t="s">
        <v>163</v>
      </c>
      <c r="C44" s="1417">
        <v>0</v>
      </c>
      <c r="D44" s="1417">
        <v>0</v>
      </c>
      <c r="E44" s="1423"/>
      <c r="F44" s="1423"/>
      <c r="G44" s="1416">
        <f t="shared" si="3"/>
        <v>0</v>
      </c>
      <c r="H44" s="1411"/>
      <c r="I44" s="799"/>
    </row>
    <row r="45" spans="1:9">
      <c r="A45" s="1411">
        <v>33</v>
      </c>
      <c r="B45" s="1371" t="s">
        <v>496</v>
      </c>
      <c r="C45" s="1417">
        <v>0</v>
      </c>
      <c r="D45" s="1417">
        <v>0</v>
      </c>
      <c r="E45" s="1423"/>
      <c r="F45" s="1423"/>
      <c r="G45" s="1416">
        <f t="shared" si="3"/>
        <v>0</v>
      </c>
      <c r="H45" s="1411"/>
      <c r="I45" s="799"/>
    </row>
    <row r="46" spans="1:9">
      <c r="A46" s="1411">
        <v>34</v>
      </c>
      <c r="B46" s="1371" t="s">
        <v>497</v>
      </c>
      <c r="C46" s="1417">
        <v>0</v>
      </c>
      <c r="D46" s="1417">
        <v>0</v>
      </c>
      <c r="E46" s="1423"/>
      <c r="F46" s="1423"/>
      <c r="G46" s="1416">
        <f t="shared" si="3"/>
        <v>0</v>
      </c>
      <c r="H46" s="1411"/>
      <c r="I46" s="799"/>
    </row>
    <row r="47" spans="1:9">
      <c r="A47" s="1411">
        <v>35</v>
      </c>
      <c r="B47" s="1371" t="s">
        <v>498</v>
      </c>
      <c r="C47" s="1417">
        <v>0</v>
      </c>
      <c r="D47" s="1417">
        <v>0</v>
      </c>
      <c r="E47" s="1423"/>
      <c r="F47" s="1423"/>
      <c r="G47" s="1416">
        <f t="shared" si="3"/>
        <v>0</v>
      </c>
      <c r="H47" s="1411"/>
      <c r="I47" s="799"/>
    </row>
    <row r="48" spans="1:9">
      <c r="A48" s="1411">
        <v>36</v>
      </c>
      <c r="B48" s="1371" t="s">
        <v>499</v>
      </c>
      <c r="C48" s="1417">
        <v>0</v>
      </c>
      <c r="D48" s="1417">
        <v>0</v>
      </c>
      <c r="E48" s="1423"/>
      <c r="F48" s="1423"/>
      <c r="G48" s="1416">
        <f t="shared" si="3"/>
        <v>0</v>
      </c>
      <c r="H48" s="1411"/>
      <c r="I48" s="799"/>
    </row>
    <row r="49" spans="1:9">
      <c r="A49" s="1411">
        <v>37</v>
      </c>
      <c r="B49" s="1371" t="s">
        <v>500</v>
      </c>
      <c r="C49" s="1417">
        <v>0</v>
      </c>
      <c r="D49" s="1417">
        <v>0</v>
      </c>
      <c r="E49" s="1423"/>
      <c r="F49" s="1423"/>
      <c r="G49" s="1416">
        <f t="shared" si="3"/>
        <v>0</v>
      </c>
      <c r="H49" s="1411"/>
      <c r="I49" s="799"/>
    </row>
    <row r="50" spans="1:9">
      <c r="A50" s="1411">
        <v>38</v>
      </c>
      <c r="B50" s="1371" t="s">
        <v>501</v>
      </c>
      <c r="C50" s="1417">
        <v>0</v>
      </c>
      <c r="D50" s="1425">
        <v>0</v>
      </c>
      <c r="E50" s="1423"/>
      <c r="F50" s="1423"/>
      <c r="G50" s="1416">
        <f t="shared" si="3"/>
        <v>0</v>
      </c>
      <c r="H50" s="1411"/>
      <c r="I50" s="799"/>
    </row>
    <row r="51" spans="1:9">
      <c r="A51" s="1411">
        <v>39</v>
      </c>
      <c r="B51" s="1371" t="s">
        <v>519</v>
      </c>
      <c r="C51" s="1424">
        <f>AVERAGE(C38:C50)</f>
        <v>0</v>
      </c>
      <c r="D51" s="1424">
        <f>AVERAGE(D38:D50)</f>
        <v>0</v>
      </c>
      <c r="E51" s="1424"/>
      <c r="F51" s="1424"/>
      <c r="G51" s="1424">
        <f>AVERAGE(G38:G50)</f>
        <v>0</v>
      </c>
      <c r="I51" s="799"/>
    </row>
    <row r="52" spans="1:9" ht="13">
      <c r="B52" s="1902" t="s">
        <v>237</v>
      </c>
      <c r="C52" s="1902"/>
      <c r="D52" s="1902"/>
      <c r="E52" s="1902"/>
      <c r="F52" s="1902"/>
    </row>
    <row r="53" spans="1:9" ht="13">
      <c r="A53" s="236"/>
      <c r="B53" s="1433"/>
      <c r="C53" s="237"/>
      <c r="D53" s="1236"/>
      <c r="E53" s="1236"/>
      <c r="F53" s="1236"/>
    </row>
    <row r="54" spans="1:9" ht="13">
      <c r="A54" s="1901" t="s">
        <v>528</v>
      </c>
      <c r="B54" s="1901"/>
      <c r="C54" s="1901"/>
      <c r="D54" s="1901"/>
      <c r="E54" s="1901"/>
      <c r="F54" s="1236"/>
    </row>
    <row r="55" spans="1:9">
      <c r="B55" s="1428" t="s">
        <v>480</v>
      </c>
      <c r="C55" s="1428" t="s">
        <v>481</v>
      </c>
      <c r="D55" s="1428" t="s">
        <v>482</v>
      </c>
      <c r="E55" s="1428" t="s">
        <v>483</v>
      </c>
      <c r="F55" s="1428" t="s">
        <v>522</v>
      </c>
      <c r="G55" s="1428" t="s">
        <v>523</v>
      </c>
    </row>
    <row r="56" spans="1:9" ht="13">
      <c r="A56" s="1236"/>
      <c r="B56" s="1409" t="s">
        <v>526</v>
      </c>
      <c r="C56" s="1422" t="s">
        <v>209</v>
      </c>
      <c r="D56" s="1422" t="s">
        <v>760</v>
      </c>
      <c r="E56" s="1371"/>
      <c r="F56" s="1371"/>
      <c r="G56" s="1411" t="s">
        <v>42</v>
      </c>
    </row>
    <row r="57" spans="1:9">
      <c r="A57" s="1411">
        <v>40</v>
      </c>
      <c r="B57" s="1371" t="s">
        <v>492</v>
      </c>
      <c r="C57" s="1424">
        <f>C21-C38</f>
        <v>0</v>
      </c>
      <c r="D57" s="1424">
        <f>D21-D38</f>
        <v>0</v>
      </c>
      <c r="E57" s="1424">
        <f t="shared" ref="C57:F69" si="4">E21-E38</f>
        <v>0</v>
      </c>
      <c r="F57" s="1424">
        <f t="shared" si="4"/>
        <v>0</v>
      </c>
      <c r="G57" s="1416">
        <f t="shared" ref="G57:G69" si="5">SUM(C57:F57)</f>
        <v>0</v>
      </c>
      <c r="H57" s="1411"/>
    </row>
    <row r="58" spans="1:9">
      <c r="A58" s="1411">
        <v>41</v>
      </c>
      <c r="B58" s="1371" t="s">
        <v>493</v>
      </c>
      <c r="C58" s="1424">
        <f t="shared" si="4"/>
        <v>0</v>
      </c>
      <c r="D58" s="1424">
        <f t="shared" si="4"/>
        <v>0</v>
      </c>
      <c r="E58" s="1424">
        <f t="shared" si="4"/>
        <v>0</v>
      </c>
      <c r="F58" s="1424">
        <f t="shared" si="4"/>
        <v>0</v>
      </c>
      <c r="G58" s="1416">
        <f t="shared" si="5"/>
        <v>0</v>
      </c>
      <c r="H58" s="1411"/>
    </row>
    <row r="59" spans="1:9">
      <c r="A59" s="1411">
        <v>42</v>
      </c>
      <c r="B59" s="1371" t="s">
        <v>494</v>
      </c>
      <c r="C59" s="1424">
        <f t="shared" si="4"/>
        <v>0</v>
      </c>
      <c r="D59" s="1424">
        <f t="shared" si="4"/>
        <v>0</v>
      </c>
      <c r="E59" s="1424">
        <f t="shared" si="4"/>
        <v>0</v>
      </c>
      <c r="F59" s="1424">
        <f t="shared" si="4"/>
        <v>0</v>
      </c>
      <c r="G59" s="1416">
        <f t="shared" si="5"/>
        <v>0</v>
      </c>
      <c r="H59" s="1411"/>
    </row>
    <row r="60" spans="1:9">
      <c r="A60" s="1411">
        <v>43</v>
      </c>
      <c r="B60" s="1371" t="s">
        <v>495</v>
      </c>
      <c r="C60" s="1424">
        <f t="shared" si="4"/>
        <v>0</v>
      </c>
      <c r="D60" s="1424">
        <f t="shared" si="4"/>
        <v>0</v>
      </c>
      <c r="E60" s="1424">
        <f t="shared" si="4"/>
        <v>0</v>
      </c>
      <c r="F60" s="1424">
        <f t="shared" si="4"/>
        <v>0</v>
      </c>
      <c r="G60" s="1416">
        <f t="shared" si="5"/>
        <v>0</v>
      </c>
      <c r="H60" s="1411"/>
    </row>
    <row r="61" spans="1:9">
      <c r="A61" s="1411">
        <v>44</v>
      </c>
      <c r="B61" s="1371" t="s">
        <v>161</v>
      </c>
      <c r="C61" s="1424">
        <f t="shared" si="4"/>
        <v>0</v>
      </c>
      <c r="D61" s="1424">
        <f t="shared" si="4"/>
        <v>0</v>
      </c>
      <c r="E61" s="1424">
        <f t="shared" si="4"/>
        <v>0</v>
      </c>
      <c r="F61" s="1424">
        <f t="shared" si="4"/>
        <v>0</v>
      </c>
      <c r="G61" s="1416">
        <f t="shared" si="5"/>
        <v>0</v>
      </c>
      <c r="H61" s="1411"/>
    </row>
    <row r="62" spans="1:9">
      <c r="A62" s="1411">
        <v>45</v>
      </c>
      <c r="B62" s="1371" t="s">
        <v>162</v>
      </c>
      <c r="C62" s="1424">
        <f t="shared" si="4"/>
        <v>0</v>
      </c>
      <c r="D62" s="1424">
        <f t="shared" si="4"/>
        <v>0</v>
      </c>
      <c r="E62" s="1424">
        <f t="shared" si="4"/>
        <v>0</v>
      </c>
      <c r="F62" s="1424">
        <f t="shared" si="4"/>
        <v>0</v>
      </c>
      <c r="G62" s="1416">
        <f t="shared" si="5"/>
        <v>0</v>
      </c>
      <c r="H62" s="1411"/>
    </row>
    <row r="63" spans="1:9">
      <c r="A63" s="1411">
        <v>46</v>
      </c>
      <c r="B63" s="1371" t="s">
        <v>163</v>
      </c>
      <c r="C63" s="1424">
        <f t="shared" si="4"/>
        <v>0</v>
      </c>
      <c r="D63" s="1424">
        <f t="shared" si="4"/>
        <v>0</v>
      </c>
      <c r="E63" s="1424">
        <f t="shared" si="4"/>
        <v>0</v>
      </c>
      <c r="F63" s="1424">
        <f t="shared" si="4"/>
        <v>0</v>
      </c>
      <c r="G63" s="1416">
        <f t="shared" si="5"/>
        <v>0</v>
      </c>
      <c r="H63" s="1411"/>
    </row>
    <row r="64" spans="1:9">
      <c r="A64" s="1411">
        <v>47</v>
      </c>
      <c r="B64" s="1371" t="s">
        <v>496</v>
      </c>
      <c r="C64" s="1424">
        <f t="shared" si="4"/>
        <v>0</v>
      </c>
      <c r="D64" s="1424">
        <f t="shared" si="4"/>
        <v>0</v>
      </c>
      <c r="E64" s="1424">
        <f t="shared" si="4"/>
        <v>0</v>
      </c>
      <c r="F64" s="1424">
        <f t="shared" si="4"/>
        <v>0</v>
      </c>
      <c r="G64" s="1416">
        <f t="shared" si="5"/>
        <v>0</v>
      </c>
      <c r="H64" s="1411"/>
    </row>
    <row r="65" spans="1:8">
      <c r="A65" s="1411">
        <v>48</v>
      </c>
      <c r="B65" s="1371" t="s">
        <v>497</v>
      </c>
      <c r="C65" s="1424">
        <f t="shared" si="4"/>
        <v>0</v>
      </c>
      <c r="D65" s="1424">
        <f t="shared" si="4"/>
        <v>0</v>
      </c>
      <c r="E65" s="1424">
        <f t="shared" si="4"/>
        <v>0</v>
      </c>
      <c r="F65" s="1424">
        <f t="shared" si="4"/>
        <v>0</v>
      </c>
      <c r="G65" s="1416">
        <f t="shared" si="5"/>
        <v>0</v>
      </c>
      <c r="H65" s="1411"/>
    </row>
    <row r="66" spans="1:8">
      <c r="A66" s="1411">
        <v>49</v>
      </c>
      <c r="B66" s="1371" t="s">
        <v>498</v>
      </c>
      <c r="C66" s="1424">
        <f t="shared" si="4"/>
        <v>0</v>
      </c>
      <c r="D66" s="1424">
        <f t="shared" si="4"/>
        <v>0</v>
      </c>
      <c r="E66" s="1424">
        <f t="shared" si="4"/>
        <v>0</v>
      </c>
      <c r="F66" s="1424">
        <f t="shared" si="4"/>
        <v>0</v>
      </c>
      <c r="G66" s="1416">
        <f t="shared" si="5"/>
        <v>0</v>
      </c>
      <c r="H66" s="1411"/>
    </row>
    <row r="67" spans="1:8">
      <c r="A67" s="1411">
        <v>50</v>
      </c>
      <c r="B67" s="1371" t="s">
        <v>499</v>
      </c>
      <c r="C67" s="1424">
        <f t="shared" si="4"/>
        <v>0</v>
      </c>
      <c r="D67" s="1424">
        <f t="shared" si="4"/>
        <v>0</v>
      </c>
      <c r="E67" s="1424">
        <f t="shared" si="4"/>
        <v>0</v>
      </c>
      <c r="F67" s="1424">
        <f t="shared" si="4"/>
        <v>0</v>
      </c>
      <c r="G67" s="1416">
        <f t="shared" si="5"/>
        <v>0</v>
      </c>
      <c r="H67" s="1411"/>
    </row>
    <row r="68" spans="1:8">
      <c r="A68" s="1411">
        <v>51</v>
      </c>
      <c r="B68" s="1371" t="s">
        <v>500</v>
      </c>
      <c r="C68" s="1424">
        <f t="shared" si="4"/>
        <v>0</v>
      </c>
      <c r="D68" s="1424">
        <f t="shared" si="4"/>
        <v>0</v>
      </c>
      <c r="E68" s="1424">
        <f t="shared" si="4"/>
        <v>0</v>
      </c>
      <c r="F68" s="1424">
        <f t="shared" si="4"/>
        <v>0</v>
      </c>
      <c r="G68" s="1416">
        <f t="shared" si="5"/>
        <v>0</v>
      </c>
      <c r="H68" s="1411"/>
    </row>
    <row r="69" spans="1:8">
      <c r="A69" s="1411">
        <v>52</v>
      </c>
      <c r="B69" s="1371" t="s">
        <v>501</v>
      </c>
      <c r="C69" s="1424">
        <f t="shared" si="4"/>
        <v>0</v>
      </c>
      <c r="D69" s="1424">
        <f t="shared" si="4"/>
        <v>0</v>
      </c>
      <c r="E69" s="1424">
        <f t="shared" si="4"/>
        <v>0</v>
      </c>
      <c r="F69" s="1424">
        <f t="shared" si="4"/>
        <v>0</v>
      </c>
      <c r="G69" s="1416">
        <f t="shared" si="5"/>
        <v>0</v>
      </c>
      <c r="H69" s="1411"/>
    </row>
    <row r="70" spans="1:8">
      <c r="A70" s="1411">
        <v>53</v>
      </c>
      <c r="B70" s="1371" t="s">
        <v>519</v>
      </c>
      <c r="C70" s="1424">
        <f>AVERAGE(C57:C69)</f>
        <v>0</v>
      </c>
      <c r="D70" s="1424">
        <f t="shared" ref="D70:F70" si="6">AVERAGE(D57:D69)</f>
        <v>0</v>
      </c>
      <c r="E70" s="1424">
        <f t="shared" si="6"/>
        <v>0</v>
      </c>
      <c r="F70" s="1424">
        <f t="shared" si="6"/>
        <v>0</v>
      </c>
      <c r="G70" s="1424">
        <f>AVERAGE(G57:G69)</f>
        <v>0</v>
      </c>
      <c r="H70" s="1411"/>
    </row>
    <row r="71" spans="1:8">
      <c r="A71" s="1236"/>
    </row>
    <row r="72" spans="1:8">
      <c r="A72" s="1236"/>
    </row>
    <row r="73" spans="1:8" ht="13">
      <c r="A73" s="1236"/>
      <c r="B73" s="1409" t="s">
        <v>527</v>
      </c>
      <c r="C73" s="1422" t="s">
        <v>209</v>
      </c>
      <c r="D73" s="1422" t="s">
        <v>760</v>
      </c>
      <c r="G73" s="1411" t="s">
        <v>42</v>
      </c>
    </row>
    <row r="74" spans="1:8">
      <c r="A74" s="1411">
        <v>54</v>
      </c>
      <c r="B74" s="1371" t="s">
        <v>493</v>
      </c>
      <c r="C74" s="1424">
        <f>C39-C38</f>
        <v>0</v>
      </c>
      <c r="D74" s="1424">
        <f>D39-D38</f>
        <v>0</v>
      </c>
      <c r="G74" s="1416">
        <f t="shared" ref="G74:G86" si="7">SUM(C74:F74)</f>
        <v>0</v>
      </c>
      <c r="H74" s="1411"/>
    </row>
    <row r="75" spans="1:8">
      <c r="A75" s="1411">
        <v>55</v>
      </c>
      <c r="B75" s="1371" t="s">
        <v>494</v>
      </c>
      <c r="C75" s="1424">
        <f>C40-C39</f>
        <v>0</v>
      </c>
      <c r="D75" s="1424">
        <f>D40-D39</f>
        <v>0</v>
      </c>
      <c r="G75" s="1416">
        <f t="shared" si="7"/>
        <v>0</v>
      </c>
      <c r="H75" s="1411"/>
    </row>
    <row r="76" spans="1:8">
      <c r="A76" s="1411">
        <v>56</v>
      </c>
      <c r="B76" s="1371" t="s">
        <v>495</v>
      </c>
      <c r="C76" s="1424">
        <f t="shared" ref="C76:D85" si="8">C41-C40</f>
        <v>0</v>
      </c>
      <c r="D76" s="1424">
        <f t="shared" si="8"/>
        <v>0</v>
      </c>
      <c r="G76" s="1416">
        <f t="shared" si="7"/>
        <v>0</v>
      </c>
      <c r="H76" s="1411"/>
    </row>
    <row r="77" spans="1:8">
      <c r="A77" s="1411">
        <v>57</v>
      </c>
      <c r="B77" s="1371" t="s">
        <v>161</v>
      </c>
      <c r="C77" s="1424">
        <v>0</v>
      </c>
      <c r="D77" s="1424">
        <v>0</v>
      </c>
      <c r="G77" s="1416">
        <f t="shared" si="7"/>
        <v>0</v>
      </c>
      <c r="H77" s="1411"/>
    </row>
    <row r="78" spans="1:8">
      <c r="A78" s="1411">
        <v>58</v>
      </c>
      <c r="B78" s="1371" t="s">
        <v>162</v>
      </c>
      <c r="C78" s="1424">
        <f t="shared" si="8"/>
        <v>0</v>
      </c>
      <c r="D78" s="1424">
        <f t="shared" si="8"/>
        <v>0</v>
      </c>
      <c r="G78" s="1416">
        <f t="shared" si="7"/>
        <v>0</v>
      </c>
      <c r="H78" s="1411"/>
    </row>
    <row r="79" spans="1:8">
      <c r="A79" s="1411">
        <v>59</v>
      </c>
      <c r="B79" s="1371" t="s">
        <v>163</v>
      </c>
      <c r="C79" s="1424">
        <f t="shared" si="8"/>
        <v>0</v>
      </c>
      <c r="D79" s="1424">
        <f t="shared" si="8"/>
        <v>0</v>
      </c>
      <c r="G79" s="1416">
        <f t="shared" si="7"/>
        <v>0</v>
      </c>
      <c r="H79" s="1411"/>
    </row>
    <row r="80" spans="1:8">
      <c r="A80" s="1411">
        <v>60</v>
      </c>
      <c r="B80" s="1371" t="s">
        <v>496</v>
      </c>
      <c r="C80" s="1424">
        <f t="shared" si="8"/>
        <v>0</v>
      </c>
      <c r="D80" s="1424">
        <f t="shared" si="8"/>
        <v>0</v>
      </c>
      <c r="G80" s="1416">
        <f t="shared" si="7"/>
        <v>0</v>
      </c>
      <c r="H80" s="1411"/>
    </row>
    <row r="81" spans="1:8">
      <c r="A81" s="1411">
        <v>61</v>
      </c>
      <c r="B81" s="1371" t="s">
        <v>497</v>
      </c>
      <c r="C81" s="1424">
        <f t="shared" si="8"/>
        <v>0</v>
      </c>
      <c r="D81" s="1424">
        <f t="shared" si="8"/>
        <v>0</v>
      </c>
      <c r="G81" s="1416">
        <f t="shared" si="7"/>
        <v>0</v>
      </c>
      <c r="H81" s="1411"/>
    </row>
    <row r="82" spans="1:8">
      <c r="A82" s="1411">
        <v>62</v>
      </c>
      <c r="B82" s="1371" t="s">
        <v>498</v>
      </c>
      <c r="C82" s="1424">
        <f t="shared" si="8"/>
        <v>0</v>
      </c>
      <c r="D82" s="1424">
        <f t="shared" si="8"/>
        <v>0</v>
      </c>
      <c r="G82" s="1416">
        <f t="shared" si="7"/>
        <v>0</v>
      </c>
      <c r="H82" s="1411"/>
    </row>
    <row r="83" spans="1:8">
      <c r="A83" s="1411">
        <v>63</v>
      </c>
      <c r="B83" s="1371" t="s">
        <v>499</v>
      </c>
      <c r="C83" s="1424">
        <f t="shared" si="8"/>
        <v>0</v>
      </c>
      <c r="D83" s="1424">
        <f t="shared" si="8"/>
        <v>0</v>
      </c>
      <c r="G83" s="1416">
        <f t="shared" si="7"/>
        <v>0</v>
      </c>
      <c r="H83" s="1411"/>
    </row>
    <row r="84" spans="1:8">
      <c r="A84" s="1411">
        <v>64</v>
      </c>
      <c r="B84" s="1371" t="s">
        <v>500</v>
      </c>
      <c r="C84" s="1424">
        <f t="shared" si="8"/>
        <v>0</v>
      </c>
      <c r="D84" s="1424">
        <f t="shared" si="8"/>
        <v>0</v>
      </c>
      <c r="G84" s="1416">
        <f t="shared" si="7"/>
        <v>0</v>
      </c>
      <c r="H84" s="1411"/>
    </row>
    <row r="85" spans="1:8">
      <c r="A85" s="1411">
        <v>65</v>
      </c>
      <c r="B85" s="1371" t="s">
        <v>501</v>
      </c>
      <c r="C85" s="1424">
        <f t="shared" si="8"/>
        <v>0</v>
      </c>
      <c r="D85" s="1424">
        <f t="shared" si="8"/>
        <v>0</v>
      </c>
      <c r="G85" s="1416">
        <f t="shared" si="7"/>
        <v>0</v>
      </c>
      <c r="H85" s="1411"/>
    </row>
    <row r="86" spans="1:8">
      <c r="A86" s="1411">
        <v>66</v>
      </c>
      <c r="B86" s="1371" t="s">
        <v>42</v>
      </c>
      <c r="C86" s="1424">
        <f>SUM(C74:C85)</f>
        <v>0</v>
      </c>
      <c r="D86" s="1424">
        <f>SUM(D74:D85)</f>
        <v>0</v>
      </c>
      <c r="G86" s="1416">
        <f t="shared" si="7"/>
        <v>0</v>
      </c>
    </row>
    <row r="87" spans="1:8">
      <c r="G87" s="1424"/>
    </row>
    <row r="89" spans="1:8" ht="13">
      <c r="B89" s="1409" t="s">
        <v>773</v>
      </c>
      <c r="C89" s="1371"/>
    </row>
    <row r="90" spans="1:8">
      <c r="A90" s="1411">
        <v>67</v>
      </c>
      <c r="B90" s="1371" t="s">
        <v>492</v>
      </c>
      <c r="C90" s="1417">
        <v>0</v>
      </c>
    </row>
    <row r="91" spans="1:8">
      <c r="A91" s="1411">
        <v>68</v>
      </c>
      <c r="B91" s="1371" t="s">
        <v>493</v>
      </c>
      <c r="C91" s="1417">
        <v>0</v>
      </c>
    </row>
    <row r="92" spans="1:8">
      <c r="A92" s="1411">
        <v>69</v>
      </c>
      <c r="B92" s="1371" t="s">
        <v>494</v>
      </c>
      <c r="C92" s="1417">
        <v>0</v>
      </c>
    </row>
    <row r="93" spans="1:8">
      <c r="A93" s="1411">
        <v>70</v>
      </c>
      <c r="B93" s="1371" t="s">
        <v>495</v>
      </c>
      <c r="C93" s="1417">
        <v>0</v>
      </c>
    </row>
    <row r="94" spans="1:8">
      <c r="A94" s="1411">
        <v>71</v>
      </c>
      <c r="B94" s="1371" t="s">
        <v>161</v>
      </c>
      <c r="C94" s="1417">
        <v>0</v>
      </c>
    </row>
    <row r="95" spans="1:8">
      <c r="A95" s="1411">
        <v>72</v>
      </c>
      <c r="B95" s="1371" t="s">
        <v>162</v>
      </c>
      <c r="C95" s="1417">
        <v>0</v>
      </c>
    </row>
    <row r="96" spans="1:8">
      <c r="A96" s="1411">
        <v>73</v>
      </c>
      <c r="B96" s="1371" t="s">
        <v>163</v>
      </c>
      <c r="C96" s="1417">
        <v>0</v>
      </c>
    </row>
    <row r="97" spans="1:3">
      <c r="A97" s="1411">
        <v>74</v>
      </c>
      <c r="B97" s="1371" t="s">
        <v>496</v>
      </c>
      <c r="C97" s="1417">
        <v>0</v>
      </c>
    </row>
    <row r="98" spans="1:3">
      <c r="A98" s="1411">
        <v>75</v>
      </c>
      <c r="B98" s="1371" t="s">
        <v>497</v>
      </c>
      <c r="C98" s="1417">
        <v>0</v>
      </c>
    </row>
    <row r="99" spans="1:3">
      <c r="A99" s="1411">
        <v>76</v>
      </c>
      <c r="B99" s="1371" t="s">
        <v>498</v>
      </c>
      <c r="C99" s="1417">
        <v>0</v>
      </c>
    </row>
    <row r="100" spans="1:3">
      <c r="A100" s="1411">
        <v>77</v>
      </c>
      <c r="B100" s="1371" t="s">
        <v>499</v>
      </c>
      <c r="C100" s="1417">
        <v>0</v>
      </c>
    </row>
    <row r="101" spans="1:3">
      <c r="A101" s="1411">
        <v>78</v>
      </c>
      <c r="B101" s="1371" t="s">
        <v>500</v>
      </c>
      <c r="C101" s="1417">
        <v>0</v>
      </c>
    </row>
    <row r="102" spans="1:3">
      <c r="A102" s="1411">
        <v>79</v>
      </c>
      <c r="B102" s="1371" t="s">
        <v>501</v>
      </c>
      <c r="C102" s="1417">
        <v>0</v>
      </c>
    </row>
    <row r="103" spans="1:3">
      <c r="A103" s="1411">
        <v>80</v>
      </c>
      <c r="B103" s="1371" t="s">
        <v>519</v>
      </c>
      <c r="C103" s="1424">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5">
    <mergeCell ref="A3:E3"/>
    <mergeCell ref="B52:F52"/>
    <mergeCell ref="A54:E54"/>
    <mergeCell ref="A1:F1"/>
    <mergeCell ref="A2:F2"/>
  </mergeCells>
  <pageMargins left="0.7" right="0.7" top="0.75" bottom="0.75" header="0.3" footer="0.3"/>
  <pageSetup scale="52"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3"/>
  <sheetViews>
    <sheetView view="pageBreakPreview" zoomScale="60" zoomScaleNormal="100" workbookViewId="0">
      <selection sqref="A1:XFD1048576"/>
    </sheetView>
  </sheetViews>
  <sheetFormatPr defaultColWidth="11.453125" defaultRowHeight="12.5"/>
  <cols>
    <col min="1" max="1" width="5.26953125" style="10" customWidth="1"/>
    <col min="2" max="2" width="46.54296875" style="10" customWidth="1"/>
    <col min="3" max="3" width="2.1796875" style="10" customWidth="1"/>
    <col min="4" max="4" width="6.81640625" style="10" bestFit="1" customWidth="1"/>
    <col min="5" max="5" width="21.81640625" style="10" customWidth="1"/>
    <col min="6" max="6" width="18" style="10" customWidth="1"/>
    <col min="7" max="7" width="19" style="10" customWidth="1"/>
    <col min="8" max="8" width="15.7265625" style="10" customWidth="1"/>
    <col min="9" max="16384" width="11.453125" style="10"/>
  </cols>
  <sheetData>
    <row r="1" spans="1:8" ht="18">
      <c r="A1" s="7"/>
      <c r="B1" s="1788" t="str">
        <f>+'ATT H-3D'!$A$4</f>
        <v>Delmarva Power &amp; Light Company</v>
      </c>
      <c r="C1" s="1788"/>
      <c r="D1" s="1788"/>
      <c r="E1" s="1788"/>
      <c r="F1" s="1788"/>
      <c r="G1" s="1788"/>
      <c r="H1" s="7"/>
    </row>
    <row r="2" spans="1:8" ht="15.5">
      <c r="A2" s="7"/>
      <c r="B2" s="1789" t="s">
        <v>1019</v>
      </c>
      <c r="C2" s="1789"/>
      <c r="D2" s="1789"/>
      <c r="E2" s="1789"/>
      <c r="F2" s="1789"/>
      <c r="G2" s="1789"/>
      <c r="H2" s="7"/>
    </row>
    <row r="3" spans="1:8">
      <c r="A3" s="7"/>
      <c r="B3" s="7"/>
      <c r="C3" s="7"/>
      <c r="D3" s="7"/>
      <c r="E3" s="7"/>
      <c r="F3" s="7"/>
      <c r="G3" s="7"/>
      <c r="H3" s="7"/>
    </row>
    <row r="4" spans="1:8" ht="13">
      <c r="A4" s="7"/>
      <c r="B4" s="672"/>
      <c r="C4" s="672"/>
      <c r="D4" s="672"/>
      <c r="E4" s="672"/>
      <c r="F4" s="7"/>
      <c r="G4" s="7"/>
      <c r="H4" s="7"/>
    </row>
    <row r="5" spans="1:8" ht="13">
      <c r="A5" s="7"/>
      <c r="B5" s="672"/>
      <c r="C5" s="7"/>
      <c r="D5" s="7"/>
      <c r="E5" s="7"/>
      <c r="F5" s="7"/>
      <c r="G5" s="7"/>
      <c r="H5" s="7"/>
    </row>
    <row r="6" spans="1:8" ht="13">
      <c r="A6" s="7"/>
      <c r="B6" s="7"/>
      <c r="C6" s="7"/>
      <c r="D6" s="7"/>
      <c r="E6" s="1434" t="s">
        <v>480</v>
      </c>
      <c r="F6" s="1434" t="s">
        <v>481</v>
      </c>
      <c r="G6" s="1434" t="s">
        <v>482</v>
      </c>
      <c r="H6" s="7"/>
    </row>
    <row r="7" spans="1:8">
      <c r="A7" s="7"/>
      <c r="B7" s="7"/>
      <c r="C7" s="7"/>
      <c r="D7" s="7"/>
      <c r="E7" s="1435" t="s">
        <v>1020</v>
      </c>
      <c r="F7" s="7"/>
      <c r="G7" s="7"/>
      <c r="H7" s="7"/>
    </row>
    <row r="8" spans="1:8">
      <c r="A8" s="7"/>
      <c r="B8" s="7"/>
      <c r="C8" s="7"/>
      <c r="D8" s="7"/>
      <c r="E8" s="1436"/>
      <c r="F8" s="1437"/>
      <c r="G8" s="1437"/>
      <c r="H8" s="7"/>
    </row>
    <row r="9" spans="1:8" ht="13">
      <c r="A9" s="7"/>
      <c r="B9" s="1438"/>
      <c r="C9" s="1439"/>
      <c r="D9" s="1440"/>
      <c r="E9" s="1441" t="s">
        <v>42</v>
      </c>
      <c r="F9" s="1441" t="s">
        <v>1021</v>
      </c>
      <c r="G9" s="1441" t="s">
        <v>1022</v>
      </c>
      <c r="H9" s="7"/>
    </row>
    <row r="10" spans="1:8">
      <c r="A10" s="848">
        <v>1</v>
      </c>
      <c r="B10" s="1442" t="s">
        <v>1023</v>
      </c>
      <c r="C10" s="7"/>
      <c r="D10" s="1443">
        <v>560</v>
      </c>
      <c r="E10" s="1685">
        <v>8332779</v>
      </c>
      <c r="F10" s="1444"/>
      <c r="G10" s="1445">
        <f>E10-F10</f>
        <v>8332779</v>
      </c>
      <c r="H10" s="7"/>
    </row>
    <row r="11" spans="1:8">
      <c r="A11" s="848">
        <f>A10+1</f>
        <v>2</v>
      </c>
      <c r="B11" s="1442" t="s">
        <v>1024</v>
      </c>
      <c r="C11" s="7"/>
      <c r="D11" s="1443">
        <v>561.1</v>
      </c>
      <c r="E11" s="1686">
        <v>0</v>
      </c>
      <c r="F11" s="1444"/>
      <c r="G11" s="1445">
        <f t="shared" ref="G11:G36" si="0">E11-F11</f>
        <v>0</v>
      </c>
      <c r="H11" s="7"/>
    </row>
    <row r="12" spans="1:8">
      <c r="A12" s="848">
        <f t="shared" ref="A12:A37" si="1">A11+1</f>
        <v>3</v>
      </c>
      <c r="B12" s="1442" t="s">
        <v>1025</v>
      </c>
      <c r="C12" s="7"/>
      <c r="D12" s="1443">
        <v>561.20000000000005</v>
      </c>
      <c r="E12" s="1686">
        <v>601853</v>
      </c>
      <c r="F12" s="387"/>
      <c r="G12" s="1445">
        <f t="shared" si="0"/>
        <v>601853</v>
      </c>
      <c r="H12" s="7"/>
    </row>
    <row r="13" spans="1:8">
      <c r="A13" s="848">
        <f t="shared" si="1"/>
        <v>4</v>
      </c>
      <c r="B13" s="1442" t="s">
        <v>1026</v>
      </c>
      <c r="C13" s="7"/>
      <c r="D13" s="1443">
        <v>561.29999999999995</v>
      </c>
      <c r="E13" s="1686">
        <v>0</v>
      </c>
      <c r="F13" s="387"/>
      <c r="G13" s="1445">
        <f t="shared" si="0"/>
        <v>0</v>
      </c>
      <c r="H13" s="7"/>
    </row>
    <row r="14" spans="1:8">
      <c r="A14" s="848">
        <f t="shared" si="1"/>
        <v>5</v>
      </c>
      <c r="B14" s="1442" t="s">
        <v>1027</v>
      </c>
      <c r="C14" s="7"/>
      <c r="D14" s="1443">
        <v>561.4</v>
      </c>
      <c r="E14" s="1686">
        <v>70069</v>
      </c>
      <c r="F14" s="387"/>
      <c r="G14" s="1445">
        <f t="shared" si="0"/>
        <v>70069</v>
      </c>
      <c r="H14" s="7"/>
    </row>
    <row r="15" spans="1:8">
      <c r="A15" s="848">
        <f t="shared" si="1"/>
        <v>6</v>
      </c>
      <c r="B15" s="1442" t="s">
        <v>1028</v>
      </c>
      <c r="C15" s="7"/>
      <c r="D15" s="1443">
        <v>561.5</v>
      </c>
      <c r="E15" s="1686">
        <v>0</v>
      </c>
      <c r="F15" s="387"/>
      <c r="G15" s="1445">
        <f t="shared" si="0"/>
        <v>0</v>
      </c>
      <c r="H15" s="7"/>
    </row>
    <row r="16" spans="1:8">
      <c r="A16" s="848">
        <f t="shared" si="1"/>
        <v>7</v>
      </c>
      <c r="B16" s="1442" t="s">
        <v>1029</v>
      </c>
      <c r="C16" s="7"/>
      <c r="D16" s="1443">
        <v>561.6</v>
      </c>
      <c r="E16" s="1686">
        <v>0</v>
      </c>
      <c r="F16" s="387"/>
      <c r="G16" s="1445">
        <f t="shared" si="0"/>
        <v>0</v>
      </c>
      <c r="H16" s="7"/>
    </row>
    <row r="17" spans="1:8">
      <c r="A17" s="848">
        <f t="shared" si="1"/>
        <v>8</v>
      </c>
      <c r="B17" s="1442" t="s">
        <v>1030</v>
      </c>
      <c r="C17" s="7"/>
      <c r="D17" s="1446">
        <v>561.70000000000005</v>
      </c>
      <c r="E17" s="1686">
        <v>0</v>
      </c>
      <c r="F17" s="387"/>
      <c r="G17" s="1445">
        <f t="shared" si="0"/>
        <v>0</v>
      </c>
      <c r="H17" s="7"/>
    </row>
    <row r="18" spans="1:8">
      <c r="A18" s="848">
        <f t="shared" si="1"/>
        <v>9</v>
      </c>
      <c r="B18" s="1442" t="s">
        <v>1031</v>
      </c>
      <c r="C18" s="7"/>
      <c r="D18" s="1443">
        <v>561.79999999999995</v>
      </c>
      <c r="E18" s="1686">
        <v>19182</v>
      </c>
      <c r="F18" s="387"/>
      <c r="G18" s="1445">
        <f t="shared" si="0"/>
        <v>19182</v>
      </c>
      <c r="H18" s="7"/>
    </row>
    <row r="19" spans="1:8">
      <c r="A19" s="848">
        <f t="shared" si="1"/>
        <v>10</v>
      </c>
      <c r="B19" s="1442" t="s">
        <v>1032</v>
      </c>
      <c r="C19" s="7"/>
      <c r="D19" s="1443">
        <v>562</v>
      </c>
      <c r="E19" s="1686">
        <v>0</v>
      </c>
      <c r="F19" s="387"/>
      <c r="G19" s="1445">
        <f t="shared" si="0"/>
        <v>0</v>
      </c>
      <c r="H19" s="7"/>
    </row>
    <row r="20" spans="1:8">
      <c r="A20" s="1707">
        <f t="shared" si="1"/>
        <v>11</v>
      </c>
      <c r="B20" s="1442" t="s">
        <v>1987</v>
      </c>
      <c r="C20" s="7"/>
      <c r="D20" s="1443">
        <v>562.1</v>
      </c>
      <c r="E20" s="1686">
        <v>0</v>
      </c>
      <c r="F20" s="387"/>
      <c r="G20" s="1445">
        <f t="shared" si="0"/>
        <v>0</v>
      </c>
      <c r="H20" s="7"/>
    </row>
    <row r="21" spans="1:8">
      <c r="A21" s="1707">
        <f t="shared" si="1"/>
        <v>12</v>
      </c>
      <c r="B21" s="1442" t="s">
        <v>1033</v>
      </c>
      <c r="C21" s="7"/>
      <c r="D21" s="1443">
        <v>563</v>
      </c>
      <c r="E21" s="1686">
        <v>0</v>
      </c>
      <c r="F21" s="387"/>
      <c r="G21" s="1445">
        <f t="shared" si="0"/>
        <v>0</v>
      </c>
      <c r="H21" s="7"/>
    </row>
    <row r="22" spans="1:8">
      <c r="A22" s="1707">
        <f t="shared" si="1"/>
        <v>13</v>
      </c>
      <c r="B22" s="1442" t="s">
        <v>1034</v>
      </c>
      <c r="C22" s="7"/>
      <c r="D22" s="1443">
        <v>564</v>
      </c>
      <c r="E22" s="1686">
        <v>0</v>
      </c>
      <c r="F22" s="387"/>
      <c r="G22" s="1445">
        <f t="shared" si="0"/>
        <v>0</v>
      </c>
      <c r="H22" s="7"/>
    </row>
    <row r="23" spans="1:8">
      <c r="A23" s="1707">
        <f t="shared" si="1"/>
        <v>14</v>
      </c>
      <c r="B23" s="1442" t="s">
        <v>1035</v>
      </c>
      <c r="C23" s="7"/>
      <c r="D23" s="1443">
        <v>565</v>
      </c>
      <c r="E23" s="1686">
        <v>0</v>
      </c>
      <c r="F23" s="387"/>
      <c r="G23" s="1445">
        <f t="shared" si="0"/>
        <v>0</v>
      </c>
      <c r="H23" s="7"/>
    </row>
    <row r="24" spans="1:8">
      <c r="A24" s="1707">
        <f t="shared" si="1"/>
        <v>15</v>
      </c>
      <c r="B24" s="1442" t="s">
        <v>1036</v>
      </c>
      <c r="C24" s="7"/>
      <c r="D24" s="1443">
        <v>566</v>
      </c>
      <c r="E24" s="1686">
        <v>2300955</v>
      </c>
      <c r="F24" s="387">
        <f>'5 - Cost Support 1'!$Q$243</f>
        <v>136642</v>
      </c>
      <c r="G24" s="1445">
        <f>E24-F24</f>
        <v>2164313</v>
      </c>
      <c r="H24" s="7"/>
    </row>
    <row r="25" spans="1:8">
      <c r="A25" s="1707">
        <f t="shared" si="1"/>
        <v>16</v>
      </c>
      <c r="B25" s="1442" t="s">
        <v>978</v>
      </c>
      <c r="C25" s="7"/>
      <c r="D25" s="1443">
        <v>567</v>
      </c>
      <c r="E25" s="1686">
        <v>0</v>
      </c>
      <c r="F25" s="387"/>
      <c r="G25" s="1445">
        <f t="shared" si="0"/>
        <v>0</v>
      </c>
      <c r="H25" s="7"/>
    </row>
    <row r="26" spans="1:8">
      <c r="A26" s="1707">
        <f t="shared" si="1"/>
        <v>17</v>
      </c>
      <c r="B26" s="1442" t="s">
        <v>1037</v>
      </c>
      <c r="C26" s="7"/>
      <c r="D26" s="1443">
        <v>568</v>
      </c>
      <c r="E26" s="1686">
        <v>6678</v>
      </c>
      <c r="F26" s="387"/>
      <c r="G26" s="1445">
        <f t="shared" si="0"/>
        <v>6678</v>
      </c>
      <c r="H26" s="7"/>
    </row>
    <row r="27" spans="1:8">
      <c r="A27" s="1707">
        <f t="shared" si="1"/>
        <v>18</v>
      </c>
      <c r="B27" s="1442" t="s">
        <v>1038</v>
      </c>
      <c r="C27" s="7"/>
      <c r="D27" s="1443">
        <v>569</v>
      </c>
      <c r="E27" s="1686">
        <v>500143</v>
      </c>
      <c r="F27" s="387"/>
      <c r="G27" s="1445">
        <f t="shared" si="0"/>
        <v>500143</v>
      </c>
      <c r="H27" s="7"/>
    </row>
    <row r="28" spans="1:8">
      <c r="A28" s="1707">
        <f t="shared" si="1"/>
        <v>19</v>
      </c>
      <c r="B28" s="1442" t="s">
        <v>1039</v>
      </c>
      <c r="C28" s="7"/>
      <c r="D28" s="1443">
        <v>569.1</v>
      </c>
      <c r="E28" s="1686">
        <v>0</v>
      </c>
      <c r="F28" s="387"/>
      <c r="G28" s="1445">
        <f t="shared" si="0"/>
        <v>0</v>
      </c>
      <c r="H28" s="7"/>
    </row>
    <row r="29" spans="1:8">
      <c r="A29" s="1707">
        <f t="shared" si="1"/>
        <v>20</v>
      </c>
      <c r="B29" s="1442" t="s">
        <v>1040</v>
      </c>
      <c r="C29" s="7"/>
      <c r="D29" s="1443">
        <v>569.20000000000005</v>
      </c>
      <c r="E29" s="1686">
        <v>0</v>
      </c>
      <c r="F29" s="387"/>
      <c r="G29" s="1445">
        <f t="shared" si="0"/>
        <v>0</v>
      </c>
      <c r="H29" s="7"/>
    </row>
    <row r="30" spans="1:8">
      <c r="A30" s="1707">
        <f t="shared" si="1"/>
        <v>21</v>
      </c>
      <c r="B30" s="1442" t="s">
        <v>1041</v>
      </c>
      <c r="C30" s="7"/>
      <c r="D30" s="1443">
        <v>569.29999999999995</v>
      </c>
      <c r="E30" s="1686">
        <v>0</v>
      </c>
      <c r="F30" s="387"/>
      <c r="G30" s="1445">
        <f t="shared" si="0"/>
        <v>0</v>
      </c>
      <c r="H30" s="7"/>
    </row>
    <row r="31" spans="1:8">
      <c r="A31" s="1707">
        <f t="shared" si="1"/>
        <v>22</v>
      </c>
      <c r="B31" s="1442" t="s">
        <v>1042</v>
      </c>
      <c r="C31" s="7"/>
      <c r="D31" s="1443">
        <v>569.4</v>
      </c>
      <c r="E31" s="1686">
        <v>0</v>
      </c>
      <c r="F31" s="387"/>
      <c r="G31" s="1445">
        <f t="shared" si="0"/>
        <v>0</v>
      </c>
      <c r="H31" s="7"/>
    </row>
    <row r="32" spans="1:8">
      <c r="A32" s="1707">
        <f t="shared" si="1"/>
        <v>23</v>
      </c>
      <c r="B32" s="1442" t="s">
        <v>1043</v>
      </c>
      <c r="C32" s="7"/>
      <c r="D32" s="1443">
        <v>570</v>
      </c>
      <c r="E32" s="1686">
        <v>7868351</v>
      </c>
      <c r="F32" s="387"/>
      <c r="G32" s="1445">
        <f t="shared" si="0"/>
        <v>7868351</v>
      </c>
      <c r="H32" s="7"/>
    </row>
    <row r="33" spans="1:8">
      <c r="A33" s="1707">
        <f t="shared" si="1"/>
        <v>24</v>
      </c>
      <c r="B33" s="1442" t="s">
        <v>1988</v>
      </c>
      <c r="C33" s="7"/>
      <c r="D33" s="1443">
        <v>570.1</v>
      </c>
      <c r="E33" s="1686">
        <v>0</v>
      </c>
      <c r="F33" s="387"/>
      <c r="G33" s="1445">
        <f t="shared" si="0"/>
        <v>0</v>
      </c>
      <c r="H33" s="7"/>
    </row>
    <row r="34" spans="1:8">
      <c r="A34" s="1707">
        <f t="shared" si="1"/>
        <v>25</v>
      </c>
      <c r="B34" s="1442" t="s">
        <v>1044</v>
      </c>
      <c r="C34" s="7"/>
      <c r="D34" s="1443">
        <v>571</v>
      </c>
      <c r="E34" s="1686">
        <v>4428190</v>
      </c>
      <c r="F34" s="387"/>
      <c r="G34" s="1445">
        <f t="shared" si="0"/>
        <v>4428190</v>
      </c>
      <c r="H34" s="7"/>
    </row>
    <row r="35" spans="1:8">
      <c r="A35" s="1707">
        <f t="shared" si="1"/>
        <v>26</v>
      </c>
      <c r="B35" s="1442" t="s">
        <v>1045</v>
      </c>
      <c r="C35" s="7"/>
      <c r="D35" s="1443">
        <v>572</v>
      </c>
      <c r="E35" s="1686">
        <v>0</v>
      </c>
      <c r="F35" s="387"/>
      <c r="G35" s="1445">
        <f t="shared" si="0"/>
        <v>0</v>
      </c>
      <c r="H35" s="7"/>
    </row>
    <row r="36" spans="1:8">
      <c r="A36" s="848">
        <f t="shared" si="1"/>
        <v>27</v>
      </c>
      <c r="B36" s="1447" t="s">
        <v>1046</v>
      </c>
      <c r="C36" s="7"/>
      <c r="D36" s="1443">
        <v>573</v>
      </c>
      <c r="E36" s="1686">
        <v>383922</v>
      </c>
      <c r="F36" s="1444"/>
      <c r="G36" s="1445">
        <f t="shared" si="0"/>
        <v>383922</v>
      </c>
      <c r="H36" s="1448"/>
    </row>
    <row r="37" spans="1:8" ht="13">
      <c r="A37" s="848">
        <f t="shared" si="1"/>
        <v>28</v>
      </c>
      <c r="B37" s="672" t="s">
        <v>1193</v>
      </c>
      <c r="C37" s="7"/>
      <c r="D37" s="848"/>
      <c r="E37" s="1449">
        <f>SUM(E10:E36)</f>
        <v>24512122</v>
      </c>
      <c r="F37" s="1449">
        <f>SUM(F10:F36)</f>
        <v>136642</v>
      </c>
      <c r="G37" s="1449">
        <f>SUM(G10:G36)</f>
        <v>24375480</v>
      </c>
      <c r="H37" s="7"/>
    </row>
    <row r="38" spans="1:8">
      <c r="A38" s="848"/>
      <c r="B38" s="7"/>
      <c r="C38" s="7"/>
      <c r="D38" s="7"/>
      <c r="E38" s="7"/>
      <c r="F38" s="7"/>
      <c r="G38" s="7"/>
      <c r="H38" s="7"/>
    </row>
    <row r="39" spans="1:8">
      <c r="A39" s="7"/>
      <c r="B39" s="7"/>
      <c r="C39" s="7"/>
      <c r="D39" s="7"/>
      <c r="E39" s="548"/>
      <c r="F39" s="1450"/>
      <c r="G39" s="1450"/>
      <c r="H39" s="7"/>
    </row>
    <row r="40" spans="1:8">
      <c r="A40" s="848">
        <f>A37+1</f>
        <v>29</v>
      </c>
      <c r="B40" s="548" t="s">
        <v>1047</v>
      </c>
      <c r="C40" s="7"/>
      <c r="D40" s="7"/>
      <c r="E40" s="7"/>
      <c r="F40" s="548" t="s">
        <v>42</v>
      </c>
      <c r="G40" s="1448">
        <f>+G37</f>
        <v>24375480</v>
      </c>
      <c r="H40" s="7"/>
    </row>
    <row r="41" spans="1:8">
      <c r="A41" s="848"/>
      <c r="B41" s="7"/>
      <c r="C41" s="7"/>
      <c r="D41" s="7"/>
      <c r="E41" s="7"/>
      <c r="F41" s="7"/>
      <c r="G41" s="1451"/>
      <c r="H41" s="1452"/>
    </row>
    <row r="42" spans="1:8">
      <c r="A42" s="7"/>
      <c r="B42" s="7"/>
      <c r="C42" s="7"/>
      <c r="D42" s="7"/>
      <c r="E42" s="7"/>
      <c r="F42" s="7"/>
      <c r="G42" s="7"/>
      <c r="H42" s="7"/>
    </row>
    <row r="43" spans="1:8">
      <c r="A43" s="7"/>
      <c r="B43" s="7"/>
      <c r="C43" s="7"/>
      <c r="D43" s="7"/>
      <c r="E43" s="7"/>
      <c r="F43" s="7"/>
      <c r="G43" s="99"/>
      <c r="H43" s="7"/>
    </row>
  </sheetData>
  <mergeCells count="2">
    <mergeCell ref="B1:G1"/>
    <mergeCell ref="B2:G2"/>
  </mergeCells>
  <pageMargins left="0.25" right="0.25" top="0.75" bottom="0.75" header="0.3" footer="0.3"/>
  <pageSetup scale="98" orientation="landscape" r:id="rId1"/>
  <ignoredErrors>
    <ignoredError sqref="F10:G3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view="pageBreakPreview" zoomScale="60" zoomScaleNormal="100" workbookViewId="0">
      <selection sqref="A1:XFD1048576"/>
    </sheetView>
  </sheetViews>
  <sheetFormatPr defaultColWidth="11.453125" defaultRowHeight="12.5"/>
  <cols>
    <col min="1" max="1" width="5.26953125" style="10" customWidth="1"/>
    <col min="2" max="2" width="46.54296875" style="10" customWidth="1"/>
    <col min="3" max="3" width="2.1796875" style="10" customWidth="1"/>
    <col min="4" max="4" width="9.7265625" style="10" customWidth="1"/>
    <col min="5" max="5" width="21.81640625" style="10" customWidth="1"/>
    <col min="6" max="6" width="2.81640625" style="10" customWidth="1"/>
    <col min="7" max="7" width="19" style="10" customWidth="1"/>
    <col min="8" max="8" width="22.54296875" style="10" customWidth="1"/>
    <col min="9" max="9" width="18" style="10" customWidth="1"/>
    <col min="10" max="10" width="22.7265625" style="10" customWidth="1"/>
    <col min="11" max="11" width="5.54296875" style="10" customWidth="1"/>
    <col min="12" max="12" width="14.54296875" style="10" bestFit="1" customWidth="1"/>
    <col min="13" max="16384" width="11.453125" style="10"/>
  </cols>
  <sheetData>
    <row r="1" spans="1:12" ht="18">
      <c r="A1" s="7"/>
      <c r="B1" s="1788" t="str">
        <f>+'ATT H-3D'!$A$4</f>
        <v>Delmarva Power &amp; Light Company</v>
      </c>
      <c r="C1" s="1788"/>
      <c r="D1" s="1788"/>
      <c r="E1" s="1788"/>
      <c r="F1" s="1788"/>
      <c r="G1" s="1788"/>
      <c r="H1" s="7"/>
      <c r="I1" s="7"/>
      <c r="J1" s="7"/>
      <c r="K1" s="7"/>
      <c r="L1" s="7"/>
    </row>
    <row r="2" spans="1:12" ht="15.5">
      <c r="A2" s="7"/>
      <c r="B2" s="1789" t="s">
        <v>1048</v>
      </c>
      <c r="C2" s="1789"/>
      <c r="D2" s="1789"/>
      <c r="E2" s="1789"/>
      <c r="F2" s="1789"/>
      <c r="G2" s="1789"/>
      <c r="H2" s="7"/>
      <c r="I2" s="7"/>
      <c r="J2" s="7"/>
      <c r="K2" s="7"/>
      <c r="L2" s="7"/>
    </row>
    <row r="3" spans="1:12">
      <c r="A3" s="7"/>
      <c r="B3" s="7"/>
      <c r="C3" s="7"/>
      <c r="D3" s="7"/>
      <c r="E3" s="7"/>
      <c r="F3" s="7"/>
      <c r="G3" s="7"/>
      <c r="H3" s="7"/>
      <c r="I3" s="7"/>
      <c r="J3" s="7"/>
      <c r="K3" s="7"/>
      <c r="L3" s="7"/>
    </row>
    <row r="4" spans="1:12" ht="13">
      <c r="A4" s="7"/>
      <c r="B4" s="672"/>
      <c r="C4" s="672"/>
      <c r="D4" s="672"/>
      <c r="E4" s="672"/>
      <c r="F4" s="672"/>
      <c r="G4" s="672"/>
      <c r="H4" s="7"/>
      <c r="I4" s="7"/>
      <c r="J4" s="7"/>
      <c r="K4" s="7"/>
      <c r="L4" s="7"/>
    </row>
    <row r="5" spans="1:12" ht="13">
      <c r="A5" s="7"/>
      <c r="B5" s="672"/>
      <c r="C5" s="7"/>
      <c r="D5" s="7"/>
      <c r="E5" s="7"/>
      <c r="F5" s="7"/>
      <c r="G5" s="7"/>
      <c r="H5" s="7"/>
      <c r="I5" s="7"/>
      <c r="J5" s="7"/>
      <c r="K5" s="7"/>
      <c r="L5" s="7"/>
    </row>
    <row r="6" spans="1:12" ht="13">
      <c r="A6" s="7"/>
      <c r="B6" s="7"/>
      <c r="C6" s="7"/>
      <c r="D6" s="7"/>
      <c r="E6" s="1434" t="s">
        <v>480</v>
      </c>
      <c r="F6" s="7"/>
      <c r="G6" s="1434" t="s">
        <v>481</v>
      </c>
      <c r="H6" s="1434" t="s">
        <v>482</v>
      </c>
      <c r="I6" s="1358" t="s">
        <v>483</v>
      </c>
      <c r="J6" s="1434" t="s">
        <v>484</v>
      </c>
      <c r="K6" s="7"/>
      <c r="L6" s="7"/>
    </row>
    <row r="7" spans="1:12">
      <c r="A7" s="7"/>
      <c r="B7" s="7"/>
      <c r="C7" s="7"/>
      <c r="D7" s="7"/>
      <c r="E7" s="1435" t="s">
        <v>1049</v>
      </c>
      <c r="F7" s="7"/>
      <c r="G7" s="7"/>
      <c r="H7" s="7"/>
      <c r="I7" s="7"/>
      <c r="J7" s="7"/>
      <c r="K7" s="7"/>
      <c r="L7" s="7"/>
    </row>
    <row r="8" spans="1:12">
      <c r="A8" s="7"/>
      <c r="B8" s="7"/>
      <c r="C8" s="7"/>
      <c r="D8" s="7"/>
      <c r="E8" s="1436"/>
      <c r="F8" s="1437"/>
      <c r="G8" s="1437"/>
      <c r="H8" s="1437"/>
      <c r="I8" s="1437"/>
      <c r="J8" s="1437"/>
      <c r="K8" s="7"/>
      <c r="L8" s="7"/>
    </row>
    <row r="9" spans="1:12" ht="13">
      <c r="A9" s="7"/>
      <c r="B9" s="1438"/>
      <c r="C9" s="1439"/>
      <c r="D9" s="1440"/>
      <c r="E9" s="1441" t="s">
        <v>42</v>
      </c>
      <c r="F9" s="1441"/>
      <c r="G9" s="1441" t="s">
        <v>1050</v>
      </c>
      <c r="H9" s="1477" t="s">
        <v>1562</v>
      </c>
      <c r="I9" s="1441" t="s">
        <v>1021</v>
      </c>
      <c r="J9" s="1441" t="s">
        <v>1022</v>
      </c>
      <c r="K9" s="7"/>
      <c r="L9" s="7"/>
    </row>
    <row r="10" spans="1:12">
      <c r="A10" s="848">
        <v>1</v>
      </c>
      <c r="B10" s="1442" t="s">
        <v>1051</v>
      </c>
      <c r="C10" s="7"/>
      <c r="D10" s="1443">
        <v>920</v>
      </c>
      <c r="E10" s="1685">
        <v>3224138</v>
      </c>
      <c r="F10" s="1453"/>
      <c r="G10" s="1685">
        <f>E10</f>
        <v>3224138</v>
      </c>
      <c r="H10" s="689"/>
      <c r="I10" s="1444"/>
      <c r="J10" s="1445"/>
      <c r="K10" s="7"/>
      <c r="L10" s="593"/>
    </row>
    <row r="11" spans="1:12">
      <c r="A11" s="848">
        <f>A10+1</f>
        <v>2</v>
      </c>
      <c r="B11" s="1442" t="s">
        <v>1052</v>
      </c>
      <c r="C11" s="7"/>
      <c r="D11" s="1443">
        <v>921</v>
      </c>
      <c r="E11" s="1685">
        <v>5271821</v>
      </c>
      <c r="F11" s="1455"/>
      <c r="G11" s="1686">
        <f>E11</f>
        <v>5271821</v>
      </c>
      <c r="H11" s="1448"/>
      <c r="I11" s="387"/>
      <c r="J11" s="1456"/>
      <c r="K11" s="7"/>
      <c r="L11" s="593"/>
    </row>
    <row r="12" spans="1:12">
      <c r="A12" s="848">
        <f t="shared" ref="A12:A24" si="0">A11+1</f>
        <v>3</v>
      </c>
      <c r="B12" s="1442" t="s">
        <v>1053</v>
      </c>
      <c r="C12" s="7"/>
      <c r="D12" s="1443">
        <v>922</v>
      </c>
      <c r="E12" s="1685">
        <v>0</v>
      </c>
      <c r="F12" s="1455"/>
      <c r="G12" s="1686">
        <f>E12</f>
        <v>0</v>
      </c>
      <c r="H12" s="1448"/>
      <c r="I12" s="387"/>
      <c r="J12" s="1456"/>
      <c r="K12" s="7"/>
      <c r="L12" s="593"/>
    </row>
    <row r="13" spans="1:12">
      <c r="A13" s="848">
        <f t="shared" si="0"/>
        <v>4</v>
      </c>
      <c r="B13" s="1442" t="s">
        <v>1054</v>
      </c>
      <c r="C13" s="7"/>
      <c r="D13" s="1443">
        <v>923</v>
      </c>
      <c r="E13" s="1685">
        <v>72230523</v>
      </c>
      <c r="F13" s="1455"/>
      <c r="G13" s="1686">
        <f>E13-I13</f>
        <v>71166353.853744</v>
      </c>
      <c r="H13" s="895"/>
      <c r="I13" s="387">
        <f>'5 - Cost Support 1'!H242+'5 - Cost Support 1'!I242+'5 - Cost Support 1'!J242+'5 - Cost Support 1'!K242+'5 - Cost Support 1'!L242+'5 - Cost Support 1'!N242+'5 - Cost Support 1'!O242+'5 - Cost Support 1'!P242</f>
        <v>1064169.1462559998</v>
      </c>
      <c r="J13" s="1456"/>
      <c r="K13" s="7"/>
      <c r="L13" s="593"/>
    </row>
    <row r="14" spans="1:12">
      <c r="A14" s="848">
        <f t="shared" si="0"/>
        <v>5</v>
      </c>
      <c r="B14" s="1442" t="s">
        <v>979</v>
      </c>
      <c r="C14" s="7"/>
      <c r="D14" s="1443">
        <v>924</v>
      </c>
      <c r="E14" s="1685">
        <v>692197</v>
      </c>
      <c r="F14" s="1455"/>
      <c r="G14" s="1686"/>
      <c r="H14" s="387">
        <f>E14</f>
        <v>692197</v>
      </c>
      <c r="I14" s="387"/>
      <c r="J14" s="1456"/>
      <c r="K14" s="7"/>
      <c r="L14" s="593"/>
    </row>
    <row r="15" spans="1:12">
      <c r="A15" s="848">
        <f t="shared" si="0"/>
        <v>6</v>
      </c>
      <c r="B15" s="1442" t="s">
        <v>1055</v>
      </c>
      <c r="C15" s="7"/>
      <c r="D15" s="1443">
        <v>925</v>
      </c>
      <c r="E15" s="1685">
        <v>2424052</v>
      </c>
      <c r="F15" s="1455"/>
      <c r="G15" s="1686">
        <f>E15</f>
        <v>2424052</v>
      </c>
      <c r="H15" s="1448"/>
      <c r="I15" s="387"/>
      <c r="J15" s="1456"/>
      <c r="K15" s="7"/>
      <c r="L15" s="593"/>
    </row>
    <row r="16" spans="1:12">
      <c r="A16" s="848">
        <f t="shared" si="0"/>
        <v>7</v>
      </c>
      <c r="B16" s="1442" t="s">
        <v>1056</v>
      </c>
      <c r="C16" s="7"/>
      <c r="D16" s="1446">
        <v>926</v>
      </c>
      <c r="E16" s="1685">
        <v>6484747</v>
      </c>
      <c r="F16" s="1455"/>
      <c r="G16" s="1686">
        <f>E16</f>
        <v>6484747</v>
      </c>
      <c r="H16" s="1448"/>
      <c r="I16" s="387"/>
      <c r="J16" s="1456"/>
      <c r="K16" s="7"/>
      <c r="L16" s="593"/>
    </row>
    <row r="17" spans="1:12">
      <c r="A17" s="848">
        <f t="shared" si="0"/>
        <v>8</v>
      </c>
      <c r="B17" s="1442" t="s">
        <v>1057</v>
      </c>
      <c r="C17" s="7"/>
      <c r="D17" s="1443">
        <v>927</v>
      </c>
      <c r="E17" s="1685">
        <v>0</v>
      </c>
      <c r="F17" s="1455"/>
      <c r="G17" s="1686">
        <f>E17</f>
        <v>0</v>
      </c>
      <c r="H17" s="1448"/>
      <c r="I17" s="387"/>
      <c r="J17" s="1456"/>
      <c r="K17" s="7"/>
      <c r="L17" s="593"/>
    </row>
    <row r="18" spans="1:12">
      <c r="A18" s="848">
        <f t="shared" si="0"/>
        <v>9</v>
      </c>
      <c r="B18" s="1442" t="s">
        <v>1058</v>
      </c>
      <c r="C18" s="7"/>
      <c r="D18" s="1443">
        <v>928</v>
      </c>
      <c r="E18" s="1685">
        <v>2095257</v>
      </c>
      <c r="F18" s="1455"/>
      <c r="G18" s="1686"/>
      <c r="H18" s="1448"/>
      <c r="I18" s="387">
        <f>E18-J18</f>
        <v>1789852</v>
      </c>
      <c r="J18" s="1686">
        <f>239997+62050+3358</f>
        <v>305405</v>
      </c>
      <c r="K18" s="7"/>
      <c r="L18" s="593"/>
    </row>
    <row r="19" spans="1:12">
      <c r="A19" s="848">
        <f t="shared" si="0"/>
        <v>10</v>
      </c>
      <c r="B19" s="1442" t="s">
        <v>1059</v>
      </c>
      <c r="C19" s="7"/>
      <c r="D19" s="1443">
        <v>929</v>
      </c>
      <c r="E19" s="1685">
        <v>0</v>
      </c>
      <c r="F19" s="1455"/>
      <c r="G19" s="1686"/>
      <c r="H19" s="1448"/>
      <c r="I19" s="387"/>
      <c r="J19" s="1456"/>
      <c r="K19" s="7"/>
      <c r="L19" s="593"/>
    </row>
    <row r="20" spans="1:12">
      <c r="A20" s="848">
        <f t="shared" si="0"/>
        <v>11</v>
      </c>
      <c r="B20" s="1442" t="s">
        <v>1060</v>
      </c>
      <c r="C20" s="7"/>
      <c r="D20" s="1443">
        <v>930.1</v>
      </c>
      <c r="E20" s="1685">
        <v>586529</v>
      </c>
      <c r="F20" s="1455"/>
      <c r="G20" s="1686"/>
      <c r="H20" s="1448"/>
      <c r="I20" s="387">
        <f>E20</f>
        <v>586529</v>
      </c>
      <c r="J20" s="1456"/>
      <c r="K20" s="7"/>
      <c r="L20" s="593"/>
    </row>
    <row r="21" spans="1:12">
      <c r="A21" s="848">
        <f t="shared" si="0"/>
        <v>12</v>
      </c>
      <c r="B21" s="1442" t="s">
        <v>1061</v>
      </c>
      <c r="C21" s="7"/>
      <c r="D21" s="1443">
        <v>930.2</v>
      </c>
      <c r="E21" s="1685">
        <v>6987014</v>
      </c>
      <c r="F21" s="1455"/>
      <c r="G21" s="1686">
        <f>E21-I21</f>
        <v>662391</v>
      </c>
      <c r="H21" s="1448"/>
      <c r="I21" s="387">
        <f>'5 - Cost Support 1'!M242+'ATT H-3D'!$H$162</f>
        <v>6324623</v>
      </c>
      <c r="J21" s="1456"/>
      <c r="K21" s="7"/>
      <c r="L21" s="593"/>
    </row>
    <row r="22" spans="1:12">
      <c r="A22" s="848">
        <f t="shared" si="0"/>
        <v>13</v>
      </c>
      <c r="B22" s="1442" t="s">
        <v>978</v>
      </c>
      <c r="C22" s="7"/>
      <c r="D22" s="1443">
        <v>931</v>
      </c>
      <c r="E22" s="1685">
        <v>0</v>
      </c>
      <c r="F22" s="1455"/>
      <c r="G22" s="1686">
        <v>0</v>
      </c>
      <c r="H22" s="1448"/>
      <c r="I22" s="387"/>
      <c r="J22" s="1456"/>
      <c r="K22" s="7"/>
      <c r="L22" s="593"/>
    </row>
    <row r="23" spans="1:12">
      <c r="A23" s="848">
        <f t="shared" si="0"/>
        <v>14</v>
      </c>
      <c r="B23" s="1447" t="s">
        <v>1062</v>
      </c>
      <c r="C23" s="7"/>
      <c r="D23" s="1440">
        <v>935</v>
      </c>
      <c r="E23" s="1685">
        <v>-80103</v>
      </c>
      <c r="F23" s="1455"/>
      <c r="G23" s="1685">
        <f>E23</f>
        <v>-80103</v>
      </c>
      <c r="H23" s="1454"/>
      <c r="I23" s="1444"/>
      <c r="J23" s="1457"/>
      <c r="K23" s="1448"/>
      <c r="L23" s="593"/>
    </row>
    <row r="24" spans="1:12" ht="13">
      <c r="A24" s="848">
        <f t="shared" si="0"/>
        <v>15</v>
      </c>
      <c r="B24" s="672" t="s">
        <v>1063</v>
      </c>
      <c r="C24" s="7"/>
      <c r="D24" s="848"/>
      <c r="E24" s="1449">
        <f>SUM(E10:E23)</f>
        <v>99916175</v>
      </c>
      <c r="F24" s="1458"/>
      <c r="G24" s="1449">
        <f>SUM(G10:G23)</f>
        <v>89153399.853744</v>
      </c>
      <c r="H24" s="1449">
        <f t="shared" ref="H24:J24" si="1">SUM(H10:H23)</f>
        <v>692197</v>
      </c>
      <c r="I24" s="1449">
        <f t="shared" si="1"/>
        <v>9765173.1462559998</v>
      </c>
      <c r="J24" s="1449">
        <f t="shared" si="1"/>
        <v>305405</v>
      </c>
      <c r="K24" s="7"/>
      <c r="L24" s="7"/>
    </row>
    <row r="25" spans="1:12">
      <c r="A25" s="848"/>
      <c r="B25" s="7"/>
      <c r="C25" s="7"/>
      <c r="D25" s="7"/>
      <c r="E25" s="7"/>
      <c r="F25" s="7"/>
      <c r="G25" s="7"/>
      <c r="H25" s="7"/>
      <c r="I25" s="7"/>
      <c r="J25" s="7"/>
      <c r="K25" s="7"/>
      <c r="L25" s="7"/>
    </row>
    <row r="26" spans="1:12">
      <c r="A26" s="848">
        <f>A24+1</f>
        <v>16</v>
      </c>
      <c r="B26" s="7"/>
      <c r="C26" s="7"/>
      <c r="D26" s="7"/>
      <c r="E26" s="548" t="s">
        <v>1000</v>
      </c>
      <c r="F26" s="7"/>
      <c r="G26" s="1450">
        <f>+'ATT H-3D'!H24</f>
        <v>0.14625503638690887</v>
      </c>
      <c r="H26" s="1478">
        <f>+'ATT H-3D'!H45</f>
        <v>0.37201518739184425</v>
      </c>
      <c r="I26" s="1450">
        <v>0</v>
      </c>
      <c r="J26" s="1450">
        <v>1</v>
      </c>
      <c r="K26" s="7"/>
      <c r="L26" s="7"/>
    </row>
    <row r="27" spans="1:12" ht="14.5">
      <c r="A27" s="848">
        <f t="shared" ref="A27:A28" si="2">A26+1</f>
        <v>17</v>
      </c>
      <c r="B27" s="7"/>
      <c r="C27" s="7"/>
      <c r="D27" s="7"/>
      <c r="E27" s="548" t="s">
        <v>1578</v>
      </c>
      <c r="F27" s="7"/>
      <c r="G27" s="1448">
        <f>G24*G26</f>
        <v>13039133.739625964</v>
      </c>
      <c r="H27" s="1448">
        <f t="shared" ref="H27:J27" si="3">H24*H26</f>
        <v>257507.79666707243</v>
      </c>
      <c r="I27" s="1448">
        <f t="shared" si="3"/>
        <v>0</v>
      </c>
      <c r="J27" s="1448">
        <f t="shared" si="3"/>
        <v>305405</v>
      </c>
      <c r="K27" s="7"/>
      <c r="L27" s="7"/>
    </row>
    <row r="28" spans="1:12" ht="14.5">
      <c r="A28" s="848">
        <f t="shared" si="2"/>
        <v>18</v>
      </c>
      <c r="B28" s="7"/>
      <c r="C28" s="7"/>
      <c r="D28" s="7"/>
      <c r="E28" s="7"/>
      <c r="F28" s="7"/>
      <c r="G28" s="7"/>
      <c r="H28" s="7"/>
      <c r="I28" s="548" t="s">
        <v>1579</v>
      </c>
      <c r="J28" s="1451">
        <f>SUM(G27:J27)</f>
        <v>13602046.536293037</v>
      </c>
      <c r="K28" s="1452"/>
      <c r="L28" s="7"/>
    </row>
    <row r="29" spans="1:12">
      <c r="A29" s="7"/>
      <c r="B29" s="7"/>
      <c r="C29" s="7"/>
      <c r="D29" s="7"/>
      <c r="E29" s="7"/>
      <c r="F29" s="7"/>
      <c r="G29" s="7"/>
      <c r="H29" s="7"/>
      <c r="I29" s="7"/>
      <c r="J29" s="7"/>
      <c r="K29" s="7"/>
      <c r="L29" s="7"/>
    </row>
    <row r="30" spans="1:12" ht="14.5">
      <c r="A30" s="7" t="s">
        <v>1580</v>
      </c>
      <c r="B30" s="7"/>
      <c r="C30" s="7"/>
      <c r="D30" s="7"/>
      <c r="E30" s="7"/>
      <c r="F30" s="7"/>
      <c r="G30" s="7"/>
      <c r="H30" s="7"/>
      <c r="I30" s="96" t="s">
        <v>1548</v>
      </c>
      <c r="J30" s="1459">
        <f>+'ATT H-3D'!H166+'ATT H-3D'!H171+'ATT H-3D'!H177</f>
        <v>13602046.536293037</v>
      </c>
      <c r="K30" s="7"/>
      <c r="L30" s="7"/>
    </row>
    <row r="31" spans="1:12" ht="14.5">
      <c r="A31" s="7" t="s">
        <v>1581</v>
      </c>
      <c r="B31" s="7"/>
      <c r="C31" s="7"/>
      <c r="D31" s="7"/>
      <c r="E31" s="7"/>
      <c r="F31" s="7"/>
      <c r="G31" s="1448"/>
      <c r="H31" s="7"/>
      <c r="I31" s="96" t="s">
        <v>227</v>
      </c>
      <c r="J31" s="1460">
        <f>J28-J30</f>
        <v>0</v>
      </c>
      <c r="K31" s="7"/>
      <c r="L31" s="7"/>
    </row>
    <row r="32" spans="1:12">
      <c r="A32" s="7"/>
      <c r="B32" s="7"/>
      <c r="C32" s="7"/>
      <c r="D32" s="7"/>
      <c r="E32" s="7"/>
      <c r="F32" s="7"/>
      <c r="G32" s="1448"/>
      <c r="H32" s="7"/>
      <c r="I32" s="7"/>
      <c r="J32" s="7"/>
      <c r="K32" s="7"/>
      <c r="L32" s="7"/>
    </row>
    <row r="33" spans="7:10">
      <c r="G33" s="1461"/>
    </row>
    <row r="34" spans="7:10">
      <c r="G34" s="1461"/>
      <c r="H34" s="593"/>
      <c r="J34" s="1626"/>
    </row>
    <row r="35" spans="7:10">
      <c r="G35" s="1461"/>
      <c r="H35" s="593"/>
    </row>
    <row r="36" spans="7:10">
      <c r="G36" s="1688"/>
    </row>
    <row r="37" spans="7:10">
      <c r="G37" s="1461"/>
      <c r="H37" s="1687"/>
      <c r="J37" s="1626"/>
    </row>
    <row r="38" spans="7:10">
      <c r="G38" s="1461"/>
    </row>
    <row r="39" spans="7:10">
      <c r="G39" s="1461"/>
    </row>
    <row r="40" spans="7:10">
      <c r="G40" s="1461"/>
    </row>
    <row r="41" spans="7:10">
      <c r="G41" s="1461"/>
    </row>
  </sheetData>
  <mergeCells count="2">
    <mergeCell ref="B1:G1"/>
    <mergeCell ref="B2:G2"/>
  </mergeCells>
  <pageMargins left="0.25" right="0.25" top="0.75" bottom="0.75" header="0.3" footer="0.3"/>
  <pageSetup scale="78" fitToHeight="2" orientation="landscape" r:id="rId1"/>
  <ignoredErrors>
    <ignoredError sqref="E10:J24"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F737E-EDA6-4EFD-8CD1-330B3469C41B}">
  <dimension ref="A1:E94"/>
  <sheetViews>
    <sheetView view="pageBreakPreview" topLeftCell="A37" zoomScale="60" zoomScaleNormal="100" workbookViewId="0">
      <selection activeCell="A4" sqref="A1:XFD1048576"/>
    </sheetView>
  </sheetViews>
  <sheetFormatPr defaultColWidth="9.1796875" defaultRowHeight="12.5"/>
  <cols>
    <col min="1" max="1" width="25.1796875" style="10" customWidth="1"/>
    <col min="2" max="2" width="61" style="10" customWidth="1"/>
    <col min="3" max="3" width="18" style="10" customWidth="1"/>
    <col min="4" max="4" width="9.1796875" style="10" customWidth="1"/>
    <col min="5" max="16384" width="9.1796875" style="10"/>
  </cols>
  <sheetData>
    <row r="1" spans="1:4" ht="18">
      <c r="A1" s="1788" t="str">
        <f>+'ATT H-3D'!$A$4</f>
        <v>Delmarva Power &amp; Light Company</v>
      </c>
      <c r="B1" s="1788"/>
      <c r="C1" s="1788"/>
      <c r="D1" s="1709"/>
    </row>
    <row r="2" spans="1:4" ht="15.5">
      <c r="A2" s="1749" t="s">
        <v>1064</v>
      </c>
      <c r="B2" s="1749"/>
      <c r="C2" s="1749"/>
      <c r="D2" s="1708"/>
    </row>
    <row r="3" spans="1:4">
      <c r="A3" s="298"/>
      <c r="B3" s="298"/>
      <c r="C3" s="298"/>
      <c r="D3" s="298"/>
    </row>
    <row r="4" spans="1:4">
      <c r="A4" s="298"/>
      <c r="B4" s="298"/>
      <c r="C4" s="298"/>
      <c r="D4" s="298"/>
    </row>
    <row r="5" spans="1:4">
      <c r="A5" s="1462" t="s">
        <v>164</v>
      </c>
      <c r="B5" s="1462" t="s">
        <v>165</v>
      </c>
      <c r="C5" s="1463" t="s">
        <v>1065</v>
      </c>
      <c r="D5" s="1463"/>
    </row>
    <row r="6" spans="1:4">
      <c r="A6" s="298"/>
      <c r="B6" s="1464"/>
      <c r="C6" s="1465"/>
      <c r="D6" s="1465"/>
    </row>
    <row r="7" spans="1:4">
      <c r="A7" s="298"/>
      <c r="B7" s="1464"/>
      <c r="C7" s="1465" t="s">
        <v>1066</v>
      </c>
      <c r="D7" s="1465"/>
    </row>
    <row r="8" spans="1:4">
      <c r="A8" s="1462" t="s">
        <v>1067</v>
      </c>
      <c r="B8" s="1462" t="s">
        <v>1068</v>
      </c>
      <c r="C8" s="1465" t="s">
        <v>1069</v>
      </c>
      <c r="D8" s="1465"/>
    </row>
    <row r="9" spans="1:4" ht="13">
      <c r="A9" s="1462"/>
      <c r="B9" s="1466"/>
      <c r="C9" s="1467"/>
      <c r="D9" s="1467"/>
    </row>
    <row r="10" spans="1:4" ht="13">
      <c r="A10" s="1462"/>
      <c r="B10" s="1466"/>
      <c r="C10" s="1683"/>
      <c r="D10" s="1683"/>
    </row>
    <row r="11" spans="1:4">
      <c r="A11" s="1468"/>
      <c r="B11" s="298"/>
      <c r="C11" s="1711"/>
      <c r="D11" s="1711"/>
    </row>
    <row r="12" spans="1:4" ht="13">
      <c r="A12" s="1468"/>
      <c r="B12" s="1469" t="s">
        <v>1070</v>
      </c>
      <c r="C12" s="1712"/>
      <c r="D12" s="1712"/>
    </row>
    <row r="13" spans="1:4">
      <c r="A13" s="1471">
        <v>350.2</v>
      </c>
      <c r="B13" s="1471" t="s">
        <v>1071</v>
      </c>
      <c r="C13" s="1713">
        <v>8.6999999999999994E-3</v>
      </c>
      <c r="D13" s="1713"/>
    </row>
    <row r="14" spans="1:4">
      <c r="A14" s="1471">
        <v>352</v>
      </c>
      <c r="B14" s="1471" t="s">
        <v>1072</v>
      </c>
      <c r="C14" s="1713">
        <v>1.66E-2</v>
      </c>
      <c r="D14" s="1713"/>
    </row>
    <row r="15" spans="1:4">
      <c r="A15" s="1471">
        <v>353</v>
      </c>
      <c r="B15" s="1471" t="s">
        <v>1073</v>
      </c>
      <c r="C15" s="1713">
        <v>3.5200000000000002E-2</v>
      </c>
      <c r="D15" s="1713"/>
    </row>
    <row r="16" spans="1:4">
      <c r="A16" s="1471">
        <v>354</v>
      </c>
      <c r="B16" s="1471" t="s">
        <v>1074</v>
      </c>
      <c r="C16" s="1713">
        <v>1.3899999999999999E-2</v>
      </c>
      <c r="D16" s="1713"/>
    </row>
    <row r="17" spans="1:5">
      <c r="A17" s="1471">
        <v>355</v>
      </c>
      <c r="B17" s="1471" t="s">
        <v>1075</v>
      </c>
      <c r="C17" s="1713">
        <v>4.2700000000000002E-2</v>
      </c>
      <c r="D17" s="1713"/>
    </row>
    <row r="18" spans="1:5">
      <c r="A18" s="1471">
        <v>356</v>
      </c>
      <c r="B18" s="1471" t="s">
        <v>1076</v>
      </c>
      <c r="C18" s="1713">
        <v>3.4700000000000002E-2</v>
      </c>
      <c r="D18" s="1713"/>
    </row>
    <row r="19" spans="1:5">
      <c r="A19" s="1471">
        <v>357</v>
      </c>
      <c r="B19" s="1471" t="s">
        <v>1077</v>
      </c>
      <c r="C19" s="1713">
        <v>1.26E-2</v>
      </c>
      <c r="D19" s="1713"/>
    </row>
    <row r="20" spans="1:5">
      <c r="A20" s="1471">
        <v>358</v>
      </c>
      <c r="B20" s="1471" t="s">
        <v>1078</v>
      </c>
      <c r="C20" s="1713">
        <v>1.9E-2</v>
      </c>
      <c r="D20" s="1713"/>
    </row>
    <row r="21" spans="1:5">
      <c r="A21" s="1471">
        <v>359</v>
      </c>
      <c r="B21" s="1471" t="s">
        <v>1079</v>
      </c>
      <c r="C21" s="1713">
        <v>5.4000000000000003E-3</v>
      </c>
      <c r="D21" s="1713"/>
    </row>
    <row r="22" spans="1:5">
      <c r="A22" s="1471"/>
      <c r="B22" s="1471"/>
      <c r="C22" s="1713"/>
      <c r="D22" s="1713"/>
    </row>
    <row r="23" spans="1:5" ht="13">
      <c r="A23" s="1468"/>
      <c r="B23" s="1469" t="s">
        <v>1080</v>
      </c>
      <c r="C23" s="1470"/>
      <c r="D23" s="1470"/>
    </row>
    <row r="24" spans="1:5">
      <c r="A24" s="1471" t="s">
        <v>1394</v>
      </c>
      <c r="B24" s="1471" t="s">
        <v>1072</v>
      </c>
      <c r="C24" s="1465">
        <v>1.01E-2</v>
      </c>
      <c r="D24" s="1465"/>
    </row>
    <row r="25" spans="1:5">
      <c r="A25" s="1471" t="s">
        <v>1395</v>
      </c>
      <c r="B25" s="1471" t="s">
        <v>1072</v>
      </c>
      <c r="C25" s="1465">
        <v>3.4299999999999997E-2</v>
      </c>
      <c r="D25" s="1465"/>
    </row>
    <row r="26" spans="1:5" s="7" customFormat="1">
      <c r="A26" s="1472" t="s">
        <v>1993</v>
      </c>
      <c r="B26" s="1472" t="s">
        <v>1072</v>
      </c>
      <c r="C26" s="1713">
        <v>5.6500000000000002E-2</v>
      </c>
      <c r="E26" s="10"/>
    </row>
    <row r="27" spans="1:5">
      <c r="A27" s="1471" t="s">
        <v>1397</v>
      </c>
      <c r="B27" s="1471" t="s">
        <v>1072</v>
      </c>
      <c r="C27" s="1487">
        <v>5.7799999999999997E-2</v>
      </c>
      <c r="D27" s="1487"/>
    </row>
    <row r="28" spans="1:5">
      <c r="A28" s="1471" t="s">
        <v>1398</v>
      </c>
      <c r="B28" s="1471" t="s">
        <v>1072</v>
      </c>
      <c r="C28" s="1465">
        <v>0.1014</v>
      </c>
      <c r="D28" s="1465"/>
    </row>
    <row r="29" spans="1:5">
      <c r="A29" s="1471" t="s">
        <v>1396</v>
      </c>
      <c r="B29" s="1471" t="s">
        <v>1072</v>
      </c>
      <c r="C29" s="1465">
        <v>0.21490000000000001</v>
      </c>
      <c r="D29" s="1465"/>
    </row>
    <row r="30" spans="1:5">
      <c r="A30" s="1472">
        <v>392</v>
      </c>
      <c r="B30" s="1472" t="s">
        <v>1482</v>
      </c>
      <c r="C30" s="1465"/>
      <c r="D30" s="1465"/>
    </row>
    <row r="31" spans="1:5">
      <c r="A31" s="1472" t="s">
        <v>1549</v>
      </c>
      <c r="B31" s="1472" t="s">
        <v>1482</v>
      </c>
      <c r="C31" s="1465">
        <v>8.4000000000000005E-2</v>
      </c>
      <c r="D31" s="1465"/>
    </row>
    <row r="32" spans="1:5" ht="16.5" customHeight="1">
      <c r="A32" s="1472" t="s">
        <v>1994</v>
      </c>
      <c r="B32" s="1472" t="s">
        <v>1482</v>
      </c>
      <c r="C32" s="1487">
        <v>6.8000000000000005E-2</v>
      </c>
      <c r="D32" s="1487"/>
    </row>
    <row r="33" spans="1:4" ht="16.5" customHeight="1">
      <c r="A33" s="1472" t="s">
        <v>1995</v>
      </c>
      <c r="B33" s="1472" t="s">
        <v>1482</v>
      </c>
      <c r="C33" s="1487">
        <v>6.0999999999999999E-2</v>
      </c>
      <c r="D33" s="1487"/>
    </row>
    <row r="34" spans="1:4" ht="16.5" customHeight="1">
      <c r="A34" s="1472" t="s">
        <v>1996</v>
      </c>
      <c r="B34" s="1472" t="s">
        <v>1482</v>
      </c>
      <c r="C34" s="1487">
        <v>4.5699999999999998E-2</v>
      </c>
      <c r="D34" s="1487"/>
    </row>
    <row r="35" spans="1:4">
      <c r="A35" s="1472" t="s">
        <v>1399</v>
      </c>
      <c r="B35" s="1472" t="s">
        <v>1081</v>
      </c>
      <c r="C35" s="1465">
        <v>0.19739999999999999</v>
      </c>
      <c r="D35" s="1465"/>
    </row>
    <row r="36" spans="1:4">
      <c r="A36" s="1472" t="s">
        <v>1402</v>
      </c>
      <c r="B36" s="1472" t="s">
        <v>1081</v>
      </c>
      <c r="C36" s="1465"/>
      <c r="D36" s="1465"/>
    </row>
    <row r="37" spans="1:4">
      <c r="A37" s="1472" t="s">
        <v>1400</v>
      </c>
      <c r="B37" s="1472" t="s">
        <v>1082</v>
      </c>
      <c r="C37" s="1465">
        <v>6.5600000000000006E-2</v>
      </c>
      <c r="D37" s="1465"/>
    </row>
    <row r="38" spans="1:4">
      <c r="A38" s="1472" t="s">
        <v>1401</v>
      </c>
      <c r="B38" s="1472" t="s">
        <v>1082</v>
      </c>
      <c r="C38" s="1465">
        <v>7.1900000000000006E-2</v>
      </c>
      <c r="D38" s="1465"/>
    </row>
    <row r="39" spans="1:4">
      <c r="A39" s="1472" t="s">
        <v>1403</v>
      </c>
      <c r="B39" s="1472" t="s">
        <v>1083</v>
      </c>
      <c r="C39" s="1465">
        <v>0.15459999999999999</v>
      </c>
      <c r="D39" s="1465"/>
    </row>
    <row r="40" spans="1:4">
      <c r="A40" s="1472" t="s">
        <v>1404</v>
      </c>
      <c r="B40" s="1472" t="s">
        <v>1085</v>
      </c>
      <c r="C40" s="1465">
        <v>4.1300000000000003E-2</v>
      </c>
      <c r="D40" s="1465"/>
    </row>
    <row r="41" spans="1:4">
      <c r="A41" s="1472" t="s">
        <v>1405</v>
      </c>
      <c r="B41" s="1472" t="s">
        <v>1085</v>
      </c>
      <c r="C41" s="1487">
        <v>6.9800000000000001E-2</v>
      </c>
      <c r="D41" s="1487"/>
    </row>
    <row r="42" spans="1:4">
      <c r="A42" s="1472" t="s">
        <v>1408</v>
      </c>
      <c r="B42" s="1472" t="s">
        <v>1085</v>
      </c>
      <c r="C42" s="1487">
        <v>6.9800000000000001E-2</v>
      </c>
      <c r="D42" s="1487"/>
    </row>
    <row r="43" spans="1:4">
      <c r="A43" s="1472" t="s">
        <v>1406</v>
      </c>
      <c r="B43" s="1472" t="s">
        <v>1085</v>
      </c>
      <c r="C43" s="1487">
        <v>3.32E-2</v>
      </c>
      <c r="D43" s="1465"/>
    </row>
    <row r="44" spans="1:4">
      <c r="A44" s="1472" t="s">
        <v>1407</v>
      </c>
      <c r="B44" s="1472" t="s">
        <v>1085</v>
      </c>
      <c r="C44" s="1487">
        <v>7.9000000000000001E-2</v>
      </c>
      <c r="D44" s="1465"/>
    </row>
    <row r="45" spans="1:4">
      <c r="A45" s="1472" t="s">
        <v>1409</v>
      </c>
      <c r="B45" s="1472" t="s">
        <v>1085</v>
      </c>
      <c r="C45" s="1487">
        <v>8.4400000000000003E-2</v>
      </c>
      <c r="D45" s="1465"/>
    </row>
    <row r="46" spans="1:4">
      <c r="A46" s="1472" t="s">
        <v>1410</v>
      </c>
      <c r="B46" s="1472" t="s">
        <v>1086</v>
      </c>
      <c r="C46" s="1487">
        <v>5.74E-2</v>
      </c>
      <c r="D46" s="1465"/>
    </row>
    <row r="47" spans="1:4">
      <c r="A47" s="1472" t="s">
        <v>1411</v>
      </c>
      <c r="B47" s="1472" t="s">
        <v>1086</v>
      </c>
      <c r="C47" s="1487">
        <v>8.1600000000000006E-2</v>
      </c>
      <c r="D47" s="1465"/>
    </row>
    <row r="48" spans="1:4">
      <c r="A48" s="1471"/>
      <c r="B48" s="298"/>
      <c r="C48" s="298"/>
      <c r="D48" s="298"/>
    </row>
    <row r="49" spans="1:4" ht="13">
      <c r="A49" s="1471"/>
      <c r="B49" s="1469" t="s">
        <v>1087</v>
      </c>
      <c r="C49" s="1470"/>
      <c r="D49" s="1470"/>
    </row>
    <row r="50" spans="1:4">
      <c r="A50" s="1471">
        <v>302</v>
      </c>
      <c r="B50" s="1471" t="s">
        <v>1088</v>
      </c>
      <c r="C50" s="1714"/>
      <c r="D50" s="1714"/>
    </row>
    <row r="51" spans="1:4">
      <c r="A51" s="1471">
        <v>303</v>
      </c>
      <c r="B51" s="1471" t="s">
        <v>1089</v>
      </c>
      <c r="C51" s="1714"/>
      <c r="D51" s="1714"/>
    </row>
    <row r="52" spans="1:4">
      <c r="A52" s="1472">
        <v>303.10000000000002</v>
      </c>
      <c r="B52" s="1472" t="s">
        <v>1111</v>
      </c>
      <c r="C52" s="1484">
        <v>0.5</v>
      </c>
      <c r="D52" s="1484"/>
    </row>
    <row r="53" spans="1:4">
      <c r="A53" s="1472">
        <v>303.2</v>
      </c>
      <c r="B53" s="1472" t="s">
        <v>1090</v>
      </c>
      <c r="C53" s="1484">
        <v>0.33333333333333331</v>
      </c>
      <c r="D53" s="1484"/>
    </row>
    <row r="54" spans="1:4" ht="16.5" customHeight="1">
      <c r="A54" s="1472">
        <v>303.3</v>
      </c>
      <c r="B54" s="1472" t="s">
        <v>1091</v>
      </c>
      <c r="C54" s="1484">
        <v>0.25</v>
      </c>
      <c r="D54" s="1484"/>
    </row>
    <row r="55" spans="1:4">
      <c r="A55" s="1472">
        <v>303.39999999999998</v>
      </c>
      <c r="B55" s="1472" t="s">
        <v>1092</v>
      </c>
      <c r="C55" s="1484">
        <v>0.2</v>
      </c>
      <c r="D55" s="1484"/>
    </row>
    <row r="56" spans="1:4">
      <c r="A56" s="1472">
        <v>303.5</v>
      </c>
      <c r="B56" s="1472" t="s">
        <v>1093</v>
      </c>
      <c r="C56" s="1484">
        <v>0.14285714285714285</v>
      </c>
      <c r="D56" s="1484"/>
    </row>
    <row r="57" spans="1:4">
      <c r="A57" s="1472">
        <v>303.60000000000002</v>
      </c>
      <c r="B57" s="1472" t="s">
        <v>1094</v>
      </c>
      <c r="C57" s="1484">
        <v>0.1</v>
      </c>
      <c r="D57" s="1484"/>
    </row>
    <row r="58" spans="1:4">
      <c r="A58" s="1472">
        <v>303.7</v>
      </c>
      <c r="B58" s="1472" t="s">
        <v>1095</v>
      </c>
      <c r="C58" s="1484">
        <v>8.3333333333333329E-2</v>
      </c>
      <c r="D58" s="1484"/>
    </row>
    <row r="59" spans="1:4" ht="16.5" customHeight="1">
      <c r="A59" s="1472">
        <v>303.8</v>
      </c>
      <c r="B59" s="1472" t="s">
        <v>1096</v>
      </c>
      <c r="C59" s="1484">
        <v>6.6666666666666666E-2</v>
      </c>
      <c r="D59" s="1484"/>
    </row>
    <row r="60" spans="1:4" ht="13">
      <c r="A60" s="1473"/>
      <c r="B60" s="1474"/>
    </row>
    <row r="61" spans="1:4" ht="16.5" customHeight="1">
      <c r="A61" s="1471"/>
      <c r="B61" s="1469" t="s">
        <v>1434</v>
      </c>
      <c r="C61" s="298"/>
      <c r="D61" s="298"/>
    </row>
    <row r="62" spans="1:4" ht="16.5" customHeight="1">
      <c r="A62" s="1471">
        <v>390.3</v>
      </c>
      <c r="B62" s="1471" t="s">
        <v>1072</v>
      </c>
      <c r="C62" s="1465">
        <v>8.0000000000000002E-3</v>
      </c>
      <c r="D62" s="1465"/>
    </row>
    <row r="63" spans="1:4" ht="16.5" customHeight="1">
      <c r="A63" s="1471" t="s">
        <v>1412</v>
      </c>
      <c r="B63" s="1471" t="s">
        <v>1072</v>
      </c>
      <c r="C63" s="1465">
        <v>7.3000000000000001E-3</v>
      </c>
      <c r="D63" s="1465"/>
    </row>
    <row r="64" spans="1:4" ht="16.5" customHeight="1">
      <c r="A64" s="1471" t="s">
        <v>1413</v>
      </c>
      <c r="B64" s="1471" t="s">
        <v>1072</v>
      </c>
      <c r="C64" s="1465">
        <v>-8.9999999999999998E-4</v>
      </c>
      <c r="D64" s="1465"/>
    </row>
    <row r="65" spans="1:4" ht="16.5" customHeight="1">
      <c r="A65" s="1471">
        <v>391.1</v>
      </c>
      <c r="B65" s="1471" t="s">
        <v>1072</v>
      </c>
      <c r="C65" s="1465">
        <v>5.3800000000000001E-2</v>
      </c>
      <c r="D65" s="1465"/>
    </row>
    <row r="66" spans="1:4" ht="16.5" customHeight="1">
      <c r="A66" s="1472">
        <v>391.2</v>
      </c>
      <c r="B66" s="1472" t="s">
        <v>1072</v>
      </c>
      <c r="C66" s="1465">
        <v>0.36449999999999999</v>
      </c>
      <c r="D66" s="1465"/>
    </row>
    <row r="67" spans="1:4" ht="16.5" customHeight="1">
      <c r="A67" s="1472">
        <v>391.3</v>
      </c>
      <c r="B67" s="1472" t="s">
        <v>1072</v>
      </c>
      <c r="C67" s="1465"/>
      <c r="D67" s="1465"/>
    </row>
    <row r="68" spans="1:4" ht="16.5" customHeight="1">
      <c r="A68" s="1472">
        <v>392</v>
      </c>
      <c r="B68" s="1472" t="s">
        <v>1482</v>
      </c>
      <c r="C68" s="1465"/>
      <c r="D68" s="1465"/>
    </row>
    <row r="69" spans="1:4" ht="16.5" customHeight="1">
      <c r="A69" s="1472">
        <v>393</v>
      </c>
      <c r="B69" s="1472" t="s">
        <v>1081</v>
      </c>
      <c r="C69" s="1465">
        <v>6.2700000000000006E-2</v>
      </c>
      <c r="D69" s="1465"/>
    </row>
    <row r="70" spans="1:4" ht="16.5" customHeight="1">
      <c r="A70" s="1472">
        <v>394</v>
      </c>
      <c r="B70" s="1472" t="s">
        <v>1082</v>
      </c>
      <c r="C70" s="1465">
        <v>6.5600000000000006E-2</v>
      </c>
      <c r="D70" s="1465"/>
    </row>
    <row r="71" spans="1:4" ht="16.5" customHeight="1">
      <c r="A71" s="1472">
        <v>395</v>
      </c>
      <c r="B71" s="1472" t="s">
        <v>1083</v>
      </c>
      <c r="C71" s="1465"/>
      <c r="D71" s="1465"/>
    </row>
    <row r="72" spans="1:4" ht="16.5" customHeight="1">
      <c r="A72" s="1472">
        <v>396</v>
      </c>
      <c r="B72" s="1472" t="s">
        <v>1084</v>
      </c>
      <c r="C72" s="1465"/>
      <c r="D72" s="1465"/>
    </row>
    <row r="73" spans="1:4" ht="16.5" customHeight="1">
      <c r="A73" s="1472" t="s">
        <v>1414</v>
      </c>
      <c r="B73" s="1472" t="s">
        <v>1085</v>
      </c>
      <c r="C73" s="1465">
        <v>4.1300000000000003E-2</v>
      </c>
      <c r="D73" s="1465"/>
    </row>
    <row r="74" spans="1:4" ht="16.5" customHeight="1">
      <c r="A74" s="1472">
        <v>397.3</v>
      </c>
      <c r="B74" s="1472" t="s">
        <v>1085</v>
      </c>
      <c r="C74" s="1465">
        <v>8.9999999999999998E-4</v>
      </c>
      <c r="D74" s="1465"/>
    </row>
    <row r="75" spans="1:4" ht="16.5" customHeight="1">
      <c r="A75" s="1472">
        <v>398</v>
      </c>
      <c r="B75" s="1472" t="s">
        <v>1086</v>
      </c>
      <c r="C75" s="1487">
        <v>5.2200000000000003E-2</v>
      </c>
      <c r="D75" s="1487"/>
    </row>
    <row r="76" spans="1:4" ht="16.5" customHeight="1">
      <c r="A76" s="1471"/>
      <c r="B76" s="298"/>
      <c r="C76" s="1465"/>
      <c r="D76" s="1465"/>
    </row>
    <row r="77" spans="1:4" ht="16.5" customHeight="1">
      <c r="A77" s="1471"/>
      <c r="B77" s="1469" t="s">
        <v>1435</v>
      </c>
      <c r="C77" s="1470"/>
      <c r="D77" s="1470"/>
    </row>
    <row r="78" spans="1:4" ht="16.5" customHeight="1">
      <c r="A78" s="1471">
        <v>302</v>
      </c>
      <c r="B78" s="1471" t="s">
        <v>1088</v>
      </c>
      <c r="C78" s="1710"/>
      <c r="D78" s="1710"/>
    </row>
    <row r="79" spans="1:4" ht="16.5" customHeight="1">
      <c r="A79" s="1471">
        <v>303</v>
      </c>
      <c r="B79" s="1471" t="s">
        <v>1089</v>
      </c>
      <c r="C79" s="1710"/>
      <c r="D79" s="1710"/>
    </row>
    <row r="80" spans="1:4" ht="16.5" customHeight="1">
      <c r="A80" s="1472">
        <v>303.10000000000002</v>
      </c>
      <c r="B80" s="1472" t="s">
        <v>1111</v>
      </c>
      <c r="C80" s="1484">
        <f>1/2</f>
        <v>0.5</v>
      </c>
      <c r="D80" s="1484"/>
    </row>
    <row r="81" spans="1:4" ht="16.5" customHeight="1">
      <c r="A81" s="1472">
        <v>303.2</v>
      </c>
      <c r="B81" s="1472" t="s">
        <v>1090</v>
      </c>
      <c r="C81" s="1484">
        <v>0.33333333333333331</v>
      </c>
      <c r="D81" s="1484"/>
    </row>
    <row r="82" spans="1:4" ht="16.5" customHeight="1">
      <c r="A82" s="1472">
        <v>303.3</v>
      </c>
      <c r="B82" s="1472" t="s">
        <v>1091</v>
      </c>
      <c r="C82" s="1484">
        <v>0.25</v>
      </c>
      <c r="D82" s="1484"/>
    </row>
    <row r="83" spans="1:4" ht="16.5" customHeight="1">
      <c r="A83" s="1472">
        <v>303.39999999999998</v>
      </c>
      <c r="B83" s="1472" t="s">
        <v>1092</v>
      </c>
      <c r="C83" s="1484">
        <v>0.2</v>
      </c>
      <c r="D83" s="1484"/>
    </row>
    <row r="84" spans="1:4" ht="16.5" customHeight="1">
      <c r="A84" s="1472">
        <v>303.5</v>
      </c>
      <c r="B84" s="1472" t="s">
        <v>1093</v>
      </c>
      <c r="C84" s="1484">
        <v>0.14285714285714285</v>
      </c>
      <c r="D84" s="1484"/>
    </row>
    <row r="85" spans="1:4" ht="16.5" customHeight="1">
      <c r="A85" s="1472">
        <v>303.60000000000002</v>
      </c>
      <c r="B85" s="1472" t="s">
        <v>1094</v>
      </c>
      <c r="C85" s="1484">
        <v>0.1</v>
      </c>
      <c r="D85" s="1484"/>
    </row>
    <row r="86" spans="1:4" ht="16.5" customHeight="1">
      <c r="A86" s="1472">
        <v>303.7</v>
      </c>
      <c r="B86" s="1472" t="s">
        <v>1095</v>
      </c>
      <c r="C86" s="1484">
        <v>8.3333333333333329E-2</v>
      </c>
      <c r="D86" s="1484"/>
    </row>
    <row r="87" spans="1:4" ht="16.5" customHeight="1">
      <c r="A87" s="1472">
        <v>303.8</v>
      </c>
      <c r="B87" s="1472" t="s">
        <v>1096</v>
      </c>
      <c r="C87" s="1484">
        <v>6.6666666666666666E-2</v>
      </c>
      <c r="D87" s="1484"/>
    </row>
    <row r="88" spans="1:4" ht="16.5" customHeight="1">
      <c r="A88" s="1471"/>
      <c r="B88" s="298"/>
    </row>
    <row r="89" spans="1:4" ht="16.5" customHeight="1">
      <c r="A89" s="1471"/>
      <c r="B89" s="298"/>
      <c r="C89" s="1465"/>
      <c r="D89" s="1465"/>
    </row>
    <row r="90" spans="1:4">
      <c r="A90" s="1473"/>
      <c r="B90" s="1473"/>
    </row>
    <row r="91" spans="1:4">
      <c r="A91" s="1473"/>
      <c r="B91" s="1473"/>
    </row>
    <row r="92" spans="1:4">
      <c r="A92" s="548" t="s">
        <v>1112</v>
      </c>
      <c r="B92" s="551" t="s">
        <v>1113</v>
      </c>
      <c r="C92" s="375"/>
    </row>
    <row r="93" spans="1:4">
      <c r="A93" s="1473"/>
      <c r="B93" s="1473"/>
    </row>
    <row r="94" spans="1:4">
      <c r="A94" s="1473"/>
      <c r="B94" s="1473"/>
    </row>
  </sheetData>
  <mergeCells count="2">
    <mergeCell ref="A2:C2"/>
    <mergeCell ref="A1:C1"/>
  </mergeCells>
  <phoneticPr fontId="52" type="noConversion"/>
  <pageMargins left="0.25" right="0.25" top="0.75" bottom="0.75" header="0.3" footer="0.3"/>
  <pageSetup scale="71" fitToHeight="2" orientation="landscape" r:id="rId1"/>
  <rowBreaks count="1" manualBreakCount="1">
    <brk id="48"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5930F-5A5E-4F59-89D8-4823C0CBBC75}">
  <sheetPr>
    <pageSetUpPr fitToPage="1"/>
  </sheetPr>
  <dimension ref="A1:R327"/>
  <sheetViews>
    <sheetView view="pageBreakPreview" topLeftCell="A262" zoomScale="55" zoomScaleNormal="80" zoomScaleSheetLayoutView="55" workbookViewId="0">
      <selection activeCell="A25" sqref="A1:XFD1048576"/>
    </sheetView>
  </sheetViews>
  <sheetFormatPr defaultColWidth="9.1796875" defaultRowHeight="12.5"/>
  <cols>
    <col min="1" max="1" width="5.7265625" style="377" customWidth="1"/>
    <col min="2" max="2" width="11.453125" style="379" customWidth="1"/>
    <col min="3" max="3" width="75.1796875" style="377" customWidth="1"/>
    <col min="4" max="4" width="0.54296875" style="377" customWidth="1"/>
    <col min="5" max="5" width="29.1796875" style="377" customWidth="1"/>
    <col min="6" max="6" width="26.453125" style="377" customWidth="1"/>
    <col min="7" max="7" width="18.81640625" style="377" customWidth="1"/>
    <col min="8" max="8" width="27.81640625" style="377" customWidth="1"/>
    <col min="9" max="9" width="28.81640625" style="377" customWidth="1"/>
    <col min="10" max="10" width="89.1796875" style="377" customWidth="1"/>
    <col min="11" max="11" width="5.7265625" style="377" customWidth="1"/>
    <col min="12" max="16384" width="9.1796875" style="377"/>
  </cols>
  <sheetData>
    <row r="1" spans="1:18" ht="15.5">
      <c r="A1" s="1756" t="s">
        <v>1436</v>
      </c>
      <c r="B1" s="1756"/>
      <c r="C1" s="1756"/>
      <c r="D1" s="1756"/>
      <c r="E1" s="1756"/>
      <c r="F1" s="1756"/>
      <c r="G1" s="1756"/>
      <c r="H1" s="1756"/>
      <c r="I1" s="1756"/>
      <c r="J1" s="1756"/>
      <c r="K1" s="1756"/>
    </row>
    <row r="2" spans="1:18" ht="15.5">
      <c r="A2" s="1757" t="s">
        <v>854</v>
      </c>
      <c r="B2" s="1757"/>
      <c r="C2" s="1757"/>
      <c r="D2" s="1757"/>
      <c r="E2" s="1757"/>
      <c r="F2" s="1757"/>
      <c r="G2" s="1757"/>
      <c r="H2" s="1757"/>
      <c r="I2" s="1757"/>
      <c r="J2" s="1757"/>
      <c r="K2" s="1757"/>
    </row>
    <row r="3" spans="1:18" ht="15.5">
      <c r="A3" s="1756" t="s">
        <v>1235</v>
      </c>
      <c r="B3" s="1756"/>
      <c r="C3" s="1756"/>
      <c r="D3" s="1756"/>
      <c r="E3" s="1756"/>
      <c r="F3" s="1756"/>
      <c r="G3" s="1756"/>
      <c r="H3" s="1756"/>
      <c r="I3" s="1756"/>
      <c r="J3" s="1756"/>
      <c r="K3" s="1756"/>
    </row>
    <row r="4" spans="1:18" ht="13">
      <c r="B4" s="378"/>
    </row>
    <row r="5" spans="1:18" ht="13">
      <c r="I5" s="380"/>
    </row>
    <row r="6" spans="1:18" ht="13">
      <c r="B6" s="1758" t="s">
        <v>1980</v>
      </c>
      <c r="C6" s="1758"/>
      <c r="D6" s="1758"/>
      <c r="E6" s="1758"/>
      <c r="F6" s="1758"/>
      <c r="G6" s="1758"/>
      <c r="H6" s="1758"/>
      <c r="I6" s="1758"/>
      <c r="J6" s="1758"/>
    </row>
    <row r="7" spans="1:18" ht="13">
      <c r="F7" s="381" t="s">
        <v>1236</v>
      </c>
      <c r="G7" s="382" t="s">
        <v>238</v>
      </c>
      <c r="H7" s="382"/>
    </row>
    <row r="8" spans="1:18" ht="13">
      <c r="F8" s="381" t="s">
        <v>1237</v>
      </c>
      <c r="G8" s="382" t="s">
        <v>208</v>
      </c>
      <c r="H8" s="382" t="s">
        <v>239</v>
      </c>
      <c r="I8" s="382" t="s">
        <v>240</v>
      </c>
    </row>
    <row r="9" spans="1:18" ht="13">
      <c r="B9" s="383" t="s">
        <v>545</v>
      </c>
      <c r="C9" s="383" t="s">
        <v>884</v>
      </c>
      <c r="E9" s="384" t="s">
        <v>42</v>
      </c>
      <c r="F9" s="384" t="s">
        <v>1238</v>
      </c>
      <c r="G9" s="385" t="s">
        <v>241</v>
      </c>
      <c r="H9" s="385" t="s">
        <v>241</v>
      </c>
      <c r="I9" s="385" t="s">
        <v>241</v>
      </c>
    </row>
    <row r="10" spans="1:18" ht="5.15" customHeight="1"/>
    <row r="11" spans="1:18">
      <c r="B11" s="379">
        <v>1</v>
      </c>
      <c r="C11" s="386" t="s">
        <v>243</v>
      </c>
      <c r="E11" s="387">
        <f>F11+G11+H11+I11</f>
        <v>4385570.563376396</v>
      </c>
      <c r="F11" s="387">
        <f>F81</f>
        <v>0</v>
      </c>
      <c r="G11" s="387">
        <f>G81</f>
        <v>0</v>
      </c>
      <c r="H11" s="387">
        <f>H81</f>
        <v>3767652.2664261605</v>
      </c>
      <c r="I11" s="387">
        <f>I81</f>
        <v>617918.29695023515</v>
      </c>
    </row>
    <row r="12" spans="1:18">
      <c r="B12" s="379">
        <f>B11+1</f>
        <v>2</v>
      </c>
      <c r="C12" s="386" t="s">
        <v>885</v>
      </c>
      <c r="E12" s="387">
        <f>F12+G12+H12+I12</f>
        <v>0</v>
      </c>
      <c r="F12" s="387">
        <v>0</v>
      </c>
      <c r="G12" s="387">
        <v>0</v>
      </c>
      <c r="H12" s="387">
        <v>0</v>
      </c>
      <c r="I12" s="387">
        <v>0</v>
      </c>
      <c r="O12" s="388"/>
      <c r="P12" s="388"/>
      <c r="Q12" s="388"/>
      <c r="R12" s="388"/>
    </row>
    <row r="13" spans="1:18">
      <c r="B13" s="379">
        <f>B12+1</f>
        <v>3</v>
      </c>
      <c r="C13" s="386" t="s">
        <v>886</v>
      </c>
      <c r="E13" s="387">
        <f>F13+G13+H13+I13</f>
        <v>-194393835.68442327</v>
      </c>
      <c r="F13" s="387">
        <f>F152</f>
        <v>0</v>
      </c>
      <c r="G13" s="387">
        <f>G152</f>
        <v>0</v>
      </c>
      <c r="H13" s="387">
        <f>H152</f>
        <v>-194393835.68442327</v>
      </c>
      <c r="I13" s="387">
        <f>I152</f>
        <v>0</v>
      </c>
      <c r="O13" s="388"/>
      <c r="P13" s="388"/>
      <c r="Q13" s="388"/>
      <c r="R13" s="388"/>
    </row>
    <row r="14" spans="1:18">
      <c r="B14" s="379">
        <f>B13+1</f>
        <v>4</v>
      </c>
      <c r="C14" s="386" t="s">
        <v>242</v>
      </c>
      <c r="E14" s="387">
        <f>F14+G14+H14+I14</f>
        <v>-7761311.6728330646</v>
      </c>
      <c r="F14" s="387">
        <f>F224</f>
        <v>0</v>
      </c>
      <c r="G14" s="387">
        <f>G224</f>
        <v>0</v>
      </c>
      <c r="H14" s="387">
        <f>H224</f>
        <v>-2442761.5785452318</v>
      </c>
      <c r="I14" s="387">
        <f>I224</f>
        <v>-5318550.0942878332</v>
      </c>
      <c r="O14" s="388"/>
      <c r="P14" s="388"/>
      <c r="Q14" s="388"/>
      <c r="R14" s="388"/>
    </row>
    <row r="15" spans="1:18">
      <c r="B15" s="379">
        <f>B14+1</f>
        <v>5</v>
      </c>
      <c r="C15" s="386" t="s">
        <v>253</v>
      </c>
      <c r="E15" s="387">
        <f>F15+G15+H15+I15</f>
        <v>-380594.86679411237</v>
      </c>
      <c r="F15" s="387">
        <f>F297</f>
        <v>0</v>
      </c>
      <c r="G15" s="387">
        <f>G297</f>
        <v>0</v>
      </c>
      <c r="H15" s="387">
        <f>H297</f>
        <v>-380594.86679411237</v>
      </c>
      <c r="I15" s="387">
        <f>I297</f>
        <v>0</v>
      </c>
      <c r="O15" s="388"/>
      <c r="P15" s="388"/>
      <c r="Q15" s="388"/>
      <c r="R15" s="388"/>
    </row>
    <row r="16" spans="1:18" ht="5.15" customHeight="1">
      <c r="E16" s="627"/>
      <c r="F16" s="627"/>
      <c r="G16" s="627"/>
      <c r="H16" s="627"/>
      <c r="I16" s="627"/>
    </row>
    <row r="17" spans="2:10" ht="13">
      <c r="B17" s="379">
        <f>B16+6</f>
        <v>6</v>
      </c>
      <c r="C17" s="389" t="s">
        <v>887</v>
      </c>
      <c r="E17" s="387">
        <f>E11+E12+E13+E14+E15</f>
        <v>-198150171.66067404</v>
      </c>
      <c r="F17" s="387">
        <f>F11+F12+F13+F14+F15</f>
        <v>0</v>
      </c>
      <c r="G17" s="387">
        <f>G11+G12+G13+G14+G15</f>
        <v>0</v>
      </c>
      <c r="H17" s="387">
        <f>H11+H12+H13+H14+H15</f>
        <v>-193449539.86333647</v>
      </c>
      <c r="I17" s="387">
        <f>I11+I12+I13+I14+I15</f>
        <v>-4700631.7973375982</v>
      </c>
      <c r="J17" s="390"/>
    </row>
    <row r="18" spans="2:10">
      <c r="C18" s="379"/>
      <c r="F18" s="388"/>
      <c r="G18" s="388"/>
      <c r="H18" s="388"/>
      <c r="I18" s="391"/>
    </row>
    <row r="19" spans="2:10">
      <c r="C19" s="379"/>
      <c r="F19" s="388"/>
      <c r="G19" s="388"/>
      <c r="H19" s="388"/>
      <c r="I19" s="391"/>
    </row>
    <row r="20" spans="2:10" ht="13">
      <c r="B20" s="392" t="s">
        <v>545</v>
      </c>
      <c r="C20" s="392" t="s">
        <v>1239</v>
      </c>
      <c r="D20" s="100"/>
      <c r="E20" s="384" t="s">
        <v>42</v>
      </c>
      <c r="F20" s="100"/>
      <c r="G20" s="100"/>
      <c r="H20" s="100"/>
      <c r="I20" s="626"/>
    </row>
    <row r="21" spans="2:10">
      <c r="B21" s="100"/>
      <c r="C21" s="100"/>
      <c r="D21" s="100"/>
      <c r="E21" s="100"/>
      <c r="F21" s="100"/>
      <c r="G21" s="100"/>
      <c r="H21" s="100"/>
      <c r="I21" s="626"/>
    </row>
    <row r="22" spans="2:10">
      <c r="B22" s="393">
        <f>B17+1</f>
        <v>7</v>
      </c>
      <c r="C22" s="377" t="s">
        <v>1240</v>
      </c>
      <c r="E22" s="394">
        <v>-1141794.0557388079</v>
      </c>
      <c r="I22" s="395"/>
    </row>
    <row r="23" spans="2:10">
      <c r="B23" s="377"/>
    </row>
    <row r="24" spans="2:10" ht="12.75" customHeight="1">
      <c r="B24" s="1759" t="s">
        <v>1454</v>
      </c>
      <c r="C24" s="1759"/>
      <c r="D24" s="1759"/>
      <c r="E24" s="1759"/>
      <c r="F24" s="1759"/>
      <c r="G24" s="1759"/>
      <c r="H24" s="1759"/>
      <c r="I24" s="1759"/>
    </row>
    <row r="25" spans="2:10">
      <c r="B25" s="1759"/>
      <c r="C25" s="1759"/>
      <c r="D25" s="1759"/>
      <c r="E25" s="1759"/>
      <c r="F25" s="1759"/>
      <c r="G25" s="1759"/>
      <c r="H25" s="1759"/>
      <c r="I25" s="1759"/>
    </row>
    <row r="26" spans="2:10">
      <c r="B26" s="1759"/>
      <c r="C26" s="1759"/>
      <c r="D26" s="1759"/>
      <c r="E26" s="1759"/>
      <c r="F26" s="1759"/>
      <c r="G26" s="1759"/>
      <c r="H26" s="1759"/>
      <c r="I26" s="1759"/>
    </row>
    <row r="27" spans="2:10">
      <c r="B27" s="100"/>
      <c r="C27" s="100"/>
      <c r="D27" s="100"/>
      <c r="E27" s="100"/>
      <c r="F27" s="100"/>
      <c r="G27" s="100"/>
      <c r="H27" s="100"/>
      <c r="I27" s="626"/>
    </row>
    <row r="29" spans="2:10" ht="15" customHeight="1">
      <c r="B29" s="1759" t="s">
        <v>1241</v>
      </c>
      <c r="C29" s="1759"/>
      <c r="D29" s="1759"/>
      <c r="E29" s="1759"/>
      <c r="F29" s="1759"/>
      <c r="G29" s="1759"/>
      <c r="H29" s="1759"/>
      <c r="I29" s="1759"/>
      <c r="J29" s="396"/>
    </row>
    <row r="30" spans="2:10">
      <c r="B30" s="1759"/>
      <c r="C30" s="1759"/>
      <c r="D30" s="1759"/>
      <c r="E30" s="1759"/>
      <c r="F30" s="1759"/>
      <c r="G30" s="1759"/>
      <c r="H30" s="1759"/>
      <c r="I30" s="1759"/>
      <c r="J30" s="396"/>
    </row>
    <row r="31" spans="2:10" ht="13">
      <c r="I31" s="380"/>
    </row>
    <row r="32" spans="2:10" ht="13">
      <c r="B32" s="381" t="s">
        <v>164</v>
      </c>
      <c r="C32" s="381"/>
      <c r="D32" s="381"/>
      <c r="E32" s="381" t="s">
        <v>165</v>
      </c>
      <c r="F32" s="381" t="s">
        <v>1065</v>
      </c>
      <c r="G32" s="381" t="s">
        <v>1202</v>
      </c>
      <c r="H32" s="381" t="s">
        <v>1203</v>
      </c>
      <c r="I32" s="381" t="s">
        <v>1204</v>
      </c>
      <c r="J32" s="381" t="s">
        <v>1205</v>
      </c>
    </row>
    <row r="33" spans="2:10" ht="13">
      <c r="B33" s="389"/>
      <c r="C33" s="100"/>
      <c r="D33" s="100"/>
      <c r="E33" s="381"/>
      <c r="F33" s="381" t="s">
        <v>1236</v>
      </c>
      <c r="G33" s="381" t="s">
        <v>238</v>
      </c>
      <c r="H33" s="381"/>
      <c r="I33" s="381"/>
      <c r="J33" s="100"/>
    </row>
    <row r="34" spans="2:10" ht="13">
      <c r="B34" s="397"/>
      <c r="C34" s="100"/>
      <c r="D34" s="100"/>
      <c r="E34" s="381"/>
      <c r="F34" s="381" t="s">
        <v>1237</v>
      </c>
      <c r="G34" s="381" t="s">
        <v>208</v>
      </c>
      <c r="H34" s="381" t="s">
        <v>239</v>
      </c>
      <c r="I34" s="381" t="s">
        <v>240</v>
      </c>
      <c r="J34" s="100"/>
    </row>
    <row r="35" spans="2:10" ht="13">
      <c r="B35" s="389" t="s">
        <v>888</v>
      </c>
      <c r="C35" s="100"/>
      <c r="D35" s="100"/>
      <c r="E35" s="381" t="s">
        <v>42</v>
      </c>
      <c r="F35" s="384" t="s">
        <v>1238</v>
      </c>
      <c r="G35" s="381" t="s">
        <v>241</v>
      </c>
      <c r="H35" s="381" t="s">
        <v>241</v>
      </c>
      <c r="I35" s="381" t="s">
        <v>241</v>
      </c>
      <c r="J35" s="381" t="s">
        <v>245</v>
      </c>
    </row>
    <row r="36" spans="2:10" ht="25">
      <c r="B36" s="521" t="s">
        <v>1829</v>
      </c>
      <c r="C36" s="522"/>
      <c r="D36" s="523"/>
      <c r="E36" s="409">
        <f t="shared" ref="E36:E67" si="0">SUM(F36:I36)</f>
        <v>1175539.5096113721</v>
      </c>
      <c r="F36" s="524">
        <v>164575.53134559211</v>
      </c>
      <c r="G36" s="524">
        <v>0</v>
      </c>
      <c r="H36" s="524">
        <v>0</v>
      </c>
      <c r="I36" s="524">
        <v>1010963.97826578</v>
      </c>
      <c r="J36" s="452" t="s">
        <v>1931</v>
      </c>
    </row>
    <row r="37" spans="2:10" ht="25">
      <c r="B37" s="521" t="s">
        <v>1982</v>
      </c>
      <c r="C37" s="522"/>
      <c r="D37" s="523"/>
      <c r="E37" s="409">
        <f t="shared" si="0"/>
        <v>1227424.8641890001</v>
      </c>
      <c r="F37" s="524">
        <v>171839.48098646</v>
      </c>
      <c r="G37" s="524">
        <v>0</v>
      </c>
      <c r="H37" s="524">
        <v>967208.91088854009</v>
      </c>
      <c r="I37" s="524">
        <v>88376.472313999897</v>
      </c>
      <c r="J37" s="452" t="s">
        <v>1931</v>
      </c>
    </row>
    <row r="38" spans="2:10" ht="25">
      <c r="B38" s="521" t="s">
        <v>1620</v>
      </c>
      <c r="C38" s="522"/>
      <c r="D38" s="523"/>
      <c r="E38" s="409">
        <f t="shared" si="0"/>
        <v>2471774.3559685005</v>
      </c>
      <c r="F38" s="524">
        <v>346048.40983559011</v>
      </c>
      <c r="G38" s="524">
        <v>0</v>
      </c>
      <c r="H38" s="524">
        <v>0</v>
      </c>
      <c r="I38" s="524">
        <v>2125725.9461329104</v>
      </c>
      <c r="J38" s="452" t="s">
        <v>1931</v>
      </c>
    </row>
    <row r="39" spans="2:10">
      <c r="B39" s="521" t="s">
        <v>1830</v>
      </c>
      <c r="C39" s="522"/>
      <c r="D39" s="523"/>
      <c r="E39" s="409">
        <f t="shared" si="0"/>
        <v>154717.36617249998</v>
      </c>
      <c r="F39" s="524">
        <v>154717.36617249998</v>
      </c>
      <c r="G39" s="524">
        <v>0</v>
      </c>
      <c r="H39" s="524">
        <v>0</v>
      </c>
      <c r="I39" s="524">
        <v>0</v>
      </c>
      <c r="J39" s="452" t="s">
        <v>1941</v>
      </c>
    </row>
    <row r="40" spans="2:10">
      <c r="B40" s="521" t="s">
        <v>1831</v>
      </c>
      <c r="C40" s="522"/>
      <c r="D40" s="523"/>
      <c r="E40" s="409">
        <f t="shared" si="0"/>
        <v>113631.5</v>
      </c>
      <c r="F40" s="524">
        <v>113631.5</v>
      </c>
      <c r="G40" s="524">
        <v>0</v>
      </c>
      <c r="H40" s="524">
        <v>0</v>
      </c>
      <c r="I40" s="524">
        <v>0</v>
      </c>
      <c r="J40" s="452" t="s">
        <v>1941</v>
      </c>
    </row>
    <row r="41" spans="2:10" ht="37.5">
      <c r="B41" s="521" t="s">
        <v>1832</v>
      </c>
      <c r="C41" s="522"/>
      <c r="D41" s="523"/>
      <c r="E41" s="409">
        <f t="shared" si="0"/>
        <v>3014055.5189555003</v>
      </c>
      <c r="F41" s="524">
        <v>421967.77265377005</v>
      </c>
      <c r="G41" s="524">
        <v>0</v>
      </c>
      <c r="H41" s="524">
        <v>0</v>
      </c>
      <c r="I41" s="524">
        <v>2592087.7463017302</v>
      </c>
      <c r="J41" s="452" t="s">
        <v>1932</v>
      </c>
    </row>
    <row r="42" spans="2:10">
      <c r="B42" s="521" t="s">
        <v>1833</v>
      </c>
      <c r="C42" s="522"/>
      <c r="D42" s="523"/>
      <c r="E42" s="409">
        <f t="shared" si="0"/>
        <v>1085263.2244664999</v>
      </c>
      <c r="F42" s="524">
        <v>1085263.2244664999</v>
      </c>
      <c r="G42" s="524">
        <v>0</v>
      </c>
      <c r="H42" s="524">
        <v>0</v>
      </c>
      <c r="I42" s="524">
        <v>0</v>
      </c>
      <c r="J42" s="452" t="s">
        <v>1941</v>
      </c>
    </row>
    <row r="43" spans="2:10" ht="25">
      <c r="B43" s="521" t="s">
        <v>1834</v>
      </c>
      <c r="C43" s="522"/>
      <c r="D43" s="523"/>
      <c r="E43" s="409">
        <f t="shared" si="0"/>
        <v>178240.04006849998</v>
      </c>
      <c r="F43" s="524">
        <v>24953.605609589998</v>
      </c>
      <c r="G43" s="524">
        <v>0</v>
      </c>
      <c r="H43" s="524">
        <v>0</v>
      </c>
      <c r="I43" s="524">
        <v>153286.43445890996</v>
      </c>
      <c r="J43" s="452" t="s">
        <v>1931</v>
      </c>
    </row>
    <row r="44" spans="2:10">
      <c r="B44" s="521" t="s">
        <v>1628</v>
      </c>
      <c r="C44" s="522"/>
      <c r="D44" s="523"/>
      <c r="E44" s="409">
        <f t="shared" si="0"/>
        <v>0</v>
      </c>
      <c r="F44" s="524">
        <v>0</v>
      </c>
      <c r="G44" s="524">
        <v>0</v>
      </c>
      <c r="H44" s="524">
        <v>0</v>
      </c>
      <c r="I44" s="524">
        <v>0</v>
      </c>
      <c r="J44" s="452" t="s">
        <v>1941</v>
      </c>
    </row>
    <row r="45" spans="2:10" ht="25">
      <c r="B45" s="521" t="s">
        <v>1835</v>
      </c>
      <c r="C45" s="522"/>
      <c r="D45" s="523"/>
      <c r="E45" s="409">
        <f t="shared" si="0"/>
        <v>27715</v>
      </c>
      <c r="F45" s="524">
        <v>3880.1000000000004</v>
      </c>
      <c r="G45" s="524">
        <v>0</v>
      </c>
      <c r="H45" s="524">
        <v>0</v>
      </c>
      <c r="I45" s="524">
        <v>23834.899999999998</v>
      </c>
      <c r="J45" s="452" t="s">
        <v>1931</v>
      </c>
    </row>
    <row r="46" spans="2:10">
      <c r="B46" s="521" t="s">
        <v>1836</v>
      </c>
      <c r="C46" s="522"/>
      <c r="D46" s="523"/>
      <c r="E46" s="409">
        <f t="shared" si="0"/>
        <v>280632.35083858704</v>
      </c>
      <c r="F46" s="524">
        <v>280632.35083858704</v>
      </c>
      <c r="G46" s="524">
        <v>0</v>
      </c>
      <c r="H46" s="524">
        <v>0</v>
      </c>
      <c r="I46" s="524">
        <v>0</v>
      </c>
      <c r="J46" s="452" t="s">
        <v>1941</v>
      </c>
    </row>
    <row r="47" spans="2:10" ht="25">
      <c r="B47" s="521" t="s">
        <v>1837</v>
      </c>
      <c r="C47" s="522"/>
      <c r="D47" s="523"/>
      <c r="E47" s="409">
        <f t="shared" si="0"/>
        <v>931555.29402399983</v>
      </c>
      <c r="F47" s="524">
        <v>130417.74116336</v>
      </c>
      <c r="G47" s="524">
        <v>0</v>
      </c>
      <c r="H47" s="524">
        <v>0</v>
      </c>
      <c r="I47" s="524">
        <v>801137.55286063987</v>
      </c>
      <c r="J47" s="452" t="s">
        <v>1931</v>
      </c>
    </row>
    <row r="48" spans="2:10">
      <c r="B48" s="521" t="s">
        <v>1630</v>
      </c>
      <c r="C48" s="522"/>
      <c r="D48" s="523"/>
      <c r="E48" s="409">
        <f t="shared" si="0"/>
        <v>7714282.0873219995</v>
      </c>
      <c r="F48" s="524">
        <v>7714282.0873219995</v>
      </c>
      <c r="G48" s="524">
        <v>0</v>
      </c>
      <c r="H48" s="524">
        <v>0</v>
      </c>
      <c r="I48" s="524">
        <v>0</v>
      </c>
      <c r="J48" s="452" t="s">
        <v>1941</v>
      </c>
    </row>
    <row r="49" spans="2:10">
      <c r="B49" s="521" t="s">
        <v>1838</v>
      </c>
      <c r="C49" s="522"/>
      <c r="D49" s="523"/>
      <c r="E49" s="409">
        <f t="shared" si="0"/>
        <v>3592938.2971444987</v>
      </c>
      <c r="F49" s="524">
        <v>3592938.2971444987</v>
      </c>
      <c r="G49" s="524">
        <v>0</v>
      </c>
      <c r="H49" s="524">
        <v>0</v>
      </c>
      <c r="I49" s="524">
        <v>0</v>
      </c>
      <c r="J49" s="452" t="s">
        <v>1941</v>
      </c>
    </row>
    <row r="50" spans="2:10" ht="25">
      <c r="B50" s="521" t="s">
        <v>1839</v>
      </c>
      <c r="C50" s="522"/>
      <c r="D50" s="523"/>
      <c r="E50" s="409">
        <f t="shared" si="0"/>
        <v>25129.761428999998</v>
      </c>
      <c r="F50" s="524">
        <v>3518.1666000600003</v>
      </c>
      <c r="G50" s="524">
        <v>0</v>
      </c>
      <c r="H50" s="524">
        <v>0</v>
      </c>
      <c r="I50" s="524">
        <v>21611.594828939997</v>
      </c>
      <c r="J50" s="452" t="s">
        <v>1931</v>
      </c>
    </row>
    <row r="51" spans="2:10">
      <c r="B51" s="521" t="s">
        <v>1840</v>
      </c>
      <c r="C51" s="522"/>
      <c r="D51" s="523"/>
      <c r="E51" s="409">
        <f t="shared" si="0"/>
        <v>2781079.9918435002</v>
      </c>
      <c r="F51" s="524">
        <v>2781079.9918435002</v>
      </c>
      <c r="G51" s="524">
        <v>0</v>
      </c>
      <c r="H51" s="524">
        <v>0</v>
      </c>
      <c r="I51" s="524">
        <v>0</v>
      </c>
      <c r="J51" s="452" t="s">
        <v>1941</v>
      </c>
    </row>
    <row r="52" spans="2:10">
      <c r="B52" s="521" t="s">
        <v>1841</v>
      </c>
      <c r="C52" s="522"/>
      <c r="D52" s="523"/>
      <c r="E52" s="409">
        <f t="shared" si="0"/>
        <v>-7.7602000000000004E-2</v>
      </c>
      <c r="F52" s="524">
        <v>-7.7602000000000004E-2</v>
      </c>
      <c r="G52" s="524">
        <v>0</v>
      </c>
      <c r="H52" s="524">
        <v>0</v>
      </c>
      <c r="I52" s="524">
        <v>0</v>
      </c>
      <c r="J52" s="452" t="s">
        <v>1941</v>
      </c>
    </row>
    <row r="53" spans="2:10">
      <c r="B53" s="521" t="s">
        <v>1842</v>
      </c>
      <c r="C53" s="522"/>
      <c r="D53" s="523"/>
      <c r="E53" s="409">
        <f t="shared" si="0"/>
        <v>59225.358615999998</v>
      </c>
      <c r="F53" s="524">
        <v>59225.358615999998</v>
      </c>
      <c r="G53" s="524">
        <v>0</v>
      </c>
      <c r="H53" s="524">
        <v>0</v>
      </c>
      <c r="I53" s="524">
        <v>0</v>
      </c>
      <c r="J53" s="452" t="s">
        <v>1941</v>
      </c>
    </row>
    <row r="54" spans="2:10">
      <c r="B54" s="521" t="s">
        <v>1843</v>
      </c>
      <c r="C54" s="522"/>
      <c r="D54" s="523"/>
      <c r="E54" s="409">
        <f t="shared" si="0"/>
        <v>5888702.7864359999</v>
      </c>
      <c r="F54" s="524">
        <v>5888702.7864359999</v>
      </c>
      <c r="G54" s="524">
        <v>0</v>
      </c>
      <c r="H54" s="524">
        <v>0</v>
      </c>
      <c r="I54" s="524">
        <v>0</v>
      </c>
      <c r="J54" s="452" t="s">
        <v>1941</v>
      </c>
    </row>
    <row r="55" spans="2:10">
      <c r="B55" s="521" t="s">
        <v>1844</v>
      </c>
      <c r="C55" s="522"/>
      <c r="D55" s="523"/>
      <c r="E55" s="409">
        <f t="shared" si="0"/>
        <v>3849785.0336779994</v>
      </c>
      <c r="F55" s="524">
        <v>3849785.0336779994</v>
      </c>
      <c r="G55" s="524">
        <v>0</v>
      </c>
      <c r="H55" s="524">
        <v>0</v>
      </c>
      <c r="I55" s="524">
        <v>0</v>
      </c>
      <c r="J55" s="452" t="s">
        <v>1941</v>
      </c>
    </row>
    <row r="56" spans="2:10">
      <c r="B56" s="521" t="s">
        <v>1845</v>
      </c>
      <c r="C56" s="522"/>
      <c r="D56" s="523"/>
      <c r="E56" s="409">
        <f t="shared" si="0"/>
        <v>189554.43384050002</v>
      </c>
      <c r="F56" s="524">
        <v>189554.43384050002</v>
      </c>
      <c r="G56" s="524">
        <v>0</v>
      </c>
      <c r="H56" s="524">
        <v>0</v>
      </c>
      <c r="I56" s="524">
        <v>0</v>
      </c>
      <c r="J56" s="452" t="s">
        <v>1941</v>
      </c>
    </row>
    <row r="57" spans="2:10" ht="25">
      <c r="B57" s="521" t="s">
        <v>1846</v>
      </c>
      <c r="C57" s="522"/>
      <c r="D57" s="523"/>
      <c r="E57" s="409">
        <f t="shared" si="0"/>
        <v>25743.777227999999</v>
      </c>
      <c r="F57" s="524">
        <v>25743.777227999999</v>
      </c>
      <c r="G57" s="524">
        <v>0</v>
      </c>
      <c r="H57" s="524">
        <v>0</v>
      </c>
      <c r="I57" s="524">
        <v>0</v>
      </c>
      <c r="J57" s="452" t="s">
        <v>1981</v>
      </c>
    </row>
    <row r="58" spans="2:10" ht="25">
      <c r="B58" s="521" t="s">
        <v>1860</v>
      </c>
      <c r="C58" s="522"/>
      <c r="D58" s="523"/>
      <c r="E58" s="409">
        <f t="shared" si="0"/>
        <v>9481929.9139555842</v>
      </c>
      <c r="F58" s="524">
        <v>2538289.0127765583</v>
      </c>
      <c r="G58" s="524">
        <v>0</v>
      </c>
      <c r="H58" s="524">
        <v>6943640.9011790249</v>
      </c>
      <c r="I58" s="524">
        <v>0</v>
      </c>
      <c r="J58" s="452" t="s">
        <v>1933</v>
      </c>
    </row>
    <row r="59" spans="2:10">
      <c r="B59" s="521" t="s">
        <v>1861</v>
      </c>
      <c r="C59" s="522"/>
      <c r="D59" s="523"/>
      <c r="E59" s="409">
        <f t="shared" si="0"/>
        <v>7876293.6461515501</v>
      </c>
      <c r="F59" s="524">
        <v>7876293.6461515501</v>
      </c>
      <c r="G59" s="524">
        <v>0</v>
      </c>
      <c r="H59" s="524">
        <v>0</v>
      </c>
      <c r="I59" s="524">
        <v>0</v>
      </c>
      <c r="J59" s="452" t="s">
        <v>1941</v>
      </c>
    </row>
    <row r="60" spans="2:10">
      <c r="B60" s="521" t="s">
        <v>1862</v>
      </c>
      <c r="C60" s="522"/>
      <c r="D60" s="523"/>
      <c r="E60" s="409">
        <f t="shared" si="0"/>
        <v>2463149.1135944556</v>
      </c>
      <c r="F60" s="524">
        <v>246314.91135944551</v>
      </c>
      <c r="G60" s="524">
        <v>0</v>
      </c>
      <c r="H60" s="524">
        <v>2216834.20223501</v>
      </c>
      <c r="I60" s="524">
        <v>0</v>
      </c>
      <c r="J60" s="452" t="s">
        <v>1936</v>
      </c>
    </row>
    <row r="61" spans="2:10" ht="25">
      <c r="B61" s="521" t="s">
        <v>1863</v>
      </c>
      <c r="C61" s="522"/>
      <c r="D61" s="523"/>
      <c r="E61" s="409">
        <f t="shared" si="0"/>
        <v>35534796.799069397</v>
      </c>
      <c r="F61" s="524">
        <v>6784436.4756589392</v>
      </c>
      <c r="G61" s="524">
        <v>0</v>
      </c>
      <c r="H61" s="524">
        <v>28750360.323410459</v>
      </c>
      <c r="I61" s="524">
        <v>0</v>
      </c>
      <c r="J61" s="452" t="s">
        <v>1933</v>
      </c>
    </row>
    <row r="62" spans="2:10" ht="25">
      <c r="B62" s="521" t="s">
        <v>1864</v>
      </c>
      <c r="C62" s="522"/>
      <c r="D62" s="523"/>
      <c r="E62" s="409">
        <f t="shared" si="0"/>
        <v>-35356545.079549402</v>
      </c>
      <c r="F62" s="524">
        <v>-6606184.7561389394</v>
      </c>
      <c r="G62" s="524">
        <v>0</v>
      </c>
      <c r="H62" s="524">
        <v>-28750360.323410459</v>
      </c>
      <c r="I62" s="524">
        <v>0</v>
      </c>
      <c r="J62" s="452" t="s">
        <v>1933</v>
      </c>
    </row>
    <row r="63" spans="2:10" ht="37.5">
      <c r="B63" s="521" t="s">
        <v>1847</v>
      </c>
      <c r="C63" s="522"/>
      <c r="D63" s="523"/>
      <c r="E63" s="409">
        <f t="shared" si="0"/>
        <v>300533.98866627872</v>
      </c>
      <c r="F63" s="524">
        <v>42074.758413279022</v>
      </c>
      <c r="G63" s="524">
        <v>0</v>
      </c>
      <c r="H63" s="524">
        <v>258459.2302529997</v>
      </c>
      <c r="I63" s="524">
        <v>0</v>
      </c>
      <c r="J63" s="452" t="s">
        <v>1934</v>
      </c>
    </row>
    <row r="64" spans="2:10">
      <c r="B64" s="521" t="s">
        <v>1999</v>
      </c>
      <c r="C64" s="522"/>
      <c r="D64" s="523"/>
      <c r="E64" s="409">
        <f t="shared" si="0"/>
        <v>36674.396730836983</v>
      </c>
      <c r="F64" s="524">
        <v>36674.396730836983</v>
      </c>
      <c r="G64" s="524">
        <v>0</v>
      </c>
      <c r="H64" s="524">
        <v>0</v>
      </c>
      <c r="I64" s="524">
        <v>0</v>
      </c>
      <c r="J64" s="452" t="s">
        <v>1941</v>
      </c>
    </row>
    <row r="65" spans="2:10" ht="37.5">
      <c r="B65" s="521" t="s">
        <v>2000</v>
      </c>
      <c r="C65" s="522"/>
      <c r="D65" s="523"/>
      <c r="E65" s="409">
        <f t="shared" si="0"/>
        <v>84363888.167114347</v>
      </c>
      <c r="F65" s="524">
        <v>8436388.8167114332</v>
      </c>
      <c r="G65" s="524">
        <v>0</v>
      </c>
      <c r="H65" s="524">
        <v>75927499.350402921</v>
      </c>
      <c r="I65" s="524">
        <v>0</v>
      </c>
      <c r="J65" s="452" t="s">
        <v>1935</v>
      </c>
    </row>
    <row r="66" spans="2:10">
      <c r="B66" s="521" t="s">
        <v>1848</v>
      </c>
      <c r="C66" s="522"/>
      <c r="D66" s="523"/>
      <c r="E66" s="409">
        <f t="shared" si="0"/>
        <v>85993.364399999991</v>
      </c>
      <c r="F66" s="524">
        <v>85993.364399999991</v>
      </c>
      <c r="G66" s="524">
        <v>0</v>
      </c>
      <c r="H66" s="524">
        <v>0</v>
      </c>
      <c r="I66" s="524">
        <v>0</v>
      </c>
      <c r="J66" s="452" t="s">
        <v>1941</v>
      </c>
    </row>
    <row r="67" spans="2:10">
      <c r="B67" s="521" t="s">
        <v>1849</v>
      </c>
      <c r="C67" s="522"/>
      <c r="D67" s="523"/>
      <c r="E67" s="409">
        <f t="shared" si="0"/>
        <v>0</v>
      </c>
      <c r="F67" s="524">
        <v>0</v>
      </c>
      <c r="G67" s="524">
        <v>0</v>
      </c>
      <c r="H67" s="524">
        <v>0</v>
      </c>
      <c r="I67" s="524">
        <v>0</v>
      </c>
      <c r="J67" s="452" t="s">
        <v>1941</v>
      </c>
    </row>
    <row r="68" spans="2:10" ht="13">
      <c r="B68" s="401" t="s">
        <v>889</v>
      </c>
      <c r="C68" s="402"/>
      <c r="D68" s="403"/>
      <c r="E68" s="404">
        <f>SUM(E36:E67)</f>
        <v>139573704.784363</v>
      </c>
      <c r="F68" s="404">
        <f>SUM(F36:F67)</f>
        <v>46443037.564241603</v>
      </c>
      <c r="G68" s="404">
        <f>SUM(G36:G67)</f>
        <v>0</v>
      </c>
      <c r="H68" s="404">
        <f>SUM(H36:H67)</f>
        <v>86313642.594958499</v>
      </c>
      <c r="I68" s="404">
        <f>SUM(I36:I67)</f>
        <v>6817024.6251629107</v>
      </c>
      <c r="J68" s="405"/>
    </row>
    <row r="69" spans="2:10" ht="13">
      <c r="B69" s="406"/>
      <c r="C69" s="403"/>
      <c r="D69" s="403"/>
      <c r="E69" s="404"/>
      <c r="F69" s="404"/>
      <c r="G69" s="404"/>
      <c r="H69" s="404"/>
      <c r="I69" s="404"/>
      <c r="J69" s="405"/>
    </row>
    <row r="70" spans="2:10">
      <c r="B70" s="425" t="s">
        <v>1595</v>
      </c>
      <c r="C70" s="408"/>
      <c r="D70" s="408"/>
      <c r="E70" s="409">
        <f>SUM(F70:I70)</f>
        <v>-300533.98866627872</v>
      </c>
      <c r="F70" s="399">
        <f>-F63</f>
        <v>-42074.758413279022</v>
      </c>
      <c r="G70" s="399">
        <f>-G63</f>
        <v>0</v>
      </c>
      <c r="H70" s="399">
        <f>-H63</f>
        <v>-258459.2302529997</v>
      </c>
      <c r="I70" s="399">
        <v>0</v>
      </c>
      <c r="J70" s="410"/>
    </row>
    <row r="71" spans="2:10">
      <c r="B71" s="407" t="s">
        <v>1596</v>
      </c>
      <c r="C71" s="408"/>
      <c r="D71" s="408"/>
      <c r="E71" s="409">
        <f>SUM(F71:I71)</f>
        <v>0</v>
      </c>
      <c r="F71" s="399"/>
      <c r="G71" s="399"/>
      <c r="H71" s="399"/>
      <c r="I71" s="399"/>
      <c r="J71" s="410"/>
    </row>
    <row r="72" spans="2:10">
      <c r="B72" s="407" t="s">
        <v>1597</v>
      </c>
      <c r="C72" s="408"/>
      <c r="D72" s="408"/>
      <c r="E72" s="409">
        <f>SUM(F72:I72)</f>
        <v>-84363888.167114347</v>
      </c>
      <c r="F72" s="399">
        <f>-F65</f>
        <v>-8436388.8167114332</v>
      </c>
      <c r="G72" s="399">
        <v>0</v>
      </c>
      <c r="H72" s="399">
        <f>-H65</f>
        <v>-75927499.350402921</v>
      </c>
      <c r="I72" s="399">
        <f>-I65</f>
        <v>0</v>
      </c>
      <c r="J72" s="410"/>
    </row>
    <row r="73" spans="2:10">
      <c r="B73" s="407" t="s">
        <v>1598</v>
      </c>
      <c r="C73" s="408"/>
      <c r="D73" s="408"/>
      <c r="E73" s="409">
        <f>SUM(F73:I73)</f>
        <v>-3014055.5189555003</v>
      </c>
      <c r="F73" s="399">
        <f>-F41</f>
        <v>-421967.77265377005</v>
      </c>
      <c r="G73" s="399">
        <f t="shared" ref="G73:I73" si="1">-G41</f>
        <v>0</v>
      </c>
      <c r="H73" s="399">
        <f t="shared" si="1"/>
        <v>0</v>
      </c>
      <c r="I73" s="399">
        <f t="shared" si="1"/>
        <v>-2592087.7463017302</v>
      </c>
      <c r="J73" s="410"/>
    </row>
    <row r="74" spans="2:10" ht="5.15" customHeight="1">
      <c r="B74" s="401"/>
      <c r="C74" s="402"/>
      <c r="D74" s="403"/>
      <c r="E74" s="404"/>
      <c r="F74" s="404"/>
      <c r="G74" s="404"/>
      <c r="H74" s="404"/>
      <c r="I74" s="404"/>
      <c r="J74" s="405"/>
    </row>
    <row r="75" spans="2:10" ht="13">
      <c r="B75" s="406" t="s">
        <v>890</v>
      </c>
      <c r="C75" s="403"/>
      <c r="D75" s="403"/>
      <c r="E75" s="404">
        <f>SUM(E70:E74)+E68</f>
        <v>51895227.109626874</v>
      </c>
      <c r="F75" s="404">
        <f>SUM(F70:F74)+F68</f>
        <v>37542606.216463119</v>
      </c>
      <c r="G75" s="404">
        <f>SUM(G70:G74)+G68</f>
        <v>0</v>
      </c>
      <c r="H75" s="404">
        <f>SUM(H70:H74)+H68</f>
        <v>10127684.014302582</v>
      </c>
      <c r="I75" s="404">
        <f>SUM(I70:I74)+I68</f>
        <v>4224936.8788611805</v>
      </c>
      <c r="J75" s="405"/>
    </row>
    <row r="76" spans="2:10" ht="13">
      <c r="B76" s="406"/>
      <c r="C76" s="403"/>
      <c r="D76" s="403"/>
      <c r="E76" s="404"/>
      <c r="F76" s="404"/>
      <c r="G76" s="404"/>
      <c r="H76" s="404"/>
      <c r="I76" s="404"/>
      <c r="J76" s="405"/>
    </row>
    <row r="77" spans="2:10" ht="13">
      <c r="B77" s="411" t="s">
        <v>244</v>
      </c>
      <c r="C77" s="412"/>
      <c r="D77" s="413"/>
      <c r="E77" s="414"/>
      <c r="F77" s="414"/>
      <c r="G77" s="414"/>
      <c r="H77" s="414"/>
      <c r="I77" s="415">
        <f>+'ATT H-3D'!$H$24</f>
        <v>0.14625503638690887</v>
      </c>
      <c r="J77" s="416"/>
    </row>
    <row r="78" spans="2:10" ht="13">
      <c r="B78" s="411" t="s">
        <v>217</v>
      </c>
      <c r="C78" s="412"/>
      <c r="D78" s="413"/>
      <c r="E78" s="414"/>
      <c r="F78" s="414"/>
      <c r="G78" s="414"/>
      <c r="H78" s="415">
        <f>'ATT H-3D'!$H$45</f>
        <v>0.37201518739184425</v>
      </c>
      <c r="I78" s="414"/>
      <c r="J78" s="416"/>
    </row>
    <row r="79" spans="2:10" ht="13">
      <c r="B79" s="411" t="s">
        <v>891</v>
      </c>
      <c r="C79" s="412"/>
      <c r="D79" s="413"/>
      <c r="E79" s="414"/>
      <c r="F79" s="414"/>
      <c r="G79" s="415">
        <v>1</v>
      </c>
      <c r="H79" s="414"/>
      <c r="I79" s="414"/>
      <c r="J79" s="416"/>
    </row>
    <row r="80" spans="2:10" ht="13">
      <c r="B80" s="411" t="s">
        <v>892</v>
      </c>
      <c r="C80" s="412"/>
      <c r="D80" s="413"/>
      <c r="E80" s="414"/>
      <c r="F80" s="415">
        <v>0</v>
      </c>
      <c r="G80" s="414"/>
      <c r="H80" s="414"/>
      <c r="I80" s="414"/>
      <c r="J80" s="416"/>
    </row>
    <row r="81" spans="2:10" ht="13">
      <c r="B81" s="417" t="s">
        <v>893</v>
      </c>
      <c r="C81" s="412"/>
      <c r="D81" s="413"/>
      <c r="E81" s="414">
        <f>F81+G81+H81+I81</f>
        <v>4385570.563376396</v>
      </c>
      <c r="F81" s="414">
        <f>F80*F75</f>
        <v>0</v>
      </c>
      <c r="G81" s="414">
        <f>G75*G79</f>
        <v>0</v>
      </c>
      <c r="H81" s="414">
        <f>H75*H78</f>
        <v>3767652.2664261605</v>
      </c>
      <c r="I81" s="414">
        <f>I77*I75</f>
        <v>617918.29695023515</v>
      </c>
      <c r="J81" s="416"/>
    </row>
    <row r="82" spans="2:10" ht="13">
      <c r="B82" s="418"/>
      <c r="E82" s="388"/>
      <c r="F82" s="388"/>
      <c r="G82" s="388"/>
      <c r="H82" s="388"/>
      <c r="I82" s="388"/>
      <c r="J82" s="419"/>
    </row>
    <row r="83" spans="2:10" ht="13">
      <c r="B83" s="389"/>
      <c r="E83" s="388"/>
      <c r="F83" s="388"/>
      <c r="G83" s="388"/>
      <c r="H83" s="388"/>
      <c r="I83" s="388"/>
      <c r="J83" s="419"/>
    </row>
    <row r="84" spans="2:10" ht="13">
      <c r="B84" s="381" t="s">
        <v>164</v>
      </c>
      <c r="C84" s="381"/>
      <c r="D84" s="381"/>
      <c r="E84" s="381" t="s">
        <v>165</v>
      </c>
      <c r="F84" s="381" t="s">
        <v>1065</v>
      </c>
      <c r="G84" s="381" t="s">
        <v>1202</v>
      </c>
      <c r="H84" s="381" t="s">
        <v>1203</v>
      </c>
      <c r="I84" s="381" t="s">
        <v>1204</v>
      </c>
      <c r="J84" s="381" t="s">
        <v>1205</v>
      </c>
    </row>
    <row r="85" spans="2:10" ht="13">
      <c r="B85" s="389"/>
      <c r="C85" s="100"/>
      <c r="D85" s="100"/>
      <c r="E85" s="381"/>
      <c r="F85" s="381" t="s">
        <v>1236</v>
      </c>
      <c r="G85" s="381" t="s">
        <v>238</v>
      </c>
      <c r="H85" s="381"/>
      <c r="I85" s="381"/>
      <c r="J85" s="100"/>
    </row>
    <row r="86" spans="2:10" ht="13">
      <c r="B86" s="397"/>
      <c r="C86" s="100"/>
      <c r="D86" s="100"/>
      <c r="E86" s="381"/>
      <c r="F86" s="381" t="s">
        <v>1237</v>
      </c>
      <c r="G86" s="381" t="s">
        <v>208</v>
      </c>
      <c r="H86" s="381" t="s">
        <v>239</v>
      </c>
      <c r="I86" s="381" t="s">
        <v>240</v>
      </c>
      <c r="J86" s="100"/>
    </row>
    <row r="87" spans="2:10" ht="13">
      <c r="B87" s="389" t="s">
        <v>894</v>
      </c>
      <c r="C87" s="100"/>
      <c r="D87" s="100"/>
      <c r="E87" s="381" t="s">
        <v>42</v>
      </c>
      <c r="F87" s="384" t="s">
        <v>1238</v>
      </c>
      <c r="G87" s="381" t="s">
        <v>241</v>
      </c>
      <c r="H87" s="381" t="s">
        <v>241</v>
      </c>
      <c r="I87" s="381" t="s">
        <v>241</v>
      </c>
      <c r="J87" s="381" t="s">
        <v>245</v>
      </c>
    </row>
    <row r="88" spans="2:10">
      <c r="B88" s="398"/>
      <c r="C88" s="420"/>
      <c r="D88" s="421"/>
      <c r="E88" s="399"/>
      <c r="F88" s="399"/>
      <c r="G88" s="399"/>
      <c r="H88" s="399"/>
      <c r="I88" s="399"/>
      <c r="J88" s="400"/>
    </row>
    <row r="89" spans="2:10">
      <c r="B89" s="398"/>
      <c r="C89" s="420"/>
      <c r="D89" s="422"/>
      <c r="E89" s="399"/>
      <c r="F89" s="399"/>
      <c r="G89" s="399"/>
      <c r="H89" s="399"/>
      <c r="I89" s="399"/>
      <c r="J89" s="400"/>
    </row>
    <row r="90" spans="2:10">
      <c r="B90" s="398"/>
      <c r="C90" s="420"/>
      <c r="D90" s="422"/>
      <c r="E90" s="399"/>
      <c r="F90" s="399"/>
      <c r="G90" s="399"/>
      <c r="H90" s="399"/>
      <c r="I90" s="399"/>
      <c r="J90" s="400"/>
    </row>
    <row r="91" spans="2:10">
      <c r="B91" s="398"/>
      <c r="C91" s="420"/>
      <c r="D91" s="422"/>
      <c r="E91" s="399"/>
      <c r="F91" s="399"/>
      <c r="G91" s="399"/>
      <c r="H91" s="399"/>
      <c r="I91" s="399"/>
      <c r="J91" s="400"/>
    </row>
    <row r="92" spans="2:10">
      <c r="B92" s="398"/>
      <c r="C92" s="420"/>
      <c r="D92" s="422"/>
      <c r="E92" s="399"/>
      <c r="F92" s="399"/>
      <c r="G92" s="399"/>
      <c r="H92" s="399"/>
      <c r="I92" s="399"/>
      <c r="J92" s="400"/>
    </row>
    <row r="93" spans="2:10">
      <c r="B93" s="398"/>
      <c r="C93" s="420"/>
      <c r="D93" s="422"/>
      <c r="E93" s="399"/>
      <c r="F93" s="399"/>
      <c r="G93" s="399"/>
      <c r="H93" s="399"/>
      <c r="I93" s="399"/>
      <c r="J93" s="400"/>
    </row>
    <row r="94" spans="2:10">
      <c r="B94" s="398"/>
      <c r="C94" s="420"/>
      <c r="D94" s="421"/>
      <c r="E94" s="423"/>
      <c r="F94" s="423"/>
      <c r="G94" s="423"/>
      <c r="H94" s="423"/>
      <c r="I94" s="423"/>
      <c r="J94" s="424"/>
    </row>
    <row r="95" spans="2:10" ht="13">
      <c r="B95" s="406" t="s">
        <v>895</v>
      </c>
      <c r="C95" s="403"/>
      <c r="D95" s="403"/>
      <c r="E95" s="404">
        <f>SUM(E88:E94)</f>
        <v>0</v>
      </c>
      <c r="F95" s="404">
        <f>SUM(F88:F94)</f>
        <v>0</v>
      </c>
      <c r="G95" s="404">
        <f>SUM(G88:G94)</f>
        <v>0</v>
      </c>
      <c r="H95" s="404">
        <f>SUM(H88:H94)</f>
        <v>0</v>
      </c>
      <c r="I95" s="404">
        <f>SUM(I88:I94)</f>
        <v>0</v>
      </c>
      <c r="J95" s="405"/>
    </row>
    <row r="96" spans="2:10" ht="13">
      <c r="B96" s="406"/>
      <c r="C96" s="403"/>
      <c r="D96" s="403"/>
      <c r="E96" s="404"/>
      <c r="F96" s="404"/>
      <c r="G96" s="404"/>
      <c r="H96" s="404"/>
      <c r="I96" s="404"/>
      <c r="J96" s="405"/>
    </row>
    <row r="97" spans="2:10">
      <c r="B97" s="425" t="s">
        <v>1595</v>
      </c>
      <c r="C97" s="426"/>
      <c r="D97" s="427"/>
      <c r="E97" s="409"/>
      <c r="F97" s="399"/>
      <c r="G97" s="399"/>
      <c r="H97" s="399"/>
      <c r="I97" s="399"/>
      <c r="J97" s="410"/>
    </row>
    <row r="98" spans="2:10">
      <c r="B98" s="407" t="s">
        <v>1596</v>
      </c>
      <c r="C98" s="408"/>
      <c r="D98" s="427"/>
      <c r="E98" s="409"/>
      <c r="F98" s="399"/>
      <c r="G98" s="399"/>
      <c r="H98" s="399"/>
      <c r="I98" s="399"/>
      <c r="J98" s="410"/>
    </row>
    <row r="99" spans="2:10">
      <c r="B99" s="407" t="s">
        <v>1597</v>
      </c>
      <c r="C99" s="408"/>
      <c r="D99" s="427"/>
      <c r="E99" s="409"/>
      <c r="F99" s="399"/>
      <c r="G99" s="399"/>
      <c r="H99" s="399"/>
      <c r="I99" s="399"/>
      <c r="J99" s="410"/>
    </row>
    <row r="100" spans="2:10">
      <c r="B100" s="407" t="s">
        <v>1598</v>
      </c>
      <c r="C100" s="408"/>
      <c r="D100" s="427"/>
      <c r="E100" s="409"/>
      <c r="F100" s="399"/>
      <c r="G100" s="399"/>
      <c r="H100" s="399"/>
      <c r="I100" s="399"/>
      <c r="J100" s="410"/>
    </row>
    <row r="101" spans="2:10" ht="5.15" customHeight="1">
      <c r="B101" s="401"/>
      <c r="C101" s="402"/>
      <c r="D101" s="403"/>
      <c r="E101" s="404"/>
      <c r="F101" s="404"/>
      <c r="G101" s="404"/>
      <c r="H101" s="404"/>
      <c r="I101" s="404"/>
      <c r="J101" s="405"/>
    </row>
    <row r="102" spans="2:10" ht="13">
      <c r="B102" s="428" t="s">
        <v>896</v>
      </c>
      <c r="C102" s="429"/>
      <c r="D102" s="403"/>
      <c r="E102" s="404">
        <f>SUM(E97:E101)+E95</f>
        <v>0</v>
      </c>
      <c r="F102" s="404">
        <f>SUM(F97:F101)+F95</f>
        <v>0</v>
      </c>
      <c r="G102" s="404">
        <f>SUM(G97:G101)+G95</f>
        <v>0</v>
      </c>
      <c r="H102" s="404">
        <f>SUM(H97:H101)+H95</f>
        <v>0</v>
      </c>
      <c r="I102" s="404">
        <f>SUM(I97:I101)+I95</f>
        <v>0</v>
      </c>
      <c r="J102" s="405"/>
    </row>
    <row r="103" spans="2:10" ht="13">
      <c r="B103" s="430"/>
      <c r="C103" s="431"/>
      <c r="D103" s="431"/>
      <c r="E103" s="414"/>
      <c r="F103" s="404"/>
      <c r="G103" s="404"/>
      <c r="H103" s="404"/>
      <c r="I103" s="404"/>
      <c r="J103" s="416"/>
    </row>
    <row r="104" spans="2:10" ht="13">
      <c r="B104" s="432" t="s">
        <v>244</v>
      </c>
      <c r="C104" s="433"/>
      <c r="D104" s="413"/>
      <c r="E104" s="414"/>
      <c r="F104" s="414"/>
      <c r="G104" s="414"/>
      <c r="H104" s="414"/>
      <c r="I104" s="415">
        <f>+'ATT H-3D'!$H$24</f>
        <v>0.14625503638690887</v>
      </c>
      <c r="J104" s="416"/>
    </row>
    <row r="105" spans="2:10" ht="13">
      <c r="B105" s="411" t="s">
        <v>217</v>
      </c>
      <c r="C105" s="412"/>
      <c r="D105" s="413"/>
      <c r="E105" s="414"/>
      <c r="F105" s="414"/>
      <c r="G105" s="414"/>
      <c r="H105" s="415">
        <f>+'ATT H-3D'!$H$45</f>
        <v>0.37201518739184425</v>
      </c>
      <c r="I105" s="414"/>
      <c r="J105" s="416"/>
    </row>
    <row r="106" spans="2:10" ht="13">
      <c r="B106" s="411" t="s">
        <v>891</v>
      </c>
      <c r="C106" s="412"/>
      <c r="D106" s="413"/>
      <c r="E106" s="414"/>
      <c r="F106" s="414"/>
      <c r="G106" s="415">
        <v>1</v>
      </c>
      <c r="H106" s="414"/>
      <c r="I106" s="414"/>
      <c r="J106" s="416"/>
    </row>
    <row r="107" spans="2:10" ht="13">
      <c r="B107" s="411" t="s">
        <v>892</v>
      </c>
      <c r="C107" s="412"/>
      <c r="D107" s="413"/>
      <c r="E107" s="414"/>
      <c r="F107" s="415">
        <v>0</v>
      </c>
      <c r="G107" s="414"/>
      <c r="H107" s="414"/>
      <c r="I107" s="414"/>
      <c r="J107" s="416"/>
    </row>
    <row r="108" spans="2:10" ht="13">
      <c r="B108" s="417" t="s">
        <v>893</v>
      </c>
      <c r="C108" s="412"/>
      <c r="D108" s="413"/>
      <c r="E108" s="414">
        <f>F108+G108+H108+I108</f>
        <v>0</v>
      </c>
      <c r="F108" s="414">
        <f>F107*F102</f>
        <v>0</v>
      </c>
      <c r="G108" s="414">
        <f>G102*G106</f>
        <v>0</v>
      </c>
      <c r="H108" s="414">
        <f>H102*H105</f>
        <v>0</v>
      </c>
      <c r="I108" s="414">
        <f>I104*I102</f>
        <v>0</v>
      </c>
      <c r="J108" s="416"/>
    </row>
    <row r="109" spans="2:10" ht="13">
      <c r="B109" s="418"/>
      <c r="E109" s="388"/>
      <c r="F109" s="388"/>
      <c r="G109" s="388"/>
      <c r="H109" s="388"/>
      <c r="I109" s="388"/>
      <c r="J109" s="419"/>
    </row>
    <row r="110" spans="2:10" ht="13">
      <c r="B110" s="418"/>
      <c r="E110" s="388"/>
      <c r="F110" s="388"/>
      <c r="G110" s="388"/>
      <c r="H110" s="388"/>
      <c r="I110" s="388"/>
      <c r="J110" s="419"/>
    </row>
    <row r="111" spans="2:10" ht="13">
      <c r="B111" s="381" t="s">
        <v>164</v>
      </c>
      <c r="C111" s="381"/>
      <c r="D111" s="381"/>
      <c r="E111" s="381" t="s">
        <v>165</v>
      </c>
      <c r="F111" s="381" t="s">
        <v>1065</v>
      </c>
      <c r="G111" s="381" t="s">
        <v>1202</v>
      </c>
      <c r="H111" s="381" t="s">
        <v>1203</v>
      </c>
      <c r="I111" s="381" t="s">
        <v>1204</v>
      </c>
      <c r="J111" s="381" t="s">
        <v>1205</v>
      </c>
    </row>
    <row r="112" spans="2:10" ht="13">
      <c r="B112" s="389"/>
      <c r="C112" s="100"/>
      <c r="D112" s="100"/>
      <c r="E112" s="381"/>
      <c r="F112" s="381" t="s">
        <v>1236</v>
      </c>
      <c r="G112" s="381" t="s">
        <v>238</v>
      </c>
      <c r="H112" s="381"/>
      <c r="I112" s="381"/>
      <c r="J112" s="100"/>
    </row>
    <row r="113" spans="2:11" ht="13">
      <c r="B113" s="434"/>
      <c r="C113" s="100"/>
      <c r="D113" s="100"/>
      <c r="E113" s="381"/>
      <c r="F113" s="381" t="s">
        <v>1237</v>
      </c>
      <c r="G113" s="381" t="s">
        <v>208</v>
      </c>
      <c r="H113" s="381" t="s">
        <v>239</v>
      </c>
      <c r="I113" s="381" t="s">
        <v>240</v>
      </c>
      <c r="J113" s="100"/>
    </row>
    <row r="114" spans="2:11" ht="13">
      <c r="B114" s="389" t="s">
        <v>1242</v>
      </c>
      <c r="E114" s="381" t="s">
        <v>42</v>
      </c>
      <c r="F114" s="384" t="s">
        <v>1238</v>
      </c>
      <c r="G114" s="381" t="s">
        <v>241</v>
      </c>
      <c r="H114" s="381" t="s">
        <v>241</v>
      </c>
      <c r="I114" s="381" t="s">
        <v>241</v>
      </c>
      <c r="J114" s="381" t="s">
        <v>245</v>
      </c>
    </row>
    <row r="115" spans="2:11">
      <c r="B115" s="413" t="s">
        <v>888</v>
      </c>
      <c r="C115" s="413"/>
      <c r="D115" s="413"/>
      <c r="E115" s="404">
        <f>SUM(F115:I115)</f>
        <v>139573704.784363</v>
      </c>
      <c r="F115" s="414">
        <f>F68</f>
        <v>46443037.564241603</v>
      </c>
      <c r="G115" s="414">
        <f>G68</f>
        <v>0</v>
      </c>
      <c r="H115" s="414">
        <f>H68</f>
        <v>86313642.594958499</v>
      </c>
      <c r="I115" s="414">
        <f>I68</f>
        <v>6817024.6251629107</v>
      </c>
      <c r="J115" s="416"/>
    </row>
    <row r="116" spans="2:11">
      <c r="B116" s="413" t="s">
        <v>894</v>
      </c>
      <c r="C116" s="413"/>
      <c r="D116" s="413"/>
      <c r="E116" s="404">
        <f>SUM(F116:I116)</f>
        <v>0</v>
      </c>
      <c r="F116" s="414">
        <f>F95</f>
        <v>0</v>
      </c>
      <c r="G116" s="414">
        <f>G95</f>
        <v>0</v>
      </c>
      <c r="H116" s="414">
        <f>H95</f>
        <v>0</v>
      </c>
      <c r="I116" s="414">
        <f>I95</f>
        <v>0</v>
      </c>
      <c r="J116" s="416"/>
    </row>
    <row r="117" spans="2:11" ht="13">
      <c r="B117" s="435" t="s">
        <v>897</v>
      </c>
      <c r="C117" s="413"/>
      <c r="D117" s="413"/>
      <c r="E117" s="414">
        <f>E115+E116</f>
        <v>139573704.784363</v>
      </c>
      <c r="F117" s="414">
        <f>F115+F116</f>
        <v>46443037.564241603</v>
      </c>
      <c r="G117" s="414">
        <f>G115+G116</f>
        <v>0</v>
      </c>
      <c r="H117" s="414">
        <f>H115+H116</f>
        <v>86313642.594958499</v>
      </c>
      <c r="I117" s="414">
        <f>I115+I116</f>
        <v>6817024.6251629107</v>
      </c>
      <c r="J117" s="416"/>
    </row>
    <row r="118" spans="2:11" ht="13">
      <c r="B118" s="418"/>
      <c r="E118" s="388"/>
      <c r="F118" s="388"/>
      <c r="G118" s="388"/>
      <c r="H118" s="388"/>
      <c r="I118" s="388"/>
      <c r="J118" s="419"/>
    </row>
    <row r="119" spans="2:11" ht="13">
      <c r="B119" s="418"/>
      <c r="E119" s="388"/>
      <c r="F119" s="388"/>
      <c r="G119" s="388"/>
      <c r="H119" s="388"/>
      <c r="I119" s="388"/>
      <c r="J119" s="419"/>
    </row>
    <row r="120" spans="2:11" s="100" customFormat="1" ht="12.75" customHeight="1">
      <c r="B120" s="436" t="s">
        <v>246</v>
      </c>
      <c r="C120" s="436"/>
      <c r="E120" s="437"/>
      <c r="G120" s="437"/>
      <c r="H120" s="438"/>
      <c r="I120" s="439"/>
      <c r="J120" s="440"/>
    </row>
    <row r="121" spans="2:11" s="100" customFormat="1" ht="15.75" customHeight="1">
      <c r="B121" s="1754" t="s">
        <v>1243</v>
      </c>
      <c r="C121" s="1754"/>
      <c r="D121" s="1754"/>
      <c r="E121" s="1754"/>
      <c r="F121" s="1754"/>
      <c r="G121" s="1754"/>
      <c r="H121" s="1754"/>
      <c r="I121" s="1754"/>
      <c r="J121" s="441"/>
    </row>
    <row r="122" spans="2:11" s="100" customFormat="1" ht="13">
      <c r="B122" s="442" t="s">
        <v>247</v>
      </c>
      <c r="C122" s="442"/>
      <c r="H122" s="439"/>
      <c r="I122" s="439"/>
      <c r="J122" s="440"/>
    </row>
    <row r="123" spans="2:11" s="100" customFormat="1" ht="13">
      <c r="B123" s="442" t="s">
        <v>248</v>
      </c>
      <c r="C123" s="442"/>
      <c r="H123" s="439"/>
      <c r="I123" s="439"/>
      <c r="J123" s="441"/>
    </row>
    <row r="124" spans="2:11" s="100" customFormat="1" ht="13">
      <c r="B124" s="442" t="s">
        <v>249</v>
      </c>
      <c r="C124" s="442"/>
      <c r="H124" s="439"/>
      <c r="I124" s="439"/>
      <c r="J124" s="440"/>
    </row>
    <row r="125" spans="2:11" s="100" customFormat="1" ht="15.75" customHeight="1">
      <c r="B125" s="1754" t="s">
        <v>898</v>
      </c>
      <c r="C125" s="1754"/>
      <c r="D125" s="1754"/>
      <c r="E125" s="1754"/>
      <c r="F125" s="1754"/>
      <c r="G125" s="1754"/>
      <c r="H125" s="1754"/>
      <c r="I125" s="1754"/>
      <c r="K125" s="443"/>
    </row>
    <row r="126" spans="2:11" s="100" customFormat="1" ht="15.75" customHeight="1">
      <c r="B126" s="1754"/>
      <c r="C126" s="1754"/>
      <c r="D126" s="1754"/>
      <c r="E126" s="1754"/>
      <c r="F126" s="1754"/>
      <c r="G126" s="1754"/>
      <c r="H126" s="1754"/>
      <c r="I126" s="1754"/>
      <c r="K126" s="443"/>
    </row>
    <row r="127" spans="2:11" s="100" customFormat="1" ht="13">
      <c r="B127" s="442" t="s">
        <v>899</v>
      </c>
      <c r="C127" s="442"/>
      <c r="H127" s="439"/>
      <c r="I127" s="439"/>
      <c r="J127" s="440"/>
    </row>
    <row r="128" spans="2:11" ht="13">
      <c r="C128" s="418"/>
      <c r="E128" s="390"/>
      <c r="F128" s="390"/>
      <c r="H128" s="444"/>
      <c r="I128" s="445"/>
      <c r="J128" s="419"/>
    </row>
    <row r="129" spans="2:10" ht="13">
      <c r="B129" s="418"/>
      <c r="C129" s="446"/>
      <c r="E129" s="395"/>
    </row>
    <row r="130" spans="2:10" ht="13">
      <c r="B130" s="381" t="s">
        <v>164</v>
      </c>
      <c r="C130" s="381"/>
      <c r="D130" s="381"/>
      <c r="E130" s="381" t="s">
        <v>165</v>
      </c>
      <c r="F130" s="381" t="s">
        <v>1065</v>
      </c>
      <c r="G130" s="381" t="s">
        <v>1202</v>
      </c>
      <c r="H130" s="381" t="s">
        <v>1203</v>
      </c>
      <c r="I130" s="381" t="s">
        <v>1204</v>
      </c>
      <c r="J130" s="381" t="s">
        <v>1205</v>
      </c>
    </row>
    <row r="131" spans="2:10" ht="13">
      <c r="B131" s="389"/>
      <c r="C131" s="100"/>
      <c r="D131" s="100"/>
      <c r="E131" s="381"/>
      <c r="F131" s="381" t="s">
        <v>1236</v>
      </c>
      <c r="G131" s="381" t="s">
        <v>238</v>
      </c>
      <c r="H131" s="381"/>
      <c r="I131" s="381"/>
      <c r="J131" s="100"/>
    </row>
    <row r="132" spans="2:10" ht="13">
      <c r="B132" s="389"/>
      <c r="C132" s="397"/>
      <c r="D132" s="100"/>
      <c r="E132" s="381"/>
      <c r="F132" s="381" t="s">
        <v>1237</v>
      </c>
      <c r="G132" s="381" t="s">
        <v>208</v>
      </c>
      <c r="H132" s="381" t="s">
        <v>239</v>
      </c>
      <c r="I132" s="381" t="s">
        <v>240</v>
      </c>
      <c r="J132" s="100"/>
    </row>
    <row r="133" spans="2:10" ht="13">
      <c r="B133" s="389" t="s">
        <v>900</v>
      </c>
      <c r="C133" s="100"/>
      <c r="D133" s="100"/>
      <c r="E133" s="381" t="s">
        <v>42</v>
      </c>
      <c r="F133" s="384" t="s">
        <v>1238</v>
      </c>
      <c r="G133" s="381" t="s">
        <v>241</v>
      </c>
      <c r="H133" s="381" t="s">
        <v>241</v>
      </c>
      <c r="I133" s="381" t="s">
        <v>241</v>
      </c>
      <c r="J133" s="381" t="s">
        <v>245</v>
      </c>
    </row>
    <row r="134" spans="2:10">
      <c r="B134" s="623" t="s">
        <v>2001</v>
      </c>
      <c r="C134" s="622"/>
      <c r="D134" s="621"/>
      <c r="E134" s="1630">
        <f>SUM(F134:I134)</f>
        <v>-589785821.65302801</v>
      </c>
      <c r="F134" s="524">
        <v>-59909396.799232401</v>
      </c>
      <c r="G134" s="524">
        <v>0</v>
      </c>
      <c r="H134" s="524">
        <v>-529876424.85379559</v>
      </c>
      <c r="I134" s="524">
        <v>0</v>
      </c>
      <c r="J134" s="544" t="s">
        <v>1936</v>
      </c>
    </row>
    <row r="135" spans="2:10">
      <c r="B135" s="623" t="s">
        <v>2002</v>
      </c>
      <c r="C135" s="622"/>
      <c r="D135" s="621"/>
      <c r="E135" s="1630">
        <f t="shared" ref="E135:E138" si="2">SUM(F135:I135)</f>
        <v>22083602.154234197</v>
      </c>
      <c r="F135" s="524">
        <v>22083602.154234197</v>
      </c>
      <c r="G135" s="524">
        <v>0</v>
      </c>
      <c r="H135" s="524">
        <v>0</v>
      </c>
      <c r="I135" s="524">
        <v>0</v>
      </c>
      <c r="J135" s="544" t="s">
        <v>1937</v>
      </c>
    </row>
    <row r="136" spans="2:10" ht="37.5">
      <c r="B136" s="623" t="s">
        <v>1851</v>
      </c>
      <c r="C136" s="622"/>
      <c r="D136" s="621"/>
      <c r="E136" s="1630">
        <f t="shared" si="2"/>
        <v>-13131629.344646998</v>
      </c>
      <c r="F136" s="524">
        <v>-6664116.9619137179</v>
      </c>
      <c r="G136" s="524">
        <v>-6467512.3827332808</v>
      </c>
      <c r="H136" s="524">
        <v>0</v>
      </c>
      <c r="I136" s="524">
        <v>0</v>
      </c>
      <c r="J136" s="625" t="s">
        <v>1938</v>
      </c>
    </row>
    <row r="137" spans="2:10">
      <c r="B137" s="623" t="s">
        <v>1852</v>
      </c>
      <c r="C137" s="622"/>
      <c r="D137" s="621"/>
      <c r="E137" s="1630">
        <f t="shared" si="2"/>
        <v>19076038.055668302</v>
      </c>
      <c r="F137" s="524">
        <v>11742354.124081075</v>
      </c>
      <c r="G137" s="524">
        <v>0</v>
      </c>
      <c r="H137" s="524">
        <v>7333683.9315872267</v>
      </c>
      <c r="I137" s="524">
        <v>0</v>
      </c>
      <c r="J137" s="625" t="s">
        <v>2003</v>
      </c>
    </row>
    <row r="138" spans="2:10" ht="25">
      <c r="B138" s="623" t="s">
        <v>1853</v>
      </c>
      <c r="C138" s="622"/>
      <c r="D138" s="621"/>
      <c r="E138" s="1630">
        <f t="shared" si="2"/>
        <v>-7372631.7796668019</v>
      </c>
      <c r="F138" s="524">
        <v>-737263.17796668003</v>
      </c>
      <c r="G138" s="524">
        <v>0</v>
      </c>
      <c r="H138" s="524">
        <v>-6635368.6017001215</v>
      </c>
      <c r="I138" s="524">
        <v>0</v>
      </c>
      <c r="J138" s="544" t="s">
        <v>1939</v>
      </c>
    </row>
    <row r="139" spans="2:10" ht="13">
      <c r="B139" s="406" t="s">
        <v>901</v>
      </c>
      <c r="C139" s="403"/>
      <c r="D139" s="403"/>
      <c r="E139" s="404">
        <f>SUM(E134:E138)</f>
        <v>-569130442.56743932</v>
      </c>
      <c r="F139" s="404">
        <f>SUM(F134:F138)</f>
        <v>-33484820.660797533</v>
      </c>
      <c r="G139" s="404">
        <f>SUM(G134:G138)</f>
        <v>-6467512.3827332808</v>
      </c>
      <c r="H139" s="404">
        <f>SUM(H134:H138)</f>
        <v>-529178109.5239085</v>
      </c>
      <c r="I139" s="404">
        <f>SUM(I134:I138)</f>
        <v>0</v>
      </c>
      <c r="J139" s="405"/>
    </row>
    <row r="140" spans="2:10" ht="13">
      <c r="B140" s="406"/>
      <c r="C140" s="403"/>
      <c r="D140" s="403"/>
      <c r="E140" s="404"/>
      <c r="F140" s="404"/>
      <c r="G140" s="404"/>
      <c r="H140" s="404"/>
      <c r="I140" s="404"/>
      <c r="J140" s="405"/>
    </row>
    <row r="141" spans="2:10">
      <c r="B141" s="425" t="s">
        <v>1595</v>
      </c>
      <c r="C141" s="426"/>
      <c r="D141" s="427"/>
      <c r="E141" s="409">
        <f>SUM(F141:I141)</f>
        <v>-4369722.3444142733</v>
      </c>
      <c r="F141" s="399">
        <f>-F137-F138</f>
        <v>-11005090.946114395</v>
      </c>
      <c r="G141" s="399">
        <f t="shared" ref="G141:I141" si="3">-G137-G138</f>
        <v>0</v>
      </c>
      <c r="H141" s="399">
        <f>-H138</f>
        <v>6635368.6017001215</v>
      </c>
      <c r="I141" s="399">
        <f t="shared" si="3"/>
        <v>0</v>
      </c>
      <c r="J141" s="410"/>
    </row>
    <row r="142" spans="2:10">
      <c r="B142" s="407" t="s">
        <v>1596</v>
      </c>
      <c r="C142" s="426"/>
      <c r="D142" s="427"/>
      <c r="E142" s="409">
        <f>SUM(F142:I142)</f>
        <v>13131629.344646998</v>
      </c>
      <c r="F142" s="399">
        <f>-F136</f>
        <v>6664116.9619137179</v>
      </c>
      <c r="G142" s="399">
        <f t="shared" ref="G142:I142" si="4">-G136</f>
        <v>6467512.3827332808</v>
      </c>
      <c r="H142" s="399">
        <f t="shared" si="4"/>
        <v>0</v>
      </c>
      <c r="I142" s="399">
        <f t="shared" si="4"/>
        <v>0</v>
      </c>
      <c r="J142" s="410"/>
    </row>
    <row r="143" spans="2:10">
      <c r="B143" s="407" t="s">
        <v>1597</v>
      </c>
      <c r="C143" s="426"/>
      <c r="D143" s="427"/>
      <c r="E143" s="409">
        <f>SUM(F143:I143)</f>
        <v>0</v>
      </c>
      <c r="F143" s="399">
        <v>0</v>
      </c>
      <c r="G143" s="399">
        <v>0</v>
      </c>
      <c r="H143" s="399"/>
      <c r="I143" s="399"/>
      <c r="J143" s="410"/>
    </row>
    <row r="144" spans="2:10">
      <c r="B144" s="407" t="s">
        <v>1598</v>
      </c>
      <c r="C144" s="408"/>
      <c r="D144" s="427"/>
      <c r="E144" s="409">
        <f>SUM(F144:I144)</f>
        <v>0</v>
      </c>
      <c r="F144" s="399"/>
      <c r="G144" s="399"/>
      <c r="H144" s="399"/>
      <c r="I144" s="399"/>
      <c r="J144" s="410"/>
    </row>
    <row r="145" spans="2:10" ht="5.15" customHeight="1">
      <c r="B145" s="401"/>
      <c r="C145" s="402"/>
      <c r="D145" s="403"/>
      <c r="E145" s="404"/>
      <c r="F145" s="404"/>
      <c r="G145" s="404"/>
      <c r="H145" s="404"/>
      <c r="I145" s="404"/>
      <c r="J145" s="405"/>
    </row>
    <row r="146" spans="2:10" ht="13">
      <c r="B146" s="428" t="s">
        <v>902</v>
      </c>
      <c r="C146" s="429"/>
      <c r="D146" s="403"/>
      <c r="E146" s="404">
        <f>SUM(E141:E144)+E139</f>
        <v>-560368535.56720662</v>
      </c>
      <c r="F146" s="404">
        <f>SUM(F141:F144)+F139</f>
        <v>-37825794.644998208</v>
      </c>
      <c r="G146" s="404">
        <f>SUM(G141:G144)+G139</f>
        <v>0</v>
      </c>
      <c r="H146" s="404">
        <f>SUM(H141:H144)+H139</f>
        <v>-522542740.92220837</v>
      </c>
      <c r="I146" s="404">
        <f>SUM(I141:I144)+I139</f>
        <v>0</v>
      </c>
      <c r="J146" s="405"/>
    </row>
    <row r="147" spans="2:10" ht="13">
      <c r="B147" s="430"/>
      <c r="C147" s="431"/>
      <c r="D147" s="431"/>
      <c r="E147" s="414"/>
      <c r="F147" s="404"/>
      <c r="G147" s="404"/>
      <c r="H147" s="404"/>
      <c r="I147" s="404"/>
      <c r="J147" s="416"/>
    </row>
    <row r="148" spans="2:10" ht="13">
      <c r="B148" s="432" t="s">
        <v>244</v>
      </c>
      <c r="C148" s="433"/>
      <c r="D148" s="413"/>
      <c r="E148" s="414"/>
      <c r="F148" s="414"/>
      <c r="G148" s="414"/>
      <c r="H148" s="414"/>
      <c r="I148" s="415">
        <f>+'ATT H-3D'!$H$24</f>
        <v>0.14625503638690887</v>
      </c>
      <c r="J148" s="416"/>
    </row>
    <row r="149" spans="2:10" ht="13">
      <c r="B149" s="411" t="s">
        <v>217</v>
      </c>
      <c r="C149" s="412"/>
      <c r="D149" s="413"/>
      <c r="E149" s="414"/>
      <c r="F149" s="414"/>
      <c r="G149" s="414"/>
      <c r="H149" s="415">
        <f>+'ATT H-3D'!$H$45</f>
        <v>0.37201518739184425</v>
      </c>
      <c r="I149" s="414"/>
      <c r="J149" s="416"/>
    </row>
    <row r="150" spans="2:10" ht="13">
      <c r="B150" s="411" t="s">
        <v>891</v>
      </c>
      <c r="C150" s="412"/>
      <c r="D150" s="413"/>
      <c r="E150" s="414"/>
      <c r="F150" s="414"/>
      <c r="G150" s="415">
        <v>1</v>
      </c>
      <c r="H150" s="414"/>
      <c r="I150" s="414"/>
      <c r="J150" s="416"/>
    </row>
    <row r="151" spans="2:10" ht="13">
      <c r="B151" s="411" t="s">
        <v>892</v>
      </c>
      <c r="C151" s="412"/>
      <c r="D151" s="413"/>
      <c r="E151" s="414"/>
      <c r="F151" s="415">
        <v>0</v>
      </c>
      <c r="G151" s="414"/>
      <c r="H151" s="414"/>
      <c r="I151" s="414"/>
      <c r="J151" s="416"/>
    </row>
    <row r="152" spans="2:10" ht="13">
      <c r="B152" s="417" t="s">
        <v>893</v>
      </c>
      <c r="C152" s="412"/>
      <c r="D152" s="413"/>
      <c r="E152" s="414">
        <f>F152+G152+H152+I152</f>
        <v>-194393835.68442327</v>
      </c>
      <c r="F152" s="414">
        <f>F151*F146</f>
        <v>0</v>
      </c>
      <c r="G152" s="414">
        <f>G146*G150</f>
        <v>0</v>
      </c>
      <c r="H152" s="414">
        <f>H146*H149</f>
        <v>-194393835.68442327</v>
      </c>
      <c r="I152" s="414">
        <f>I148*I146</f>
        <v>0</v>
      </c>
      <c r="J152" s="416"/>
    </row>
    <row r="153" spans="2:10" ht="17.25" customHeight="1">
      <c r="B153" s="397"/>
      <c r="C153" s="397"/>
      <c r="E153" s="388"/>
      <c r="F153" s="388"/>
      <c r="G153" s="388"/>
      <c r="H153" s="388"/>
      <c r="I153" s="388"/>
      <c r="J153" s="419"/>
    </row>
    <row r="154" spans="2:10" ht="13">
      <c r="B154" s="418"/>
      <c r="E154" s="388"/>
      <c r="F154" s="388"/>
      <c r="G154" s="388"/>
      <c r="H154" s="388"/>
      <c r="I154" s="388"/>
      <c r="J154" s="419"/>
    </row>
    <row r="155" spans="2:10" ht="13">
      <c r="B155" s="381" t="s">
        <v>164</v>
      </c>
      <c r="C155" s="381"/>
      <c r="D155" s="381"/>
      <c r="E155" s="381" t="s">
        <v>165</v>
      </c>
      <c r="F155" s="381" t="s">
        <v>1065</v>
      </c>
      <c r="G155" s="381" t="s">
        <v>1202</v>
      </c>
      <c r="H155" s="381" t="s">
        <v>1203</v>
      </c>
      <c r="I155" s="381" t="s">
        <v>1204</v>
      </c>
      <c r="J155" s="381" t="s">
        <v>1205</v>
      </c>
    </row>
    <row r="156" spans="2:10" ht="13">
      <c r="B156" s="389"/>
      <c r="C156" s="100"/>
      <c r="D156" s="100"/>
      <c r="E156" s="381"/>
      <c r="F156" s="381" t="s">
        <v>1236</v>
      </c>
      <c r="G156" s="381" t="s">
        <v>238</v>
      </c>
      <c r="H156" s="381"/>
      <c r="I156" s="381"/>
      <c r="J156" s="100"/>
    </row>
    <row r="157" spans="2:10" ht="13">
      <c r="B157" s="389"/>
      <c r="C157" s="100"/>
      <c r="D157" s="100"/>
      <c r="E157" s="381"/>
      <c r="F157" s="381" t="s">
        <v>1237</v>
      </c>
      <c r="G157" s="381" t="s">
        <v>208</v>
      </c>
      <c r="H157" s="381" t="s">
        <v>239</v>
      </c>
      <c r="I157" s="381" t="s">
        <v>240</v>
      </c>
      <c r="J157" s="100"/>
    </row>
    <row r="158" spans="2:10" ht="13">
      <c r="B158" s="389" t="s">
        <v>903</v>
      </c>
      <c r="C158" s="100"/>
      <c r="D158" s="100"/>
      <c r="E158" s="381" t="s">
        <v>42</v>
      </c>
      <c r="F158" s="384" t="s">
        <v>1238</v>
      </c>
      <c r="G158" s="381" t="s">
        <v>241</v>
      </c>
      <c r="H158" s="381" t="s">
        <v>241</v>
      </c>
      <c r="I158" s="381" t="s">
        <v>241</v>
      </c>
      <c r="J158" s="381" t="s">
        <v>245</v>
      </c>
    </row>
    <row r="159" spans="2:10">
      <c r="B159" s="623" t="s">
        <v>2001</v>
      </c>
      <c r="C159" s="420"/>
      <c r="D159" s="422"/>
      <c r="E159" s="409">
        <f>SUM(F159:I159)</f>
        <v>-338790868.33200002</v>
      </c>
      <c r="F159" s="524">
        <v>-33879086.833199993</v>
      </c>
      <c r="G159" s="524">
        <v>0</v>
      </c>
      <c r="H159" s="524">
        <v>-304911781.49880004</v>
      </c>
      <c r="I159" s="524">
        <v>0</v>
      </c>
      <c r="J159" s="544" t="s">
        <v>1936</v>
      </c>
    </row>
    <row r="160" spans="2:10">
      <c r="B160" s="447"/>
      <c r="C160" s="420"/>
      <c r="D160" s="422"/>
      <c r="E160" s="399"/>
      <c r="F160" s="399"/>
      <c r="G160" s="399"/>
      <c r="H160" s="399"/>
      <c r="I160" s="399"/>
      <c r="J160" s="400"/>
    </row>
    <row r="161" spans="2:10">
      <c r="B161" s="447"/>
      <c r="C161" s="420"/>
      <c r="D161" s="422"/>
      <c r="E161" s="399"/>
      <c r="F161" s="399"/>
      <c r="G161" s="399"/>
      <c r="H161" s="399"/>
      <c r="I161" s="399"/>
      <c r="J161" s="400"/>
    </row>
    <row r="162" spans="2:10">
      <c r="B162" s="447"/>
      <c r="C162" s="420"/>
      <c r="D162" s="421"/>
      <c r="E162" s="423"/>
      <c r="F162" s="423"/>
      <c r="G162" s="423"/>
      <c r="H162" s="423"/>
      <c r="I162" s="423"/>
      <c r="J162" s="424"/>
    </row>
    <row r="163" spans="2:10" ht="13">
      <c r="B163" s="406" t="s">
        <v>904</v>
      </c>
      <c r="C163" s="403"/>
      <c r="D163" s="403"/>
      <c r="E163" s="404">
        <f>SUM(E159:E162)</f>
        <v>-338790868.33200002</v>
      </c>
      <c r="F163" s="404">
        <f>SUM(F159:F162)</f>
        <v>-33879086.833199993</v>
      </c>
      <c r="G163" s="404">
        <f>SUM(G159:G162)</f>
        <v>0</v>
      </c>
      <c r="H163" s="404">
        <f>SUM(H159:H162)</f>
        <v>-304911781.49880004</v>
      </c>
      <c r="I163" s="404">
        <f>SUM(I159:I162)</f>
        <v>0</v>
      </c>
      <c r="J163" s="405"/>
    </row>
    <row r="164" spans="2:10" ht="13">
      <c r="B164" s="406"/>
      <c r="C164" s="403"/>
      <c r="D164" s="403"/>
      <c r="E164" s="404"/>
      <c r="F164" s="404"/>
      <c r="G164" s="404"/>
      <c r="H164" s="404"/>
      <c r="I164" s="404"/>
      <c r="J164" s="405"/>
    </row>
    <row r="165" spans="2:10">
      <c r="B165" s="425" t="s">
        <v>1595</v>
      </c>
      <c r="C165" s="426"/>
      <c r="D165" s="427"/>
      <c r="E165" s="409"/>
      <c r="F165" s="399"/>
      <c r="G165" s="399"/>
      <c r="H165" s="399"/>
      <c r="I165" s="399"/>
      <c r="J165" s="410"/>
    </row>
    <row r="166" spans="2:10">
      <c r="B166" s="407" t="s">
        <v>1596</v>
      </c>
      <c r="C166" s="408"/>
      <c r="D166" s="427"/>
      <c r="E166" s="409"/>
      <c r="F166" s="399"/>
      <c r="G166" s="399"/>
      <c r="H166" s="399"/>
      <c r="I166" s="399"/>
      <c r="J166" s="410"/>
    </row>
    <row r="167" spans="2:10">
      <c r="B167" s="407" t="s">
        <v>1597</v>
      </c>
      <c r="C167" s="408"/>
      <c r="D167" s="427"/>
      <c r="E167" s="409"/>
      <c r="F167" s="399"/>
      <c r="G167" s="399"/>
      <c r="H167" s="399"/>
      <c r="I167" s="399"/>
      <c r="J167" s="410"/>
    </row>
    <row r="168" spans="2:10">
      <c r="B168" s="407" t="s">
        <v>1598</v>
      </c>
      <c r="C168" s="408"/>
      <c r="D168" s="427"/>
      <c r="E168" s="409"/>
      <c r="F168" s="399"/>
      <c r="G168" s="399"/>
      <c r="H168" s="399"/>
      <c r="I168" s="399"/>
      <c r="J168" s="410"/>
    </row>
    <row r="169" spans="2:10" ht="5.15" customHeight="1">
      <c r="B169" s="401"/>
      <c r="C169" s="402"/>
      <c r="D169" s="403"/>
      <c r="E169" s="404"/>
      <c r="F169" s="404"/>
      <c r="G169" s="404"/>
      <c r="H169" s="404"/>
      <c r="I169" s="404"/>
      <c r="J169" s="405"/>
    </row>
    <row r="170" spans="2:10" ht="13">
      <c r="B170" s="428" t="s">
        <v>902</v>
      </c>
      <c r="C170" s="429"/>
      <c r="D170" s="403"/>
      <c r="E170" s="404">
        <f>SUM(E165:E168)+E163</f>
        <v>-338790868.33200002</v>
      </c>
      <c r="F170" s="404">
        <f>SUM(F165:F168)+F163</f>
        <v>-33879086.833199993</v>
      </c>
      <c r="G170" s="404">
        <f>SUM(G165:G168)+G163</f>
        <v>0</v>
      </c>
      <c r="H170" s="404">
        <f>SUM(H165:H168)+H163</f>
        <v>-304911781.49880004</v>
      </c>
      <c r="I170" s="404">
        <f>SUM(I165:I168)+I163</f>
        <v>0</v>
      </c>
      <c r="J170" s="405"/>
    </row>
    <row r="171" spans="2:10" ht="13">
      <c r="B171" s="430"/>
      <c r="C171" s="431"/>
      <c r="D171" s="431"/>
      <c r="E171" s="414"/>
      <c r="F171" s="404"/>
      <c r="G171" s="404"/>
      <c r="H171" s="404"/>
      <c r="I171" s="404"/>
      <c r="J171" s="416"/>
    </row>
    <row r="172" spans="2:10" ht="13">
      <c r="B172" s="432" t="s">
        <v>244</v>
      </c>
      <c r="C172" s="433"/>
      <c r="D172" s="413"/>
      <c r="E172" s="414"/>
      <c r="F172" s="414"/>
      <c r="G172" s="414"/>
      <c r="H172" s="414"/>
      <c r="I172" s="415">
        <f>+'ATT H-3D'!$H$24</f>
        <v>0.14625503638690887</v>
      </c>
      <c r="J172" s="416"/>
    </row>
    <row r="173" spans="2:10" ht="13">
      <c r="B173" s="411" t="s">
        <v>217</v>
      </c>
      <c r="C173" s="412"/>
      <c r="D173" s="413"/>
      <c r="E173" s="414"/>
      <c r="F173" s="414"/>
      <c r="G173" s="414"/>
      <c r="H173" s="415">
        <f>+'ATT H-3D'!$H$45</f>
        <v>0.37201518739184425</v>
      </c>
      <c r="I173" s="414"/>
      <c r="J173" s="416"/>
    </row>
    <row r="174" spans="2:10" ht="13">
      <c r="B174" s="411" t="s">
        <v>891</v>
      </c>
      <c r="C174" s="412"/>
      <c r="D174" s="413"/>
      <c r="E174" s="414"/>
      <c r="F174" s="414"/>
      <c r="G174" s="415">
        <v>1</v>
      </c>
      <c r="H174" s="414"/>
      <c r="I174" s="414"/>
      <c r="J174" s="416"/>
    </row>
    <row r="175" spans="2:10" ht="13">
      <c r="B175" s="411" t="s">
        <v>892</v>
      </c>
      <c r="C175" s="412"/>
      <c r="D175" s="413"/>
      <c r="E175" s="414"/>
      <c r="F175" s="415">
        <v>0</v>
      </c>
      <c r="G175" s="414"/>
      <c r="H175" s="414"/>
      <c r="I175" s="414"/>
      <c r="J175" s="416"/>
    </row>
    <row r="176" spans="2:10" ht="13">
      <c r="B176" s="417" t="s">
        <v>893</v>
      </c>
      <c r="C176" s="412"/>
      <c r="D176" s="413"/>
      <c r="E176" s="414">
        <f>F176+G176+H176+I176</f>
        <v>-113431813.53225717</v>
      </c>
      <c r="F176" s="414">
        <f>F175*F170</f>
        <v>0</v>
      </c>
      <c r="G176" s="414">
        <f>G170*G174</f>
        <v>0</v>
      </c>
      <c r="H176" s="414">
        <f>H170*H173</f>
        <v>-113431813.53225717</v>
      </c>
      <c r="I176" s="414">
        <f>I172*I170</f>
        <v>0</v>
      </c>
      <c r="J176" s="416"/>
    </row>
    <row r="177" spans="2:11" ht="13">
      <c r="B177" s="418"/>
      <c r="E177" s="388"/>
      <c r="F177" s="388"/>
      <c r="G177" s="388"/>
      <c r="H177" s="388"/>
      <c r="I177" s="388"/>
      <c r="J177" s="419"/>
    </row>
    <row r="178" spans="2:11" ht="13">
      <c r="B178" s="418"/>
      <c r="E178" s="388"/>
      <c r="F178" s="388"/>
      <c r="G178" s="388"/>
      <c r="H178" s="388"/>
      <c r="I178" s="388"/>
      <c r="J178" s="419"/>
    </row>
    <row r="179" spans="2:11" ht="13">
      <c r="B179" s="381" t="s">
        <v>164</v>
      </c>
      <c r="C179" s="381"/>
      <c r="D179" s="381"/>
      <c r="E179" s="381" t="s">
        <v>165</v>
      </c>
      <c r="F179" s="381" t="s">
        <v>1065</v>
      </c>
      <c r="G179" s="381" t="s">
        <v>1202</v>
      </c>
      <c r="H179" s="381" t="s">
        <v>1203</v>
      </c>
      <c r="I179" s="381" t="s">
        <v>1204</v>
      </c>
      <c r="J179" s="381" t="s">
        <v>1205</v>
      </c>
    </row>
    <row r="180" spans="2:11" ht="13">
      <c r="B180" s="389"/>
      <c r="C180" s="100"/>
      <c r="D180" s="100"/>
      <c r="E180" s="381"/>
      <c r="F180" s="381" t="s">
        <v>1236</v>
      </c>
      <c r="G180" s="381" t="s">
        <v>238</v>
      </c>
      <c r="H180" s="381"/>
      <c r="I180" s="381"/>
      <c r="J180" s="100"/>
    </row>
    <row r="181" spans="2:11" ht="13">
      <c r="B181" s="389"/>
      <c r="C181" s="100"/>
      <c r="D181" s="100"/>
      <c r="E181" s="381"/>
      <c r="F181" s="381" t="s">
        <v>1237</v>
      </c>
      <c r="G181" s="381" t="s">
        <v>208</v>
      </c>
      <c r="H181" s="381" t="s">
        <v>239</v>
      </c>
      <c r="I181" s="381" t="s">
        <v>240</v>
      </c>
      <c r="J181" s="100"/>
    </row>
    <row r="182" spans="2:11" ht="13">
      <c r="B182" s="389" t="s">
        <v>905</v>
      </c>
      <c r="C182" s="100"/>
      <c r="D182" s="100"/>
      <c r="E182" s="381" t="s">
        <v>42</v>
      </c>
      <c r="F182" s="384" t="s">
        <v>1238</v>
      </c>
      <c r="G182" s="381" t="s">
        <v>241</v>
      </c>
      <c r="H182" s="381" t="s">
        <v>241</v>
      </c>
      <c r="I182" s="381" t="s">
        <v>241</v>
      </c>
      <c r="J182" s="381" t="s">
        <v>245</v>
      </c>
    </row>
    <row r="183" spans="2:11">
      <c r="B183" s="413" t="s">
        <v>906</v>
      </c>
      <c r="C183" s="413"/>
      <c r="D183" s="413"/>
      <c r="E183" s="404">
        <f>SUM(F183:I183)</f>
        <v>-569130442.56743932</v>
      </c>
      <c r="F183" s="414">
        <f>F139</f>
        <v>-33484820.660797533</v>
      </c>
      <c r="G183" s="414">
        <f>G139</f>
        <v>-6467512.3827332808</v>
      </c>
      <c r="H183" s="414">
        <f>H139</f>
        <v>-529178109.5239085</v>
      </c>
      <c r="I183" s="414">
        <f>I139</f>
        <v>0</v>
      </c>
      <c r="J183" s="416"/>
    </row>
    <row r="184" spans="2:11">
      <c r="B184" s="413" t="s">
        <v>903</v>
      </c>
      <c r="C184" s="413"/>
      <c r="D184" s="413"/>
      <c r="E184" s="404">
        <f>SUM(F184:I184)</f>
        <v>-338790868.33200002</v>
      </c>
      <c r="F184" s="414">
        <f>F163</f>
        <v>-33879086.833199993</v>
      </c>
      <c r="G184" s="414">
        <f>G163</f>
        <v>0</v>
      </c>
      <c r="H184" s="414">
        <f>H163</f>
        <v>-304911781.49880004</v>
      </c>
      <c r="I184" s="414">
        <f>I163</f>
        <v>0</v>
      </c>
      <c r="J184" s="416"/>
    </row>
    <row r="185" spans="2:11" ht="13">
      <c r="B185" s="406" t="s">
        <v>907</v>
      </c>
      <c r="C185" s="413"/>
      <c r="D185" s="413"/>
      <c r="E185" s="414">
        <f>E183+E184</f>
        <v>-907921310.89943933</v>
      </c>
      <c r="F185" s="414">
        <f>F183+F184</f>
        <v>-67363907.493997529</v>
      </c>
      <c r="G185" s="414">
        <f>G183+G184</f>
        <v>-6467512.3827332808</v>
      </c>
      <c r="H185" s="414">
        <f>H183+H184</f>
        <v>-834089891.02270854</v>
      </c>
      <c r="I185" s="414">
        <f>I183+I184</f>
        <v>0</v>
      </c>
      <c r="J185" s="416"/>
    </row>
    <row r="186" spans="2:11" ht="13">
      <c r="B186" s="418"/>
      <c r="E186" s="388"/>
      <c r="F186" s="388"/>
      <c r="G186" s="388"/>
      <c r="H186" s="388"/>
      <c r="I186" s="388"/>
      <c r="J186" s="419"/>
    </row>
    <row r="187" spans="2:11" s="100" customFormat="1" ht="13">
      <c r="B187" s="389" t="s">
        <v>251</v>
      </c>
      <c r="G187" s="439"/>
      <c r="H187" s="439"/>
      <c r="I187" s="439"/>
      <c r="J187" s="440"/>
    </row>
    <row r="188" spans="2:11" s="100" customFormat="1" ht="12.75" customHeight="1">
      <c r="B188" s="1754" t="s">
        <v>1243</v>
      </c>
      <c r="C188" s="1754"/>
      <c r="D188" s="1754"/>
      <c r="E188" s="1754"/>
      <c r="F188" s="1754"/>
      <c r="G188" s="1754"/>
      <c r="H188" s="1754"/>
      <c r="I188" s="1754"/>
      <c r="J188" s="440"/>
    </row>
    <row r="189" spans="2:11" s="100" customFormat="1" ht="13">
      <c r="B189" s="442" t="s">
        <v>247</v>
      </c>
      <c r="C189" s="442"/>
      <c r="H189" s="439"/>
      <c r="I189" s="439"/>
      <c r="J189" s="440"/>
    </row>
    <row r="190" spans="2:11" s="100" customFormat="1" ht="13">
      <c r="B190" s="442" t="s">
        <v>248</v>
      </c>
      <c r="C190" s="442"/>
      <c r="H190" s="439"/>
      <c r="I190" s="439"/>
      <c r="J190" s="440"/>
    </row>
    <row r="191" spans="2:11" s="100" customFormat="1" ht="13">
      <c r="B191" s="442" t="s">
        <v>249</v>
      </c>
      <c r="C191" s="442"/>
      <c r="H191" s="439"/>
      <c r="I191" s="439"/>
      <c r="J191" s="440"/>
    </row>
    <row r="192" spans="2:11" s="100" customFormat="1" ht="15.75" customHeight="1">
      <c r="B192" s="1754" t="s">
        <v>898</v>
      </c>
      <c r="C192" s="1754"/>
      <c r="D192" s="1754"/>
      <c r="E192" s="1754"/>
      <c r="F192" s="1754"/>
      <c r="G192" s="1754"/>
      <c r="H192" s="1754"/>
      <c r="I192" s="1754"/>
      <c r="K192" s="443"/>
    </row>
    <row r="193" spans="2:12" s="100" customFormat="1" ht="15.75" customHeight="1">
      <c r="B193" s="1754"/>
      <c r="C193" s="1754"/>
      <c r="D193" s="1754"/>
      <c r="E193" s="1754"/>
      <c r="F193" s="1754"/>
      <c r="G193" s="1754"/>
      <c r="H193" s="1754"/>
      <c r="I193" s="1754"/>
      <c r="K193" s="443"/>
    </row>
    <row r="194" spans="2:12" s="100" customFormat="1" ht="13">
      <c r="B194" s="442" t="s">
        <v>908</v>
      </c>
      <c r="G194" s="439"/>
      <c r="H194" s="439"/>
      <c r="I194" s="439"/>
      <c r="J194" s="440"/>
    </row>
    <row r="195" spans="2:12" ht="13">
      <c r="B195" s="448" t="s">
        <v>909</v>
      </c>
    </row>
    <row r="196" spans="2:12" ht="12" customHeight="1">
      <c r="B196" s="449"/>
      <c r="C196" s="450"/>
      <c r="D196" s="451"/>
      <c r="E196" s="451"/>
      <c r="F196" s="451"/>
      <c r="G196" s="451"/>
      <c r="H196" s="451"/>
      <c r="I196" s="451"/>
      <c r="J196" s="451"/>
    </row>
    <row r="197" spans="2:12" ht="13">
      <c r="B197" s="378"/>
    </row>
    <row r="198" spans="2:12" ht="13">
      <c r="B198" s="381" t="s">
        <v>164</v>
      </c>
      <c r="C198" s="381"/>
      <c r="D198" s="381"/>
      <c r="E198" s="381" t="s">
        <v>165</v>
      </c>
      <c r="F198" s="381" t="s">
        <v>1065</v>
      </c>
      <c r="G198" s="381" t="s">
        <v>1202</v>
      </c>
      <c r="H198" s="381" t="s">
        <v>1203</v>
      </c>
      <c r="I198" s="381" t="s">
        <v>1204</v>
      </c>
      <c r="J198" s="381" t="s">
        <v>1205</v>
      </c>
    </row>
    <row r="199" spans="2:12" ht="13">
      <c r="B199" s="389"/>
      <c r="C199" s="100"/>
      <c r="D199" s="100"/>
      <c r="E199" s="381"/>
      <c r="F199" s="381" t="s">
        <v>1236</v>
      </c>
      <c r="G199" s="381" t="s">
        <v>238</v>
      </c>
      <c r="H199" s="381"/>
      <c r="I199" s="381"/>
      <c r="J199" s="100"/>
    </row>
    <row r="200" spans="2:12" ht="13">
      <c r="B200" s="389"/>
      <c r="C200" s="397"/>
      <c r="D200" s="100"/>
      <c r="E200" s="381"/>
      <c r="F200" s="381" t="s">
        <v>1237</v>
      </c>
      <c r="G200" s="381" t="s">
        <v>208</v>
      </c>
      <c r="H200" s="381" t="s">
        <v>239</v>
      </c>
      <c r="I200" s="381" t="s">
        <v>240</v>
      </c>
      <c r="J200" s="100"/>
      <c r="L200" s="377" t="s">
        <v>83</v>
      </c>
    </row>
    <row r="201" spans="2:12" ht="13">
      <c r="B201" s="389" t="s">
        <v>910</v>
      </c>
      <c r="C201" s="100"/>
      <c r="D201" s="100"/>
      <c r="E201" s="381" t="s">
        <v>42</v>
      </c>
      <c r="F201" s="384" t="s">
        <v>1238</v>
      </c>
      <c r="G201" s="381" t="s">
        <v>241</v>
      </c>
      <c r="H201" s="381" t="s">
        <v>241</v>
      </c>
      <c r="I201" s="381" t="s">
        <v>241</v>
      </c>
      <c r="J201" s="381" t="s">
        <v>245</v>
      </c>
    </row>
    <row r="202" spans="2:12" ht="25">
      <c r="B202" s="623" t="s">
        <v>1854</v>
      </c>
      <c r="C202" s="622"/>
      <c r="D202" s="621"/>
      <c r="E202" s="409">
        <f t="shared" ref="E202:E210" si="5">SUM(F202:I202)</f>
        <v>-6417851.8355744239</v>
      </c>
      <c r="F202" s="524">
        <v>-898499.25698041939</v>
      </c>
      <c r="G202" s="524">
        <v>0</v>
      </c>
      <c r="H202" s="524">
        <v>-5519352.5785940047</v>
      </c>
      <c r="I202" s="524">
        <v>0</v>
      </c>
      <c r="J202" s="544" t="s">
        <v>1940</v>
      </c>
    </row>
    <row r="203" spans="2:12">
      <c r="B203" s="623" t="s">
        <v>1838</v>
      </c>
      <c r="C203" s="622"/>
      <c r="D203" s="621"/>
      <c r="E203" s="409">
        <f t="shared" si="5"/>
        <v>-607744</v>
      </c>
      <c r="F203" s="524">
        <v>-607744</v>
      </c>
      <c r="G203" s="524">
        <v>0</v>
      </c>
      <c r="H203" s="524">
        <v>0</v>
      </c>
      <c r="I203" s="524">
        <v>0</v>
      </c>
      <c r="J203" s="544" t="s">
        <v>1941</v>
      </c>
    </row>
    <row r="204" spans="2:12">
      <c r="B204" s="623" t="s">
        <v>1749</v>
      </c>
      <c r="C204" s="622"/>
      <c r="D204" s="621"/>
      <c r="E204" s="409">
        <f t="shared" si="5"/>
        <v>125913.8595475</v>
      </c>
      <c r="F204" s="524">
        <v>17627.940336650001</v>
      </c>
      <c r="G204" s="524">
        <v>0</v>
      </c>
      <c r="H204" s="524">
        <v>108285.91921085</v>
      </c>
      <c r="I204" s="524">
        <v>0</v>
      </c>
      <c r="J204" s="544" t="s">
        <v>1978</v>
      </c>
    </row>
    <row r="205" spans="2:12" ht="25">
      <c r="B205" s="623" t="s">
        <v>1855</v>
      </c>
      <c r="C205" s="622"/>
      <c r="D205" s="621"/>
      <c r="E205" s="409">
        <f t="shared" si="5"/>
        <v>-1807601.4561800002</v>
      </c>
      <c r="F205" s="524">
        <v>-652372.81006460008</v>
      </c>
      <c r="G205" s="524">
        <v>0</v>
      </c>
      <c r="H205" s="524">
        <v>-1155228.6461154001</v>
      </c>
      <c r="I205" s="524">
        <v>0</v>
      </c>
      <c r="J205" s="624" t="s">
        <v>1940</v>
      </c>
    </row>
    <row r="206" spans="2:12" ht="25">
      <c r="B206" s="623" t="s">
        <v>1856</v>
      </c>
      <c r="C206" s="622"/>
      <c r="D206" s="621"/>
      <c r="E206" s="409">
        <f t="shared" si="5"/>
        <v>-42284769.998572506</v>
      </c>
      <c r="F206" s="524">
        <v>-5919867.799800151</v>
      </c>
      <c r="G206" s="524">
        <v>0</v>
      </c>
      <c r="H206" s="524">
        <v>0</v>
      </c>
      <c r="I206" s="524">
        <v>-36364902.198772356</v>
      </c>
      <c r="J206" s="544" t="s">
        <v>1979</v>
      </c>
    </row>
    <row r="207" spans="2:12">
      <c r="B207" s="623" t="s">
        <v>1857</v>
      </c>
      <c r="C207" s="622"/>
      <c r="D207" s="621"/>
      <c r="E207" s="409">
        <f t="shared" si="5"/>
        <v>-45219122.232744001</v>
      </c>
      <c r="F207" s="524">
        <v>-45219122.232744001</v>
      </c>
      <c r="G207" s="524">
        <v>0</v>
      </c>
      <c r="H207" s="524">
        <v>0</v>
      </c>
      <c r="I207" s="524">
        <v>0</v>
      </c>
      <c r="J207" s="544" t="s">
        <v>1941</v>
      </c>
    </row>
    <row r="208" spans="2:12">
      <c r="B208" s="623" t="s">
        <v>1858</v>
      </c>
      <c r="C208" s="622"/>
      <c r="D208" s="621"/>
      <c r="E208" s="409">
        <f t="shared" si="5"/>
        <v>-914511.26467050018</v>
      </c>
      <c r="F208" s="524">
        <v>-914511.26467050018</v>
      </c>
      <c r="G208" s="524">
        <v>0</v>
      </c>
      <c r="H208" s="524">
        <v>0</v>
      </c>
      <c r="I208" s="524">
        <v>0</v>
      </c>
      <c r="J208" s="544" t="s">
        <v>1941</v>
      </c>
    </row>
    <row r="209" spans="2:10">
      <c r="B209" s="623" t="s">
        <v>1709</v>
      </c>
      <c r="C209" s="622"/>
      <c r="D209" s="621"/>
      <c r="E209" s="409">
        <f t="shared" si="5"/>
        <v>-2317186.4548754999</v>
      </c>
      <c r="F209" s="524">
        <v>-2317186.4548754999</v>
      </c>
      <c r="G209" s="524">
        <v>0</v>
      </c>
      <c r="H209" s="524">
        <v>0</v>
      </c>
      <c r="I209" s="524">
        <v>0</v>
      </c>
      <c r="J209" s="452" t="s">
        <v>1941</v>
      </c>
    </row>
    <row r="210" spans="2:10" ht="25">
      <c r="B210" s="623" t="s">
        <v>1760</v>
      </c>
      <c r="C210" s="622"/>
      <c r="D210" s="621"/>
      <c r="E210" s="409">
        <f t="shared" si="5"/>
        <v>-1050848.7772904998</v>
      </c>
      <c r="F210" s="524">
        <v>-1050848.7772904998</v>
      </c>
      <c r="G210" s="524">
        <v>0</v>
      </c>
      <c r="H210" s="524">
        <v>0</v>
      </c>
      <c r="I210" s="524">
        <v>0</v>
      </c>
      <c r="J210" s="544" t="s">
        <v>1942</v>
      </c>
    </row>
    <row r="211" spans="2:10" ht="13">
      <c r="B211" s="406" t="s">
        <v>911</v>
      </c>
      <c r="C211" s="403"/>
      <c r="D211" s="403"/>
      <c r="E211" s="404">
        <f>SUM(E202:E210)</f>
        <v>-100493722.16035993</v>
      </c>
      <c r="F211" s="404">
        <f>SUM(F202:F210)</f>
        <v>-57562524.656089023</v>
      </c>
      <c r="G211" s="404">
        <f>SUM(G202:G210)</f>
        <v>0</v>
      </c>
      <c r="H211" s="404">
        <f>SUM(H202:H210)</f>
        <v>-6566295.3054985544</v>
      </c>
      <c r="I211" s="404">
        <f>SUM(I202:I210)</f>
        <v>-36364902.198772356</v>
      </c>
      <c r="J211" s="405"/>
    </row>
    <row r="212" spans="2:10" ht="13">
      <c r="B212" s="406"/>
      <c r="C212" s="403"/>
      <c r="D212" s="403"/>
      <c r="E212" s="404"/>
      <c r="F212" s="404"/>
      <c r="G212" s="404"/>
      <c r="H212" s="404"/>
      <c r="I212" s="404"/>
      <c r="J212" s="405"/>
    </row>
    <row r="213" spans="2:10">
      <c r="B213" s="425" t="s">
        <v>1595</v>
      </c>
      <c r="C213" s="426"/>
      <c r="D213" s="427"/>
      <c r="E213" s="409"/>
      <c r="F213" s="399"/>
      <c r="G213" s="399"/>
      <c r="H213" s="399"/>
      <c r="I213" s="399"/>
      <c r="J213" s="410"/>
    </row>
    <row r="214" spans="2:10">
      <c r="B214" s="407" t="s">
        <v>1596</v>
      </c>
      <c r="C214" s="408"/>
      <c r="D214" s="427"/>
      <c r="E214" s="409"/>
      <c r="F214" s="399"/>
      <c r="G214" s="399"/>
      <c r="H214" s="399"/>
      <c r="I214" s="399"/>
      <c r="J214" s="410"/>
    </row>
    <row r="215" spans="2:10">
      <c r="B215" s="407" t="s">
        <v>1597</v>
      </c>
      <c r="C215" s="408"/>
      <c r="D215" s="427"/>
      <c r="E215" s="409"/>
      <c r="F215" s="399"/>
      <c r="G215" s="399"/>
      <c r="H215" s="399"/>
      <c r="I215" s="399"/>
      <c r="J215" s="410"/>
    </row>
    <row r="216" spans="2:10">
      <c r="B216" s="407" t="s">
        <v>1598</v>
      </c>
      <c r="C216" s="408"/>
      <c r="D216" s="427"/>
      <c r="E216" s="409"/>
      <c r="F216" s="399"/>
      <c r="G216" s="399"/>
      <c r="H216" s="399"/>
      <c r="I216" s="399"/>
      <c r="J216" s="410"/>
    </row>
    <row r="217" spans="2:10" ht="5.15" customHeight="1">
      <c r="B217" s="401"/>
      <c r="C217" s="402"/>
      <c r="D217" s="403"/>
      <c r="E217" s="404"/>
      <c r="F217" s="404"/>
      <c r="G217" s="404"/>
      <c r="H217" s="404"/>
      <c r="I217" s="404"/>
      <c r="J217" s="405"/>
    </row>
    <row r="218" spans="2:10" ht="13">
      <c r="B218" s="428" t="s">
        <v>912</v>
      </c>
      <c r="C218" s="429"/>
      <c r="D218" s="403"/>
      <c r="E218" s="404">
        <f>SUM(E213:E216)+E211</f>
        <v>-100493722.16035993</v>
      </c>
      <c r="F218" s="404">
        <f>SUM(F213:F216)+F211</f>
        <v>-57562524.656089023</v>
      </c>
      <c r="G218" s="404">
        <f>SUM(G213:G216)+G211</f>
        <v>0</v>
      </c>
      <c r="H218" s="404">
        <f>SUM(H213:H216)+H211</f>
        <v>-6566295.3054985544</v>
      </c>
      <c r="I218" s="404">
        <f>SUM(I213:I216)+I211</f>
        <v>-36364902.198772356</v>
      </c>
      <c r="J218" s="405"/>
    </row>
    <row r="219" spans="2:10" ht="13">
      <c r="B219" s="430"/>
      <c r="C219" s="431"/>
      <c r="D219" s="431"/>
      <c r="E219" s="414"/>
      <c r="F219" s="404"/>
      <c r="G219" s="404"/>
      <c r="H219" s="404"/>
      <c r="I219" s="404"/>
      <c r="J219" s="416"/>
    </row>
    <row r="220" spans="2:10" ht="13">
      <c r="B220" s="432" t="s">
        <v>244</v>
      </c>
      <c r="C220" s="433"/>
      <c r="D220" s="413"/>
      <c r="E220" s="414"/>
      <c r="F220" s="414"/>
      <c r="G220" s="414"/>
      <c r="H220" s="414"/>
      <c r="I220" s="415">
        <f>+'ATT H-3D'!$H$24</f>
        <v>0.14625503638690887</v>
      </c>
      <c r="J220" s="416"/>
    </row>
    <row r="221" spans="2:10" ht="13">
      <c r="B221" s="411" t="s">
        <v>217</v>
      </c>
      <c r="C221" s="412"/>
      <c r="D221" s="413"/>
      <c r="E221" s="414"/>
      <c r="F221" s="414"/>
      <c r="G221" s="414"/>
      <c r="H221" s="415">
        <f>+'ATT H-3D'!$H$45</f>
        <v>0.37201518739184425</v>
      </c>
      <c r="I221" s="414"/>
      <c r="J221" s="416"/>
    </row>
    <row r="222" spans="2:10" ht="13">
      <c r="B222" s="411" t="s">
        <v>891</v>
      </c>
      <c r="C222" s="412"/>
      <c r="D222" s="413"/>
      <c r="E222" s="414"/>
      <c r="F222" s="414"/>
      <c r="G222" s="415">
        <v>1</v>
      </c>
      <c r="H222" s="414"/>
      <c r="I222" s="414"/>
      <c r="J222" s="416"/>
    </row>
    <row r="223" spans="2:10" ht="13">
      <c r="B223" s="411" t="s">
        <v>892</v>
      </c>
      <c r="C223" s="412"/>
      <c r="D223" s="413"/>
      <c r="E223" s="414"/>
      <c r="F223" s="415">
        <v>0</v>
      </c>
      <c r="G223" s="414"/>
      <c r="H223" s="414"/>
      <c r="I223" s="414"/>
      <c r="J223" s="416"/>
    </row>
    <row r="224" spans="2:10" ht="17.25" customHeight="1">
      <c r="B224" s="417" t="s">
        <v>893</v>
      </c>
      <c r="C224" s="412"/>
      <c r="D224" s="413"/>
      <c r="E224" s="414">
        <f>F224+G224+H224+I224</f>
        <v>-7761311.6728330646</v>
      </c>
      <c r="F224" s="414">
        <f>F223*F218</f>
        <v>0</v>
      </c>
      <c r="G224" s="414">
        <f>G218*G222</f>
        <v>0</v>
      </c>
      <c r="H224" s="414">
        <f>H218*H221</f>
        <v>-2442761.5785452318</v>
      </c>
      <c r="I224" s="414">
        <f>I220*I218</f>
        <v>-5318550.0942878332</v>
      </c>
      <c r="J224" s="416"/>
    </row>
    <row r="225" spans="2:10" ht="12.75" customHeight="1">
      <c r="B225" s="449"/>
      <c r="C225" s="451"/>
      <c r="D225" s="451"/>
      <c r="E225" s="451"/>
      <c r="F225" s="451"/>
      <c r="G225" s="451"/>
      <c r="H225" s="451"/>
      <c r="I225" s="451"/>
      <c r="J225" s="451"/>
    </row>
    <row r="226" spans="2:10" ht="13">
      <c r="B226" s="381"/>
      <c r="C226" s="381"/>
      <c r="D226" s="381"/>
      <c r="E226" s="381"/>
      <c r="F226" s="381"/>
      <c r="G226" s="381"/>
      <c r="H226" s="381"/>
      <c r="I226" s="381"/>
      <c r="J226" s="381"/>
    </row>
    <row r="227" spans="2:10" ht="13">
      <c r="B227" s="381" t="s">
        <v>164</v>
      </c>
      <c r="C227" s="100"/>
      <c r="D227" s="100"/>
      <c r="E227" s="381" t="s">
        <v>165</v>
      </c>
      <c r="F227" s="381" t="s">
        <v>1065</v>
      </c>
      <c r="G227" s="381" t="s">
        <v>1202</v>
      </c>
      <c r="H227" s="381" t="s">
        <v>1203</v>
      </c>
      <c r="I227" s="381" t="s">
        <v>1204</v>
      </c>
      <c r="J227" s="381" t="s">
        <v>1205</v>
      </c>
    </row>
    <row r="228" spans="2:10" ht="13">
      <c r="B228" s="389"/>
      <c r="C228" s="100"/>
      <c r="D228" s="100"/>
      <c r="E228" s="381"/>
      <c r="F228" s="381" t="s">
        <v>1236</v>
      </c>
      <c r="G228" s="381" t="s">
        <v>238</v>
      </c>
      <c r="H228" s="381"/>
      <c r="I228" s="381"/>
      <c r="J228" s="100"/>
    </row>
    <row r="229" spans="2:10" ht="13">
      <c r="B229" s="434"/>
      <c r="C229" s="100"/>
      <c r="D229" s="100"/>
      <c r="E229" s="381"/>
      <c r="F229" s="381" t="s">
        <v>1237</v>
      </c>
      <c r="G229" s="381" t="s">
        <v>208</v>
      </c>
      <c r="H229" s="381" t="s">
        <v>239</v>
      </c>
      <c r="I229" s="381" t="s">
        <v>240</v>
      </c>
      <c r="J229" s="100"/>
    </row>
    <row r="230" spans="2:10" ht="13">
      <c r="B230" s="389" t="s">
        <v>1244</v>
      </c>
      <c r="E230" s="381" t="s">
        <v>42</v>
      </c>
      <c r="F230" s="384" t="s">
        <v>1238</v>
      </c>
      <c r="G230" s="381" t="s">
        <v>241</v>
      </c>
      <c r="H230" s="381" t="s">
        <v>241</v>
      </c>
      <c r="I230" s="381" t="s">
        <v>241</v>
      </c>
      <c r="J230" s="381" t="s">
        <v>245</v>
      </c>
    </row>
    <row r="231" spans="2:10">
      <c r="B231" s="398"/>
      <c r="C231" s="420"/>
      <c r="D231" s="421"/>
      <c r="E231" s="399"/>
      <c r="F231" s="399"/>
      <c r="G231" s="399"/>
      <c r="H231" s="399"/>
      <c r="I231" s="399"/>
      <c r="J231" s="400"/>
    </row>
    <row r="232" spans="2:10">
      <c r="B232" s="398"/>
      <c r="C232" s="420"/>
      <c r="D232" s="422"/>
      <c r="E232" s="399"/>
      <c r="F232" s="399"/>
      <c r="G232" s="399"/>
      <c r="H232" s="399"/>
      <c r="I232" s="399"/>
      <c r="J232" s="400"/>
    </row>
    <row r="233" spans="2:10">
      <c r="B233" s="398"/>
      <c r="C233" s="420"/>
      <c r="D233" s="422"/>
      <c r="E233" s="399"/>
      <c r="F233" s="399"/>
      <c r="G233" s="399"/>
      <c r="H233" s="399"/>
      <c r="I233" s="399"/>
      <c r="J233" s="400"/>
    </row>
    <row r="234" spans="2:10">
      <c r="B234" s="398"/>
      <c r="C234" s="420"/>
      <c r="D234" s="422"/>
      <c r="E234" s="399"/>
      <c r="F234" s="399"/>
      <c r="G234" s="399"/>
      <c r="H234" s="399"/>
      <c r="I234" s="399"/>
      <c r="J234" s="400"/>
    </row>
    <row r="235" spans="2:10">
      <c r="B235" s="398"/>
      <c r="C235" s="420"/>
      <c r="D235" s="422"/>
      <c r="E235" s="399"/>
      <c r="F235" s="399"/>
      <c r="G235" s="399"/>
      <c r="H235" s="399"/>
      <c r="I235" s="399"/>
      <c r="J235" s="400"/>
    </row>
    <row r="236" spans="2:10">
      <c r="B236" s="398"/>
      <c r="C236" s="420"/>
      <c r="D236" s="421"/>
      <c r="E236" s="423"/>
      <c r="F236" s="423"/>
      <c r="G236" s="423"/>
      <c r="H236" s="423"/>
      <c r="I236" s="423"/>
      <c r="J236" s="424"/>
    </row>
    <row r="237" spans="2:10" ht="13">
      <c r="B237" s="406" t="s">
        <v>962</v>
      </c>
      <c r="C237" s="403"/>
      <c r="D237" s="404"/>
      <c r="E237" s="404">
        <f>SUM(E231:E236)</f>
        <v>0</v>
      </c>
      <c r="F237" s="404">
        <f>SUM(F231:F236)</f>
        <v>0</v>
      </c>
      <c r="G237" s="404">
        <f>SUM(G231:G236)</f>
        <v>0</v>
      </c>
      <c r="H237" s="404">
        <f>SUM(H231:H236)</f>
        <v>0</v>
      </c>
      <c r="I237" s="404">
        <f>SUM(I231:I236)</f>
        <v>0</v>
      </c>
      <c r="J237" s="405"/>
    </row>
    <row r="238" spans="2:10" ht="13">
      <c r="B238" s="406"/>
      <c r="C238" s="403"/>
      <c r="D238" s="403"/>
      <c r="E238" s="404"/>
      <c r="F238" s="404"/>
      <c r="G238" s="404"/>
      <c r="H238" s="404"/>
      <c r="I238" s="404"/>
      <c r="J238" s="405"/>
    </row>
    <row r="239" spans="2:10">
      <c r="B239" s="425" t="s">
        <v>1595</v>
      </c>
      <c r="C239" s="426"/>
      <c r="D239" s="427"/>
      <c r="E239" s="409"/>
      <c r="F239" s="399"/>
      <c r="G239" s="399"/>
      <c r="H239" s="399"/>
      <c r="I239" s="399"/>
      <c r="J239" s="410"/>
    </row>
    <row r="240" spans="2:10">
      <c r="B240" s="407" t="s">
        <v>1596</v>
      </c>
      <c r="C240" s="408"/>
      <c r="D240" s="427"/>
      <c r="E240" s="409"/>
      <c r="F240" s="399"/>
      <c r="G240" s="399"/>
      <c r="H240" s="399"/>
      <c r="I240" s="399"/>
      <c r="J240" s="410"/>
    </row>
    <row r="241" spans="2:10">
      <c r="B241" s="407" t="s">
        <v>1597</v>
      </c>
      <c r="C241" s="408"/>
      <c r="D241" s="427"/>
      <c r="E241" s="409"/>
      <c r="F241" s="399"/>
      <c r="G241" s="399"/>
      <c r="H241" s="399"/>
      <c r="I241" s="399"/>
      <c r="J241" s="410"/>
    </row>
    <row r="242" spans="2:10">
      <c r="B242" s="407" t="s">
        <v>1598</v>
      </c>
      <c r="C242" s="408"/>
      <c r="D242" s="427"/>
      <c r="E242" s="409"/>
      <c r="F242" s="399"/>
      <c r="G242" s="399"/>
      <c r="H242" s="399"/>
      <c r="I242" s="399"/>
      <c r="J242" s="410"/>
    </row>
    <row r="243" spans="2:10" ht="5.15" customHeight="1">
      <c r="B243" s="401"/>
      <c r="C243" s="402"/>
      <c r="D243" s="403"/>
      <c r="E243" s="404"/>
      <c r="F243" s="404"/>
      <c r="G243" s="404"/>
      <c r="H243" s="404"/>
      <c r="I243" s="404"/>
      <c r="J243" s="405"/>
    </row>
    <row r="244" spans="2:10" ht="13">
      <c r="B244" s="428" t="s">
        <v>914</v>
      </c>
      <c r="C244" s="429"/>
      <c r="D244" s="403"/>
      <c r="E244" s="404">
        <f>SUM(E239:E243)+E237</f>
        <v>0</v>
      </c>
      <c r="F244" s="404">
        <f>SUM(F239:F243)+F237</f>
        <v>0</v>
      </c>
      <c r="G244" s="404">
        <f>SUM(G239:G243)+G237</f>
        <v>0</v>
      </c>
      <c r="H244" s="404">
        <f>SUM(H239:H243)+H237</f>
        <v>0</v>
      </c>
      <c r="I244" s="404">
        <f>SUM(I239:I243)+I237</f>
        <v>0</v>
      </c>
      <c r="J244" s="405"/>
    </row>
    <row r="245" spans="2:10" ht="13">
      <c r="B245" s="430"/>
      <c r="C245" s="431"/>
      <c r="D245" s="431"/>
      <c r="E245" s="414"/>
      <c r="F245" s="404"/>
      <c r="G245" s="404"/>
      <c r="H245" s="404"/>
      <c r="I245" s="404"/>
      <c r="J245" s="416"/>
    </row>
    <row r="246" spans="2:10" ht="13">
      <c r="B246" s="432" t="s">
        <v>244</v>
      </c>
      <c r="C246" s="433"/>
      <c r="D246" s="413"/>
      <c r="E246" s="414"/>
      <c r="F246" s="414"/>
      <c r="G246" s="414"/>
      <c r="H246" s="414"/>
      <c r="I246" s="415">
        <f>+'ATT H-3D'!$H$24</f>
        <v>0.14625503638690887</v>
      </c>
      <c r="J246" s="416"/>
    </row>
    <row r="247" spans="2:10" ht="13">
      <c r="B247" s="411" t="s">
        <v>217</v>
      </c>
      <c r="C247" s="412"/>
      <c r="D247" s="413"/>
      <c r="E247" s="414"/>
      <c r="F247" s="414"/>
      <c r="G247" s="414"/>
      <c r="H247" s="415">
        <f>+'ATT H-3D'!$H$45</f>
        <v>0.37201518739184425</v>
      </c>
      <c r="I247" s="414"/>
      <c r="J247" s="416"/>
    </row>
    <row r="248" spans="2:10" ht="13">
      <c r="B248" s="411" t="s">
        <v>891</v>
      </c>
      <c r="C248" s="412"/>
      <c r="D248" s="413"/>
      <c r="E248" s="414"/>
      <c r="F248" s="414"/>
      <c r="G248" s="415">
        <v>1</v>
      </c>
      <c r="H248" s="414"/>
      <c r="I248" s="414"/>
      <c r="J248" s="416"/>
    </row>
    <row r="249" spans="2:10" ht="13">
      <c r="B249" s="411" t="s">
        <v>892</v>
      </c>
      <c r="C249" s="412"/>
      <c r="D249" s="413"/>
      <c r="E249" s="414"/>
      <c r="F249" s="415">
        <v>0</v>
      </c>
      <c r="G249" s="414"/>
      <c r="H249" s="414"/>
      <c r="I249" s="414"/>
      <c r="J249" s="416"/>
    </row>
    <row r="250" spans="2:10" ht="13">
      <c r="B250" s="417" t="s">
        <v>893</v>
      </c>
      <c r="C250" s="412"/>
      <c r="D250" s="413"/>
      <c r="E250" s="414">
        <f>F250+G250+H250+I250</f>
        <v>0</v>
      </c>
      <c r="F250" s="414">
        <f>F249*F244</f>
        <v>0</v>
      </c>
      <c r="G250" s="414">
        <f>G244*G248</f>
        <v>0</v>
      </c>
      <c r="H250" s="414">
        <f>H244*H247</f>
        <v>0</v>
      </c>
      <c r="I250" s="414">
        <f>I246*I244</f>
        <v>0</v>
      </c>
      <c r="J250" s="416"/>
    </row>
    <row r="251" spans="2:10" ht="13">
      <c r="B251" s="418"/>
      <c r="E251" s="388"/>
      <c r="F251" s="388"/>
      <c r="G251" s="388"/>
      <c r="H251" s="388"/>
      <c r="I251" s="388"/>
      <c r="J251" s="419"/>
    </row>
    <row r="252" spans="2:10" ht="13">
      <c r="B252" s="418"/>
      <c r="E252" s="388"/>
      <c r="F252" s="388"/>
      <c r="G252" s="388"/>
      <c r="H252" s="388"/>
      <c r="I252" s="388"/>
      <c r="J252" s="419"/>
    </row>
    <row r="253" spans="2:10" ht="13">
      <c r="B253" s="381"/>
      <c r="C253" s="381"/>
      <c r="D253" s="381"/>
      <c r="E253" s="381"/>
      <c r="F253" s="381"/>
      <c r="G253" s="381"/>
      <c r="H253" s="381"/>
      <c r="I253" s="381"/>
      <c r="J253" s="381"/>
    </row>
    <row r="254" spans="2:10" ht="13">
      <c r="B254" s="381" t="s">
        <v>164</v>
      </c>
      <c r="C254" s="100"/>
      <c r="D254" s="100"/>
      <c r="E254" s="381" t="s">
        <v>165</v>
      </c>
      <c r="F254" s="381" t="s">
        <v>1065</v>
      </c>
      <c r="G254" s="381" t="s">
        <v>1202</v>
      </c>
      <c r="H254" s="381" t="s">
        <v>1203</v>
      </c>
      <c r="I254" s="381" t="s">
        <v>1204</v>
      </c>
      <c r="J254" s="381" t="s">
        <v>1205</v>
      </c>
    </row>
    <row r="255" spans="2:10" ht="13">
      <c r="B255" s="389"/>
      <c r="C255" s="100"/>
      <c r="D255" s="100"/>
      <c r="E255" s="381"/>
      <c r="F255" s="381" t="s">
        <v>1236</v>
      </c>
      <c r="G255" s="381" t="s">
        <v>238</v>
      </c>
      <c r="H255" s="381"/>
      <c r="I255" s="381"/>
      <c r="J255" s="100"/>
    </row>
    <row r="256" spans="2:10" ht="13">
      <c r="B256" s="434"/>
      <c r="C256" s="100"/>
      <c r="D256" s="100"/>
      <c r="E256" s="381"/>
      <c r="F256" s="381" t="s">
        <v>1237</v>
      </c>
      <c r="G256" s="381" t="s">
        <v>208</v>
      </c>
      <c r="H256" s="381" t="s">
        <v>239</v>
      </c>
      <c r="I256" s="381" t="s">
        <v>240</v>
      </c>
      <c r="J256" s="100"/>
    </row>
    <row r="257" spans="2:11" ht="16.5" customHeight="1">
      <c r="B257" s="389" t="s">
        <v>913</v>
      </c>
      <c r="E257" s="381" t="s">
        <v>42</v>
      </c>
      <c r="F257" s="384" t="s">
        <v>1238</v>
      </c>
      <c r="G257" s="381" t="s">
        <v>241</v>
      </c>
      <c r="H257" s="381" t="s">
        <v>241</v>
      </c>
      <c r="I257" s="381" t="s">
        <v>241</v>
      </c>
      <c r="J257" s="381" t="s">
        <v>245</v>
      </c>
    </row>
    <row r="258" spans="2:11">
      <c r="B258" s="413" t="s">
        <v>961</v>
      </c>
      <c r="C258" s="413"/>
      <c r="D258" s="413"/>
      <c r="E258" s="404">
        <f>SUM(F258:I258)</f>
        <v>-100493722.16035993</v>
      </c>
      <c r="F258" s="414">
        <f>F211</f>
        <v>-57562524.656089023</v>
      </c>
      <c r="G258" s="414">
        <f>G211</f>
        <v>0</v>
      </c>
      <c r="H258" s="414">
        <f>H211</f>
        <v>-6566295.3054985544</v>
      </c>
      <c r="I258" s="414">
        <f>I211</f>
        <v>-36364902.198772356</v>
      </c>
      <c r="J258" s="416"/>
    </row>
    <row r="259" spans="2:11">
      <c r="B259" s="413" t="s">
        <v>913</v>
      </c>
      <c r="C259" s="413"/>
      <c r="D259" s="413"/>
      <c r="E259" s="404">
        <f>SUM(F259:I259)</f>
        <v>0</v>
      </c>
      <c r="F259" s="414">
        <f>F237</f>
        <v>0</v>
      </c>
      <c r="G259" s="414">
        <f>G237</f>
        <v>0</v>
      </c>
      <c r="H259" s="414">
        <f>H237</f>
        <v>0</v>
      </c>
      <c r="I259" s="414">
        <f>I237</f>
        <v>0</v>
      </c>
      <c r="J259" s="416"/>
    </row>
    <row r="260" spans="2:11" ht="13">
      <c r="B260" s="406" t="s">
        <v>907</v>
      </c>
      <c r="C260" s="413"/>
      <c r="D260" s="413"/>
      <c r="E260" s="414">
        <f>E258+E259</f>
        <v>-100493722.16035993</v>
      </c>
      <c r="F260" s="414">
        <f>F258+F259</f>
        <v>-57562524.656089023</v>
      </c>
      <c r="G260" s="414">
        <f>G258+G259</f>
        <v>0</v>
      </c>
      <c r="H260" s="414">
        <f>H258+H259</f>
        <v>-6566295.3054985544</v>
      </c>
      <c r="I260" s="414">
        <f>I258+I259</f>
        <v>-36364902.198772356</v>
      </c>
      <c r="J260" s="416"/>
    </row>
    <row r="261" spans="2:11" ht="13">
      <c r="B261" s="418"/>
      <c r="E261" s="388"/>
      <c r="F261" s="388"/>
      <c r="G261" s="388"/>
      <c r="H261" s="388"/>
      <c r="I261" s="388"/>
      <c r="J261" s="419"/>
    </row>
    <row r="262" spans="2:11" s="100" customFormat="1" ht="13">
      <c r="B262" s="389" t="s">
        <v>252</v>
      </c>
      <c r="G262" s="439"/>
      <c r="H262" s="439"/>
      <c r="I262" s="439"/>
      <c r="J262" s="440"/>
    </row>
    <row r="263" spans="2:11" s="100" customFormat="1" ht="13">
      <c r="B263" s="1754" t="s">
        <v>1243</v>
      </c>
      <c r="C263" s="1754"/>
      <c r="D263" s="1754"/>
      <c r="E263" s="1754"/>
      <c r="F263" s="1754"/>
      <c r="G263" s="1754"/>
      <c r="H263" s="1754"/>
      <c r="I263" s="1754"/>
      <c r="J263" s="440"/>
    </row>
    <row r="264" spans="2:11" s="100" customFormat="1" ht="13">
      <c r="B264" s="448" t="s">
        <v>247</v>
      </c>
      <c r="G264" s="439"/>
      <c r="H264" s="439"/>
      <c r="I264" s="439"/>
      <c r="J264" s="440"/>
    </row>
    <row r="265" spans="2:11" s="100" customFormat="1" ht="13">
      <c r="B265" s="448" t="s">
        <v>248</v>
      </c>
      <c r="G265" s="439"/>
      <c r="H265" s="439"/>
      <c r="I265" s="439"/>
      <c r="J265" s="440"/>
    </row>
    <row r="266" spans="2:11" s="100" customFormat="1" ht="13">
      <c r="B266" s="448" t="s">
        <v>249</v>
      </c>
      <c r="G266" s="439"/>
      <c r="H266" s="439"/>
      <c r="I266" s="439"/>
      <c r="J266" s="440"/>
    </row>
    <row r="267" spans="2:11" s="100" customFormat="1" ht="15.75" customHeight="1">
      <c r="B267" s="1755" t="s">
        <v>250</v>
      </c>
      <c r="C267" s="1755"/>
      <c r="D267" s="1755"/>
      <c r="E267" s="1755"/>
      <c r="F267" s="1755"/>
      <c r="G267" s="1755"/>
      <c r="H267" s="1755"/>
      <c r="I267" s="1755"/>
      <c r="J267" s="440"/>
      <c r="K267" s="443"/>
    </row>
    <row r="268" spans="2:11" s="100" customFormat="1" ht="15.75" customHeight="1">
      <c r="B268" s="1755"/>
      <c r="C268" s="1755"/>
      <c r="D268" s="1755"/>
      <c r="E268" s="1755"/>
      <c r="F268" s="1755"/>
      <c r="G268" s="1755"/>
      <c r="H268" s="1755"/>
      <c r="I268" s="1755"/>
      <c r="J268" s="440"/>
      <c r="K268" s="443"/>
    </row>
    <row r="269" spans="2:11" s="100" customFormat="1" ht="13">
      <c r="B269" s="442" t="s">
        <v>915</v>
      </c>
      <c r="G269" s="439"/>
      <c r="H269" s="439"/>
      <c r="I269" s="439"/>
      <c r="J269" s="440"/>
    </row>
    <row r="270" spans="2:11" ht="13">
      <c r="B270" s="448" t="s">
        <v>909</v>
      </c>
      <c r="J270" s="440"/>
    </row>
    <row r="271" spans="2:11" ht="12" customHeight="1">
      <c r="B271" s="449"/>
      <c r="C271" s="450"/>
      <c r="D271" s="451"/>
      <c r="E271" s="451"/>
      <c r="F271" s="451"/>
      <c r="G271" s="451"/>
      <c r="H271" s="451"/>
      <c r="I271" s="451"/>
      <c r="J271" s="451"/>
    </row>
    <row r="272" spans="2:11" ht="12.75" customHeight="1">
      <c r="B272" s="449"/>
      <c r="C272" s="451"/>
      <c r="D272" s="451"/>
      <c r="E272" s="451"/>
      <c r="F272" s="451"/>
      <c r="G272" s="451"/>
      <c r="H272" s="451"/>
      <c r="I272" s="451"/>
      <c r="J272" s="451"/>
    </row>
    <row r="273" spans="2:10" ht="13">
      <c r="B273" s="381" t="s">
        <v>164</v>
      </c>
      <c r="C273" s="100"/>
      <c r="D273" s="100"/>
      <c r="E273" s="381" t="s">
        <v>165</v>
      </c>
      <c r="F273" s="381" t="s">
        <v>1065</v>
      </c>
      <c r="G273" s="381" t="s">
        <v>1202</v>
      </c>
      <c r="H273" s="381" t="s">
        <v>1203</v>
      </c>
      <c r="I273" s="381" t="s">
        <v>1204</v>
      </c>
      <c r="J273" s="381" t="s">
        <v>1205</v>
      </c>
    </row>
    <row r="274" spans="2:10" ht="13">
      <c r="B274" s="389"/>
      <c r="C274" s="100"/>
      <c r="D274" s="100"/>
      <c r="E274" s="381"/>
      <c r="F274" s="381" t="s">
        <v>1236</v>
      </c>
      <c r="G274" s="381" t="s">
        <v>238</v>
      </c>
      <c r="H274" s="381"/>
      <c r="I274" s="381"/>
      <c r="J274" s="100"/>
    </row>
    <row r="275" spans="2:10" ht="13">
      <c r="B275" s="434"/>
      <c r="C275" s="100"/>
      <c r="D275" s="100"/>
      <c r="E275" s="381"/>
      <c r="F275" s="381" t="s">
        <v>1237</v>
      </c>
      <c r="G275" s="381" t="s">
        <v>208</v>
      </c>
      <c r="H275" s="381" t="s">
        <v>239</v>
      </c>
      <c r="I275" s="381" t="s">
        <v>240</v>
      </c>
      <c r="J275" s="100"/>
    </row>
    <row r="276" spans="2:10" ht="13">
      <c r="B276" s="389" t="s">
        <v>1245</v>
      </c>
      <c r="E276" s="381" t="s">
        <v>42</v>
      </c>
      <c r="F276" s="384" t="s">
        <v>1238</v>
      </c>
      <c r="G276" s="381" t="s">
        <v>241</v>
      </c>
      <c r="H276" s="381" t="s">
        <v>241</v>
      </c>
      <c r="I276" s="381" t="s">
        <v>241</v>
      </c>
      <c r="J276" s="381" t="s">
        <v>245</v>
      </c>
    </row>
    <row r="277" spans="2:10" ht="54.75" customHeight="1">
      <c r="B277" s="521" t="s">
        <v>1859</v>
      </c>
      <c r="C277" s="420"/>
      <c r="D277" s="422"/>
      <c r="E277" s="1630">
        <f>SUM(F277:I277)</f>
        <v>-1084106.2927414321</v>
      </c>
      <c r="F277" s="524">
        <v>-61043.580000000075</v>
      </c>
      <c r="G277" s="524">
        <v>0</v>
      </c>
      <c r="H277" s="524">
        <v>-1023062.712741432</v>
      </c>
      <c r="I277" s="524">
        <v>0</v>
      </c>
      <c r="J277" s="452" t="s">
        <v>1439</v>
      </c>
    </row>
    <row r="278" spans="2:10">
      <c r="B278" s="521"/>
      <c r="C278" s="526"/>
      <c r="D278" s="530"/>
      <c r="E278" s="524"/>
      <c r="F278" s="524"/>
      <c r="G278" s="524"/>
      <c r="H278" s="524"/>
      <c r="I278" s="524"/>
      <c r="J278" s="452"/>
    </row>
    <row r="279" spans="2:10">
      <c r="B279" s="398"/>
      <c r="C279" s="420"/>
      <c r="D279" s="422"/>
      <c r="E279" s="399"/>
      <c r="F279" s="399"/>
      <c r="G279" s="399"/>
      <c r="H279" s="399"/>
      <c r="I279" s="399"/>
      <c r="J279" s="452"/>
    </row>
    <row r="280" spans="2:10">
      <c r="B280" s="398"/>
      <c r="C280" s="420"/>
      <c r="D280" s="422"/>
      <c r="E280" s="399"/>
      <c r="F280" s="399"/>
      <c r="G280" s="399"/>
      <c r="H280" s="399"/>
      <c r="I280" s="399"/>
      <c r="J280" s="452"/>
    </row>
    <row r="281" spans="2:10">
      <c r="B281" s="398"/>
      <c r="C281" s="420"/>
      <c r="D281" s="422"/>
      <c r="E281" s="399"/>
      <c r="F281" s="399"/>
      <c r="G281" s="399"/>
      <c r="H281" s="399"/>
      <c r="I281" s="399"/>
      <c r="J281" s="452"/>
    </row>
    <row r="282" spans="2:10">
      <c r="B282" s="398"/>
      <c r="C282" s="420"/>
      <c r="D282" s="422"/>
      <c r="E282" s="399"/>
      <c r="F282" s="399"/>
      <c r="G282" s="399"/>
      <c r="H282" s="399"/>
      <c r="I282" s="399"/>
      <c r="J282" s="452"/>
    </row>
    <row r="283" spans="2:10">
      <c r="B283" s="398"/>
      <c r="C283" s="420"/>
      <c r="D283" s="422"/>
      <c r="E283" s="399"/>
      <c r="F283" s="399"/>
      <c r="G283" s="399"/>
      <c r="H283" s="399"/>
      <c r="I283" s="399"/>
      <c r="J283" s="452"/>
    </row>
    <row r="284" spans="2:10" ht="13">
      <c r="B284" s="406" t="s">
        <v>1246</v>
      </c>
      <c r="C284" s="429"/>
      <c r="D284" s="403"/>
      <c r="E284" s="404">
        <f>SUM(E277:E283)</f>
        <v>-1084106.2927414321</v>
      </c>
      <c r="F284" s="404">
        <f>SUM(F277:F283)</f>
        <v>-61043.580000000075</v>
      </c>
      <c r="G284" s="404">
        <f>SUM(G277:G283)</f>
        <v>0</v>
      </c>
      <c r="H284" s="404">
        <f>SUM(H277:H283)</f>
        <v>-1023062.712741432</v>
      </c>
      <c r="I284" s="404">
        <f>SUM(I277:I283)</f>
        <v>0</v>
      </c>
      <c r="J284" s="405"/>
    </row>
    <row r="285" spans="2:10" ht="13">
      <c r="B285" s="406"/>
      <c r="C285" s="403"/>
      <c r="D285" s="403"/>
      <c r="E285" s="404"/>
      <c r="F285" s="404"/>
      <c r="G285" s="404"/>
      <c r="H285" s="404"/>
      <c r="I285" s="404"/>
      <c r="J285" s="405"/>
    </row>
    <row r="286" spans="2:10">
      <c r="B286" s="407"/>
      <c r="C286" s="408"/>
      <c r="D286" s="427"/>
      <c r="E286" s="409"/>
      <c r="F286" s="399"/>
      <c r="G286" s="399"/>
      <c r="H286" s="399">
        <v>0</v>
      </c>
      <c r="I286" s="399"/>
      <c r="J286" s="410"/>
    </row>
    <row r="287" spans="2:10">
      <c r="B287" s="407"/>
      <c r="C287" s="408"/>
      <c r="D287" s="427"/>
      <c r="E287" s="409"/>
      <c r="F287" s="399"/>
      <c r="G287" s="399"/>
      <c r="H287" s="399">
        <v>0</v>
      </c>
      <c r="I287" s="399"/>
      <c r="J287" s="410"/>
    </row>
    <row r="288" spans="2:10">
      <c r="B288" s="407"/>
      <c r="C288" s="408"/>
      <c r="D288" s="427"/>
      <c r="E288" s="409"/>
      <c r="F288" s="399"/>
      <c r="G288" s="399"/>
      <c r="H288" s="399">
        <v>0</v>
      </c>
      <c r="I288" s="399"/>
      <c r="J288" s="410"/>
    </row>
    <row r="289" spans="2:10">
      <c r="B289" s="407"/>
      <c r="C289" s="408"/>
      <c r="D289" s="427"/>
      <c r="E289" s="409"/>
      <c r="F289" s="399"/>
      <c r="G289" s="399"/>
      <c r="H289" s="399">
        <v>0</v>
      </c>
      <c r="I289" s="399"/>
      <c r="J289" s="410"/>
    </row>
    <row r="290" spans="2:10" ht="5.15" customHeight="1">
      <c r="B290" s="401"/>
      <c r="C290" s="402"/>
      <c r="D290" s="403"/>
      <c r="E290" s="404"/>
      <c r="F290" s="404"/>
      <c r="G290" s="404"/>
      <c r="H290" s="404"/>
      <c r="I290" s="404"/>
      <c r="J290" s="405"/>
    </row>
    <row r="291" spans="2:10" ht="13">
      <c r="B291" s="406" t="s">
        <v>1247</v>
      </c>
      <c r="C291" s="403"/>
      <c r="D291" s="403"/>
      <c r="E291" s="404">
        <f>SUM(E286:E290)+E284</f>
        <v>-1084106.2927414321</v>
      </c>
      <c r="F291" s="404">
        <f>SUM(F286:F286)+F284</f>
        <v>-61043.580000000075</v>
      </c>
      <c r="G291" s="404">
        <f>SUM(G286:G286)+G284</f>
        <v>0</v>
      </c>
      <c r="H291" s="404">
        <f>SUM(H286:H286)+H284</f>
        <v>-1023062.712741432</v>
      </c>
      <c r="I291" s="404">
        <f>SUM(I286:I286)+I284</f>
        <v>0</v>
      </c>
      <c r="J291" s="405"/>
    </row>
    <row r="292" spans="2:10" ht="13">
      <c r="B292" s="453"/>
      <c r="C292" s="413"/>
      <c r="D292" s="413"/>
      <c r="E292" s="414"/>
      <c r="F292" s="404"/>
      <c r="G292" s="404"/>
      <c r="H292" s="404"/>
      <c r="I292" s="404"/>
      <c r="J292" s="416"/>
    </row>
    <row r="293" spans="2:10" ht="13">
      <c r="B293" s="411" t="s">
        <v>244</v>
      </c>
      <c r="C293" s="412"/>
      <c r="D293" s="413"/>
      <c r="E293" s="414"/>
      <c r="F293" s="414"/>
      <c r="G293" s="414"/>
      <c r="H293" s="414"/>
      <c r="I293" s="415">
        <f>+'ATT H-3D'!$H$24</f>
        <v>0.14625503638690887</v>
      </c>
      <c r="J293" s="416"/>
    </row>
    <row r="294" spans="2:10" ht="13">
      <c r="B294" s="683" t="s">
        <v>217</v>
      </c>
      <c r="C294" s="682"/>
      <c r="D294" s="413"/>
      <c r="E294" s="414"/>
      <c r="F294" s="414"/>
      <c r="G294" s="414"/>
      <c r="H294" s="415">
        <f>'ATT H-3D'!H45</f>
        <v>0.37201518739184425</v>
      </c>
      <c r="I294" s="414"/>
      <c r="J294" s="416"/>
    </row>
    <row r="295" spans="2:10" ht="13">
      <c r="B295" s="411" t="s">
        <v>891</v>
      </c>
      <c r="C295" s="412"/>
      <c r="D295" s="413"/>
      <c r="E295" s="414"/>
      <c r="F295" s="414"/>
      <c r="G295" s="415">
        <v>1</v>
      </c>
      <c r="H295" s="414"/>
      <c r="I295" s="414"/>
      <c r="J295" s="416"/>
    </row>
    <row r="296" spans="2:10" ht="13">
      <c r="B296" s="411" t="s">
        <v>892</v>
      </c>
      <c r="C296" s="412"/>
      <c r="D296" s="413"/>
      <c r="E296" s="414"/>
      <c r="F296" s="415">
        <v>0</v>
      </c>
      <c r="G296" s="414"/>
      <c r="H296" s="414"/>
      <c r="I296" s="414"/>
      <c r="J296" s="416"/>
    </row>
    <row r="297" spans="2:10" ht="13">
      <c r="B297" s="417" t="s">
        <v>1568</v>
      </c>
      <c r="C297" s="412"/>
      <c r="D297" s="413"/>
      <c r="E297" s="414">
        <f>F297+G297+H297+I297</f>
        <v>-380594.86679411237</v>
      </c>
      <c r="F297" s="414">
        <f>F296*F291</f>
        <v>0</v>
      </c>
      <c r="G297" s="414">
        <f>G291*G295</f>
        <v>0</v>
      </c>
      <c r="H297" s="414">
        <f>H291*H294</f>
        <v>-380594.86679411237</v>
      </c>
      <c r="I297" s="414">
        <f>I293*I291</f>
        <v>0</v>
      </c>
      <c r="J297" s="416"/>
    </row>
    <row r="298" spans="2:10" ht="12.75" customHeight="1">
      <c r="B298" s="449"/>
      <c r="C298" s="451"/>
      <c r="D298" s="451"/>
      <c r="E298" s="451"/>
      <c r="F298" s="451"/>
      <c r="G298" s="451"/>
      <c r="H298" s="451"/>
      <c r="I298" s="451"/>
      <c r="J298" s="451"/>
    </row>
    <row r="299" spans="2:10" ht="12.75" customHeight="1">
      <c r="B299" s="449"/>
      <c r="C299" s="451"/>
      <c r="D299" s="451"/>
      <c r="E299" s="451"/>
      <c r="F299" s="451"/>
      <c r="G299" s="451"/>
      <c r="H299" s="451"/>
      <c r="I299" s="451"/>
      <c r="J299" s="451"/>
    </row>
    <row r="300" spans="2:10" ht="13">
      <c r="B300" s="381" t="s">
        <v>164</v>
      </c>
      <c r="C300" s="100"/>
      <c r="D300" s="100"/>
      <c r="E300" s="381" t="s">
        <v>165</v>
      </c>
      <c r="F300" s="381" t="s">
        <v>1065</v>
      </c>
      <c r="G300" s="381" t="s">
        <v>1202</v>
      </c>
      <c r="H300" s="381" t="s">
        <v>1203</v>
      </c>
      <c r="I300" s="381" t="s">
        <v>1204</v>
      </c>
      <c r="J300" s="381" t="s">
        <v>1205</v>
      </c>
    </row>
    <row r="301" spans="2:10" ht="13">
      <c r="B301" s="389"/>
      <c r="C301" s="100"/>
      <c r="D301" s="100"/>
      <c r="E301" s="381"/>
      <c r="F301" s="381" t="s">
        <v>1236</v>
      </c>
      <c r="G301" s="381" t="s">
        <v>238</v>
      </c>
      <c r="H301" s="381"/>
      <c r="I301" s="381"/>
      <c r="J301" s="100"/>
    </row>
    <row r="302" spans="2:10" ht="13">
      <c r="B302" s="434"/>
      <c r="C302" s="100"/>
      <c r="D302" s="100"/>
      <c r="E302" s="381"/>
      <c r="F302" s="381" t="s">
        <v>1237</v>
      </c>
      <c r="G302" s="381" t="s">
        <v>208</v>
      </c>
      <c r="H302" s="381" t="s">
        <v>239</v>
      </c>
      <c r="I302" s="381" t="s">
        <v>240</v>
      </c>
      <c r="J302" s="100"/>
    </row>
    <row r="303" spans="2:10" ht="13">
      <c r="B303" s="389" t="s">
        <v>1135</v>
      </c>
      <c r="E303" s="381" t="s">
        <v>42</v>
      </c>
      <c r="F303" s="384" t="s">
        <v>1238</v>
      </c>
      <c r="G303" s="381" t="s">
        <v>241</v>
      </c>
      <c r="H303" s="381" t="s">
        <v>241</v>
      </c>
      <c r="I303" s="381" t="s">
        <v>241</v>
      </c>
      <c r="J303" s="381" t="s">
        <v>245</v>
      </c>
    </row>
    <row r="304" spans="2:10" ht="57.75" customHeight="1">
      <c r="B304" s="1721" t="s">
        <v>1135</v>
      </c>
      <c r="C304" s="420"/>
      <c r="D304" s="422"/>
      <c r="E304" s="1630">
        <f>SUM(F304:I304)</f>
        <v>294567.95772585709</v>
      </c>
      <c r="F304" s="524">
        <v>52014.390000000043</v>
      </c>
      <c r="G304" s="524">
        <v>0</v>
      </c>
      <c r="H304" s="524">
        <v>242553.56772585705</v>
      </c>
      <c r="I304" s="524">
        <v>0</v>
      </c>
      <c r="J304" s="452" t="s">
        <v>1439</v>
      </c>
    </row>
    <row r="305" spans="2:10">
      <c r="B305" s="521"/>
      <c r="C305" s="526"/>
      <c r="D305" s="530"/>
      <c r="E305" s="524"/>
      <c r="F305" s="524"/>
      <c r="G305" s="524"/>
      <c r="H305" s="524"/>
      <c r="I305" s="524"/>
      <c r="J305" s="452"/>
    </row>
    <row r="306" spans="2:10">
      <c r="B306" s="398"/>
      <c r="C306" s="420"/>
      <c r="D306" s="422"/>
      <c r="E306" s="399"/>
      <c r="F306" s="399"/>
      <c r="G306" s="399"/>
      <c r="H306" s="399"/>
      <c r="I306" s="399"/>
      <c r="J306" s="452"/>
    </row>
    <row r="307" spans="2:10">
      <c r="B307" s="398"/>
      <c r="C307" s="420"/>
      <c r="D307" s="422"/>
      <c r="E307" s="399"/>
      <c r="F307" s="399"/>
      <c r="G307" s="399"/>
      <c r="H307" s="399"/>
      <c r="I307" s="399"/>
      <c r="J307" s="452"/>
    </row>
    <row r="308" spans="2:10">
      <c r="B308" s="398"/>
      <c r="C308" s="420"/>
      <c r="D308" s="422"/>
      <c r="E308" s="399"/>
      <c r="F308" s="399"/>
      <c r="G308" s="399"/>
      <c r="H308" s="399"/>
      <c r="I308" s="399"/>
      <c r="J308" s="452"/>
    </row>
    <row r="309" spans="2:10">
      <c r="B309" s="398"/>
      <c r="C309" s="420"/>
      <c r="D309" s="422"/>
      <c r="E309" s="399"/>
      <c r="F309" s="399"/>
      <c r="G309" s="399"/>
      <c r="H309" s="399"/>
      <c r="I309" s="399"/>
      <c r="J309" s="452"/>
    </row>
    <row r="310" spans="2:10">
      <c r="B310" s="398"/>
      <c r="C310" s="420"/>
      <c r="D310" s="422"/>
      <c r="E310" s="399"/>
      <c r="F310" s="399"/>
      <c r="G310" s="399"/>
      <c r="H310" s="399"/>
      <c r="I310" s="399"/>
      <c r="J310" s="452"/>
    </row>
    <row r="311" spans="2:10" ht="13">
      <c r="B311" s="406" t="s">
        <v>1249</v>
      </c>
      <c r="C311" s="454"/>
      <c r="D311" s="403"/>
      <c r="E311" s="404">
        <f>SUM(E304:E310)</f>
        <v>294567.95772585709</v>
      </c>
      <c r="F311" s="404">
        <f>SUM(F304:F310)</f>
        <v>52014.390000000043</v>
      </c>
      <c r="G311" s="404">
        <f>SUM(G304:G310)</f>
        <v>0</v>
      </c>
      <c r="H311" s="404">
        <f>SUM(H304:H310)</f>
        <v>242553.56772585705</v>
      </c>
      <c r="I311" s="404">
        <f>SUM(I304:I310)</f>
        <v>0</v>
      </c>
      <c r="J311" s="405"/>
    </row>
    <row r="312" spans="2:10" ht="13">
      <c r="B312" s="406"/>
      <c r="C312" s="403"/>
      <c r="D312" s="403"/>
      <c r="E312" s="404"/>
      <c r="F312" s="404"/>
      <c r="G312" s="404"/>
      <c r="H312" s="404"/>
      <c r="I312" s="404"/>
      <c r="J312" s="405"/>
    </row>
    <row r="313" spans="2:10">
      <c r="B313" s="407"/>
      <c r="C313" s="408"/>
      <c r="D313" s="427"/>
      <c r="E313" s="409"/>
      <c r="F313" s="399"/>
      <c r="G313" s="399"/>
      <c r="H313" s="399"/>
      <c r="I313" s="399"/>
      <c r="J313" s="410"/>
    </row>
    <row r="314" spans="2:10">
      <c r="B314" s="407"/>
      <c r="C314" s="408"/>
      <c r="D314" s="427"/>
      <c r="E314" s="409"/>
      <c r="F314" s="399"/>
      <c r="G314" s="399"/>
      <c r="H314" s="399"/>
      <c r="I314" s="399"/>
      <c r="J314" s="410"/>
    </row>
    <row r="315" spans="2:10">
      <c r="B315" s="407"/>
      <c r="C315" s="408"/>
      <c r="D315" s="427"/>
      <c r="E315" s="409"/>
      <c r="F315" s="399"/>
      <c r="G315" s="399"/>
      <c r="H315" s="399"/>
      <c r="I315" s="399"/>
      <c r="J315" s="410"/>
    </row>
    <row r="316" spans="2:10">
      <c r="B316" s="407"/>
      <c r="C316" s="408"/>
      <c r="D316" s="427"/>
      <c r="E316" s="409"/>
      <c r="F316" s="399"/>
      <c r="G316" s="399"/>
      <c r="H316" s="399"/>
      <c r="I316" s="399"/>
      <c r="J316" s="410"/>
    </row>
    <row r="317" spans="2:10" ht="5.15" customHeight="1">
      <c r="B317" s="401"/>
      <c r="C317" s="402"/>
      <c r="D317" s="403"/>
      <c r="E317" s="404"/>
      <c r="F317" s="404"/>
      <c r="G317" s="404"/>
      <c r="H317" s="404"/>
      <c r="I317" s="404"/>
      <c r="J317" s="405"/>
    </row>
    <row r="318" spans="2:10" ht="13">
      <c r="B318" s="406" t="s">
        <v>1567</v>
      </c>
      <c r="C318" s="403"/>
      <c r="D318" s="403"/>
      <c r="E318" s="404">
        <f>SUM(E313:E317)+E311</f>
        <v>294567.95772585709</v>
      </c>
      <c r="F318" s="404">
        <f>SUM(F313:F317)+F311</f>
        <v>52014.390000000043</v>
      </c>
      <c r="G318" s="404">
        <f>SUM(G313:G317)+G311</f>
        <v>0</v>
      </c>
      <c r="H318" s="404">
        <f>SUM(H313:H317)+H311</f>
        <v>242553.56772585705</v>
      </c>
      <c r="I318" s="404">
        <f>SUM(I313:I317)+I311</f>
        <v>0</v>
      </c>
      <c r="J318" s="405"/>
    </row>
    <row r="319" spans="2:10" ht="13">
      <c r="B319" s="430"/>
      <c r="C319" s="431"/>
      <c r="D319" s="431"/>
      <c r="E319" s="414"/>
      <c r="F319" s="404"/>
      <c r="G319" s="404"/>
      <c r="H319" s="404"/>
      <c r="I319" s="404"/>
      <c r="J319" s="416"/>
    </row>
    <row r="320" spans="2:10" ht="13">
      <c r="B320" s="432" t="s">
        <v>244</v>
      </c>
      <c r="C320" s="433"/>
      <c r="D320" s="413"/>
      <c r="E320" s="414"/>
      <c r="F320" s="414"/>
      <c r="G320" s="414"/>
      <c r="H320" s="414"/>
      <c r="I320" s="415">
        <f>+'ATT H-3D'!$H$24</f>
        <v>0.14625503638690887</v>
      </c>
      <c r="J320" s="416"/>
    </row>
    <row r="321" spans="1:10" ht="13">
      <c r="B321" s="683" t="s">
        <v>217</v>
      </c>
      <c r="C321" s="682"/>
      <c r="D321" s="413"/>
      <c r="E321" s="414"/>
      <c r="F321" s="414"/>
      <c r="G321" s="414"/>
      <c r="H321" s="415">
        <f>'ATT H-3D'!H45</f>
        <v>0.37201518739184425</v>
      </c>
      <c r="I321" s="414"/>
      <c r="J321" s="416"/>
    </row>
    <row r="322" spans="1:10" ht="13">
      <c r="B322" s="411" t="s">
        <v>891</v>
      </c>
      <c r="C322" s="412"/>
      <c r="D322" s="413"/>
      <c r="E322" s="414"/>
      <c r="F322" s="414"/>
      <c r="G322" s="415">
        <v>1</v>
      </c>
      <c r="H322" s="414"/>
      <c r="I322" s="414"/>
      <c r="J322" s="416"/>
    </row>
    <row r="323" spans="1:10" ht="13">
      <c r="B323" s="411" t="s">
        <v>892</v>
      </c>
      <c r="C323" s="412"/>
      <c r="D323" s="413"/>
      <c r="E323" s="414"/>
      <c r="F323" s="415">
        <v>0</v>
      </c>
      <c r="G323" s="414"/>
      <c r="H323" s="414"/>
      <c r="I323" s="414"/>
      <c r="J323" s="416"/>
    </row>
    <row r="324" spans="1:10" ht="13">
      <c r="B324" s="417" t="s">
        <v>1250</v>
      </c>
      <c r="C324" s="412"/>
      <c r="D324" s="413"/>
      <c r="E324" s="414">
        <f>F324+G324+H324+I324</f>
        <v>90233.610950095099</v>
      </c>
      <c r="F324" s="414">
        <f>F323*F318</f>
        <v>0</v>
      </c>
      <c r="G324" s="414">
        <f>G318*G322</f>
        <v>0</v>
      </c>
      <c r="H324" s="414">
        <f>H318*H321</f>
        <v>90233.610950095099</v>
      </c>
      <c r="I324" s="414">
        <f>I318*I320</f>
        <v>0</v>
      </c>
      <c r="J324" s="416"/>
    </row>
    <row r="325" spans="1:10">
      <c r="G325" s="391"/>
    </row>
    <row r="327" spans="1:10" s="343" customFormat="1" ht="15.5">
      <c r="A327" s="455" t="s">
        <v>466</v>
      </c>
      <c r="B327" s="456"/>
      <c r="C327" s="456"/>
      <c r="D327" s="19"/>
      <c r="E327" s="19"/>
      <c r="F327" s="208"/>
      <c r="G327" s="19"/>
      <c r="H327" s="19"/>
      <c r="I327" s="19"/>
      <c r="J327" s="19"/>
    </row>
  </sheetData>
  <mergeCells count="12">
    <mergeCell ref="B192:I193"/>
    <mergeCell ref="B263:I263"/>
    <mergeCell ref="B267:I268"/>
    <mergeCell ref="A1:K1"/>
    <mergeCell ref="A2:K2"/>
    <mergeCell ref="A3:K3"/>
    <mergeCell ref="B6:J6"/>
    <mergeCell ref="B24:I26"/>
    <mergeCell ref="B29:I30"/>
    <mergeCell ref="B121:I121"/>
    <mergeCell ref="B125:I126"/>
    <mergeCell ref="B188:I188"/>
  </mergeCells>
  <pageMargins left="0.25" right="0.25" top="0.75" bottom="0.75" header="0.3" footer="0.3"/>
  <pageSetup scale="40" fitToHeight="0" orientation="landscape" r:id="rId1"/>
  <rowBreaks count="5" manualBreakCount="5">
    <brk id="31" max="16383" man="1"/>
    <brk id="83" max="16383" man="1"/>
    <brk id="129" max="16383" man="1"/>
    <brk id="197" max="16383" man="1"/>
    <brk id="272" max="16383" man="1"/>
  </rowBreaks>
  <ignoredErrors>
    <ignoredError sqref="H14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9B93-D142-4304-AA5E-A4EEF6EB73E9}">
  <dimension ref="A1:R325"/>
  <sheetViews>
    <sheetView view="pageBreakPreview" topLeftCell="A265" zoomScale="60" zoomScaleNormal="80" workbookViewId="0">
      <selection sqref="A1:XFD1048576"/>
    </sheetView>
  </sheetViews>
  <sheetFormatPr defaultColWidth="9.1796875" defaultRowHeight="12.5"/>
  <cols>
    <col min="1" max="1" width="5.7265625" style="377" customWidth="1"/>
    <col min="2" max="2" width="11.453125" style="379" customWidth="1"/>
    <col min="3" max="3" width="75.1796875" style="377" customWidth="1"/>
    <col min="4" max="4" width="0.54296875" style="377" customWidth="1"/>
    <col min="5" max="5" width="29.1796875" style="377" customWidth="1"/>
    <col min="6" max="6" width="26.453125" style="377" customWidth="1"/>
    <col min="7" max="7" width="18.81640625" style="377" customWidth="1"/>
    <col min="8" max="8" width="27.81640625" style="377" customWidth="1"/>
    <col min="9" max="9" width="28.81640625" style="377" customWidth="1"/>
    <col min="10" max="10" width="85.7265625" style="377" customWidth="1"/>
    <col min="11" max="11" width="5.7265625" style="377" customWidth="1"/>
    <col min="12" max="16384" width="9.1796875" style="377"/>
  </cols>
  <sheetData>
    <row r="1" spans="1:18" ht="15.5">
      <c r="A1" s="1756" t="s">
        <v>1436</v>
      </c>
      <c r="B1" s="1756"/>
      <c r="C1" s="1756"/>
      <c r="D1" s="1756"/>
      <c r="E1" s="1756"/>
      <c r="F1" s="1756"/>
      <c r="G1" s="1756"/>
      <c r="H1" s="1756"/>
      <c r="I1" s="1756"/>
      <c r="J1" s="1756"/>
      <c r="K1" s="1756"/>
    </row>
    <row r="2" spans="1:18" ht="15.5">
      <c r="A2" s="1757" t="s">
        <v>854</v>
      </c>
      <c r="B2" s="1757"/>
      <c r="C2" s="1757"/>
      <c r="D2" s="1757"/>
      <c r="E2" s="1757"/>
      <c r="F2" s="1757"/>
      <c r="G2" s="1757"/>
      <c r="H2" s="1757"/>
      <c r="I2" s="1757"/>
      <c r="J2" s="1757"/>
      <c r="K2" s="1757"/>
    </row>
    <row r="3" spans="1:18" ht="15.5">
      <c r="A3" s="1756" t="s">
        <v>1251</v>
      </c>
      <c r="B3" s="1756"/>
      <c r="C3" s="1756"/>
      <c r="D3" s="1756"/>
      <c r="E3" s="1756"/>
      <c r="F3" s="1756"/>
      <c r="G3" s="1756"/>
      <c r="H3" s="1756"/>
      <c r="I3" s="1756"/>
      <c r="J3" s="1756"/>
      <c r="K3" s="1756"/>
    </row>
    <row r="4" spans="1:18" ht="13">
      <c r="B4" s="378"/>
    </row>
    <row r="5" spans="1:18" ht="13">
      <c r="I5" s="380"/>
    </row>
    <row r="6" spans="1:18" ht="13">
      <c r="B6" s="1758" t="s">
        <v>1977</v>
      </c>
      <c r="C6" s="1758"/>
      <c r="D6" s="1758"/>
      <c r="E6" s="1758"/>
      <c r="F6" s="1758"/>
      <c r="G6" s="1758"/>
      <c r="H6" s="1758"/>
      <c r="I6" s="1758"/>
      <c r="J6" s="1758"/>
    </row>
    <row r="7" spans="1:18" ht="13">
      <c r="F7" s="381" t="s">
        <v>1236</v>
      </c>
      <c r="G7" s="382" t="s">
        <v>238</v>
      </c>
      <c r="H7" s="382"/>
    </row>
    <row r="8" spans="1:18" ht="13">
      <c r="F8" s="381" t="s">
        <v>1237</v>
      </c>
      <c r="G8" s="382" t="s">
        <v>208</v>
      </c>
      <c r="H8" s="382" t="s">
        <v>239</v>
      </c>
      <c r="I8" s="382" t="s">
        <v>240</v>
      </c>
    </row>
    <row r="9" spans="1:18" ht="13">
      <c r="B9" s="383" t="s">
        <v>545</v>
      </c>
      <c r="C9" s="383" t="s">
        <v>884</v>
      </c>
      <c r="E9" s="384" t="s">
        <v>42</v>
      </c>
      <c r="F9" s="384" t="s">
        <v>1238</v>
      </c>
      <c r="G9" s="385" t="s">
        <v>241</v>
      </c>
      <c r="H9" s="385" t="s">
        <v>241</v>
      </c>
      <c r="I9" s="385" t="s">
        <v>241</v>
      </c>
    </row>
    <row r="10" spans="1:18" ht="5.15" customHeight="1"/>
    <row r="11" spans="1:18">
      <c r="B11" s="379">
        <v>1</v>
      </c>
      <c r="C11" s="386" t="s">
        <v>243</v>
      </c>
      <c r="E11" s="387">
        <f>F11+G11+H11+I11</f>
        <v>3780215.8899677629</v>
      </c>
      <c r="F11" s="387">
        <f>F80</f>
        <v>0</v>
      </c>
      <c r="G11" s="387">
        <f>G80</f>
        <v>0</v>
      </c>
      <c r="H11" s="387">
        <f>H80</f>
        <v>3189065.4408667227</v>
      </c>
      <c r="I11" s="387">
        <f>I80</f>
        <v>591150.44910104002</v>
      </c>
    </row>
    <row r="12" spans="1:18">
      <c r="B12" s="379">
        <f>B11+1</f>
        <v>2</v>
      </c>
      <c r="C12" s="386" t="s">
        <v>885</v>
      </c>
      <c r="E12" s="387">
        <f>F12+G12+H12+I12</f>
        <v>0</v>
      </c>
      <c r="F12" s="387">
        <v>0</v>
      </c>
      <c r="G12" s="387">
        <v>0</v>
      </c>
      <c r="H12" s="387">
        <v>0</v>
      </c>
      <c r="I12" s="387">
        <v>0</v>
      </c>
      <c r="O12" s="388"/>
      <c r="P12" s="388"/>
      <c r="Q12" s="388"/>
      <c r="R12" s="388"/>
    </row>
    <row r="13" spans="1:18">
      <c r="B13" s="379">
        <f>B12+1</f>
        <v>3</v>
      </c>
      <c r="C13" s="386" t="s">
        <v>886</v>
      </c>
      <c r="E13" s="387">
        <f>F13+G13+H13+I13</f>
        <v>-180690372.02358872</v>
      </c>
      <c r="F13" s="387">
        <f>F151</f>
        <v>0</v>
      </c>
      <c r="G13" s="387">
        <f>G151</f>
        <v>0</v>
      </c>
      <c r="H13" s="387">
        <f>H151</f>
        <v>-180690372.02358872</v>
      </c>
      <c r="I13" s="387">
        <f>I151</f>
        <v>0</v>
      </c>
      <c r="O13" s="388"/>
      <c r="P13" s="388"/>
      <c r="Q13" s="388"/>
      <c r="R13" s="388"/>
    </row>
    <row r="14" spans="1:18">
      <c r="B14" s="379">
        <f>B13+1</f>
        <v>4</v>
      </c>
      <c r="C14" s="386" t="s">
        <v>242</v>
      </c>
      <c r="E14" s="387">
        <f>F14+G14+H14+I14</f>
        <v>-7164578.4017846771</v>
      </c>
      <c r="F14" s="387">
        <f>F222</f>
        <v>0</v>
      </c>
      <c r="G14" s="387">
        <f>G222</f>
        <v>0</v>
      </c>
      <c r="H14" s="387">
        <f>H222</f>
        <v>-2142163.8118715431</v>
      </c>
      <c r="I14" s="387">
        <f>I222</f>
        <v>-5022414.5899131345</v>
      </c>
      <c r="O14" s="388"/>
      <c r="P14" s="388"/>
      <c r="Q14" s="388"/>
      <c r="R14" s="388"/>
    </row>
    <row r="15" spans="1:18">
      <c r="B15" s="379">
        <f>B14+1</f>
        <v>5</v>
      </c>
      <c r="C15" s="386" t="s">
        <v>253</v>
      </c>
      <c r="E15" s="387">
        <f>F15+G15+H15+I15</f>
        <v>-479472.83983666898</v>
      </c>
      <c r="F15" s="387">
        <f>F295</f>
        <v>0</v>
      </c>
      <c r="G15" s="387">
        <f>G295</f>
        <v>0</v>
      </c>
      <c r="H15" s="387">
        <f>H295</f>
        <v>-479472.83983666898</v>
      </c>
      <c r="I15" s="387">
        <f>I295</f>
        <v>0</v>
      </c>
      <c r="O15" s="388"/>
      <c r="P15" s="388"/>
      <c r="Q15" s="388"/>
      <c r="R15" s="388"/>
    </row>
    <row r="16" spans="1:18" ht="5.15" customHeight="1">
      <c r="E16" s="627"/>
      <c r="F16" s="627"/>
      <c r="G16" s="627"/>
      <c r="H16" s="627"/>
      <c r="I16" s="627"/>
    </row>
    <row r="17" spans="2:10" ht="13">
      <c r="B17" s="379">
        <f>B16+6</f>
        <v>6</v>
      </c>
      <c r="C17" s="389" t="s">
        <v>887</v>
      </c>
      <c r="E17" s="387">
        <f>E11+E12+E13+E14+E15</f>
        <v>-184554207.37524229</v>
      </c>
      <c r="F17" s="387">
        <f>F11+F12+F13+F14+F15</f>
        <v>0</v>
      </c>
      <c r="G17" s="387">
        <f>G11+G12+G13+G14+G15</f>
        <v>0</v>
      </c>
      <c r="H17" s="387">
        <f>H11+H12+H13+H14+H15</f>
        <v>-180122943.23443019</v>
      </c>
      <c r="I17" s="387">
        <f>I11+I12+I13+I14+I15</f>
        <v>-4431264.1408120943</v>
      </c>
      <c r="J17" s="390"/>
    </row>
    <row r="18" spans="2:10">
      <c r="C18" s="379"/>
      <c r="F18" s="388"/>
      <c r="G18" s="388"/>
      <c r="H18" s="388"/>
      <c r="I18" s="391"/>
    </row>
    <row r="19" spans="2:10">
      <c r="C19" s="379"/>
      <c r="F19" s="388"/>
      <c r="G19" s="388"/>
      <c r="H19" s="388"/>
      <c r="I19" s="391"/>
    </row>
    <row r="20" spans="2:10" ht="13">
      <c r="B20" s="392" t="s">
        <v>545</v>
      </c>
      <c r="C20" s="392" t="s">
        <v>1239</v>
      </c>
      <c r="D20" s="100"/>
      <c r="E20" s="384" t="s">
        <v>42</v>
      </c>
      <c r="F20" s="100"/>
      <c r="G20" s="100"/>
      <c r="H20" s="100"/>
      <c r="I20" s="626"/>
    </row>
    <row r="21" spans="2:10">
      <c r="B21" s="100"/>
      <c r="C21" s="100"/>
      <c r="D21" s="100"/>
      <c r="E21" s="100"/>
      <c r="F21" s="100"/>
      <c r="G21" s="100"/>
      <c r="H21" s="100"/>
      <c r="I21" s="626"/>
    </row>
    <row r="22" spans="2:10">
      <c r="B22" s="393">
        <f>B17+1</f>
        <v>7</v>
      </c>
      <c r="C22" s="377" t="s">
        <v>1240</v>
      </c>
      <c r="E22" s="394">
        <v>-1355341.8620305767</v>
      </c>
      <c r="I22" s="395"/>
    </row>
    <row r="23" spans="2:10">
      <c r="B23" s="377"/>
    </row>
    <row r="24" spans="2:10" ht="12.75" customHeight="1">
      <c r="B24" s="1759" t="s">
        <v>1454</v>
      </c>
      <c r="C24" s="1759"/>
      <c r="D24" s="1759"/>
      <c r="E24" s="1759"/>
      <c r="F24" s="1759"/>
      <c r="G24" s="1759"/>
      <c r="H24" s="1759"/>
      <c r="I24" s="1759"/>
    </row>
    <row r="25" spans="2:10">
      <c r="B25" s="1759"/>
      <c r="C25" s="1759"/>
      <c r="D25" s="1759"/>
      <c r="E25" s="1759"/>
      <c r="F25" s="1759"/>
      <c r="G25" s="1759"/>
      <c r="H25" s="1759"/>
      <c r="I25" s="1759"/>
    </row>
    <row r="26" spans="2:10">
      <c r="B26" s="1759"/>
      <c r="C26" s="1759"/>
      <c r="D26" s="1759"/>
      <c r="E26" s="1759"/>
      <c r="F26" s="1759"/>
      <c r="G26" s="1759"/>
      <c r="H26" s="1759"/>
      <c r="I26" s="1759"/>
    </row>
    <row r="27" spans="2:10">
      <c r="B27" s="642"/>
      <c r="C27" s="642"/>
      <c r="D27" s="642"/>
      <c r="E27" s="642"/>
      <c r="F27" s="642"/>
      <c r="G27" s="642"/>
      <c r="H27" s="642"/>
      <c r="I27" s="642"/>
    </row>
    <row r="29" spans="2:10" ht="15" customHeight="1">
      <c r="B29" s="1759" t="s">
        <v>1241</v>
      </c>
      <c r="C29" s="1759"/>
      <c r="D29" s="1759"/>
      <c r="E29" s="1759"/>
      <c r="F29" s="1759"/>
      <c r="G29" s="1759"/>
      <c r="H29" s="1759"/>
      <c r="I29" s="1759"/>
      <c r="J29" s="396"/>
    </row>
    <row r="30" spans="2:10">
      <c r="B30" s="1759"/>
      <c r="C30" s="1759"/>
      <c r="D30" s="1759"/>
      <c r="E30" s="1759"/>
      <c r="F30" s="1759"/>
      <c r="G30" s="1759"/>
      <c r="H30" s="1759"/>
      <c r="I30" s="1759"/>
      <c r="J30" s="396"/>
    </row>
    <row r="31" spans="2:10">
      <c r="C31" s="379"/>
      <c r="F31" s="388"/>
      <c r="G31" s="388"/>
      <c r="H31" s="388"/>
      <c r="I31" s="391"/>
    </row>
    <row r="32" spans="2:10" ht="13">
      <c r="B32" s="381" t="s">
        <v>164</v>
      </c>
      <c r="C32" s="381"/>
      <c r="D32" s="381"/>
      <c r="E32" s="381" t="s">
        <v>165</v>
      </c>
      <c r="F32" s="381" t="s">
        <v>1065</v>
      </c>
      <c r="G32" s="381" t="s">
        <v>1202</v>
      </c>
      <c r="H32" s="381" t="s">
        <v>1203</v>
      </c>
      <c r="I32" s="381" t="s">
        <v>1204</v>
      </c>
      <c r="J32" s="381" t="s">
        <v>1205</v>
      </c>
    </row>
    <row r="33" spans="2:10" ht="13">
      <c r="B33" s="389"/>
      <c r="C33" s="100"/>
      <c r="D33" s="100"/>
      <c r="E33" s="381"/>
      <c r="F33" s="381" t="s">
        <v>1236</v>
      </c>
      <c r="G33" s="381" t="s">
        <v>238</v>
      </c>
      <c r="H33" s="381"/>
      <c r="I33" s="381"/>
      <c r="J33" s="100"/>
    </row>
    <row r="34" spans="2:10" ht="13">
      <c r="B34" s="397"/>
      <c r="C34" s="100"/>
      <c r="D34" s="100"/>
      <c r="E34" s="381"/>
      <c r="F34" s="381" t="s">
        <v>1237</v>
      </c>
      <c r="G34" s="381" t="s">
        <v>208</v>
      </c>
      <c r="H34" s="381" t="s">
        <v>239</v>
      </c>
      <c r="I34" s="381" t="s">
        <v>240</v>
      </c>
      <c r="J34" s="100"/>
    </row>
    <row r="35" spans="2:10" ht="13">
      <c r="B35" s="389" t="s">
        <v>888</v>
      </c>
      <c r="C35" s="100"/>
      <c r="D35" s="100"/>
      <c r="E35" s="381" t="s">
        <v>42</v>
      </c>
      <c r="F35" s="384" t="s">
        <v>1238</v>
      </c>
      <c r="G35" s="381" t="s">
        <v>241</v>
      </c>
      <c r="H35" s="381" t="s">
        <v>241</v>
      </c>
      <c r="I35" s="381" t="s">
        <v>241</v>
      </c>
      <c r="J35" s="381" t="s">
        <v>245</v>
      </c>
    </row>
    <row r="36" spans="2:10" ht="25">
      <c r="B36" s="521" t="s">
        <v>1829</v>
      </c>
      <c r="C36" s="522"/>
      <c r="D36" s="523"/>
      <c r="E36" s="409">
        <f t="shared" ref="E36:E66" si="0">SUM(F36:I36)</f>
        <v>1308289.2756696059</v>
      </c>
      <c r="F36" s="524">
        <v>183160.49859374485</v>
      </c>
      <c r="G36" s="524">
        <v>0</v>
      </c>
      <c r="H36" s="524">
        <v>0</v>
      </c>
      <c r="I36" s="524">
        <v>1125128.7770758611</v>
      </c>
      <c r="J36" s="452" t="s">
        <v>1931</v>
      </c>
    </row>
    <row r="37" spans="2:10" ht="25">
      <c r="B37" s="521" t="s">
        <v>1620</v>
      </c>
      <c r="C37" s="522"/>
      <c r="D37" s="523"/>
      <c r="E37" s="409">
        <f t="shared" si="0"/>
        <v>2557798.6202030005</v>
      </c>
      <c r="F37" s="524">
        <v>358091.80682842009</v>
      </c>
      <c r="G37" s="524">
        <v>0</v>
      </c>
      <c r="H37" s="524">
        <v>0</v>
      </c>
      <c r="I37" s="524">
        <v>2199706.8133745803</v>
      </c>
      <c r="J37" s="452" t="s">
        <v>1931</v>
      </c>
    </row>
    <row r="38" spans="2:10">
      <c r="B38" s="521" t="s">
        <v>1830</v>
      </c>
      <c r="C38" s="522"/>
      <c r="D38" s="523"/>
      <c r="E38" s="409">
        <f t="shared" si="0"/>
        <v>156757.32320449999</v>
      </c>
      <c r="F38" s="524">
        <v>156757.32320449999</v>
      </c>
      <c r="G38" s="524">
        <v>0</v>
      </c>
      <c r="H38" s="524">
        <v>0</v>
      </c>
      <c r="I38" s="524">
        <v>0</v>
      </c>
      <c r="J38" s="452" t="s">
        <v>1941</v>
      </c>
    </row>
    <row r="39" spans="2:10">
      <c r="B39" s="521" t="s">
        <v>1831</v>
      </c>
      <c r="C39" s="522"/>
      <c r="D39" s="523"/>
      <c r="E39" s="409">
        <f t="shared" si="0"/>
        <v>61665.875</v>
      </c>
      <c r="F39" s="524">
        <v>61665.875</v>
      </c>
      <c r="G39" s="524">
        <v>0</v>
      </c>
      <c r="H39" s="524">
        <v>0</v>
      </c>
      <c r="I39" s="524">
        <v>0</v>
      </c>
      <c r="J39" s="452" t="s">
        <v>1941</v>
      </c>
    </row>
    <row r="40" spans="2:10" ht="37.5">
      <c r="B40" s="521" t="s">
        <v>1832</v>
      </c>
      <c r="C40" s="522"/>
      <c r="D40" s="523"/>
      <c r="E40" s="409">
        <f t="shared" si="0"/>
        <v>3748326.1085675</v>
      </c>
      <c r="F40" s="524">
        <v>524765.65519944998</v>
      </c>
      <c r="G40" s="524">
        <v>0</v>
      </c>
      <c r="H40" s="524">
        <v>0</v>
      </c>
      <c r="I40" s="524">
        <v>3223560.45336805</v>
      </c>
      <c r="J40" s="452" t="s">
        <v>1932</v>
      </c>
    </row>
    <row r="41" spans="2:10">
      <c r="B41" s="521" t="s">
        <v>1833</v>
      </c>
      <c r="C41" s="522"/>
      <c r="D41" s="523"/>
      <c r="E41" s="409">
        <f t="shared" si="0"/>
        <v>2119899.6330375001</v>
      </c>
      <c r="F41" s="524">
        <v>2119899.6330375001</v>
      </c>
      <c r="G41" s="524">
        <v>0</v>
      </c>
      <c r="H41" s="524">
        <v>0</v>
      </c>
      <c r="I41" s="524">
        <v>0</v>
      </c>
      <c r="J41" s="452" t="s">
        <v>1941</v>
      </c>
    </row>
    <row r="42" spans="2:10" ht="25">
      <c r="B42" s="521" t="s">
        <v>1834</v>
      </c>
      <c r="C42" s="522"/>
      <c r="D42" s="523"/>
      <c r="E42" s="409">
        <f t="shared" si="0"/>
        <v>189687.86216499997</v>
      </c>
      <c r="F42" s="524">
        <v>26556.300703099998</v>
      </c>
      <c r="G42" s="524">
        <v>0</v>
      </c>
      <c r="H42" s="524">
        <v>0</v>
      </c>
      <c r="I42" s="524">
        <v>163131.56146189998</v>
      </c>
      <c r="J42" s="452" t="s">
        <v>1931</v>
      </c>
    </row>
    <row r="43" spans="2:10">
      <c r="B43" s="521" t="s">
        <v>1628</v>
      </c>
      <c r="C43" s="522"/>
      <c r="D43" s="523"/>
      <c r="E43" s="409">
        <f t="shared" si="0"/>
        <v>0</v>
      </c>
      <c r="F43" s="524">
        <v>0</v>
      </c>
      <c r="G43" s="524">
        <v>0</v>
      </c>
      <c r="H43" s="524">
        <v>0</v>
      </c>
      <c r="I43" s="524">
        <v>0</v>
      </c>
      <c r="J43" s="452" t="s">
        <v>1941</v>
      </c>
    </row>
    <row r="44" spans="2:10" ht="25">
      <c r="B44" s="521" t="s">
        <v>1835</v>
      </c>
      <c r="C44" s="522"/>
      <c r="D44" s="523"/>
      <c r="E44" s="409">
        <f t="shared" si="0"/>
        <v>19070.81486602029</v>
      </c>
      <c r="F44" s="524">
        <v>2669.9140812428409</v>
      </c>
      <c r="G44" s="524">
        <v>0</v>
      </c>
      <c r="H44" s="524">
        <v>0</v>
      </c>
      <c r="I44" s="524">
        <v>16400.900784777448</v>
      </c>
      <c r="J44" s="452" t="s">
        <v>1931</v>
      </c>
    </row>
    <row r="45" spans="2:10">
      <c r="B45" s="521" t="s">
        <v>1836</v>
      </c>
      <c r="C45" s="522"/>
      <c r="D45" s="523"/>
      <c r="E45" s="409">
        <f t="shared" si="0"/>
        <v>291760.15652425931</v>
      </c>
      <c r="F45" s="524">
        <v>291760.15652425931</v>
      </c>
      <c r="G45" s="524">
        <v>0</v>
      </c>
      <c r="H45" s="524">
        <v>0</v>
      </c>
      <c r="I45" s="524">
        <v>0</v>
      </c>
      <c r="J45" s="452" t="s">
        <v>1941</v>
      </c>
    </row>
    <row r="46" spans="2:10" ht="25">
      <c r="B46" s="521" t="s">
        <v>1837</v>
      </c>
      <c r="C46" s="522"/>
      <c r="D46" s="523"/>
      <c r="E46" s="409">
        <f t="shared" si="0"/>
        <v>1429042.321067</v>
      </c>
      <c r="F46" s="524">
        <v>200065.92494938002</v>
      </c>
      <c r="G46" s="524">
        <v>0</v>
      </c>
      <c r="H46" s="524">
        <v>316519.29901279003</v>
      </c>
      <c r="I46" s="524">
        <v>912457.09710482997</v>
      </c>
      <c r="J46" s="452" t="s">
        <v>1931</v>
      </c>
    </row>
    <row r="47" spans="2:10">
      <c r="B47" s="521" t="s">
        <v>1630</v>
      </c>
      <c r="C47" s="522"/>
      <c r="D47" s="523"/>
      <c r="E47" s="409">
        <f t="shared" si="0"/>
        <v>7186920.7291989997</v>
      </c>
      <c r="F47" s="524">
        <v>7186920.7291989997</v>
      </c>
      <c r="G47" s="524">
        <v>0</v>
      </c>
      <c r="H47" s="524">
        <v>0</v>
      </c>
      <c r="I47" s="524">
        <v>0</v>
      </c>
      <c r="J47" s="452" t="s">
        <v>1941</v>
      </c>
    </row>
    <row r="48" spans="2:10">
      <c r="B48" s="521" t="s">
        <v>1838</v>
      </c>
      <c r="C48" s="522"/>
      <c r="D48" s="523"/>
      <c r="E48" s="409">
        <f t="shared" si="0"/>
        <v>4755754.9372159997</v>
      </c>
      <c r="F48" s="524">
        <v>4755754.9372159997</v>
      </c>
      <c r="G48" s="524">
        <v>0</v>
      </c>
      <c r="H48" s="524">
        <v>0</v>
      </c>
      <c r="I48" s="524">
        <v>0</v>
      </c>
      <c r="J48" s="452" t="s">
        <v>1941</v>
      </c>
    </row>
    <row r="49" spans="2:10" ht="25">
      <c r="B49" s="521" t="s">
        <v>1839</v>
      </c>
      <c r="C49" s="522"/>
      <c r="D49" s="523"/>
      <c r="E49" s="409">
        <f t="shared" si="0"/>
        <v>19413.589794499996</v>
      </c>
      <c r="F49" s="524">
        <v>2717.9025712299999</v>
      </c>
      <c r="G49" s="524">
        <v>0</v>
      </c>
      <c r="H49" s="524">
        <v>0</v>
      </c>
      <c r="I49" s="524">
        <v>16695.687223269997</v>
      </c>
      <c r="J49" s="452" t="s">
        <v>1931</v>
      </c>
    </row>
    <row r="50" spans="2:10">
      <c r="B50" s="521" t="s">
        <v>1840</v>
      </c>
      <c r="C50" s="522"/>
      <c r="D50" s="523"/>
      <c r="E50" s="409">
        <f t="shared" si="0"/>
        <v>2987510.7016855003</v>
      </c>
      <c r="F50" s="524">
        <v>2987510.7016855003</v>
      </c>
      <c r="G50" s="524">
        <v>0</v>
      </c>
      <c r="H50" s="524">
        <v>0</v>
      </c>
      <c r="I50" s="524">
        <v>0</v>
      </c>
      <c r="J50" s="452" t="s">
        <v>1941</v>
      </c>
    </row>
    <row r="51" spans="2:10">
      <c r="B51" s="521" t="s">
        <v>1841</v>
      </c>
      <c r="C51" s="522"/>
      <c r="D51" s="523"/>
      <c r="E51" s="409">
        <f t="shared" si="0"/>
        <v>-7.7602000000000004E-2</v>
      </c>
      <c r="F51" s="524">
        <v>-7.7602000000000004E-2</v>
      </c>
      <c r="G51" s="524">
        <v>0</v>
      </c>
      <c r="H51" s="524">
        <v>0</v>
      </c>
      <c r="I51" s="524">
        <v>0</v>
      </c>
      <c r="J51" s="452" t="s">
        <v>1941</v>
      </c>
    </row>
    <row r="52" spans="2:10">
      <c r="B52" s="521" t="s">
        <v>1842</v>
      </c>
      <c r="C52" s="522"/>
      <c r="D52" s="523"/>
      <c r="E52" s="409">
        <f t="shared" si="0"/>
        <v>547164.49609999999</v>
      </c>
      <c r="F52" s="524">
        <v>547164.49609999999</v>
      </c>
      <c r="G52" s="524">
        <v>0</v>
      </c>
      <c r="H52" s="524">
        <v>0</v>
      </c>
      <c r="I52" s="524">
        <v>0</v>
      </c>
      <c r="J52" s="452" t="s">
        <v>1941</v>
      </c>
    </row>
    <row r="53" spans="2:10">
      <c r="B53" s="521" t="s">
        <v>1843</v>
      </c>
      <c r="C53" s="522"/>
      <c r="D53" s="523"/>
      <c r="E53" s="409">
        <f t="shared" si="0"/>
        <v>4975230.9007815029</v>
      </c>
      <c r="F53" s="524">
        <v>4975230.9007815029</v>
      </c>
      <c r="G53" s="524">
        <v>0</v>
      </c>
      <c r="H53" s="524">
        <v>0</v>
      </c>
      <c r="I53" s="524">
        <v>0</v>
      </c>
      <c r="J53" s="452" t="s">
        <v>1941</v>
      </c>
    </row>
    <row r="54" spans="2:10">
      <c r="B54" s="521" t="s">
        <v>1844</v>
      </c>
      <c r="C54" s="522"/>
      <c r="D54" s="523"/>
      <c r="E54" s="409">
        <f t="shared" si="0"/>
        <v>1046528.6628645</v>
      </c>
      <c r="F54" s="524">
        <v>1046528.6628645</v>
      </c>
      <c r="G54" s="524">
        <v>0</v>
      </c>
      <c r="H54" s="524">
        <v>0</v>
      </c>
      <c r="I54" s="524">
        <v>0</v>
      </c>
      <c r="J54" s="452" t="s">
        <v>1941</v>
      </c>
    </row>
    <row r="55" spans="2:10">
      <c r="B55" s="521" t="s">
        <v>1845</v>
      </c>
      <c r="C55" s="522"/>
      <c r="D55" s="523"/>
      <c r="E55" s="409">
        <f t="shared" si="0"/>
        <v>262551.28449699999</v>
      </c>
      <c r="F55" s="524">
        <v>262551.28449699999</v>
      </c>
      <c r="G55" s="524">
        <v>0</v>
      </c>
      <c r="H55" s="524">
        <v>0</v>
      </c>
      <c r="I55" s="524">
        <v>0</v>
      </c>
      <c r="J55" s="452" t="s">
        <v>1941</v>
      </c>
    </row>
    <row r="56" spans="2:10" ht="25">
      <c r="B56" s="521" t="s">
        <v>1846</v>
      </c>
      <c r="C56" s="522"/>
      <c r="D56" s="523"/>
      <c r="E56" s="409">
        <f t="shared" si="0"/>
        <v>218746.15999999997</v>
      </c>
      <c r="F56" s="524">
        <v>218746.15999999997</v>
      </c>
      <c r="G56" s="524">
        <v>0</v>
      </c>
      <c r="H56" s="524">
        <v>0</v>
      </c>
      <c r="I56" s="524">
        <v>0</v>
      </c>
      <c r="J56" s="452" t="s">
        <v>1981</v>
      </c>
    </row>
    <row r="57" spans="2:10" ht="25">
      <c r="B57" s="521" t="s">
        <v>1860</v>
      </c>
      <c r="C57" s="522"/>
      <c r="D57" s="523"/>
      <c r="E57" s="409">
        <f t="shared" si="0"/>
        <v>8326410.0453397818</v>
      </c>
      <c r="F57" s="524">
        <v>2422737.0259149782</v>
      </c>
      <c r="G57" s="524">
        <v>0</v>
      </c>
      <c r="H57" s="524">
        <v>5903673.0194248036</v>
      </c>
      <c r="I57" s="524">
        <v>0</v>
      </c>
      <c r="J57" s="452" t="s">
        <v>1933</v>
      </c>
    </row>
    <row r="58" spans="2:10">
      <c r="B58" s="521" t="s">
        <v>1861</v>
      </c>
      <c r="C58" s="522"/>
      <c r="D58" s="523"/>
      <c r="E58" s="409">
        <f t="shared" si="0"/>
        <v>7783424.4722953327</v>
      </c>
      <c r="F58" s="524">
        <v>7783424.4722953327</v>
      </c>
      <c r="G58" s="524">
        <v>0</v>
      </c>
      <c r="H58" s="524">
        <v>0</v>
      </c>
      <c r="I58" s="524">
        <v>0</v>
      </c>
      <c r="J58" s="452" t="s">
        <v>1941</v>
      </c>
    </row>
    <row r="59" spans="2:10">
      <c r="B59" s="521" t="s">
        <v>1862</v>
      </c>
      <c r="C59" s="522"/>
      <c r="D59" s="523"/>
      <c r="E59" s="409">
        <f t="shared" si="0"/>
        <v>2393877.2924449733</v>
      </c>
      <c r="F59" s="524">
        <v>239387.72924449728</v>
      </c>
      <c r="G59" s="524">
        <v>0</v>
      </c>
      <c r="H59" s="524">
        <v>2154489.5632004761</v>
      </c>
      <c r="I59" s="524">
        <v>0</v>
      </c>
      <c r="J59" s="452" t="s">
        <v>1936</v>
      </c>
    </row>
    <row r="60" spans="2:10" ht="25">
      <c r="B60" s="521" t="s">
        <v>1863</v>
      </c>
      <c r="C60" s="522"/>
      <c r="D60" s="523"/>
      <c r="E60" s="409">
        <f t="shared" si="0"/>
        <v>30975330.320428543</v>
      </c>
      <c r="F60" s="524">
        <v>6331954.3772188537</v>
      </c>
      <c r="G60" s="524">
        <v>0</v>
      </c>
      <c r="H60" s="524">
        <v>24643375.943209689</v>
      </c>
      <c r="I60" s="524">
        <v>0</v>
      </c>
      <c r="J60" s="452" t="s">
        <v>1933</v>
      </c>
    </row>
    <row r="61" spans="2:10" ht="25">
      <c r="B61" s="521" t="s">
        <v>1864</v>
      </c>
      <c r="C61" s="522"/>
      <c r="D61" s="523"/>
      <c r="E61" s="409">
        <f t="shared" si="0"/>
        <v>-30743277.699679997</v>
      </c>
      <c r="F61" s="524">
        <v>-6144858.0181519995</v>
      </c>
      <c r="G61" s="524">
        <v>0</v>
      </c>
      <c r="H61" s="524">
        <v>-24598419.681527998</v>
      </c>
      <c r="I61" s="524">
        <v>0</v>
      </c>
      <c r="J61" s="452" t="s">
        <v>1933</v>
      </c>
    </row>
    <row r="62" spans="2:10" ht="50">
      <c r="B62" s="521" t="s">
        <v>1847</v>
      </c>
      <c r="C62" s="522"/>
      <c r="D62" s="523"/>
      <c r="E62" s="409">
        <f t="shared" si="0"/>
        <v>382173.49815</v>
      </c>
      <c r="F62" s="524">
        <v>53504.289741000008</v>
      </c>
      <c r="G62" s="524">
        <v>0</v>
      </c>
      <c r="H62" s="524">
        <v>328669.20840900001</v>
      </c>
      <c r="I62" s="524">
        <v>0</v>
      </c>
      <c r="J62" s="452" t="s">
        <v>1934</v>
      </c>
    </row>
    <row r="63" spans="2:10">
      <c r="B63" s="521" t="s">
        <v>1999</v>
      </c>
      <c r="C63" s="522"/>
      <c r="D63" s="523"/>
      <c r="E63" s="409">
        <f t="shared" si="0"/>
        <v>12770.755715130081</v>
      </c>
      <c r="F63" s="524">
        <v>12770.755715130081</v>
      </c>
      <c r="G63" s="524">
        <v>0</v>
      </c>
      <c r="H63" s="524">
        <v>0</v>
      </c>
      <c r="I63" s="524">
        <v>0</v>
      </c>
      <c r="J63" s="452" t="s">
        <v>1941</v>
      </c>
    </row>
    <row r="64" spans="2:10" ht="37.5">
      <c r="B64" s="521" t="s">
        <v>2000</v>
      </c>
      <c r="C64" s="522"/>
      <c r="D64" s="523"/>
      <c r="E64" s="409">
        <f t="shared" si="0"/>
        <v>98084111.959701478</v>
      </c>
      <c r="F64" s="524">
        <v>9808411.195970146</v>
      </c>
      <c r="G64" s="524">
        <v>0</v>
      </c>
      <c r="H64" s="524">
        <v>88275700.763731331</v>
      </c>
      <c r="I64" s="524">
        <v>0</v>
      </c>
      <c r="J64" s="452" t="s">
        <v>1935</v>
      </c>
    </row>
    <row r="65" spans="2:10">
      <c r="B65" s="521" t="s">
        <v>1848</v>
      </c>
      <c r="C65" s="522"/>
      <c r="D65" s="523"/>
      <c r="E65" s="409">
        <f t="shared" si="0"/>
        <v>83440.052800000005</v>
      </c>
      <c r="F65" s="524">
        <v>83440.052800000005</v>
      </c>
      <c r="G65" s="524">
        <v>0</v>
      </c>
      <c r="H65" s="524">
        <v>0</v>
      </c>
      <c r="I65" s="524">
        <v>0</v>
      </c>
      <c r="J65" s="452" t="s">
        <v>1941</v>
      </c>
    </row>
    <row r="66" spans="2:10">
      <c r="B66" s="521" t="s">
        <v>1849</v>
      </c>
      <c r="C66" s="522"/>
      <c r="D66" s="523"/>
      <c r="E66" s="409">
        <f t="shared" si="0"/>
        <v>0</v>
      </c>
      <c r="F66" s="524">
        <v>0</v>
      </c>
      <c r="G66" s="524">
        <v>0</v>
      </c>
      <c r="H66" s="524">
        <v>0</v>
      </c>
      <c r="I66" s="524">
        <v>0</v>
      </c>
      <c r="J66" s="452" t="s">
        <v>1941</v>
      </c>
    </row>
    <row r="67" spans="2:10" ht="13">
      <c r="B67" s="401" t="s">
        <v>889</v>
      </c>
      <c r="C67" s="402"/>
      <c r="D67" s="403"/>
      <c r="E67" s="404">
        <f>SUM(E36:E66)</f>
        <v>151180380.07203561</v>
      </c>
      <c r="F67" s="404">
        <f>SUM(F36:F66)</f>
        <v>46499290.666182287</v>
      </c>
      <c r="G67" s="404">
        <f>SUM(G36:G66)</f>
        <v>0</v>
      </c>
      <c r="H67" s="404">
        <f>SUM(H36:H66)</f>
        <v>97024008.115460098</v>
      </c>
      <c r="I67" s="404">
        <f>SUM(I36:I66)</f>
        <v>7657081.2903932687</v>
      </c>
      <c r="J67" s="405"/>
    </row>
    <row r="68" spans="2:10" ht="13">
      <c r="B68" s="406"/>
      <c r="C68" s="403"/>
      <c r="D68" s="403"/>
      <c r="E68" s="404"/>
      <c r="F68" s="404"/>
      <c r="G68" s="404"/>
      <c r="H68" s="404"/>
      <c r="I68" s="404"/>
      <c r="J68" s="405"/>
    </row>
    <row r="69" spans="2:10">
      <c r="B69" s="425" t="s">
        <v>1595</v>
      </c>
      <c r="C69" s="408"/>
      <c r="D69" s="408"/>
      <c r="E69" s="409">
        <f t="shared" ref="E69:E72" si="1">SUM(F69:I69)</f>
        <v>-382173.49815</v>
      </c>
      <c r="F69" s="399">
        <f>-F62</f>
        <v>-53504.289741000008</v>
      </c>
      <c r="G69" s="399">
        <f t="shared" ref="G69:I69" si="2">-G62</f>
        <v>0</v>
      </c>
      <c r="H69" s="399">
        <f t="shared" si="2"/>
        <v>-328669.20840900001</v>
      </c>
      <c r="I69" s="399">
        <f t="shared" si="2"/>
        <v>0</v>
      </c>
      <c r="J69" s="410"/>
    </row>
    <row r="70" spans="2:10">
      <c r="B70" s="407" t="s">
        <v>1596</v>
      </c>
      <c r="C70" s="408"/>
      <c r="D70" s="408"/>
      <c r="E70" s="409">
        <f t="shared" si="1"/>
        <v>0</v>
      </c>
      <c r="F70" s="399"/>
      <c r="G70" s="399"/>
      <c r="H70" s="399"/>
      <c r="I70" s="399"/>
      <c r="J70" s="410"/>
    </row>
    <row r="71" spans="2:10">
      <c r="B71" s="407" t="s">
        <v>1597</v>
      </c>
      <c r="C71" s="408"/>
      <c r="D71" s="408"/>
      <c r="E71" s="409">
        <f t="shared" si="1"/>
        <v>-98084111.959701478</v>
      </c>
      <c r="F71" s="399">
        <f>-F64</f>
        <v>-9808411.195970146</v>
      </c>
      <c r="G71" s="399">
        <f t="shared" ref="G71:I71" si="3">-G64</f>
        <v>0</v>
      </c>
      <c r="H71" s="399">
        <f t="shared" si="3"/>
        <v>-88275700.763731331</v>
      </c>
      <c r="I71" s="399">
        <f t="shared" si="3"/>
        <v>0</v>
      </c>
      <c r="J71" s="410"/>
    </row>
    <row r="72" spans="2:10">
      <c r="B72" s="407" t="s">
        <v>1598</v>
      </c>
      <c r="C72" s="408"/>
      <c r="D72" s="408"/>
      <c r="E72" s="409">
        <f t="shared" si="1"/>
        <v>-3748326.1085675</v>
      </c>
      <c r="F72" s="399">
        <f>-F40</f>
        <v>-524765.65519944998</v>
      </c>
      <c r="G72" s="399">
        <f t="shared" ref="G72:I72" si="4">-G40</f>
        <v>0</v>
      </c>
      <c r="H72" s="399">
        <f t="shared" si="4"/>
        <v>0</v>
      </c>
      <c r="I72" s="399">
        <f t="shared" si="4"/>
        <v>-3223560.45336805</v>
      </c>
      <c r="J72" s="410"/>
    </row>
    <row r="73" spans="2:10" ht="5.15" customHeight="1">
      <c r="B73" s="401"/>
      <c r="C73" s="402"/>
      <c r="D73" s="403"/>
      <c r="E73" s="404"/>
      <c r="F73" s="404"/>
      <c r="G73" s="404"/>
      <c r="H73" s="404"/>
      <c r="I73" s="404"/>
      <c r="J73" s="405"/>
    </row>
    <row r="74" spans="2:10" ht="13">
      <c r="B74" s="406" t="s">
        <v>890</v>
      </c>
      <c r="C74" s="403"/>
      <c r="D74" s="403"/>
      <c r="E74" s="404">
        <f>SUM(E69:E73)+E67</f>
        <v>48965768.50561662</v>
      </c>
      <c r="F74" s="404">
        <f>SUM(F69:F73)+F67</f>
        <v>36112609.525271691</v>
      </c>
      <c r="G74" s="404">
        <f>SUM(G69:G73)+G67</f>
        <v>0</v>
      </c>
      <c r="H74" s="404">
        <f>SUM(H69:H73)+H67</f>
        <v>8419638.1433197707</v>
      </c>
      <c r="I74" s="404">
        <f>SUM(I69:I73)+I67</f>
        <v>4433520.8370252186</v>
      </c>
      <c r="J74" s="405"/>
    </row>
    <row r="75" spans="2:10" ht="13">
      <c r="B75" s="406"/>
      <c r="C75" s="403"/>
      <c r="D75" s="403"/>
      <c r="E75" s="404"/>
      <c r="F75" s="404"/>
      <c r="G75" s="404"/>
      <c r="H75" s="404"/>
      <c r="I75" s="404"/>
      <c r="J75" s="405"/>
    </row>
    <row r="76" spans="2:10" ht="13">
      <c r="B76" s="411" t="s">
        <v>244</v>
      </c>
      <c r="C76" s="412"/>
      <c r="D76" s="413"/>
      <c r="E76" s="414"/>
      <c r="F76" s="414"/>
      <c r="G76" s="414"/>
      <c r="H76" s="414"/>
      <c r="I76" s="415">
        <v>0.13333656721859172</v>
      </c>
      <c r="J76" s="416"/>
    </row>
    <row r="77" spans="2:10" ht="13">
      <c r="B77" s="411" t="s">
        <v>217</v>
      </c>
      <c r="C77" s="412"/>
      <c r="D77" s="413"/>
      <c r="E77" s="414"/>
      <c r="F77" s="414"/>
      <c r="G77" s="414"/>
      <c r="H77" s="415">
        <v>0.37876514246600501</v>
      </c>
      <c r="I77" s="414"/>
      <c r="J77" s="416"/>
    </row>
    <row r="78" spans="2:10" ht="13">
      <c r="B78" s="411" t="s">
        <v>891</v>
      </c>
      <c r="C78" s="412"/>
      <c r="D78" s="413"/>
      <c r="E78" s="414"/>
      <c r="F78" s="414"/>
      <c r="G78" s="415">
        <v>1</v>
      </c>
      <c r="H78" s="414"/>
      <c r="I78" s="414"/>
      <c r="J78" s="416"/>
    </row>
    <row r="79" spans="2:10" ht="13">
      <c r="B79" s="411" t="s">
        <v>892</v>
      </c>
      <c r="C79" s="412"/>
      <c r="D79" s="413"/>
      <c r="E79" s="414"/>
      <c r="F79" s="415">
        <v>0</v>
      </c>
      <c r="G79" s="414"/>
      <c r="H79" s="414"/>
      <c r="I79" s="414"/>
      <c r="J79" s="416"/>
    </row>
    <row r="80" spans="2:10" ht="13">
      <c r="B80" s="417" t="s">
        <v>893</v>
      </c>
      <c r="C80" s="412"/>
      <c r="D80" s="413"/>
      <c r="E80" s="414">
        <f>F80+G80+H80+I80</f>
        <v>3780215.8899677629</v>
      </c>
      <c r="F80" s="414">
        <f>F79*F74</f>
        <v>0</v>
      </c>
      <c r="G80" s="414">
        <f>G74*G78</f>
        <v>0</v>
      </c>
      <c r="H80" s="414">
        <f>H74*H77</f>
        <v>3189065.4408667227</v>
      </c>
      <c r="I80" s="414">
        <f>I76*I74</f>
        <v>591150.44910104002</v>
      </c>
      <c r="J80" s="416"/>
    </row>
    <row r="81" spans="2:10" ht="13">
      <c r="B81" s="418"/>
      <c r="E81" s="388"/>
      <c r="F81" s="388"/>
      <c r="G81" s="388"/>
      <c r="H81" s="388"/>
      <c r="I81" s="388"/>
      <c r="J81" s="419"/>
    </row>
    <row r="82" spans="2:10" ht="13">
      <c r="B82" s="389"/>
      <c r="E82" s="388"/>
      <c r="F82" s="388"/>
      <c r="G82" s="388"/>
      <c r="H82" s="388"/>
      <c r="I82" s="388"/>
      <c r="J82" s="419"/>
    </row>
    <row r="83" spans="2:10" ht="13">
      <c r="B83" s="381" t="s">
        <v>164</v>
      </c>
      <c r="C83" s="381"/>
      <c r="D83" s="381"/>
      <c r="E83" s="381" t="s">
        <v>165</v>
      </c>
      <c r="F83" s="381" t="s">
        <v>1065</v>
      </c>
      <c r="G83" s="381" t="s">
        <v>1202</v>
      </c>
      <c r="H83" s="381" t="s">
        <v>1203</v>
      </c>
      <c r="I83" s="381" t="s">
        <v>1204</v>
      </c>
      <c r="J83" s="381" t="s">
        <v>1205</v>
      </c>
    </row>
    <row r="84" spans="2:10" ht="13">
      <c r="B84" s="389"/>
      <c r="C84" s="100"/>
      <c r="D84" s="100"/>
      <c r="E84" s="381"/>
      <c r="F84" s="381" t="s">
        <v>1236</v>
      </c>
      <c r="G84" s="381" t="s">
        <v>238</v>
      </c>
      <c r="H84" s="381"/>
      <c r="I84" s="381"/>
      <c r="J84" s="100"/>
    </row>
    <row r="85" spans="2:10" ht="13">
      <c r="B85" s="397"/>
      <c r="C85" s="100"/>
      <c r="D85" s="100"/>
      <c r="E85" s="381"/>
      <c r="F85" s="381" t="s">
        <v>1237</v>
      </c>
      <c r="G85" s="381" t="s">
        <v>208</v>
      </c>
      <c r="H85" s="381" t="s">
        <v>239</v>
      </c>
      <c r="I85" s="381" t="s">
        <v>240</v>
      </c>
      <c r="J85" s="100"/>
    </row>
    <row r="86" spans="2:10" ht="13">
      <c r="B86" s="389" t="s">
        <v>894</v>
      </c>
      <c r="C86" s="100"/>
      <c r="D86" s="100"/>
      <c r="E86" s="381" t="s">
        <v>42</v>
      </c>
      <c r="F86" s="384" t="s">
        <v>1238</v>
      </c>
      <c r="G86" s="381" t="s">
        <v>241</v>
      </c>
      <c r="H86" s="381" t="s">
        <v>241</v>
      </c>
      <c r="I86" s="381" t="s">
        <v>241</v>
      </c>
      <c r="J86" s="381" t="s">
        <v>245</v>
      </c>
    </row>
    <row r="87" spans="2:10">
      <c r="B87" s="398"/>
      <c r="C87" s="420"/>
      <c r="D87" s="421"/>
      <c r="E87" s="399"/>
      <c r="F87" s="399"/>
      <c r="G87" s="399"/>
      <c r="H87" s="399"/>
      <c r="I87" s="399"/>
      <c r="J87" s="400"/>
    </row>
    <row r="88" spans="2:10">
      <c r="B88" s="398"/>
      <c r="C88" s="420"/>
      <c r="D88" s="422"/>
      <c r="E88" s="399"/>
      <c r="F88" s="399"/>
      <c r="G88" s="399"/>
      <c r="H88" s="399"/>
      <c r="I88" s="399"/>
      <c r="J88" s="400"/>
    </row>
    <row r="89" spans="2:10">
      <c r="B89" s="398"/>
      <c r="C89" s="420"/>
      <c r="D89" s="422"/>
      <c r="E89" s="399"/>
      <c r="F89" s="399"/>
      <c r="G89" s="399"/>
      <c r="H89" s="399"/>
      <c r="I89" s="399"/>
      <c r="J89" s="400"/>
    </row>
    <row r="90" spans="2:10">
      <c r="B90" s="398"/>
      <c r="C90" s="420"/>
      <c r="D90" s="422"/>
      <c r="E90" s="399"/>
      <c r="F90" s="399"/>
      <c r="G90" s="399"/>
      <c r="H90" s="399"/>
      <c r="I90" s="399"/>
      <c r="J90" s="400"/>
    </row>
    <row r="91" spans="2:10">
      <c r="B91" s="398"/>
      <c r="C91" s="420"/>
      <c r="D91" s="422"/>
      <c r="E91" s="399"/>
      <c r="F91" s="399"/>
      <c r="G91" s="399"/>
      <c r="H91" s="399"/>
      <c r="I91" s="399"/>
      <c r="J91" s="400"/>
    </row>
    <row r="92" spans="2:10">
      <c r="B92" s="398"/>
      <c r="C92" s="420"/>
      <c r="D92" s="422"/>
      <c r="E92" s="399"/>
      <c r="F92" s="399"/>
      <c r="G92" s="399"/>
      <c r="H92" s="399"/>
      <c r="I92" s="399"/>
      <c r="J92" s="400"/>
    </row>
    <row r="93" spans="2:10">
      <c r="B93" s="398"/>
      <c r="C93" s="420"/>
      <c r="D93" s="421"/>
      <c r="E93" s="423"/>
      <c r="F93" s="423"/>
      <c r="G93" s="423"/>
      <c r="H93" s="423"/>
      <c r="I93" s="423"/>
      <c r="J93" s="424"/>
    </row>
    <row r="94" spans="2:10" ht="13">
      <c r="B94" s="406" t="s">
        <v>895</v>
      </c>
      <c r="C94" s="403"/>
      <c r="D94" s="403"/>
      <c r="E94" s="404">
        <f>SUM(E87:E93)</f>
        <v>0</v>
      </c>
      <c r="F94" s="404">
        <f>SUM(F87:F93)</f>
        <v>0</v>
      </c>
      <c r="G94" s="404">
        <f>SUM(G87:G93)</f>
        <v>0</v>
      </c>
      <c r="H94" s="404">
        <f>SUM(H87:H93)</f>
        <v>0</v>
      </c>
      <c r="I94" s="404">
        <f>SUM(I87:I93)</f>
        <v>0</v>
      </c>
      <c r="J94" s="405"/>
    </row>
    <row r="95" spans="2:10" ht="13">
      <c r="B95" s="406"/>
      <c r="C95" s="403"/>
      <c r="D95" s="403"/>
      <c r="E95" s="404"/>
      <c r="F95" s="404"/>
      <c r="G95" s="404"/>
      <c r="H95" s="404"/>
      <c r="I95" s="404"/>
      <c r="J95" s="405"/>
    </row>
    <row r="96" spans="2:10">
      <c r="B96" s="425" t="s">
        <v>1595</v>
      </c>
      <c r="C96" s="426"/>
      <c r="D96" s="427"/>
      <c r="E96" s="409"/>
      <c r="F96" s="399"/>
      <c r="G96" s="399"/>
      <c r="H96" s="399"/>
      <c r="I96" s="399"/>
      <c r="J96" s="410"/>
    </row>
    <row r="97" spans="2:10">
      <c r="B97" s="407" t="s">
        <v>1596</v>
      </c>
      <c r="C97" s="408"/>
      <c r="D97" s="427"/>
      <c r="E97" s="409"/>
      <c r="F97" s="399"/>
      <c r="G97" s="399"/>
      <c r="H97" s="399"/>
      <c r="I97" s="399"/>
      <c r="J97" s="410"/>
    </row>
    <row r="98" spans="2:10">
      <c r="B98" s="407" t="s">
        <v>1597</v>
      </c>
      <c r="C98" s="408"/>
      <c r="D98" s="427"/>
      <c r="E98" s="409"/>
      <c r="F98" s="399"/>
      <c r="G98" s="399"/>
      <c r="H98" s="399"/>
      <c r="I98" s="399"/>
      <c r="J98" s="410"/>
    </row>
    <row r="99" spans="2:10">
      <c r="B99" s="407" t="s">
        <v>1598</v>
      </c>
      <c r="C99" s="408"/>
      <c r="D99" s="427"/>
      <c r="E99" s="409"/>
      <c r="F99" s="399"/>
      <c r="G99" s="399"/>
      <c r="H99" s="399"/>
      <c r="I99" s="399"/>
      <c r="J99" s="410"/>
    </row>
    <row r="100" spans="2:10" ht="5.15" customHeight="1">
      <c r="B100" s="401"/>
      <c r="C100" s="402"/>
      <c r="D100" s="403"/>
      <c r="E100" s="404"/>
      <c r="F100" s="404"/>
      <c r="G100" s="404"/>
      <c r="H100" s="404"/>
      <c r="I100" s="404"/>
      <c r="J100" s="405"/>
    </row>
    <row r="101" spans="2:10" ht="13">
      <c r="B101" s="428" t="s">
        <v>896</v>
      </c>
      <c r="C101" s="429"/>
      <c r="D101" s="403"/>
      <c r="E101" s="404">
        <f>SUM(E96:E100)+E94</f>
        <v>0</v>
      </c>
      <c r="F101" s="404">
        <f>SUM(F96:F100)+F94</f>
        <v>0</v>
      </c>
      <c r="G101" s="404">
        <f>SUM(G96:G100)+G94</f>
        <v>0</v>
      </c>
      <c r="H101" s="404">
        <f>SUM(H96:H100)+H94</f>
        <v>0</v>
      </c>
      <c r="I101" s="404">
        <f>SUM(I96:I100)+I94</f>
        <v>0</v>
      </c>
      <c r="J101" s="405"/>
    </row>
    <row r="102" spans="2:10" ht="13">
      <c r="B102" s="430"/>
      <c r="C102" s="431"/>
      <c r="D102" s="431"/>
      <c r="E102" s="414"/>
      <c r="F102" s="404"/>
      <c r="G102" s="404"/>
      <c r="H102" s="404"/>
      <c r="I102" s="404"/>
      <c r="J102" s="416"/>
    </row>
    <row r="103" spans="2:10" ht="13">
      <c r="B103" s="432" t="s">
        <v>244</v>
      </c>
      <c r="C103" s="433"/>
      <c r="D103" s="413"/>
      <c r="E103" s="414"/>
      <c r="F103" s="414"/>
      <c r="G103" s="414"/>
      <c r="H103" s="414"/>
      <c r="I103" s="415">
        <f>$I$76</f>
        <v>0.13333656721859172</v>
      </c>
      <c r="J103" s="416"/>
    </row>
    <row r="104" spans="2:10" ht="13">
      <c r="B104" s="411" t="s">
        <v>217</v>
      </c>
      <c r="C104" s="412"/>
      <c r="D104" s="413"/>
      <c r="E104" s="414"/>
      <c r="F104" s="414"/>
      <c r="G104" s="414"/>
      <c r="H104" s="415">
        <f>$H$77</f>
        <v>0.37876514246600501</v>
      </c>
      <c r="I104" s="414"/>
      <c r="J104" s="416"/>
    </row>
    <row r="105" spans="2:10" ht="13">
      <c r="B105" s="411" t="s">
        <v>891</v>
      </c>
      <c r="C105" s="412"/>
      <c r="D105" s="413"/>
      <c r="E105" s="414"/>
      <c r="F105" s="414"/>
      <c r="G105" s="415">
        <f>$G$78</f>
        <v>1</v>
      </c>
      <c r="H105" s="414"/>
      <c r="I105" s="414"/>
      <c r="J105" s="416"/>
    </row>
    <row r="106" spans="2:10" ht="13">
      <c r="B106" s="411" t="s">
        <v>892</v>
      </c>
      <c r="C106" s="412"/>
      <c r="D106" s="413"/>
      <c r="E106" s="414"/>
      <c r="F106" s="415">
        <f>$F$79</f>
        <v>0</v>
      </c>
      <c r="G106" s="414"/>
      <c r="H106" s="414"/>
      <c r="I106" s="414"/>
      <c r="J106" s="416"/>
    </row>
    <row r="107" spans="2:10" ht="13">
      <c r="B107" s="417" t="s">
        <v>893</v>
      </c>
      <c r="C107" s="412"/>
      <c r="D107" s="413"/>
      <c r="E107" s="414">
        <f>F107+G107+H107+I107</f>
        <v>0</v>
      </c>
      <c r="F107" s="414">
        <f>F106*F101</f>
        <v>0</v>
      </c>
      <c r="G107" s="414">
        <f>G101*G105</f>
        <v>0</v>
      </c>
      <c r="H107" s="414">
        <f>H101*H104</f>
        <v>0</v>
      </c>
      <c r="I107" s="414">
        <f>I103*I101</f>
        <v>0</v>
      </c>
      <c r="J107" s="416"/>
    </row>
    <row r="108" spans="2:10" ht="13">
      <c r="B108" s="418"/>
      <c r="E108" s="388"/>
      <c r="F108" s="388"/>
      <c r="G108" s="388"/>
      <c r="H108" s="388"/>
      <c r="I108" s="388"/>
      <c r="J108" s="419"/>
    </row>
    <row r="109" spans="2:10" ht="13">
      <c r="B109" s="418"/>
      <c r="E109" s="388"/>
      <c r="F109" s="388"/>
      <c r="G109" s="388"/>
      <c r="H109" s="388"/>
      <c r="I109" s="388"/>
      <c r="J109" s="419"/>
    </row>
    <row r="110" spans="2:10" ht="13">
      <c r="B110" s="381" t="s">
        <v>164</v>
      </c>
      <c r="C110" s="381"/>
      <c r="D110" s="381"/>
      <c r="E110" s="381" t="s">
        <v>165</v>
      </c>
      <c r="F110" s="381" t="s">
        <v>1065</v>
      </c>
      <c r="G110" s="381" t="s">
        <v>1202</v>
      </c>
      <c r="H110" s="381" t="s">
        <v>1203</v>
      </c>
      <c r="I110" s="381" t="s">
        <v>1204</v>
      </c>
      <c r="J110" s="381" t="s">
        <v>1205</v>
      </c>
    </row>
    <row r="111" spans="2:10" ht="13">
      <c r="B111" s="389"/>
      <c r="C111" s="100"/>
      <c r="D111" s="100"/>
      <c r="E111" s="381"/>
      <c r="F111" s="381" t="s">
        <v>1236</v>
      </c>
      <c r="G111" s="381" t="s">
        <v>238</v>
      </c>
      <c r="H111" s="381"/>
      <c r="I111" s="381"/>
      <c r="J111" s="100"/>
    </row>
    <row r="112" spans="2:10" ht="13">
      <c r="B112" s="434"/>
      <c r="C112" s="100"/>
      <c r="D112" s="100"/>
      <c r="E112" s="381"/>
      <c r="F112" s="381" t="s">
        <v>1237</v>
      </c>
      <c r="G112" s="381" t="s">
        <v>208</v>
      </c>
      <c r="H112" s="381" t="s">
        <v>239</v>
      </c>
      <c r="I112" s="381" t="s">
        <v>240</v>
      </c>
      <c r="J112" s="100"/>
    </row>
    <row r="113" spans="2:11" ht="13">
      <c r="B113" s="389" t="s">
        <v>1242</v>
      </c>
      <c r="E113" s="381" t="s">
        <v>42</v>
      </c>
      <c r="F113" s="384" t="s">
        <v>1238</v>
      </c>
      <c r="G113" s="381" t="s">
        <v>241</v>
      </c>
      <c r="H113" s="381" t="s">
        <v>241</v>
      </c>
      <c r="I113" s="381" t="s">
        <v>241</v>
      </c>
      <c r="J113" s="381" t="s">
        <v>245</v>
      </c>
    </row>
    <row r="114" spans="2:11">
      <c r="B114" s="413" t="s">
        <v>888</v>
      </c>
      <c r="C114" s="413"/>
      <c r="D114" s="413"/>
      <c r="E114" s="404">
        <f>SUM(F114:I114)</f>
        <v>151180380.07203564</v>
      </c>
      <c r="F114" s="414">
        <f>F67</f>
        <v>46499290.666182287</v>
      </c>
      <c r="G114" s="414">
        <f>G67</f>
        <v>0</v>
      </c>
      <c r="H114" s="414">
        <f>H67</f>
        <v>97024008.115460098</v>
      </c>
      <c r="I114" s="414">
        <f>I67</f>
        <v>7657081.2903932687</v>
      </c>
      <c r="J114" s="416"/>
    </row>
    <row r="115" spans="2:11">
      <c r="B115" s="413" t="s">
        <v>894</v>
      </c>
      <c r="C115" s="413"/>
      <c r="D115" s="413"/>
      <c r="E115" s="404">
        <f>SUM(F115:I115)</f>
        <v>0</v>
      </c>
      <c r="F115" s="414">
        <f>F94</f>
        <v>0</v>
      </c>
      <c r="G115" s="414">
        <f>G94</f>
        <v>0</v>
      </c>
      <c r="H115" s="414">
        <f>H94</f>
        <v>0</v>
      </c>
      <c r="I115" s="414">
        <f>I94</f>
        <v>0</v>
      </c>
      <c r="J115" s="416"/>
    </row>
    <row r="116" spans="2:11" ht="13">
      <c r="B116" s="435" t="s">
        <v>897</v>
      </c>
      <c r="C116" s="413"/>
      <c r="D116" s="413"/>
      <c r="E116" s="414">
        <f>E114+E115</f>
        <v>151180380.07203564</v>
      </c>
      <c r="F116" s="414">
        <f>F114+F115</f>
        <v>46499290.666182287</v>
      </c>
      <c r="G116" s="414">
        <f>G114+G115</f>
        <v>0</v>
      </c>
      <c r="H116" s="414">
        <f>H114+H115</f>
        <v>97024008.115460098</v>
      </c>
      <c r="I116" s="414">
        <f>I114+I115</f>
        <v>7657081.2903932687</v>
      </c>
      <c r="J116" s="416"/>
    </row>
    <row r="117" spans="2:11" ht="13">
      <c r="B117" s="418"/>
      <c r="E117" s="388"/>
      <c r="F117" s="388"/>
      <c r="G117" s="388"/>
      <c r="H117" s="388"/>
      <c r="I117" s="388"/>
      <c r="J117" s="419"/>
    </row>
    <row r="118" spans="2:11" ht="13">
      <c r="B118" s="418"/>
      <c r="E118" s="388"/>
      <c r="F118" s="388"/>
      <c r="G118" s="388"/>
      <c r="H118" s="388"/>
      <c r="I118" s="388"/>
      <c r="J118" s="419"/>
    </row>
    <row r="119" spans="2:11" s="100" customFormat="1" ht="12.75" customHeight="1">
      <c r="B119" s="436" t="s">
        <v>246</v>
      </c>
      <c r="C119" s="436"/>
      <c r="E119" s="437"/>
      <c r="G119" s="437"/>
      <c r="H119" s="438"/>
      <c r="I119" s="439"/>
      <c r="J119" s="440"/>
    </row>
    <row r="120" spans="2:11" s="100" customFormat="1" ht="15.75" customHeight="1">
      <c r="B120" s="1754" t="s">
        <v>1243</v>
      </c>
      <c r="C120" s="1754"/>
      <c r="D120" s="1754"/>
      <c r="E120" s="1754"/>
      <c r="F120" s="1754"/>
      <c r="G120" s="1754"/>
      <c r="H120" s="1754"/>
      <c r="I120" s="1754"/>
      <c r="J120" s="441"/>
    </row>
    <row r="121" spans="2:11" s="100" customFormat="1" ht="13">
      <c r="B121" s="442" t="s">
        <v>247</v>
      </c>
      <c r="C121" s="442"/>
      <c r="H121" s="439"/>
      <c r="I121" s="439"/>
      <c r="J121" s="440"/>
    </row>
    <row r="122" spans="2:11" s="100" customFormat="1" ht="13">
      <c r="B122" s="442" t="s">
        <v>248</v>
      </c>
      <c r="C122" s="442"/>
      <c r="H122" s="439"/>
      <c r="I122" s="439"/>
      <c r="J122" s="441"/>
    </row>
    <row r="123" spans="2:11" s="100" customFormat="1" ht="13">
      <c r="B123" s="442" t="s">
        <v>249</v>
      </c>
      <c r="C123" s="442"/>
      <c r="H123" s="439"/>
      <c r="I123" s="439"/>
      <c r="J123" s="440"/>
    </row>
    <row r="124" spans="2:11" s="100" customFormat="1" ht="15.75" customHeight="1">
      <c r="B124" s="1754" t="s">
        <v>898</v>
      </c>
      <c r="C124" s="1754"/>
      <c r="D124" s="1754"/>
      <c r="E124" s="1754"/>
      <c r="F124" s="1754"/>
      <c r="G124" s="1754"/>
      <c r="H124" s="1754"/>
      <c r="I124" s="1754"/>
      <c r="K124" s="443"/>
    </row>
    <row r="125" spans="2:11" s="100" customFormat="1" ht="15.75" customHeight="1">
      <c r="B125" s="1754"/>
      <c r="C125" s="1754"/>
      <c r="D125" s="1754"/>
      <c r="E125" s="1754"/>
      <c r="F125" s="1754"/>
      <c r="G125" s="1754"/>
      <c r="H125" s="1754"/>
      <c r="I125" s="1754"/>
      <c r="K125" s="443"/>
    </row>
    <row r="126" spans="2:11" s="100" customFormat="1" ht="13">
      <c r="B126" s="442" t="s">
        <v>899</v>
      </c>
      <c r="C126" s="442"/>
      <c r="H126" s="439"/>
      <c r="I126" s="439"/>
      <c r="J126" s="440"/>
    </row>
    <row r="127" spans="2:11" ht="13">
      <c r="C127" s="418"/>
      <c r="E127" s="390"/>
      <c r="F127" s="390"/>
      <c r="H127" s="444"/>
      <c r="I127" s="445"/>
      <c r="J127" s="419"/>
    </row>
    <row r="128" spans="2:11" ht="13">
      <c r="B128" s="418"/>
      <c r="C128" s="446"/>
    </row>
    <row r="129" spans="2:10" ht="13">
      <c r="B129" s="381" t="s">
        <v>164</v>
      </c>
      <c r="C129" s="381"/>
      <c r="D129" s="381"/>
      <c r="E129" s="381" t="s">
        <v>165</v>
      </c>
      <c r="F129" s="381" t="s">
        <v>1065</v>
      </c>
      <c r="G129" s="381" t="s">
        <v>1202</v>
      </c>
      <c r="H129" s="381" t="s">
        <v>1203</v>
      </c>
      <c r="I129" s="381" t="s">
        <v>1204</v>
      </c>
      <c r="J129" s="381" t="s">
        <v>1205</v>
      </c>
    </row>
    <row r="130" spans="2:10" ht="13">
      <c r="B130" s="389"/>
      <c r="C130" s="100"/>
      <c r="D130" s="100"/>
      <c r="E130" s="381"/>
      <c r="F130" s="381" t="s">
        <v>1236</v>
      </c>
      <c r="G130" s="381" t="s">
        <v>238</v>
      </c>
      <c r="H130" s="381"/>
      <c r="I130" s="381"/>
      <c r="J130" s="100"/>
    </row>
    <row r="131" spans="2:10" ht="13">
      <c r="B131" s="389"/>
      <c r="C131" s="397"/>
      <c r="D131" s="100"/>
      <c r="E131" s="381"/>
      <c r="F131" s="381" t="s">
        <v>1237</v>
      </c>
      <c r="G131" s="381" t="s">
        <v>208</v>
      </c>
      <c r="H131" s="381" t="s">
        <v>239</v>
      </c>
      <c r="I131" s="381" t="s">
        <v>240</v>
      </c>
      <c r="J131" s="100"/>
    </row>
    <row r="132" spans="2:10" ht="13">
      <c r="B132" s="389" t="s">
        <v>900</v>
      </c>
      <c r="C132" s="100"/>
      <c r="D132" s="100"/>
      <c r="E132" s="381" t="s">
        <v>42</v>
      </c>
      <c r="F132" s="384" t="s">
        <v>1238</v>
      </c>
      <c r="G132" s="381" t="s">
        <v>241</v>
      </c>
      <c r="H132" s="381" t="s">
        <v>241</v>
      </c>
      <c r="I132" s="381" t="s">
        <v>241</v>
      </c>
      <c r="J132" s="381" t="s">
        <v>245</v>
      </c>
    </row>
    <row r="133" spans="2:10">
      <c r="B133" s="525" t="s">
        <v>2001</v>
      </c>
      <c r="C133" s="526"/>
      <c r="D133" s="527"/>
      <c r="E133" s="1630">
        <f t="shared" ref="E133:E137" si="5">SUM(F133:I133)</f>
        <v>-538685772.95982444</v>
      </c>
      <c r="F133" s="524">
        <v>-54238324.322405085</v>
      </c>
      <c r="G133" s="524">
        <v>0</v>
      </c>
      <c r="H133" s="524">
        <v>-484447448.6374194</v>
      </c>
      <c r="I133" s="524">
        <v>0</v>
      </c>
      <c r="J133" s="544" t="s">
        <v>1936</v>
      </c>
    </row>
    <row r="134" spans="2:10">
      <c r="B134" s="525" t="s">
        <v>2002</v>
      </c>
      <c r="C134" s="528"/>
      <c r="D134" s="529"/>
      <c r="E134" s="1630">
        <f t="shared" si="5"/>
        <v>21054851.907049999</v>
      </c>
      <c r="F134" s="524">
        <v>21054851.907049999</v>
      </c>
      <c r="G134" s="524">
        <v>0</v>
      </c>
      <c r="H134" s="524">
        <v>0</v>
      </c>
      <c r="I134" s="524">
        <v>0</v>
      </c>
      <c r="J134" s="544" t="s">
        <v>1937</v>
      </c>
    </row>
    <row r="135" spans="2:10" ht="37.5">
      <c r="B135" s="525" t="s">
        <v>1851</v>
      </c>
      <c r="C135" s="526"/>
      <c r="D135" s="529"/>
      <c r="E135" s="1630">
        <f t="shared" si="5"/>
        <v>-11561406.738749499</v>
      </c>
      <c r="F135" s="524">
        <v>-5652202.6607857123</v>
      </c>
      <c r="G135" s="524">
        <v>-5909204.0779637862</v>
      </c>
      <c r="H135" s="524">
        <v>0</v>
      </c>
      <c r="I135" s="524">
        <v>0</v>
      </c>
      <c r="J135" s="625" t="s">
        <v>1938</v>
      </c>
    </row>
    <row r="136" spans="2:10">
      <c r="B136" s="525" t="s">
        <v>1852</v>
      </c>
      <c r="C136" s="526"/>
      <c r="D136" s="529"/>
      <c r="E136" s="1630">
        <f t="shared" si="5"/>
        <v>19237898.16491</v>
      </c>
      <c r="F136" s="524">
        <v>11841666.139394242</v>
      </c>
      <c r="G136" s="524">
        <v>0</v>
      </c>
      <c r="H136" s="524">
        <v>7396232.0255157575</v>
      </c>
      <c r="I136" s="524">
        <v>0</v>
      </c>
      <c r="J136" s="625" t="s">
        <v>2003</v>
      </c>
    </row>
    <row r="137" spans="2:10" ht="25">
      <c r="B137" s="525" t="s">
        <v>1853</v>
      </c>
      <c r="C137" s="526"/>
      <c r="D137" s="529"/>
      <c r="E137" s="1630">
        <f t="shared" si="5"/>
        <v>-7425532.7183899991</v>
      </c>
      <c r="F137" s="524">
        <v>-742553.2718389997</v>
      </c>
      <c r="G137" s="524">
        <v>0</v>
      </c>
      <c r="H137" s="524">
        <v>-6682979.4465509998</v>
      </c>
      <c r="I137" s="524">
        <v>0</v>
      </c>
      <c r="J137" s="544" t="s">
        <v>1939</v>
      </c>
    </row>
    <row r="138" spans="2:10" ht="13">
      <c r="B138" s="406" t="s">
        <v>901</v>
      </c>
      <c r="C138" s="403"/>
      <c r="D138" s="403"/>
      <c r="E138" s="404">
        <f>SUM(E133:E137)</f>
        <v>-517379962.3450039</v>
      </c>
      <c r="F138" s="404">
        <f>SUM(F133:F137)</f>
        <v>-27736562.208585557</v>
      </c>
      <c r="G138" s="404">
        <f>SUM(G133:G137)</f>
        <v>-5909204.0779637862</v>
      </c>
      <c r="H138" s="404">
        <f>SUM(H133:H137)</f>
        <v>-483734196.05845469</v>
      </c>
      <c r="I138" s="404">
        <f>SUM(I133:I137)</f>
        <v>0</v>
      </c>
      <c r="J138" s="405"/>
    </row>
    <row r="139" spans="2:10" ht="13">
      <c r="B139" s="406"/>
      <c r="C139" s="403"/>
      <c r="D139" s="403"/>
      <c r="E139" s="404"/>
      <c r="F139" s="404"/>
      <c r="G139" s="404"/>
      <c r="H139" s="404"/>
      <c r="I139" s="404"/>
      <c r="J139" s="405"/>
    </row>
    <row r="140" spans="2:10">
      <c r="B140" s="425" t="s">
        <v>1595</v>
      </c>
      <c r="C140" s="426"/>
      <c r="D140" s="427"/>
      <c r="E140" s="409">
        <f t="shared" ref="E140:E143" si="6">SUM(F140:I140)</f>
        <v>-4416133.4210042423</v>
      </c>
      <c r="F140" s="399">
        <f>-F136-F137</f>
        <v>-11099112.867555242</v>
      </c>
      <c r="G140" s="399">
        <f t="shared" ref="G140:I140" si="7">-G136-G137</f>
        <v>0</v>
      </c>
      <c r="H140" s="399">
        <f>-H137</f>
        <v>6682979.4465509998</v>
      </c>
      <c r="I140" s="399">
        <f t="shared" si="7"/>
        <v>0</v>
      </c>
      <c r="J140" s="410"/>
    </row>
    <row r="141" spans="2:10">
      <c r="B141" s="407" t="s">
        <v>1596</v>
      </c>
      <c r="C141" s="408"/>
      <c r="D141" s="427"/>
      <c r="E141" s="409">
        <f t="shared" si="6"/>
        <v>11561406.738749499</v>
      </c>
      <c r="F141" s="399">
        <f>-F135</f>
        <v>5652202.6607857123</v>
      </c>
      <c r="G141" s="399">
        <f t="shared" ref="G141:I141" si="8">-G135</f>
        <v>5909204.0779637862</v>
      </c>
      <c r="H141" s="399">
        <f t="shared" si="8"/>
        <v>0</v>
      </c>
      <c r="I141" s="399">
        <f t="shared" si="8"/>
        <v>0</v>
      </c>
      <c r="J141" s="410"/>
    </row>
    <row r="142" spans="2:10">
      <c r="B142" s="407" t="s">
        <v>1597</v>
      </c>
      <c r="C142" s="408"/>
      <c r="D142" s="427"/>
      <c r="E142" s="409">
        <f t="shared" si="6"/>
        <v>0</v>
      </c>
      <c r="F142" s="399">
        <v>0</v>
      </c>
      <c r="G142" s="399">
        <v>0</v>
      </c>
      <c r="H142" s="399">
        <v>0</v>
      </c>
      <c r="I142" s="399">
        <v>0</v>
      </c>
      <c r="J142" s="410"/>
    </row>
    <row r="143" spans="2:10">
      <c r="B143" s="407" t="s">
        <v>1598</v>
      </c>
      <c r="C143" s="408"/>
      <c r="D143" s="427"/>
      <c r="E143" s="409">
        <f t="shared" si="6"/>
        <v>0</v>
      </c>
      <c r="F143" s="399">
        <v>0</v>
      </c>
      <c r="G143" s="399">
        <v>0</v>
      </c>
      <c r="H143" s="399">
        <v>0</v>
      </c>
      <c r="I143" s="399">
        <v>0</v>
      </c>
      <c r="J143" s="410"/>
    </row>
    <row r="144" spans="2:10" ht="5.15" customHeight="1">
      <c r="B144" s="401"/>
      <c r="C144" s="402"/>
      <c r="D144" s="403"/>
      <c r="E144" s="404"/>
      <c r="F144" s="404"/>
      <c r="G144" s="404"/>
      <c r="H144" s="404"/>
      <c r="I144" s="404"/>
      <c r="J144" s="405"/>
    </row>
    <row r="145" spans="2:10" ht="13">
      <c r="B145" s="428" t="s">
        <v>902</v>
      </c>
      <c r="C145" s="429"/>
      <c r="D145" s="403"/>
      <c r="E145" s="404">
        <f>SUM(E140:E144)+E138</f>
        <v>-510234689.02725863</v>
      </c>
      <c r="F145" s="404">
        <f>SUM(F140:F144)+F138</f>
        <v>-33183472.415355086</v>
      </c>
      <c r="G145" s="404">
        <f>SUM(G140:G144)+G138</f>
        <v>0</v>
      </c>
      <c r="H145" s="404">
        <f>SUM(H140:H144)+H138</f>
        <v>-477051216.61190367</v>
      </c>
      <c r="I145" s="404">
        <f>SUM(I140:I144)+I138</f>
        <v>0</v>
      </c>
      <c r="J145" s="405"/>
    </row>
    <row r="146" spans="2:10" ht="13">
      <c r="B146" s="430"/>
      <c r="C146" s="431"/>
      <c r="D146" s="431"/>
      <c r="E146" s="414"/>
      <c r="F146" s="404"/>
      <c r="G146" s="404"/>
      <c r="H146" s="404"/>
      <c r="I146" s="404"/>
      <c r="J146" s="416"/>
    </row>
    <row r="147" spans="2:10" ht="13">
      <c r="B147" s="432" t="s">
        <v>244</v>
      </c>
      <c r="C147" s="433"/>
      <c r="D147" s="413"/>
      <c r="E147" s="414"/>
      <c r="F147" s="414"/>
      <c r="G147" s="414"/>
      <c r="H147" s="414"/>
      <c r="I147" s="415">
        <f>$I$76</f>
        <v>0.13333656721859172</v>
      </c>
      <c r="J147" s="416"/>
    </row>
    <row r="148" spans="2:10" ht="13">
      <c r="B148" s="411" t="s">
        <v>217</v>
      </c>
      <c r="C148" s="412"/>
      <c r="D148" s="413"/>
      <c r="E148" s="414"/>
      <c r="F148" s="414"/>
      <c r="G148" s="414"/>
      <c r="H148" s="415">
        <f>$H$77</f>
        <v>0.37876514246600501</v>
      </c>
      <c r="I148" s="414"/>
      <c r="J148" s="416"/>
    </row>
    <row r="149" spans="2:10" ht="13">
      <c r="B149" s="411" t="s">
        <v>891</v>
      </c>
      <c r="C149" s="412"/>
      <c r="D149" s="413"/>
      <c r="E149" s="414"/>
      <c r="F149" s="414"/>
      <c r="G149" s="415">
        <f>$G$78</f>
        <v>1</v>
      </c>
      <c r="H149" s="414"/>
      <c r="I149" s="414"/>
      <c r="J149" s="416"/>
    </row>
    <row r="150" spans="2:10" ht="13">
      <c r="B150" s="411" t="s">
        <v>892</v>
      </c>
      <c r="C150" s="412"/>
      <c r="D150" s="413"/>
      <c r="E150" s="414"/>
      <c r="F150" s="415">
        <f>$F$79</f>
        <v>0</v>
      </c>
      <c r="G150" s="414"/>
      <c r="H150" s="414"/>
      <c r="I150" s="414"/>
      <c r="J150" s="416"/>
    </row>
    <row r="151" spans="2:10" ht="13">
      <c r="B151" s="417" t="s">
        <v>893</v>
      </c>
      <c r="C151" s="412"/>
      <c r="D151" s="413"/>
      <c r="E151" s="414">
        <f>F151+G151+H151+I151</f>
        <v>-180690372.02358872</v>
      </c>
      <c r="F151" s="414">
        <f>F150*F145</f>
        <v>0</v>
      </c>
      <c r="G151" s="414">
        <f>G145*G149</f>
        <v>0</v>
      </c>
      <c r="H151" s="414">
        <f>H145*H148</f>
        <v>-180690372.02358872</v>
      </c>
      <c r="I151" s="414">
        <f>I147*I145</f>
        <v>0</v>
      </c>
      <c r="J151" s="416"/>
    </row>
    <row r="152" spans="2:10" ht="17.25" customHeight="1">
      <c r="B152" s="397"/>
      <c r="C152" s="397"/>
      <c r="E152" s="388"/>
      <c r="F152" s="388"/>
      <c r="G152" s="388"/>
      <c r="H152" s="388"/>
      <c r="I152" s="388"/>
      <c r="J152" s="419"/>
    </row>
    <row r="153" spans="2:10" ht="13">
      <c r="B153" s="418"/>
      <c r="E153" s="388"/>
      <c r="F153" s="388"/>
      <c r="G153" s="388"/>
      <c r="H153" s="388"/>
      <c r="I153" s="388"/>
      <c r="J153" s="419"/>
    </row>
    <row r="154" spans="2:10" ht="13">
      <c r="B154" s="381" t="s">
        <v>164</v>
      </c>
      <c r="C154" s="381"/>
      <c r="D154" s="381"/>
      <c r="E154" s="381" t="s">
        <v>165</v>
      </c>
      <c r="F154" s="381" t="s">
        <v>1065</v>
      </c>
      <c r="G154" s="381" t="s">
        <v>1202</v>
      </c>
      <c r="H154" s="381" t="s">
        <v>1203</v>
      </c>
      <c r="I154" s="381" t="s">
        <v>1204</v>
      </c>
      <c r="J154" s="381" t="s">
        <v>1205</v>
      </c>
    </row>
    <row r="155" spans="2:10" ht="13">
      <c r="B155" s="389"/>
      <c r="C155" s="100"/>
      <c r="D155" s="100"/>
      <c r="E155" s="381"/>
      <c r="F155" s="381" t="s">
        <v>1236</v>
      </c>
      <c r="G155" s="381" t="s">
        <v>238</v>
      </c>
      <c r="H155" s="381"/>
      <c r="I155" s="381"/>
      <c r="J155" s="100"/>
    </row>
    <row r="156" spans="2:10" ht="13">
      <c r="B156" s="389"/>
      <c r="C156" s="100"/>
      <c r="D156" s="100"/>
      <c r="E156" s="381"/>
      <c r="F156" s="381" t="s">
        <v>1237</v>
      </c>
      <c r="G156" s="381" t="s">
        <v>208</v>
      </c>
      <c r="H156" s="381" t="s">
        <v>239</v>
      </c>
      <c r="I156" s="381" t="s">
        <v>240</v>
      </c>
      <c r="J156" s="100"/>
    </row>
    <row r="157" spans="2:10" ht="13">
      <c r="B157" s="389" t="s">
        <v>903</v>
      </c>
      <c r="C157" s="100"/>
      <c r="D157" s="100"/>
      <c r="E157" s="381" t="s">
        <v>42</v>
      </c>
      <c r="F157" s="384" t="s">
        <v>1238</v>
      </c>
      <c r="G157" s="381" t="s">
        <v>241</v>
      </c>
      <c r="H157" s="381" t="s">
        <v>241</v>
      </c>
      <c r="I157" s="381" t="s">
        <v>241</v>
      </c>
      <c r="J157" s="381" t="s">
        <v>245</v>
      </c>
    </row>
    <row r="158" spans="2:10">
      <c r="B158" s="525" t="s">
        <v>1850</v>
      </c>
      <c r="C158" s="420"/>
      <c r="D158" s="422"/>
      <c r="E158" s="409">
        <f>SUM(F158:I158)</f>
        <v>-336992985.83999997</v>
      </c>
      <c r="F158" s="399">
        <v>-33699298.583999991</v>
      </c>
      <c r="G158" s="399">
        <v>0</v>
      </c>
      <c r="H158" s="399">
        <v>-303293687.25599998</v>
      </c>
      <c r="I158" s="399">
        <v>0</v>
      </c>
      <c r="J158" s="544" t="s">
        <v>1936</v>
      </c>
    </row>
    <row r="159" spans="2:10">
      <c r="B159" s="447"/>
      <c r="C159" s="420"/>
      <c r="D159" s="422"/>
      <c r="E159" s="399"/>
      <c r="F159" s="399"/>
      <c r="G159" s="399"/>
      <c r="H159" s="399"/>
      <c r="I159" s="399"/>
      <c r="J159" s="400"/>
    </row>
    <row r="160" spans="2:10">
      <c r="B160" s="447"/>
      <c r="C160" s="420"/>
      <c r="D160" s="422"/>
      <c r="E160" s="399"/>
      <c r="F160" s="399"/>
      <c r="G160" s="399"/>
      <c r="H160" s="399"/>
      <c r="I160" s="399"/>
      <c r="J160" s="400"/>
    </row>
    <row r="161" spans="2:10">
      <c r="B161" s="447"/>
      <c r="C161" s="420"/>
      <c r="D161" s="421"/>
      <c r="E161" s="423"/>
      <c r="F161" s="423"/>
      <c r="G161" s="423"/>
      <c r="H161" s="423"/>
      <c r="I161" s="423"/>
      <c r="J161" s="424"/>
    </row>
    <row r="162" spans="2:10" ht="13">
      <c r="B162" s="406" t="s">
        <v>904</v>
      </c>
      <c r="C162" s="403"/>
      <c r="D162" s="403"/>
      <c r="E162" s="404">
        <f>SUM(E158:E161)</f>
        <v>-336992985.83999997</v>
      </c>
      <c r="F162" s="404">
        <f>SUM(F158:F161)</f>
        <v>-33699298.583999991</v>
      </c>
      <c r="G162" s="404">
        <f>SUM(G158:G161)</f>
        <v>0</v>
      </c>
      <c r="H162" s="404">
        <f>SUM(H158:H161)</f>
        <v>-303293687.25599998</v>
      </c>
      <c r="I162" s="404">
        <f>SUM(I158:I161)</f>
        <v>0</v>
      </c>
      <c r="J162" s="405"/>
    </row>
    <row r="163" spans="2:10" ht="13">
      <c r="B163" s="406"/>
      <c r="C163" s="403"/>
      <c r="D163" s="403"/>
      <c r="E163" s="404"/>
      <c r="F163" s="404"/>
      <c r="G163" s="404"/>
      <c r="H163" s="404"/>
      <c r="I163" s="404"/>
      <c r="J163" s="405"/>
    </row>
    <row r="164" spans="2:10">
      <c r="B164" s="425" t="s">
        <v>1595</v>
      </c>
      <c r="C164" s="426"/>
      <c r="D164" s="427"/>
      <c r="E164" s="409"/>
      <c r="F164" s="399"/>
      <c r="G164" s="399"/>
      <c r="H164" s="399"/>
      <c r="I164" s="399"/>
      <c r="J164" s="410"/>
    </row>
    <row r="165" spans="2:10">
      <c r="B165" s="407" t="s">
        <v>1596</v>
      </c>
      <c r="C165" s="408"/>
      <c r="D165" s="427"/>
      <c r="E165" s="409"/>
      <c r="F165" s="399"/>
      <c r="G165" s="399"/>
      <c r="H165" s="399"/>
      <c r="I165" s="399"/>
      <c r="J165" s="410"/>
    </row>
    <row r="166" spans="2:10">
      <c r="B166" s="407" t="s">
        <v>1597</v>
      </c>
      <c r="C166" s="408"/>
      <c r="D166" s="427"/>
      <c r="E166" s="409"/>
      <c r="F166" s="399"/>
      <c r="G166" s="399"/>
      <c r="H166" s="399"/>
      <c r="I166" s="399"/>
      <c r="J166" s="410"/>
    </row>
    <row r="167" spans="2:10">
      <c r="B167" s="407" t="s">
        <v>1598</v>
      </c>
      <c r="C167" s="408"/>
      <c r="D167" s="427"/>
      <c r="E167" s="409"/>
      <c r="F167" s="399"/>
      <c r="G167" s="399"/>
      <c r="H167" s="399"/>
      <c r="I167" s="399"/>
      <c r="J167" s="410"/>
    </row>
    <row r="168" spans="2:10" ht="5.15" customHeight="1">
      <c r="B168" s="401"/>
      <c r="C168" s="402"/>
      <c r="D168" s="403"/>
      <c r="E168" s="404"/>
      <c r="F168" s="404"/>
      <c r="G168" s="404"/>
      <c r="H168" s="404"/>
      <c r="I168" s="404"/>
      <c r="J168" s="405"/>
    </row>
    <row r="169" spans="2:10" ht="13">
      <c r="B169" s="428" t="s">
        <v>902</v>
      </c>
      <c r="C169" s="429"/>
      <c r="D169" s="403"/>
      <c r="E169" s="404">
        <f>SUM(E164:E168)+E162</f>
        <v>-336992985.83999997</v>
      </c>
      <c r="F169" s="404">
        <f>SUM(F164:F168)+F162</f>
        <v>-33699298.583999991</v>
      </c>
      <c r="G169" s="404">
        <f>SUM(G164:G168)+G162</f>
        <v>0</v>
      </c>
      <c r="H169" s="404">
        <f>SUM(H164:H168)+H162</f>
        <v>-303293687.25599998</v>
      </c>
      <c r="I169" s="404">
        <f>SUM(I164:I168)+I162</f>
        <v>0</v>
      </c>
      <c r="J169" s="405"/>
    </row>
    <row r="170" spans="2:10" ht="13">
      <c r="B170" s="430"/>
      <c r="C170" s="431"/>
      <c r="D170" s="431"/>
      <c r="E170" s="414"/>
      <c r="F170" s="404"/>
      <c r="G170" s="404"/>
      <c r="H170" s="404"/>
      <c r="I170" s="404"/>
      <c r="J170" s="416"/>
    </row>
    <row r="171" spans="2:10" ht="13">
      <c r="B171" s="432" t="s">
        <v>244</v>
      </c>
      <c r="C171" s="433"/>
      <c r="D171" s="413"/>
      <c r="E171" s="414"/>
      <c r="F171" s="414"/>
      <c r="G171" s="414"/>
      <c r="H171" s="414"/>
      <c r="I171" s="415">
        <f>$I$76</f>
        <v>0.13333656721859172</v>
      </c>
      <c r="J171" s="416"/>
    </row>
    <row r="172" spans="2:10" ht="13">
      <c r="B172" s="411" t="s">
        <v>217</v>
      </c>
      <c r="C172" s="412"/>
      <c r="D172" s="413"/>
      <c r="E172" s="414"/>
      <c r="F172" s="414"/>
      <c r="G172" s="414"/>
      <c r="H172" s="415">
        <f>$H$77</f>
        <v>0.37876514246600501</v>
      </c>
      <c r="I172" s="414"/>
      <c r="J172" s="416"/>
    </row>
    <row r="173" spans="2:10" ht="13">
      <c r="B173" s="411" t="s">
        <v>891</v>
      </c>
      <c r="C173" s="412"/>
      <c r="D173" s="413"/>
      <c r="E173" s="414"/>
      <c r="F173" s="414"/>
      <c r="G173" s="415">
        <f>$G$78</f>
        <v>1</v>
      </c>
      <c r="H173" s="414"/>
      <c r="I173" s="414"/>
      <c r="J173" s="416"/>
    </row>
    <row r="174" spans="2:10" ht="13">
      <c r="B174" s="411" t="s">
        <v>892</v>
      </c>
      <c r="C174" s="412"/>
      <c r="D174" s="413"/>
      <c r="E174" s="414"/>
      <c r="F174" s="415">
        <f>$F$79</f>
        <v>0</v>
      </c>
      <c r="G174" s="414"/>
      <c r="H174" s="414"/>
      <c r="I174" s="414"/>
      <c r="J174" s="416"/>
    </row>
    <row r="175" spans="2:10" ht="13">
      <c r="B175" s="417" t="s">
        <v>893</v>
      </c>
      <c r="C175" s="412"/>
      <c r="D175" s="413"/>
      <c r="E175" s="414">
        <f>F175+G175+H175+I175</f>
        <v>-114877076.66255881</v>
      </c>
      <c r="F175" s="414">
        <f>F174*F169</f>
        <v>0</v>
      </c>
      <c r="G175" s="414">
        <f>G169*G173</f>
        <v>0</v>
      </c>
      <c r="H175" s="414">
        <f>H169*H172</f>
        <v>-114877076.66255881</v>
      </c>
      <c r="I175" s="414">
        <f>I171*I169</f>
        <v>0</v>
      </c>
      <c r="J175" s="416"/>
    </row>
    <row r="176" spans="2:10" ht="13">
      <c r="B176" s="418"/>
      <c r="E176" s="388"/>
      <c r="F176" s="388"/>
      <c r="G176" s="388"/>
      <c r="H176" s="388"/>
      <c r="I176" s="388"/>
      <c r="J176" s="419"/>
    </row>
    <row r="177" spans="2:11" ht="13">
      <c r="B177" s="418"/>
      <c r="E177" s="388"/>
      <c r="F177" s="388"/>
      <c r="G177" s="388"/>
      <c r="H177" s="388"/>
      <c r="I177" s="388"/>
      <c r="J177" s="419"/>
    </row>
    <row r="178" spans="2:11" ht="13">
      <c r="B178" s="381" t="s">
        <v>164</v>
      </c>
      <c r="C178" s="381"/>
      <c r="D178" s="381"/>
      <c r="E178" s="381" t="s">
        <v>165</v>
      </c>
      <c r="F178" s="381" t="s">
        <v>1065</v>
      </c>
      <c r="G178" s="381" t="s">
        <v>1202</v>
      </c>
      <c r="H178" s="381" t="s">
        <v>1203</v>
      </c>
      <c r="I178" s="381" t="s">
        <v>1204</v>
      </c>
      <c r="J178" s="381" t="s">
        <v>1205</v>
      </c>
    </row>
    <row r="179" spans="2:11" ht="13">
      <c r="B179" s="389"/>
      <c r="C179" s="100"/>
      <c r="D179" s="100"/>
      <c r="E179" s="381"/>
      <c r="F179" s="381" t="s">
        <v>1236</v>
      </c>
      <c r="G179" s="381" t="s">
        <v>238</v>
      </c>
      <c r="H179" s="381"/>
      <c r="I179" s="381"/>
      <c r="J179" s="100"/>
    </row>
    <row r="180" spans="2:11" ht="13">
      <c r="B180" s="389"/>
      <c r="C180" s="100"/>
      <c r="D180" s="100"/>
      <c r="E180" s="381"/>
      <c r="F180" s="381" t="s">
        <v>1237</v>
      </c>
      <c r="G180" s="381" t="s">
        <v>208</v>
      </c>
      <c r="H180" s="381" t="s">
        <v>239</v>
      </c>
      <c r="I180" s="381" t="s">
        <v>240</v>
      </c>
      <c r="J180" s="100"/>
    </row>
    <row r="181" spans="2:11" ht="13">
      <c r="B181" s="389" t="s">
        <v>905</v>
      </c>
      <c r="C181" s="100"/>
      <c r="D181" s="100"/>
      <c r="E181" s="381" t="s">
        <v>42</v>
      </c>
      <c r="F181" s="384" t="s">
        <v>1238</v>
      </c>
      <c r="G181" s="381" t="s">
        <v>241</v>
      </c>
      <c r="H181" s="381" t="s">
        <v>241</v>
      </c>
      <c r="I181" s="381" t="s">
        <v>241</v>
      </c>
      <c r="J181" s="381" t="s">
        <v>245</v>
      </c>
    </row>
    <row r="182" spans="2:11">
      <c r="B182" s="413" t="s">
        <v>906</v>
      </c>
      <c r="C182" s="413"/>
      <c r="D182" s="413"/>
      <c r="E182" s="404">
        <f>SUM(F182:I182)</f>
        <v>-517379962.34500402</v>
      </c>
      <c r="F182" s="414">
        <f>F138</f>
        <v>-27736562.208585557</v>
      </c>
      <c r="G182" s="414">
        <f>G138</f>
        <v>-5909204.0779637862</v>
      </c>
      <c r="H182" s="414">
        <f>H138</f>
        <v>-483734196.05845469</v>
      </c>
      <c r="I182" s="414">
        <f>I138</f>
        <v>0</v>
      </c>
      <c r="J182" s="416"/>
    </row>
    <row r="183" spans="2:11">
      <c r="B183" s="413" t="s">
        <v>903</v>
      </c>
      <c r="C183" s="413"/>
      <c r="D183" s="413"/>
      <c r="E183" s="404">
        <f>SUM(F183:I183)</f>
        <v>-336992985.83999997</v>
      </c>
      <c r="F183" s="414">
        <f>F162</f>
        <v>-33699298.583999991</v>
      </c>
      <c r="G183" s="414">
        <f>G162</f>
        <v>0</v>
      </c>
      <c r="H183" s="414">
        <f>H162</f>
        <v>-303293687.25599998</v>
      </c>
      <c r="I183" s="414">
        <f>I162</f>
        <v>0</v>
      </c>
      <c r="J183" s="416"/>
    </row>
    <row r="184" spans="2:11" ht="13">
      <c r="B184" s="406" t="s">
        <v>907</v>
      </c>
      <c r="C184" s="413"/>
      <c r="D184" s="413"/>
      <c r="E184" s="414">
        <f>E182+E183</f>
        <v>-854372948.185004</v>
      </c>
      <c r="F184" s="414">
        <f>F182+F183</f>
        <v>-61435860.792585552</v>
      </c>
      <c r="G184" s="414">
        <f>G182+G183</f>
        <v>-5909204.0779637862</v>
      </c>
      <c r="H184" s="414">
        <f>H182+H183</f>
        <v>-787027883.31445467</v>
      </c>
      <c r="I184" s="414">
        <f>I182+I183</f>
        <v>0</v>
      </c>
      <c r="J184" s="416"/>
    </row>
    <row r="185" spans="2:11" ht="13">
      <c r="B185" s="418"/>
      <c r="E185" s="388"/>
      <c r="F185" s="388"/>
      <c r="G185" s="388"/>
      <c r="H185" s="388"/>
      <c r="I185" s="388"/>
      <c r="J185" s="419"/>
    </row>
    <row r="186" spans="2:11" s="100" customFormat="1" ht="13">
      <c r="B186" s="389" t="s">
        <v>251</v>
      </c>
      <c r="G186" s="439"/>
      <c r="H186" s="439"/>
      <c r="I186" s="439"/>
      <c r="J186" s="440"/>
    </row>
    <row r="187" spans="2:11" s="100" customFormat="1" ht="12.75" customHeight="1">
      <c r="B187" s="1754" t="s">
        <v>1243</v>
      </c>
      <c r="C187" s="1754"/>
      <c r="D187" s="1754"/>
      <c r="E187" s="1754"/>
      <c r="F187" s="1754"/>
      <c r="G187" s="1754"/>
      <c r="H187" s="1754"/>
      <c r="I187" s="1754"/>
      <c r="J187" s="440"/>
    </row>
    <row r="188" spans="2:11" s="100" customFormat="1" ht="13">
      <c r="B188" s="442" t="s">
        <v>247</v>
      </c>
      <c r="C188" s="442"/>
      <c r="H188" s="439"/>
      <c r="I188" s="439"/>
      <c r="J188" s="440"/>
    </row>
    <row r="189" spans="2:11" s="100" customFormat="1" ht="13">
      <c r="B189" s="442" t="s">
        <v>248</v>
      </c>
      <c r="C189" s="442"/>
      <c r="H189" s="439"/>
      <c r="I189" s="439"/>
      <c r="J189" s="440"/>
    </row>
    <row r="190" spans="2:11" s="100" customFormat="1" ht="13">
      <c r="B190" s="442" t="s">
        <v>249</v>
      </c>
      <c r="C190" s="442"/>
      <c r="H190" s="439"/>
      <c r="I190" s="439"/>
      <c r="J190" s="440"/>
    </row>
    <row r="191" spans="2:11" s="100" customFormat="1" ht="15.75" customHeight="1">
      <c r="B191" s="1754" t="s">
        <v>898</v>
      </c>
      <c r="C191" s="1754"/>
      <c r="D191" s="1754"/>
      <c r="E191" s="1754"/>
      <c r="F191" s="1754"/>
      <c r="G191" s="1754"/>
      <c r="H191" s="1754"/>
      <c r="I191" s="1754"/>
      <c r="K191" s="443"/>
    </row>
    <row r="192" spans="2:11" s="100" customFormat="1" ht="15.75" customHeight="1">
      <c r="B192" s="1754"/>
      <c r="C192" s="1754"/>
      <c r="D192" s="1754"/>
      <c r="E192" s="1754"/>
      <c r="F192" s="1754"/>
      <c r="G192" s="1754"/>
      <c r="H192" s="1754"/>
      <c r="I192" s="1754"/>
      <c r="K192" s="443"/>
    </row>
    <row r="193" spans="2:12" s="100" customFormat="1" ht="13">
      <c r="B193" s="442" t="s">
        <v>908</v>
      </c>
      <c r="G193" s="439"/>
      <c r="H193" s="439"/>
      <c r="I193" s="439"/>
      <c r="J193" s="440"/>
    </row>
    <row r="194" spans="2:12" ht="13">
      <c r="B194" s="448" t="s">
        <v>909</v>
      </c>
    </row>
    <row r="195" spans="2:12" ht="12" customHeight="1">
      <c r="B195" s="449"/>
      <c r="C195" s="450"/>
      <c r="D195" s="451"/>
      <c r="E195" s="451"/>
      <c r="F195" s="451"/>
      <c r="G195" s="451"/>
      <c r="H195" s="451"/>
      <c r="I195" s="451"/>
      <c r="J195" s="451"/>
    </row>
    <row r="196" spans="2:12" ht="13">
      <c r="B196" s="378"/>
    </row>
    <row r="197" spans="2:12" ht="13">
      <c r="B197" s="381" t="s">
        <v>164</v>
      </c>
      <c r="C197" s="381"/>
      <c r="D197" s="381"/>
      <c r="E197" s="381" t="s">
        <v>165</v>
      </c>
      <c r="F197" s="381" t="s">
        <v>1065</v>
      </c>
      <c r="G197" s="381" t="s">
        <v>1202</v>
      </c>
      <c r="H197" s="381" t="s">
        <v>1203</v>
      </c>
      <c r="I197" s="381" t="s">
        <v>1204</v>
      </c>
      <c r="J197" s="381" t="s">
        <v>1205</v>
      </c>
    </row>
    <row r="198" spans="2:12" ht="13">
      <c r="B198" s="389"/>
      <c r="C198" s="100"/>
      <c r="D198" s="100"/>
      <c r="E198" s="381"/>
      <c r="F198" s="381" t="s">
        <v>1236</v>
      </c>
      <c r="G198" s="381" t="s">
        <v>238</v>
      </c>
      <c r="H198" s="381"/>
      <c r="I198" s="381"/>
      <c r="J198" s="100"/>
    </row>
    <row r="199" spans="2:12" ht="13">
      <c r="B199" s="389"/>
      <c r="C199" s="397"/>
      <c r="D199" s="100"/>
      <c r="E199" s="381"/>
      <c r="F199" s="381" t="s">
        <v>1237</v>
      </c>
      <c r="G199" s="381" t="s">
        <v>208</v>
      </c>
      <c r="H199" s="381" t="s">
        <v>239</v>
      </c>
      <c r="I199" s="381" t="s">
        <v>240</v>
      </c>
      <c r="J199" s="100"/>
      <c r="L199" s="377" t="s">
        <v>83</v>
      </c>
    </row>
    <row r="200" spans="2:12" ht="13">
      <c r="B200" s="389" t="s">
        <v>910</v>
      </c>
      <c r="C200" s="100"/>
      <c r="D200" s="100"/>
      <c r="E200" s="381" t="s">
        <v>42</v>
      </c>
      <c r="F200" s="384" t="s">
        <v>1238</v>
      </c>
      <c r="G200" s="381" t="s">
        <v>241</v>
      </c>
      <c r="H200" s="381" t="s">
        <v>241</v>
      </c>
      <c r="I200" s="381" t="s">
        <v>241</v>
      </c>
      <c r="J200" s="381" t="s">
        <v>245</v>
      </c>
    </row>
    <row r="201" spans="2:12" ht="25">
      <c r="B201" s="521" t="s">
        <v>1854</v>
      </c>
      <c r="C201" s="526"/>
      <c r="D201" s="530"/>
      <c r="E201" s="409">
        <f>SUM(F201:I201)</f>
        <v>-5906244.4739597915</v>
      </c>
      <c r="F201" s="524">
        <v>-826874.22635437106</v>
      </c>
      <c r="G201" s="524">
        <v>0</v>
      </c>
      <c r="H201" s="524">
        <v>-5079370.2476054206</v>
      </c>
      <c r="I201" s="524">
        <v>0</v>
      </c>
      <c r="J201" s="544" t="s">
        <v>1940</v>
      </c>
    </row>
    <row r="202" spans="2:12">
      <c r="B202" s="521" t="s">
        <v>1749</v>
      </c>
      <c r="C202" s="526"/>
      <c r="D202" s="530"/>
      <c r="E202" s="409">
        <f t="shared" ref="E202:E208" si="9">SUM(F202:I202)</f>
        <v>123873.7916555</v>
      </c>
      <c r="F202" s="524">
        <v>17342.330831770003</v>
      </c>
      <c r="G202" s="524">
        <v>0</v>
      </c>
      <c r="H202" s="524">
        <v>106531.46082373</v>
      </c>
      <c r="I202" s="524">
        <v>0</v>
      </c>
      <c r="J202" s="544" t="s">
        <v>1978</v>
      </c>
    </row>
    <row r="203" spans="2:12" ht="25">
      <c r="B203" s="521" t="s">
        <v>1855</v>
      </c>
      <c r="C203" s="526"/>
      <c r="D203" s="530"/>
      <c r="E203" s="409">
        <f t="shared" si="9"/>
        <v>-1370499.6244735001</v>
      </c>
      <c r="F203" s="524">
        <v>-687686.47368597006</v>
      </c>
      <c r="G203" s="524">
        <v>0</v>
      </c>
      <c r="H203" s="524">
        <v>-682813.15078752988</v>
      </c>
      <c r="I203" s="524">
        <v>0</v>
      </c>
      <c r="J203" s="544" t="s">
        <v>1940</v>
      </c>
    </row>
    <row r="204" spans="2:12" ht="25">
      <c r="B204" s="521" t="s">
        <v>1856</v>
      </c>
      <c r="C204" s="526"/>
      <c r="D204" s="530"/>
      <c r="E204" s="409">
        <f t="shared" si="9"/>
        <v>-43799064.928986505</v>
      </c>
      <c r="F204" s="524">
        <v>-6131869.0900581116</v>
      </c>
      <c r="G204" s="524">
        <v>0</v>
      </c>
      <c r="H204" s="524">
        <v>0</v>
      </c>
      <c r="I204" s="524">
        <v>-37667195.838928394</v>
      </c>
      <c r="J204" s="624" t="s">
        <v>1979</v>
      </c>
    </row>
    <row r="205" spans="2:12">
      <c r="B205" s="521" t="s">
        <v>1857</v>
      </c>
      <c r="C205" s="526"/>
      <c r="D205" s="530"/>
      <c r="E205" s="409">
        <f t="shared" si="9"/>
        <v>-44042822.195285499</v>
      </c>
      <c r="F205" s="524">
        <v>-44042822.195285499</v>
      </c>
      <c r="G205" s="524">
        <v>0</v>
      </c>
      <c r="H205" s="524">
        <v>0</v>
      </c>
      <c r="I205" s="524">
        <v>0</v>
      </c>
      <c r="J205" s="544" t="s">
        <v>1941</v>
      </c>
    </row>
    <row r="206" spans="2:12">
      <c r="B206" s="521" t="s">
        <v>1858</v>
      </c>
      <c r="C206" s="526"/>
      <c r="D206" s="530"/>
      <c r="E206" s="409">
        <f t="shared" si="9"/>
        <v>-928227.80063749966</v>
      </c>
      <c r="F206" s="524">
        <v>-928227.80063749966</v>
      </c>
      <c r="G206" s="524">
        <v>0</v>
      </c>
      <c r="H206" s="524">
        <v>0</v>
      </c>
      <c r="I206" s="524">
        <v>0</v>
      </c>
      <c r="J206" s="544" t="s">
        <v>1941</v>
      </c>
    </row>
    <row r="207" spans="2:12">
      <c r="B207" s="521" t="s">
        <v>1709</v>
      </c>
      <c r="C207" s="526"/>
      <c r="D207" s="530"/>
      <c r="E207" s="409">
        <f t="shared" si="9"/>
        <v>-2163493.1357809999</v>
      </c>
      <c r="F207" s="524">
        <v>-2163493.1357809999</v>
      </c>
      <c r="G207" s="524">
        <v>0</v>
      </c>
      <c r="H207" s="524">
        <v>0</v>
      </c>
      <c r="I207" s="524">
        <v>0</v>
      </c>
      <c r="J207" s="452" t="s">
        <v>1941</v>
      </c>
    </row>
    <row r="208" spans="2:12" ht="25">
      <c r="B208" s="521" t="s">
        <v>1760</v>
      </c>
      <c r="C208" s="526"/>
      <c r="D208" s="530"/>
      <c r="E208" s="409">
        <f t="shared" si="9"/>
        <v>-1240160.1034654998</v>
      </c>
      <c r="F208" s="524">
        <v>-1240160.1034654998</v>
      </c>
      <c r="G208" s="524">
        <v>0</v>
      </c>
      <c r="H208" s="524">
        <v>0</v>
      </c>
      <c r="I208" s="524">
        <v>0</v>
      </c>
      <c r="J208" s="544" t="s">
        <v>1942</v>
      </c>
    </row>
    <row r="209" spans="2:10" ht="13">
      <c r="B209" s="406" t="s">
        <v>911</v>
      </c>
      <c r="C209" s="403"/>
      <c r="D209" s="403"/>
      <c r="E209" s="404">
        <f>SUM(E201:E208)</f>
        <v>-99326638.470933795</v>
      </c>
      <c r="F209" s="404">
        <f>SUM(F201:F208)</f>
        <v>-56003790.694436178</v>
      </c>
      <c r="G209" s="404">
        <f>SUM(G201:G208)</f>
        <v>0</v>
      </c>
      <c r="H209" s="404">
        <f>SUM(H201:H208)</f>
        <v>-5655651.9375692206</v>
      </c>
      <c r="I209" s="404">
        <f>SUM(I201:I208)</f>
        <v>-37667195.838928394</v>
      </c>
      <c r="J209" s="405"/>
    </row>
    <row r="210" spans="2:10" ht="13">
      <c r="B210" s="406"/>
      <c r="C210" s="403"/>
      <c r="D210" s="403"/>
      <c r="E210" s="404"/>
      <c r="F210" s="404"/>
      <c r="G210" s="404"/>
      <c r="H210" s="404"/>
      <c r="I210" s="404"/>
      <c r="J210" s="405"/>
    </row>
    <row r="211" spans="2:10">
      <c r="B211" s="425" t="s">
        <v>1595</v>
      </c>
      <c r="C211" s="426"/>
      <c r="D211" s="427"/>
      <c r="E211" s="409">
        <f>SUM(F211:I211)</f>
        <v>0</v>
      </c>
      <c r="F211" s="399"/>
      <c r="G211" s="399"/>
      <c r="H211" s="399"/>
      <c r="I211" s="399"/>
      <c r="J211" s="410"/>
    </row>
    <row r="212" spans="2:10">
      <c r="B212" s="407" t="s">
        <v>1596</v>
      </c>
      <c r="C212" s="408"/>
      <c r="D212" s="427"/>
      <c r="E212" s="409">
        <f>SUM(F212:I212)</f>
        <v>0</v>
      </c>
      <c r="F212" s="399"/>
      <c r="G212" s="399"/>
      <c r="H212" s="399"/>
      <c r="I212" s="399"/>
      <c r="J212" s="410"/>
    </row>
    <row r="213" spans="2:10">
      <c r="B213" s="407" t="s">
        <v>1597</v>
      </c>
      <c r="C213" s="408"/>
      <c r="D213" s="427"/>
      <c r="E213" s="409">
        <f>SUM(F213:I213)</f>
        <v>0</v>
      </c>
      <c r="F213" s="399"/>
      <c r="G213" s="399"/>
      <c r="H213" s="399"/>
      <c r="I213" s="399"/>
      <c r="J213" s="410"/>
    </row>
    <row r="214" spans="2:10">
      <c r="B214" s="407" t="s">
        <v>1598</v>
      </c>
      <c r="C214" s="408"/>
      <c r="D214" s="427"/>
      <c r="E214" s="409">
        <f>SUM(F214:I214)</f>
        <v>0</v>
      </c>
      <c r="F214" s="399"/>
      <c r="G214" s="399"/>
      <c r="H214" s="399"/>
      <c r="I214" s="399"/>
      <c r="J214" s="410"/>
    </row>
    <row r="215" spans="2:10" ht="5.15" customHeight="1">
      <c r="B215" s="401"/>
      <c r="C215" s="402"/>
      <c r="D215" s="403"/>
      <c r="E215" s="404"/>
      <c r="F215" s="404"/>
      <c r="G215" s="404"/>
      <c r="H215" s="404"/>
      <c r="I215" s="404"/>
      <c r="J215" s="405"/>
    </row>
    <row r="216" spans="2:10" ht="13">
      <c r="B216" s="428" t="s">
        <v>912</v>
      </c>
      <c r="C216" s="429"/>
      <c r="D216" s="403"/>
      <c r="E216" s="404">
        <f>SUM(E211:E215)+E209</f>
        <v>-99326638.470933795</v>
      </c>
      <c r="F216" s="404">
        <f t="shared" ref="F216:I216" si="10">SUM(F211:F215)+F209</f>
        <v>-56003790.694436178</v>
      </c>
      <c r="G216" s="404">
        <f t="shared" si="10"/>
        <v>0</v>
      </c>
      <c r="H216" s="404">
        <f t="shared" si="10"/>
        <v>-5655651.9375692206</v>
      </c>
      <c r="I216" s="404">
        <f t="shared" si="10"/>
        <v>-37667195.838928394</v>
      </c>
      <c r="J216" s="405"/>
    </row>
    <row r="217" spans="2:10" ht="13">
      <c r="B217" s="430"/>
      <c r="C217" s="431"/>
      <c r="D217" s="431"/>
      <c r="E217" s="414"/>
      <c r="F217" s="404"/>
      <c r="G217" s="404"/>
      <c r="H217" s="404"/>
      <c r="I217" s="404"/>
      <c r="J217" s="416"/>
    </row>
    <row r="218" spans="2:10" ht="13">
      <c r="B218" s="432" t="s">
        <v>244</v>
      </c>
      <c r="C218" s="433"/>
      <c r="D218" s="413"/>
      <c r="E218" s="414"/>
      <c r="F218" s="414"/>
      <c r="G218" s="414"/>
      <c r="H218" s="414"/>
      <c r="I218" s="415">
        <f>$I$76</f>
        <v>0.13333656721859172</v>
      </c>
      <c r="J218" s="416"/>
    </row>
    <row r="219" spans="2:10" ht="13">
      <c r="B219" s="411" t="s">
        <v>217</v>
      </c>
      <c r="C219" s="412"/>
      <c r="D219" s="413"/>
      <c r="E219" s="414"/>
      <c r="F219" s="414"/>
      <c r="G219" s="414"/>
      <c r="H219" s="415">
        <f>$H$77</f>
        <v>0.37876514246600501</v>
      </c>
      <c r="I219" s="414"/>
      <c r="J219" s="416"/>
    </row>
    <row r="220" spans="2:10" ht="13">
      <c r="B220" s="411" t="s">
        <v>891</v>
      </c>
      <c r="C220" s="412"/>
      <c r="D220" s="413"/>
      <c r="E220" s="414"/>
      <c r="F220" s="414"/>
      <c r="G220" s="415">
        <f>$G$78</f>
        <v>1</v>
      </c>
      <c r="H220" s="414"/>
      <c r="I220" s="414"/>
      <c r="J220" s="416"/>
    </row>
    <row r="221" spans="2:10" ht="13">
      <c r="B221" s="411" t="s">
        <v>892</v>
      </c>
      <c r="C221" s="412"/>
      <c r="D221" s="413"/>
      <c r="E221" s="414"/>
      <c r="F221" s="415">
        <f>$F$79</f>
        <v>0</v>
      </c>
      <c r="G221" s="414"/>
      <c r="H221" s="414"/>
      <c r="I221" s="414"/>
      <c r="J221" s="416"/>
    </row>
    <row r="222" spans="2:10" ht="17.25" customHeight="1">
      <c r="B222" s="417" t="s">
        <v>893</v>
      </c>
      <c r="C222" s="412"/>
      <c r="D222" s="413"/>
      <c r="E222" s="414">
        <f>F222+G222+H222+I222</f>
        <v>-7164578.4017846771</v>
      </c>
      <c r="F222" s="414">
        <f>F221*F216</f>
        <v>0</v>
      </c>
      <c r="G222" s="414">
        <f>G216*G220</f>
        <v>0</v>
      </c>
      <c r="H222" s="414">
        <f>H216*H219</f>
        <v>-2142163.8118715431</v>
      </c>
      <c r="I222" s="414">
        <f>I218*I216</f>
        <v>-5022414.5899131345</v>
      </c>
      <c r="J222" s="416"/>
    </row>
    <row r="223" spans="2:10" ht="12.75" customHeight="1">
      <c r="B223" s="449"/>
      <c r="C223" s="451"/>
      <c r="D223" s="451"/>
      <c r="E223" s="451"/>
      <c r="F223" s="451"/>
      <c r="G223" s="451"/>
      <c r="H223" s="451"/>
      <c r="I223" s="451"/>
      <c r="J223" s="451"/>
    </row>
    <row r="224" spans="2:10" ht="13">
      <c r="B224" s="381"/>
      <c r="C224" s="381"/>
      <c r="D224" s="381"/>
      <c r="E224" s="381"/>
      <c r="F224" s="381"/>
      <c r="G224" s="381"/>
      <c r="H224" s="381"/>
      <c r="I224" s="381"/>
      <c r="J224" s="381"/>
    </row>
    <row r="225" spans="2:10" ht="13">
      <c r="B225" s="381" t="s">
        <v>164</v>
      </c>
      <c r="C225" s="100"/>
      <c r="D225" s="100"/>
      <c r="E225" s="381" t="s">
        <v>165</v>
      </c>
      <c r="F225" s="381" t="s">
        <v>1065</v>
      </c>
      <c r="G225" s="381" t="s">
        <v>1202</v>
      </c>
      <c r="H225" s="381" t="s">
        <v>1203</v>
      </c>
      <c r="I225" s="381" t="s">
        <v>1204</v>
      </c>
      <c r="J225" s="381" t="s">
        <v>1205</v>
      </c>
    </row>
    <row r="226" spans="2:10" ht="13">
      <c r="B226" s="389"/>
      <c r="C226" s="100"/>
      <c r="D226" s="100"/>
      <c r="E226" s="381"/>
      <c r="F226" s="381" t="s">
        <v>1236</v>
      </c>
      <c r="G226" s="381" t="s">
        <v>238</v>
      </c>
      <c r="H226" s="381"/>
      <c r="I226" s="381"/>
      <c r="J226" s="100"/>
    </row>
    <row r="227" spans="2:10" ht="13">
      <c r="B227" s="434"/>
      <c r="C227" s="100"/>
      <c r="D227" s="100"/>
      <c r="E227" s="381"/>
      <c r="F227" s="381" t="s">
        <v>1237</v>
      </c>
      <c r="G227" s="381" t="s">
        <v>208</v>
      </c>
      <c r="H227" s="381" t="s">
        <v>239</v>
      </c>
      <c r="I227" s="381" t="s">
        <v>240</v>
      </c>
      <c r="J227" s="100"/>
    </row>
    <row r="228" spans="2:10" ht="13">
      <c r="B228" s="389" t="s">
        <v>913</v>
      </c>
      <c r="E228" s="381" t="s">
        <v>42</v>
      </c>
      <c r="F228" s="384" t="s">
        <v>1238</v>
      </c>
      <c r="G228" s="381" t="s">
        <v>241</v>
      </c>
      <c r="H228" s="381" t="s">
        <v>241</v>
      </c>
      <c r="I228" s="381" t="s">
        <v>241</v>
      </c>
      <c r="J228" s="381" t="s">
        <v>245</v>
      </c>
    </row>
    <row r="229" spans="2:10">
      <c r="B229" s="398"/>
      <c r="C229" s="420"/>
      <c r="D229" s="421"/>
      <c r="E229" s="399"/>
      <c r="F229" s="399"/>
      <c r="G229" s="399"/>
      <c r="H229" s="399"/>
      <c r="I229" s="399"/>
      <c r="J229" s="400"/>
    </row>
    <row r="230" spans="2:10">
      <c r="B230" s="398"/>
      <c r="C230" s="420"/>
      <c r="D230" s="422"/>
      <c r="E230" s="399"/>
      <c r="F230" s="399"/>
      <c r="G230" s="399"/>
      <c r="H230" s="399"/>
      <c r="I230" s="399"/>
      <c r="J230" s="400"/>
    </row>
    <row r="231" spans="2:10">
      <c r="B231" s="398"/>
      <c r="C231" s="420"/>
      <c r="D231" s="422"/>
      <c r="E231" s="399"/>
      <c r="F231" s="399"/>
      <c r="G231" s="399"/>
      <c r="H231" s="399"/>
      <c r="I231" s="399"/>
      <c r="J231" s="400"/>
    </row>
    <row r="232" spans="2:10">
      <c r="B232" s="398"/>
      <c r="C232" s="420"/>
      <c r="D232" s="422"/>
      <c r="E232" s="399"/>
      <c r="F232" s="399"/>
      <c r="G232" s="399"/>
      <c r="H232" s="399"/>
      <c r="I232" s="399"/>
      <c r="J232" s="400"/>
    </row>
    <row r="233" spans="2:10">
      <c r="B233" s="398"/>
      <c r="C233" s="420"/>
      <c r="D233" s="422"/>
      <c r="E233" s="399"/>
      <c r="F233" s="399"/>
      <c r="G233" s="399"/>
      <c r="H233" s="399"/>
      <c r="I233" s="399"/>
      <c r="J233" s="400"/>
    </row>
    <row r="234" spans="2:10">
      <c r="B234" s="398"/>
      <c r="C234" s="420"/>
      <c r="D234" s="421"/>
      <c r="E234" s="423"/>
      <c r="F234" s="423"/>
      <c r="G234" s="423"/>
      <c r="H234" s="423"/>
      <c r="I234" s="423"/>
      <c r="J234" s="424"/>
    </row>
    <row r="235" spans="2:10" ht="13">
      <c r="B235" s="406" t="s">
        <v>962</v>
      </c>
      <c r="C235" s="403"/>
      <c r="D235" s="404"/>
      <c r="E235" s="404">
        <f>SUM(E229:E234)</f>
        <v>0</v>
      </c>
      <c r="F235" s="404">
        <f>SUM(F229:F234)</f>
        <v>0</v>
      </c>
      <c r="G235" s="404">
        <f>SUM(G229:G234)</f>
        <v>0</v>
      </c>
      <c r="H235" s="404">
        <f>SUM(H229:H234)</f>
        <v>0</v>
      </c>
      <c r="I235" s="404">
        <f>SUM(I229:I234)</f>
        <v>0</v>
      </c>
      <c r="J235" s="405"/>
    </row>
    <row r="236" spans="2:10" ht="13">
      <c r="B236" s="406"/>
      <c r="C236" s="403"/>
      <c r="D236" s="403"/>
      <c r="E236" s="404"/>
      <c r="F236" s="404"/>
      <c r="G236" s="404"/>
      <c r="H236" s="404"/>
      <c r="I236" s="404"/>
      <c r="J236" s="405"/>
    </row>
    <row r="237" spans="2:10">
      <c r="B237" s="425" t="s">
        <v>1595</v>
      </c>
      <c r="C237" s="426"/>
      <c r="D237" s="427"/>
      <c r="E237" s="409"/>
      <c r="F237" s="399"/>
      <c r="G237" s="399"/>
      <c r="H237" s="399"/>
      <c r="I237" s="399"/>
      <c r="J237" s="410"/>
    </row>
    <row r="238" spans="2:10">
      <c r="B238" s="407" t="s">
        <v>1596</v>
      </c>
      <c r="C238" s="408"/>
      <c r="D238" s="427"/>
      <c r="E238" s="409"/>
      <c r="F238" s="399"/>
      <c r="G238" s="399"/>
      <c r="H238" s="399"/>
      <c r="I238" s="399"/>
      <c r="J238" s="410"/>
    </row>
    <row r="239" spans="2:10">
      <c r="B239" s="407" t="s">
        <v>1597</v>
      </c>
      <c r="C239" s="408"/>
      <c r="D239" s="427"/>
      <c r="E239" s="409"/>
      <c r="F239" s="399"/>
      <c r="G239" s="399"/>
      <c r="H239" s="399"/>
      <c r="I239" s="399"/>
      <c r="J239" s="410"/>
    </row>
    <row r="240" spans="2:10">
      <c r="B240" s="407" t="s">
        <v>1598</v>
      </c>
      <c r="C240" s="408"/>
      <c r="D240" s="427"/>
      <c r="E240" s="409"/>
      <c r="F240" s="399"/>
      <c r="G240" s="399"/>
      <c r="H240" s="399"/>
      <c r="I240" s="399"/>
      <c r="J240" s="410"/>
    </row>
    <row r="241" spans="2:10" ht="5.15" customHeight="1">
      <c r="B241" s="401"/>
      <c r="C241" s="402"/>
      <c r="D241" s="403"/>
      <c r="E241" s="404"/>
      <c r="F241" s="404"/>
      <c r="G241" s="404"/>
      <c r="H241" s="404"/>
      <c r="I241" s="404"/>
      <c r="J241" s="405"/>
    </row>
    <row r="242" spans="2:10" ht="13">
      <c r="B242" s="428" t="s">
        <v>914</v>
      </c>
      <c r="C242" s="429"/>
      <c r="D242" s="403"/>
      <c r="E242" s="404">
        <f>SUM(E237:E241)+E235</f>
        <v>0</v>
      </c>
      <c r="F242" s="404">
        <f>SUM(F237:F241)+F235</f>
        <v>0</v>
      </c>
      <c r="G242" s="404">
        <f>SUM(G237:G241)+G235</f>
        <v>0</v>
      </c>
      <c r="H242" s="404">
        <f>SUM(H237:H241)+H235</f>
        <v>0</v>
      </c>
      <c r="I242" s="404">
        <f>SUM(I237:I241)+I235</f>
        <v>0</v>
      </c>
      <c r="J242" s="405"/>
    </row>
    <row r="243" spans="2:10" ht="13">
      <c r="B243" s="430"/>
      <c r="C243" s="431"/>
      <c r="D243" s="431"/>
      <c r="E243" s="414"/>
      <c r="F243" s="404"/>
      <c r="G243" s="404"/>
      <c r="H243" s="404"/>
      <c r="I243" s="404"/>
      <c r="J243" s="416"/>
    </row>
    <row r="244" spans="2:10" ht="13">
      <c r="B244" s="432" t="s">
        <v>244</v>
      </c>
      <c r="C244" s="433"/>
      <c r="D244" s="413"/>
      <c r="E244" s="414"/>
      <c r="F244" s="414"/>
      <c r="G244" s="414"/>
      <c r="H244" s="414"/>
      <c r="I244" s="415">
        <f>$I$76</f>
        <v>0.13333656721859172</v>
      </c>
      <c r="J244" s="416"/>
    </row>
    <row r="245" spans="2:10" ht="13">
      <c r="B245" s="411" t="s">
        <v>217</v>
      </c>
      <c r="C245" s="412"/>
      <c r="D245" s="413"/>
      <c r="E245" s="414"/>
      <c r="F245" s="414"/>
      <c r="G245" s="414"/>
      <c r="H245" s="415">
        <f>$H$77</f>
        <v>0.37876514246600501</v>
      </c>
      <c r="I245" s="414"/>
      <c r="J245" s="416"/>
    </row>
    <row r="246" spans="2:10" ht="13">
      <c r="B246" s="411" t="s">
        <v>891</v>
      </c>
      <c r="C246" s="412"/>
      <c r="D246" s="413"/>
      <c r="E246" s="414"/>
      <c r="F246" s="414"/>
      <c r="G246" s="415">
        <f>$G$78</f>
        <v>1</v>
      </c>
      <c r="H246" s="414"/>
      <c r="I246" s="414"/>
      <c r="J246" s="416"/>
    </row>
    <row r="247" spans="2:10" ht="13">
      <c r="B247" s="411" t="s">
        <v>892</v>
      </c>
      <c r="C247" s="412"/>
      <c r="D247" s="413"/>
      <c r="E247" s="414"/>
      <c r="F247" s="415">
        <f>$F$79</f>
        <v>0</v>
      </c>
      <c r="G247" s="414"/>
      <c r="H247" s="414"/>
      <c r="I247" s="414"/>
      <c r="J247" s="416"/>
    </row>
    <row r="248" spans="2:10" ht="13">
      <c r="B248" s="417" t="s">
        <v>893</v>
      </c>
      <c r="C248" s="412"/>
      <c r="D248" s="413"/>
      <c r="E248" s="414">
        <f>F248+G248+H248+I248</f>
        <v>0</v>
      </c>
      <c r="F248" s="414">
        <f>F247*F242</f>
        <v>0</v>
      </c>
      <c r="G248" s="414">
        <f>G242*G246</f>
        <v>0</v>
      </c>
      <c r="H248" s="414">
        <f>H242*H245</f>
        <v>0</v>
      </c>
      <c r="I248" s="414">
        <f>I244*I242</f>
        <v>0</v>
      </c>
      <c r="J248" s="416"/>
    </row>
    <row r="249" spans="2:10" ht="13">
      <c r="B249" s="418"/>
      <c r="E249" s="388"/>
      <c r="F249" s="388"/>
      <c r="G249" s="388"/>
      <c r="H249" s="388"/>
      <c r="I249" s="388"/>
      <c r="J249" s="419"/>
    </row>
    <row r="250" spans="2:10" ht="13">
      <c r="B250" s="418"/>
      <c r="E250" s="388"/>
      <c r="F250" s="388"/>
      <c r="G250" s="388"/>
      <c r="H250" s="388"/>
      <c r="I250" s="388"/>
      <c r="J250" s="419"/>
    </row>
    <row r="251" spans="2:10" ht="13">
      <c r="B251" s="381"/>
      <c r="C251" s="381"/>
      <c r="D251" s="381"/>
      <c r="E251" s="381"/>
      <c r="F251" s="381"/>
      <c r="G251" s="381"/>
      <c r="H251" s="381"/>
      <c r="I251" s="381"/>
      <c r="J251" s="381"/>
    </row>
    <row r="252" spans="2:10" ht="13">
      <c r="B252" s="381" t="s">
        <v>164</v>
      </c>
      <c r="C252" s="100"/>
      <c r="D252" s="100"/>
      <c r="E252" s="381" t="s">
        <v>165</v>
      </c>
      <c r="F252" s="381" t="s">
        <v>1065</v>
      </c>
      <c r="G252" s="381" t="s">
        <v>1202</v>
      </c>
      <c r="H252" s="381" t="s">
        <v>1203</v>
      </c>
      <c r="I252" s="381" t="s">
        <v>1204</v>
      </c>
      <c r="J252" s="381" t="s">
        <v>1205</v>
      </c>
    </row>
    <row r="253" spans="2:10" ht="13">
      <c r="B253" s="389"/>
      <c r="C253" s="100"/>
      <c r="D253" s="100"/>
      <c r="E253" s="381"/>
      <c r="F253" s="381" t="s">
        <v>1236</v>
      </c>
      <c r="G253" s="381" t="s">
        <v>238</v>
      </c>
      <c r="H253" s="381"/>
      <c r="I253" s="381"/>
      <c r="J253" s="100"/>
    </row>
    <row r="254" spans="2:10" ht="13">
      <c r="B254" s="434"/>
      <c r="C254" s="100"/>
      <c r="D254" s="100"/>
      <c r="E254" s="381"/>
      <c r="F254" s="381" t="s">
        <v>1237</v>
      </c>
      <c r="G254" s="381" t="s">
        <v>208</v>
      </c>
      <c r="H254" s="381" t="s">
        <v>239</v>
      </c>
      <c r="I254" s="381" t="s">
        <v>240</v>
      </c>
      <c r="J254" s="100"/>
    </row>
    <row r="255" spans="2:10" ht="13">
      <c r="B255" s="389" t="s">
        <v>913</v>
      </c>
      <c r="E255" s="381" t="s">
        <v>42</v>
      </c>
      <c r="F255" s="384" t="s">
        <v>1238</v>
      </c>
      <c r="G255" s="381" t="s">
        <v>241</v>
      </c>
      <c r="H255" s="381" t="s">
        <v>241</v>
      </c>
      <c r="I255" s="381" t="s">
        <v>241</v>
      </c>
      <c r="J255" s="381" t="s">
        <v>245</v>
      </c>
    </row>
    <row r="256" spans="2:10">
      <c r="B256" s="413" t="s">
        <v>961</v>
      </c>
      <c r="C256" s="413"/>
      <c r="D256" s="413"/>
      <c r="E256" s="404">
        <f>SUM(F256:I256)</f>
        <v>-99326638.470933795</v>
      </c>
      <c r="F256" s="414">
        <f>F209</f>
        <v>-56003790.694436178</v>
      </c>
      <c r="G256" s="414">
        <f>G209</f>
        <v>0</v>
      </c>
      <c r="H256" s="414">
        <f>H209</f>
        <v>-5655651.9375692206</v>
      </c>
      <c r="I256" s="414">
        <f>I209</f>
        <v>-37667195.838928394</v>
      </c>
      <c r="J256" s="416"/>
    </row>
    <row r="257" spans="2:11">
      <c r="B257" s="413" t="s">
        <v>913</v>
      </c>
      <c r="C257" s="413"/>
      <c r="D257" s="413"/>
      <c r="E257" s="404">
        <f>SUM(F257:I257)</f>
        <v>0</v>
      </c>
      <c r="F257" s="414">
        <f>F235</f>
        <v>0</v>
      </c>
      <c r="G257" s="414">
        <f>G235</f>
        <v>0</v>
      </c>
      <c r="H257" s="414">
        <f>H235</f>
        <v>0</v>
      </c>
      <c r="I257" s="414">
        <f>I235</f>
        <v>0</v>
      </c>
      <c r="J257" s="416"/>
    </row>
    <row r="258" spans="2:11" ht="13">
      <c r="B258" s="406" t="s">
        <v>907</v>
      </c>
      <c r="C258" s="413"/>
      <c r="D258" s="413"/>
      <c r="E258" s="414">
        <f>E256+E257</f>
        <v>-99326638.470933795</v>
      </c>
      <c r="F258" s="414">
        <f>F256+F257</f>
        <v>-56003790.694436178</v>
      </c>
      <c r="G258" s="414">
        <f>G256+G257</f>
        <v>0</v>
      </c>
      <c r="H258" s="414">
        <f>H256+H257</f>
        <v>-5655651.9375692206</v>
      </c>
      <c r="I258" s="414">
        <f>I256+I257</f>
        <v>-37667195.838928394</v>
      </c>
      <c r="J258" s="416"/>
    </row>
    <row r="259" spans="2:11" ht="13">
      <c r="B259" s="418"/>
      <c r="E259" s="388"/>
      <c r="F259" s="388"/>
      <c r="G259" s="388"/>
      <c r="H259" s="388"/>
      <c r="I259" s="388"/>
      <c r="J259" s="419"/>
    </row>
    <row r="260" spans="2:11" s="100" customFormat="1" ht="13">
      <c r="B260" s="389" t="s">
        <v>252</v>
      </c>
      <c r="G260" s="439"/>
      <c r="H260" s="439"/>
      <c r="I260" s="439"/>
      <c r="J260" s="440"/>
    </row>
    <row r="261" spans="2:11" s="100" customFormat="1" ht="13">
      <c r="B261" s="1754" t="s">
        <v>1243</v>
      </c>
      <c r="C261" s="1754"/>
      <c r="D261" s="1754"/>
      <c r="E261" s="1754"/>
      <c r="F261" s="1754"/>
      <c r="G261" s="1754"/>
      <c r="H261" s="1754"/>
      <c r="I261" s="1754"/>
      <c r="J261" s="440"/>
    </row>
    <row r="262" spans="2:11" s="100" customFormat="1" ht="13">
      <c r="B262" s="448" t="s">
        <v>247</v>
      </c>
      <c r="G262" s="439"/>
      <c r="H262" s="439"/>
      <c r="I262" s="439"/>
      <c r="J262" s="440"/>
    </row>
    <row r="263" spans="2:11" s="100" customFormat="1" ht="13">
      <c r="B263" s="448" t="s">
        <v>248</v>
      </c>
      <c r="G263" s="439"/>
      <c r="H263" s="439"/>
      <c r="I263" s="439"/>
      <c r="J263" s="440"/>
    </row>
    <row r="264" spans="2:11" s="100" customFormat="1" ht="13">
      <c r="B264" s="448" t="s">
        <v>249</v>
      </c>
      <c r="G264" s="439"/>
      <c r="H264" s="439"/>
      <c r="I264" s="439"/>
      <c r="J264" s="440"/>
    </row>
    <row r="265" spans="2:11" s="100" customFormat="1" ht="15.75" customHeight="1">
      <c r="B265" s="1755" t="s">
        <v>250</v>
      </c>
      <c r="C265" s="1755"/>
      <c r="D265" s="1755"/>
      <c r="E265" s="1755"/>
      <c r="F265" s="1755"/>
      <c r="G265" s="1755"/>
      <c r="H265" s="1755"/>
      <c r="I265" s="1755"/>
      <c r="K265" s="443"/>
    </row>
    <row r="266" spans="2:11" s="100" customFormat="1" ht="15.75" customHeight="1">
      <c r="B266" s="1755"/>
      <c r="C266" s="1755"/>
      <c r="D266" s="1755"/>
      <c r="E266" s="1755"/>
      <c r="F266" s="1755"/>
      <c r="G266" s="1755"/>
      <c r="H266" s="1755"/>
      <c r="I266" s="1755"/>
      <c r="K266" s="443"/>
    </row>
    <row r="267" spans="2:11" s="100" customFormat="1" ht="13">
      <c r="B267" s="442" t="s">
        <v>915</v>
      </c>
      <c r="G267" s="439"/>
      <c r="H267" s="439"/>
      <c r="I267" s="439"/>
      <c r="J267" s="440"/>
    </row>
    <row r="268" spans="2:11" ht="13">
      <c r="B268" s="448" t="s">
        <v>909</v>
      </c>
    </row>
    <row r="269" spans="2:11" ht="12" customHeight="1">
      <c r="B269" s="449"/>
      <c r="C269" s="450"/>
      <c r="D269" s="451"/>
      <c r="E269" s="451"/>
      <c r="F269" s="451"/>
      <c r="G269" s="451"/>
      <c r="H269" s="451"/>
      <c r="I269" s="451"/>
      <c r="J269" s="451"/>
    </row>
    <row r="270" spans="2:11" ht="12.75" customHeight="1">
      <c r="B270" s="449"/>
      <c r="C270" s="451"/>
      <c r="D270" s="451"/>
      <c r="E270" s="451"/>
      <c r="F270" s="451"/>
      <c r="G270" s="451"/>
      <c r="H270" s="451"/>
      <c r="I270" s="451"/>
      <c r="J270" s="451"/>
    </row>
    <row r="271" spans="2:11" ht="13">
      <c r="B271" s="381" t="s">
        <v>164</v>
      </c>
      <c r="C271" s="100"/>
      <c r="D271" s="100"/>
      <c r="E271" s="381" t="s">
        <v>165</v>
      </c>
      <c r="F271" s="381" t="s">
        <v>1065</v>
      </c>
      <c r="G271" s="381" t="s">
        <v>1202</v>
      </c>
      <c r="H271" s="381" t="s">
        <v>1203</v>
      </c>
      <c r="I271" s="381" t="s">
        <v>1204</v>
      </c>
      <c r="J271" s="381" t="s">
        <v>1205</v>
      </c>
    </row>
    <row r="272" spans="2:11" ht="13">
      <c r="B272" s="389"/>
      <c r="C272" s="100"/>
      <c r="D272" s="100"/>
      <c r="E272" s="381"/>
      <c r="F272" s="381" t="s">
        <v>1236</v>
      </c>
      <c r="G272" s="381" t="s">
        <v>238</v>
      </c>
      <c r="H272" s="381"/>
      <c r="I272" s="381"/>
      <c r="J272" s="100"/>
    </row>
    <row r="273" spans="2:10" ht="13">
      <c r="B273" s="434"/>
      <c r="C273" s="100"/>
      <c r="D273" s="100"/>
      <c r="E273" s="381"/>
      <c r="F273" s="381" t="s">
        <v>1237</v>
      </c>
      <c r="G273" s="381" t="s">
        <v>208</v>
      </c>
      <c r="H273" s="381" t="s">
        <v>239</v>
      </c>
      <c r="I273" s="381" t="s">
        <v>240</v>
      </c>
      <c r="J273" s="100"/>
    </row>
    <row r="274" spans="2:10" ht="13">
      <c r="B274" s="389" t="s">
        <v>1252</v>
      </c>
      <c r="E274" s="381" t="s">
        <v>42</v>
      </c>
      <c r="F274" s="384" t="s">
        <v>1238</v>
      </c>
      <c r="G274" s="381" t="s">
        <v>241</v>
      </c>
      <c r="H274" s="381" t="s">
        <v>241</v>
      </c>
      <c r="I274" s="381" t="s">
        <v>241</v>
      </c>
      <c r="J274" s="381" t="s">
        <v>245</v>
      </c>
    </row>
    <row r="275" spans="2:10" ht="50">
      <c r="B275" s="521" t="s">
        <v>1859</v>
      </c>
      <c r="C275" s="1719"/>
      <c r="D275" s="422"/>
      <c r="E275" s="1630">
        <f>SUM(F275:I275)</f>
        <v>-1378942.2504672892</v>
      </c>
      <c r="F275" s="524">
        <v>-113057.9700000002</v>
      </c>
      <c r="G275" s="524">
        <v>0</v>
      </c>
      <c r="H275" s="524">
        <v>-1265884.280467289</v>
      </c>
      <c r="I275" s="524">
        <v>0</v>
      </c>
      <c r="J275" s="452" t="s">
        <v>1439</v>
      </c>
    </row>
    <row r="276" spans="2:10">
      <c r="B276" s="521"/>
      <c r="C276" s="526"/>
      <c r="D276" s="530"/>
      <c r="E276" s="524"/>
      <c r="F276" s="524"/>
      <c r="G276" s="524"/>
      <c r="H276" s="524"/>
      <c r="I276" s="524"/>
      <c r="J276" s="452"/>
    </row>
    <row r="277" spans="2:10">
      <c r="B277" s="521"/>
      <c r="C277" s="526"/>
      <c r="D277" s="530"/>
      <c r="E277" s="524"/>
      <c r="F277" s="524"/>
      <c r="G277" s="524"/>
      <c r="H277" s="524"/>
      <c r="I277" s="524"/>
      <c r="J277" s="452"/>
    </row>
    <row r="278" spans="2:10">
      <c r="B278" s="398"/>
      <c r="C278" s="420"/>
      <c r="D278" s="422"/>
      <c r="E278" s="399"/>
      <c r="F278" s="399"/>
      <c r="G278" s="399"/>
      <c r="H278" s="399"/>
      <c r="I278" s="399"/>
      <c r="J278" s="452"/>
    </row>
    <row r="279" spans="2:10">
      <c r="B279" s="398"/>
      <c r="C279" s="420"/>
      <c r="D279" s="422"/>
      <c r="E279" s="399"/>
      <c r="F279" s="399"/>
      <c r="G279" s="399"/>
      <c r="H279" s="399"/>
      <c r="I279" s="399"/>
      <c r="J279" s="452"/>
    </row>
    <row r="280" spans="2:10">
      <c r="B280" s="398"/>
      <c r="C280" s="420"/>
      <c r="D280" s="422"/>
      <c r="E280" s="399"/>
      <c r="F280" s="399"/>
      <c r="G280" s="399"/>
      <c r="H280" s="399"/>
      <c r="I280" s="399"/>
      <c r="J280" s="452"/>
    </row>
    <row r="281" spans="2:10">
      <c r="B281" s="398"/>
      <c r="C281" s="420"/>
      <c r="D281" s="422"/>
      <c r="E281" s="399"/>
      <c r="F281" s="399"/>
      <c r="G281" s="399"/>
      <c r="H281" s="399"/>
      <c r="I281" s="399"/>
      <c r="J281" s="452"/>
    </row>
    <row r="282" spans="2:10" ht="13">
      <c r="B282" s="406" t="s">
        <v>1246</v>
      </c>
      <c r="C282" s="429"/>
      <c r="D282" s="403"/>
      <c r="E282" s="404">
        <f>SUM(E275:E281)</f>
        <v>-1378942.2504672892</v>
      </c>
      <c r="F282" s="404">
        <f>SUM(F275:F281)</f>
        <v>-113057.9700000002</v>
      </c>
      <c r="G282" s="404">
        <f>SUM(G275:G281)</f>
        <v>0</v>
      </c>
      <c r="H282" s="404">
        <f>SUM(H275:H281)</f>
        <v>-1265884.280467289</v>
      </c>
      <c r="I282" s="404">
        <f>SUM(I275:I281)</f>
        <v>0</v>
      </c>
      <c r="J282" s="405"/>
    </row>
    <row r="283" spans="2:10" ht="13">
      <c r="B283" s="406"/>
      <c r="C283" s="403"/>
      <c r="D283" s="403"/>
      <c r="E283" s="404"/>
      <c r="F283" s="404"/>
      <c r="G283" s="404"/>
      <c r="H283" s="404"/>
      <c r="I283" s="404"/>
      <c r="J283" s="405"/>
    </row>
    <row r="284" spans="2:10">
      <c r="B284" s="407"/>
      <c r="C284" s="408"/>
      <c r="D284" s="427"/>
      <c r="E284" s="409"/>
      <c r="F284" s="399"/>
      <c r="G284" s="399"/>
      <c r="H284" s="399">
        <v>0</v>
      </c>
      <c r="I284" s="399"/>
      <c r="J284" s="410"/>
    </row>
    <row r="285" spans="2:10">
      <c r="B285" s="407"/>
      <c r="C285" s="408"/>
      <c r="D285" s="427"/>
      <c r="E285" s="409"/>
      <c r="F285" s="399"/>
      <c r="G285" s="399"/>
      <c r="H285" s="399">
        <v>0</v>
      </c>
      <c r="I285" s="399"/>
      <c r="J285" s="410"/>
    </row>
    <row r="286" spans="2:10">
      <c r="B286" s="407"/>
      <c r="C286" s="408"/>
      <c r="D286" s="427"/>
      <c r="E286" s="409"/>
      <c r="F286" s="399"/>
      <c r="G286" s="399"/>
      <c r="H286" s="399">
        <v>0</v>
      </c>
      <c r="I286" s="399"/>
      <c r="J286" s="410"/>
    </row>
    <row r="287" spans="2:10">
      <c r="B287" s="407"/>
      <c r="C287" s="408"/>
      <c r="D287" s="427"/>
      <c r="E287" s="409"/>
      <c r="F287" s="399"/>
      <c r="G287" s="399"/>
      <c r="H287" s="399">
        <v>0</v>
      </c>
      <c r="I287" s="399"/>
      <c r="J287" s="410"/>
    </row>
    <row r="288" spans="2:10" ht="5.15" customHeight="1">
      <c r="B288" s="401"/>
      <c r="C288" s="402"/>
      <c r="D288" s="403"/>
      <c r="E288" s="404"/>
      <c r="F288" s="404"/>
      <c r="G288" s="404"/>
      <c r="H288" s="404"/>
      <c r="I288" s="404"/>
      <c r="J288" s="405"/>
    </row>
    <row r="289" spans="2:10" ht="13">
      <c r="B289" s="406" t="s">
        <v>1247</v>
      </c>
      <c r="C289" s="403"/>
      <c r="D289" s="403"/>
      <c r="E289" s="404">
        <f>SUM(E284:E288)+E282</f>
        <v>-1378942.2504672892</v>
      </c>
      <c r="F289" s="404">
        <f>SUM(F284:F288)+F282</f>
        <v>-113057.9700000002</v>
      </c>
      <c r="G289" s="404">
        <f>SUM(G284:G288)+G282</f>
        <v>0</v>
      </c>
      <c r="H289" s="404">
        <f>SUM(H284:H288)+H282</f>
        <v>-1265884.280467289</v>
      </c>
      <c r="I289" s="404">
        <f>SUM(I284:I288)+I282</f>
        <v>0</v>
      </c>
      <c r="J289" s="405"/>
    </row>
    <row r="290" spans="2:10" ht="13">
      <c r="B290" s="453"/>
      <c r="C290" s="413"/>
      <c r="D290" s="413"/>
      <c r="E290" s="414"/>
      <c r="F290" s="404"/>
      <c r="G290" s="404"/>
      <c r="H290" s="404"/>
      <c r="I290" s="404"/>
      <c r="J290" s="416"/>
    </row>
    <row r="291" spans="2:10" ht="13">
      <c r="B291" s="411" t="s">
        <v>244</v>
      </c>
      <c r="C291" s="412"/>
      <c r="D291" s="413"/>
      <c r="E291" s="414"/>
      <c r="F291" s="414"/>
      <c r="G291" s="414"/>
      <c r="H291" s="414"/>
      <c r="I291" s="415">
        <f>$I$76</f>
        <v>0.13333656721859172</v>
      </c>
      <c r="J291" s="416"/>
    </row>
    <row r="292" spans="2:10" ht="13">
      <c r="B292" s="683" t="s">
        <v>217</v>
      </c>
      <c r="C292" s="682"/>
      <c r="D292" s="413"/>
      <c r="E292" s="414"/>
      <c r="F292" s="414"/>
      <c r="G292" s="414"/>
      <c r="H292" s="415">
        <f>$H$77</f>
        <v>0.37876514246600501</v>
      </c>
      <c r="I292" s="414"/>
      <c r="J292" s="416"/>
    </row>
    <row r="293" spans="2:10" ht="13">
      <c r="B293" s="411" t="s">
        <v>891</v>
      </c>
      <c r="C293" s="412"/>
      <c r="D293" s="413"/>
      <c r="E293" s="414"/>
      <c r="F293" s="414"/>
      <c r="G293" s="415">
        <f>$G$78</f>
        <v>1</v>
      </c>
      <c r="H293" s="414"/>
      <c r="I293" s="414"/>
      <c r="J293" s="416"/>
    </row>
    <row r="294" spans="2:10" ht="13">
      <c r="B294" s="411" t="s">
        <v>892</v>
      </c>
      <c r="C294" s="412"/>
      <c r="D294" s="413"/>
      <c r="E294" s="414"/>
      <c r="F294" s="415">
        <f>$F$79</f>
        <v>0</v>
      </c>
      <c r="G294" s="414"/>
      <c r="H294" s="414"/>
      <c r="I294" s="414"/>
      <c r="J294" s="416"/>
    </row>
    <row r="295" spans="2:10" ht="13">
      <c r="B295" s="417" t="s">
        <v>1248</v>
      </c>
      <c r="C295" s="412"/>
      <c r="D295" s="413"/>
      <c r="E295" s="414">
        <f>F295+G295+H295+I295</f>
        <v>-479472.83983666898</v>
      </c>
      <c r="F295" s="414">
        <f>F294*F289</f>
        <v>0</v>
      </c>
      <c r="G295" s="414">
        <f>G289*G293</f>
        <v>0</v>
      </c>
      <c r="H295" s="414">
        <f>H289*H292</f>
        <v>-479472.83983666898</v>
      </c>
      <c r="I295" s="414">
        <f>I291*I289</f>
        <v>0</v>
      </c>
      <c r="J295" s="416"/>
    </row>
    <row r="296" spans="2:10" ht="12.75" customHeight="1">
      <c r="B296" s="449"/>
      <c r="C296" s="451"/>
      <c r="D296" s="451"/>
      <c r="E296" s="451"/>
      <c r="F296" s="451"/>
      <c r="G296" s="451"/>
      <c r="H296" s="451"/>
      <c r="I296" s="451"/>
      <c r="J296" s="451"/>
    </row>
    <row r="297" spans="2:10" ht="12.75" customHeight="1">
      <c r="B297" s="449"/>
      <c r="C297" s="451"/>
      <c r="D297" s="451"/>
      <c r="E297" s="451"/>
      <c r="F297" s="451"/>
      <c r="G297" s="451"/>
      <c r="H297" s="451"/>
      <c r="I297" s="451"/>
      <c r="J297" s="451"/>
    </row>
    <row r="298" spans="2:10" ht="13">
      <c r="B298" s="381" t="s">
        <v>164</v>
      </c>
      <c r="C298" s="100"/>
      <c r="D298" s="100"/>
      <c r="E298" s="381" t="s">
        <v>165</v>
      </c>
      <c r="F298" s="381" t="s">
        <v>1065</v>
      </c>
      <c r="G298" s="381" t="s">
        <v>1202</v>
      </c>
      <c r="H298" s="381" t="s">
        <v>1203</v>
      </c>
      <c r="I298" s="381" t="s">
        <v>1204</v>
      </c>
      <c r="J298" s="381" t="s">
        <v>1205</v>
      </c>
    </row>
    <row r="299" spans="2:10" ht="13">
      <c r="B299" s="389"/>
      <c r="C299" s="100"/>
      <c r="D299" s="100"/>
      <c r="E299" s="381"/>
      <c r="F299" s="381" t="s">
        <v>1236</v>
      </c>
      <c r="G299" s="381" t="s">
        <v>238</v>
      </c>
      <c r="H299" s="381"/>
      <c r="I299" s="381"/>
      <c r="J299" s="100"/>
    </row>
    <row r="300" spans="2:10" ht="13">
      <c r="B300" s="434"/>
      <c r="C300" s="100"/>
      <c r="D300" s="100"/>
      <c r="E300" s="381"/>
      <c r="F300" s="381" t="s">
        <v>1237</v>
      </c>
      <c r="G300" s="381" t="s">
        <v>208</v>
      </c>
      <c r="H300" s="381" t="s">
        <v>239</v>
      </c>
      <c r="I300" s="381" t="s">
        <v>240</v>
      </c>
      <c r="J300" s="100"/>
    </row>
    <row r="301" spans="2:10" ht="13">
      <c r="B301" s="389" t="s">
        <v>1253</v>
      </c>
      <c r="E301" s="381" t="s">
        <v>42</v>
      </c>
      <c r="F301" s="384" t="s">
        <v>1238</v>
      </c>
      <c r="G301" s="381" t="s">
        <v>241</v>
      </c>
      <c r="H301" s="381" t="s">
        <v>241</v>
      </c>
      <c r="I301" s="381" t="s">
        <v>241</v>
      </c>
      <c r="J301" s="381" t="s">
        <v>245</v>
      </c>
    </row>
    <row r="302" spans="2:10" ht="50">
      <c r="B302" s="1720" t="s">
        <v>1135</v>
      </c>
      <c r="C302" s="526"/>
      <c r="D302" s="530"/>
      <c r="E302" s="1630">
        <f>SUM(F302:I302)</f>
        <v>312840.78772585676</v>
      </c>
      <c r="F302" s="524">
        <v>56707.630000000005</v>
      </c>
      <c r="G302" s="524">
        <v>0</v>
      </c>
      <c r="H302" s="524">
        <v>256133.15772585676</v>
      </c>
      <c r="I302" s="399">
        <v>0</v>
      </c>
      <c r="J302" s="452" t="s">
        <v>1439</v>
      </c>
    </row>
    <row r="303" spans="2:10">
      <c r="B303" s="521"/>
      <c r="C303" s="526"/>
      <c r="D303" s="530"/>
      <c r="E303" s="524"/>
      <c r="F303" s="524"/>
      <c r="G303" s="524"/>
      <c r="H303" s="524"/>
      <c r="I303" s="524"/>
      <c r="J303" s="452"/>
    </row>
    <row r="304" spans="2:10">
      <c r="B304" s="398"/>
      <c r="C304" s="420"/>
      <c r="D304" s="422"/>
      <c r="E304" s="399"/>
      <c r="F304" s="399"/>
      <c r="G304" s="399"/>
      <c r="H304" s="399"/>
      <c r="I304" s="399"/>
      <c r="J304" s="452"/>
    </row>
    <row r="305" spans="2:10">
      <c r="B305" s="398"/>
      <c r="C305" s="420"/>
      <c r="D305" s="422"/>
      <c r="E305" s="399"/>
      <c r="F305" s="399"/>
      <c r="G305" s="399"/>
      <c r="H305" s="399"/>
      <c r="I305" s="399"/>
      <c r="J305" s="452"/>
    </row>
    <row r="306" spans="2:10">
      <c r="B306" s="398"/>
      <c r="C306" s="420"/>
      <c r="D306" s="422"/>
      <c r="E306" s="399"/>
      <c r="F306" s="399"/>
      <c r="G306" s="399"/>
      <c r="H306" s="399"/>
      <c r="I306" s="399"/>
      <c r="J306" s="452"/>
    </row>
    <row r="307" spans="2:10">
      <c r="B307" s="398"/>
      <c r="C307" s="420"/>
      <c r="D307" s="422"/>
      <c r="E307" s="399"/>
      <c r="F307" s="399"/>
      <c r="G307" s="399"/>
      <c r="H307" s="399"/>
      <c r="I307" s="399"/>
      <c r="J307" s="452"/>
    </row>
    <row r="308" spans="2:10">
      <c r="B308" s="398"/>
      <c r="C308" s="420"/>
      <c r="D308" s="422"/>
      <c r="E308" s="399"/>
      <c r="F308" s="399"/>
      <c r="G308" s="399"/>
      <c r="H308" s="399"/>
      <c r="I308" s="399"/>
      <c r="J308" s="452"/>
    </row>
    <row r="309" spans="2:10" ht="13">
      <c r="B309" s="406" t="s">
        <v>1246</v>
      </c>
      <c r="C309" s="454"/>
      <c r="D309" s="403"/>
      <c r="E309" s="404">
        <f>SUM(E302:E308)</f>
        <v>312840.78772585676</v>
      </c>
      <c r="F309" s="404">
        <f>SUM(F302:F308)</f>
        <v>56707.630000000005</v>
      </c>
      <c r="G309" s="404">
        <f>SUM(G302:G308)</f>
        <v>0</v>
      </c>
      <c r="H309" s="404">
        <f>SUM(H302:H308)</f>
        <v>256133.15772585676</v>
      </c>
      <c r="I309" s="404">
        <f>SUM(I302:I308)</f>
        <v>0</v>
      </c>
      <c r="J309" s="405"/>
    </row>
    <row r="310" spans="2:10" ht="13">
      <c r="B310" s="406"/>
      <c r="C310" s="403"/>
      <c r="D310" s="403"/>
      <c r="E310" s="404"/>
      <c r="F310" s="404"/>
      <c r="G310" s="404"/>
      <c r="H310" s="404"/>
      <c r="I310" s="404"/>
      <c r="J310" s="405"/>
    </row>
    <row r="311" spans="2:10">
      <c r="B311" s="407"/>
      <c r="C311" s="408"/>
      <c r="D311" s="427"/>
      <c r="E311" s="409"/>
      <c r="F311" s="399"/>
      <c r="G311" s="399"/>
      <c r="H311" s="399"/>
      <c r="I311" s="399"/>
      <c r="J311" s="410"/>
    </row>
    <row r="312" spans="2:10">
      <c r="B312" s="407"/>
      <c r="C312" s="408"/>
      <c r="D312" s="427"/>
      <c r="E312" s="409"/>
      <c r="F312" s="399"/>
      <c r="G312" s="399"/>
      <c r="H312" s="399"/>
      <c r="I312" s="399"/>
      <c r="J312" s="410"/>
    </row>
    <row r="313" spans="2:10">
      <c r="B313" s="407"/>
      <c r="C313" s="408"/>
      <c r="D313" s="427"/>
      <c r="E313" s="409"/>
      <c r="F313" s="399"/>
      <c r="G313" s="399"/>
      <c r="H313" s="399"/>
      <c r="I313" s="399"/>
      <c r="J313" s="410"/>
    </row>
    <row r="314" spans="2:10">
      <c r="B314" s="407"/>
      <c r="C314" s="408"/>
      <c r="D314" s="427"/>
      <c r="E314" s="409"/>
      <c r="F314" s="399"/>
      <c r="G314" s="399"/>
      <c r="H314" s="399"/>
      <c r="I314" s="399"/>
      <c r="J314" s="410"/>
    </row>
    <row r="315" spans="2:10" ht="5.15" customHeight="1">
      <c r="B315" s="401"/>
      <c r="C315" s="402"/>
      <c r="D315" s="403"/>
      <c r="E315" s="404"/>
      <c r="F315" s="404"/>
      <c r="G315" s="404"/>
      <c r="H315" s="404"/>
      <c r="I315" s="404"/>
      <c r="J315" s="405"/>
    </row>
    <row r="316" spans="2:10" ht="13">
      <c r="B316" s="406" t="s">
        <v>1567</v>
      </c>
      <c r="C316" s="403"/>
      <c r="D316" s="403"/>
      <c r="E316" s="404">
        <f>SUM(E311:E315)+E309</f>
        <v>312840.78772585676</v>
      </c>
      <c r="F316" s="404">
        <f>SUM(F311:F315)+F309</f>
        <v>56707.630000000005</v>
      </c>
      <c r="G316" s="404">
        <f>SUM(G311:G315)+G309</f>
        <v>0</v>
      </c>
      <c r="H316" s="404">
        <f>SUM(H311:H315)+H309</f>
        <v>256133.15772585676</v>
      </c>
      <c r="I316" s="404">
        <f>SUM(I311:I315)+I309</f>
        <v>0</v>
      </c>
      <c r="J316" s="405"/>
    </row>
    <row r="317" spans="2:10" ht="13">
      <c r="B317" s="430"/>
      <c r="C317" s="431"/>
      <c r="D317" s="431"/>
      <c r="E317" s="414"/>
      <c r="F317" s="404"/>
      <c r="G317" s="404"/>
      <c r="H317" s="404"/>
      <c r="I317" s="404"/>
      <c r="J317" s="416"/>
    </row>
    <row r="318" spans="2:10" ht="13">
      <c r="B318" s="432" t="s">
        <v>244</v>
      </c>
      <c r="C318" s="433"/>
      <c r="D318" s="413"/>
      <c r="E318" s="414"/>
      <c r="F318" s="414"/>
      <c r="G318" s="414"/>
      <c r="H318" s="414"/>
      <c r="I318" s="415">
        <f>$I$76</f>
        <v>0.13333656721859172</v>
      </c>
      <c r="J318" s="416"/>
    </row>
    <row r="319" spans="2:10" ht="13">
      <c r="B319" s="683" t="s">
        <v>217</v>
      </c>
      <c r="C319" s="682"/>
      <c r="D319" s="413"/>
      <c r="E319" s="414"/>
      <c r="F319" s="414"/>
      <c r="G319" s="414"/>
      <c r="H319" s="415">
        <f>$H$77</f>
        <v>0.37876514246600501</v>
      </c>
      <c r="I319" s="414"/>
      <c r="J319" s="416"/>
    </row>
    <row r="320" spans="2:10" ht="13">
      <c r="B320" s="411" t="s">
        <v>891</v>
      </c>
      <c r="C320" s="412"/>
      <c r="D320" s="413"/>
      <c r="E320" s="414"/>
      <c r="F320" s="414"/>
      <c r="G320" s="415">
        <f>$G$78</f>
        <v>1</v>
      </c>
      <c r="H320" s="414"/>
      <c r="I320" s="414"/>
      <c r="J320" s="416"/>
    </row>
    <row r="321" spans="1:10" ht="13">
      <c r="B321" s="411" t="s">
        <v>892</v>
      </c>
      <c r="C321" s="412"/>
      <c r="D321" s="413"/>
      <c r="E321" s="414"/>
      <c r="F321" s="415">
        <f>$F$79</f>
        <v>0</v>
      </c>
      <c r="G321" s="414"/>
      <c r="H321" s="414"/>
      <c r="I321" s="414"/>
      <c r="J321" s="416"/>
    </row>
    <row r="322" spans="1:10" ht="13">
      <c r="B322" s="417" t="s">
        <v>1250</v>
      </c>
      <c r="C322" s="412"/>
      <c r="D322" s="413"/>
      <c r="E322" s="414">
        <f>F322+G322+H322+I322</f>
        <v>97014.311976301862</v>
      </c>
      <c r="F322" s="414">
        <f>F321*F316</f>
        <v>0</v>
      </c>
      <c r="G322" s="414">
        <f>G316*G320</f>
        <v>0</v>
      </c>
      <c r="H322" s="414">
        <f>H316*H319</f>
        <v>97014.311976301862</v>
      </c>
      <c r="I322" s="414">
        <f>I316*I318</f>
        <v>0</v>
      </c>
      <c r="J322" s="416"/>
    </row>
    <row r="323" spans="1:10">
      <c r="G323" s="391"/>
    </row>
    <row r="325" spans="1:10" s="343" customFormat="1" ht="15.5">
      <c r="A325" s="455" t="s">
        <v>466</v>
      </c>
      <c r="B325" s="456"/>
      <c r="C325" s="456"/>
      <c r="D325" s="19"/>
      <c r="E325" s="19"/>
      <c r="F325" s="208"/>
      <c r="G325" s="19"/>
      <c r="H325" s="19"/>
      <c r="I325" s="19"/>
      <c r="J325" s="19"/>
    </row>
  </sheetData>
  <mergeCells count="12">
    <mergeCell ref="B191:I192"/>
    <mergeCell ref="B261:I261"/>
    <mergeCell ref="B265:I266"/>
    <mergeCell ref="A1:K1"/>
    <mergeCell ref="A2:K2"/>
    <mergeCell ref="A3:K3"/>
    <mergeCell ref="B6:J6"/>
    <mergeCell ref="B24:I26"/>
    <mergeCell ref="B29:I30"/>
    <mergeCell ref="B120:I120"/>
    <mergeCell ref="B124:I125"/>
    <mergeCell ref="B187:I187"/>
  </mergeCells>
  <pageMargins left="0.7" right="0.7" top="0.75" bottom="0.75" header="0.3" footer="0.3"/>
  <pageSetup scale="34" orientation="landscape" r:id="rId1"/>
  <rowBreaks count="3" manualBreakCount="3">
    <brk id="81" max="11" man="1"/>
    <brk id="185" max="11" man="1"/>
    <brk id="296" max="11" man="1"/>
  </rowBreaks>
  <ignoredErrors>
    <ignoredError sqref="H14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FA32-5374-410B-AB39-A1EA1FA6C55D}">
  <dimension ref="A1:S279"/>
  <sheetViews>
    <sheetView view="pageBreakPreview" topLeftCell="B217" zoomScale="60" zoomScaleNormal="80" workbookViewId="0">
      <selection activeCell="B1" sqref="A1:XFD1048576"/>
    </sheetView>
  </sheetViews>
  <sheetFormatPr defaultColWidth="9.1796875" defaultRowHeight="12.5"/>
  <cols>
    <col min="1" max="1" width="5.7265625" style="298" customWidth="1"/>
    <col min="2" max="2" width="11" style="352" customWidth="1"/>
    <col min="3" max="3" width="5.7265625" style="298" customWidth="1"/>
    <col min="4" max="4" width="32.1796875" style="298" customWidth="1"/>
    <col min="5" max="5" width="14.453125" style="298" customWidth="1"/>
    <col min="6" max="6" width="21.81640625" style="298" customWidth="1"/>
    <col min="7" max="7" width="15.1796875" style="298" customWidth="1"/>
    <col min="8" max="8" width="20.81640625" style="298" bestFit="1" customWidth="1"/>
    <col min="9" max="9" width="3.81640625" style="298" customWidth="1"/>
    <col min="10" max="10" width="27.453125" style="298" customWidth="1"/>
    <col min="11" max="11" width="21.81640625" style="298" customWidth="1"/>
    <col min="12" max="12" width="25.1796875" style="298" customWidth="1"/>
    <col min="13" max="13" width="3.81640625" style="298" customWidth="1"/>
    <col min="14" max="14" width="19.7265625" style="298" customWidth="1"/>
    <col min="15" max="15" width="25.453125" style="298" customWidth="1"/>
    <col min="16" max="16" width="24.7265625" style="298" customWidth="1"/>
    <col min="17" max="17" width="25" style="298" customWidth="1"/>
    <col min="18" max="18" width="26.54296875" style="298" customWidth="1"/>
    <col min="19" max="19" width="3.81640625" style="298" customWidth="1"/>
    <col min="20" max="16384" width="9.1796875" style="298"/>
  </cols>
  <sheetData>
    <row r="1" spans="1:19" ht="15.5">
      <c r="A1" s="1749" t="s">
        <v>1436</v>
      </c>
      <c r="B1" s="1749"/>
      <c r="C1" s="1749"/>
      <c r="D1" s="1749"/>
      <c r="E1" s="1749"/>
      <c r="F1" s="1749"/>
      <c r="G1" s="1749"/>
      <c r="H1" s="1749"/>
      <c r="I1" s="1749"/>
      <c r="J1" s="1749"/>
      <c r="K1" s="1749"/>
      <c r="L1" s="1749"/>
      <c r="M1" s="1749"/>
      <c r="N1" s="1749"/>
      <c r="O1" s="1749"/>
      <c r="P1" s="1749"/>
      <c r="Q1" s="1749"/>
      <c r="R1" s="1749"/>
      <c r="S1" s="349"/>
    </row>
    <row r="2" spans="1:19" ht="15.5">
      <c r="A2" s="1749" t="s">
        <v>1254</v>
      </c>
      <c r="B2" s="1749"/>
      <c r="C2" s="1749"/>
      <c r="D2" s="1749"/>
      <c r="E2" s="1749"/>
      <c r="F2" s="1749"/>
      <c r="G2" s="1749"/>
      <c r="H2" s="1749"/>
      <c r="I2" s="1749"/>
      <c r="J2" s="1749"/>
      <c r="K2" s="1749"/>
      <c r="L2" s="1749"/>
      <c r="M2" s="1749"/>
      <c r="N2" s="1749"/>
      <c r="O2" s="1749"/>
      <c r="P2" s="1749"/>
      <c r="Q2" s="1749"/>
      <c r="R2" s="1749"/>
      <c r="S2" s="349"/>
    </row>
    <row r="3" spans="1:19" ht="15.5">
      <c r="A3" s="1749" t="s">
        <v>1440</v>
      </c>
      <c r="B3" s="1749"/>
      <c r="C3" s="1749"/>
      <c r="D3" s="1749"/>
      <c r="E3" s="1749"/>
      <c r="F3" s="1749"/>
      <c r="G3" s="1749"/>
      <c r="H3" s="1749"/>
      <c r="I3" s="1749"/>
      <c r="J3" s="1749"/>
      <c r="K3" s="1749"/>
      <c r="L3" s="1749"/>
      <c r="M3" s="1749"/>
      <c r="N3" s="1749"/>
      <c r="O3" s="1749"/>
      <c r="P3" s="1749"/>
      <c r="Q3" s="1749"/>
      <c r="R3" s="1749"/>
      <c r="S3" s="349"/>
    </row>
    <row r="4" spans="1:19" ht="15.5">
      <c r="A4" s="263"/>
      <c r="B4" s="606"/>
      <c r="C4" s="263"/>
      <c r="D4" s="262"/>
      <c r="E4" s="262"/>
      <c r="F4" s="262"/>
      <c r="G4" s="262"/>
      <c r="H4" s="262"/>
      <c r="I4" s="262"/>
      <c r="J4" s="262"/>
      <c r="K4" s="262"/>
      <c r="L4" s="262"/>
      <c r="M4" s="262"/>
      <c r="N4" s="262"/>
      <c r="O4" s="1668"/>
      <c r="P4" s="262"/>
      <c r="Q4" s="262"/>
      <c r="R4" s="262"/>
    </row>
    <row r="5" spans="1:19" ht="15.5">
      <c r="A5" s="262"/>
      <c r="B5" s="351"/>
      <c r="C5" s="262"/>
      <c r="D5" s="262" t="s">
        <v>868</v>
      </c>
      <c r="E5" s="264" t="s">
        <v>1975</v>
      </c>
      <c r="F5" s="265"/>
      <c r="G5" s="265"/>
      <c r="H5" s="265"/>
      <c r="I5" s="262"/>
      <c r="J5" s="262"/>
      <c r="K5" s="262"/>
      <c r="L5" s="262"/>
      <c r="M5" s="262"/>
      <c r="N5" s="262"/>
      <c r="O5" s="1668"/>
      <c r="P5" s="262"/>
      <c r="Q5" s="262"/>
      <c r="R5" s="262"/>
    </row>
    <row r="6" spans="1:19" ht="13">
      <c r="D6" s="349"/>
    </row>
    <row r="7" spans="1:19" ht="15.75" customHeight="1">
      <c r="B7" s="1760" t="s">
        <v>1255</v>
      </c>
      <c r="C7" s="1760"/>
      <c r="D7" s="1760"/>
      <c r="E7" s="1760"/>
      <c r="F7" s="1760"/>
      <c r="G7" s="1760"/>
      <c r="H7" s="1760"/>
      <c r="I7" s="1760"/>
      <c r="J7" s="1760"/>
      <c r="K7" s="1760"/>
      <c r="L7" s="1760"/>
      <c r="M7" s="1760"/>
      <c r="N7" s="1760"/>
      <c r="O7" s="1760"/>
      <c r="P7" s="1760"/>
      <c r="Q7" s="1760"/>
      <c r="R7" s="1760"/>
    </row>
    <row r="8" spans="1:19" ht="13">
      <c r="D8" s="349"/>
    </row>
    <row r="9" spans="1:19" ht="13">
      <c r="D9" s="349" t="s">
        <v>1256</v>
      </c>
      <c r="J9" s="1750"/>
      <c r="K9" s="1750"/>
      <c r="L9" s="1750"/>
      <c r="N9" s="1750"/>
      <c r="O9" s="1750"/>
      <c r="P9" s="1750"/>
      <c r="Q9" s="1750"/>
      <c r="R9" s="1750"/>
    </row>
    <row r="10" spans="1:19" ht="13">
      <c r="D10" s="1743" t="s">
        <v>870</v>
      </c>
      <c r="E10" s="1744"/>
      <c r="F10" s="1744"/>
      <c r="G10" s="1744"/>
      <c r="H10" s="1745"/>
      <c r="I10" s="353"/>
      <c r="J10" s="1746" t="s">
        <v>1257</v>
      </c>
      <c r="K10" s="1747"/>
      <c r="L10" s="1748"/>
      <c r="M10" s="353"/>
      <c r="N10" s="1746" t="s">
        <v>1258</v>
      </c>
      <c r="O10" s="1747"/>
      <c r="P10" s="1747"/>
      <c r="Q10" s="1747"/>
      <c r="R10" s="1748"/>
      <c r="S10" s="353"/>
    </row>
    <row r="11" spans="1:19" ht="13">
      <c r="D11" s="354" t="s">
        <v>164</v>
      </c>
      <c r="E11" s="354" t="s">
        <v>165</v>
      </c>
      <c r="F11" s="354" t="s">
        <v>1201</v>
      </c>
      <c r="G11" s="354" t="s">
        <v>1202</v>
      </c>
      <c r="H11" s="354" t="s">
        <v>1203</v>
      </c>
      <c r="I11" s="353"/>
      <c r="J11" s="354" t="s">
        <v>1204</v>
      </c>
      <c r="K11" s="354" t="s">
        <v>1205</v>
      </c>
      <c r="L11" s="354" t="s">
        <v>1206</v>
      </c>
      <c r="M11" s="353"/>
      <c r="N11" s="354" t="s">
        <v>1207</v>
      </c>
      <c r="O11" s="354" t="s">
        <v>1208</v>
      </c>
      <c r="P11" s="354" t="s">
        <v>1209</v>
      </c>
      <c r="Q11" s="354" t="s">
        <v>1210</v>
      </c>
      <c r="R11" s="354" t="s">
        <v>1211</v>
      </c>
      <c r="S11" s="353"/>
    </row>
    <row r="12" spans="1:19" ht="63" customHeight="1">
      <c r="B12" s="355" t="s">
        <v>1212</v>
      </c>
      <c r="D12" s="356" t="s">
        <v>159</v>
      </c>
      <c r="E12" s="356" t="s">
        <v>871</v>
      </c>
      <c r="F12" s="356" t="s">
        <v>960</v>
      </c>
      <c r="G12" s="356" t="s">
        <v>959</v>
      </c>
      <c r="H12" s="356" t="s">
        <v>1213</v>
      </c>
      <c r="I12" s="609"/>
      <c r="J12" s="356" t="s">
        <v>874</v>
      </c>
      <c r="K12" s="356" t="s">
        <v>1214</v>
      </c>
      <c r="L12" s="356" t="s">
        <v>1215</v>
      </c>
      <c r="M12" s="609"/>
      <c r="N12" s="356" t="s">
        <v>958</v>
      </c>
      <c r="O12" s="356" t="s">
        <v>1216</v>
      </c>
      <c r="P12" s="356" t="s">
        <v>1217</v>
      </c>
      <c r="Q12" s="356" t="s">
        <v>1218</v>
      </c>
      <c r="R12" s="356" t="s">
        <v>1219</v>
      </c>
      <c r="S12" s="609"/>
    </row>
    <row r="13" spans="1:19">
      <c r="E13" s="609"/>
      <c r="F13" s="609"/>
      <c r="G13" s="609"/>
      <c r="H13" s="609"/>
      <c r="I13" s="609"/>
      <c r="J13" s="609"/>
      <c r="K13" s="609"/>
      <c r="L13" s="609"/>
      <c r="M13" s="609"/>
      <c r="N13" s="609"/>
      <c r="O13" s="609"/>
      <c r="P13" s="609"/>
      <c r="Q13" s="609"/>
      <c r="R13" s="609"/>
      <c r="S13" s="609"/>
    </row>
    <row r="14" spans="1:19">
      <c r="B14" s="352">
        <v>1</v>
      </c>
      <c r="D14" s="298" t="s">
        <v>1259</v>
      </c>
      <c r="E14" s="609"/>
      <c r="F14" s="609"/>
      <c r="G14" s="609"/>
      <c r="H14" s="609"/>
      <c r="I14" s="609"/>
      <c r="J14" s="614" t="s">
        <v>1828</v>
      </c>
      <c r="K14" s="609"/>
      <c r="L14" s="614">
        <f>'1E - EDIT Amortization'!M34</f>
        <v>3047281</v>
      </c>
      <c r="M14" s="609"/>
      <c r="N14" s="614" t="s">
        <v>1828</v>
      </c>
      <c r="O14" s="609"/>
      <c r="P14" s="609"/>
      <c r="Q14" s="609"/>
      <c r="R14" s="614">
        <f>'1E - EDIT Amortization'!M34</f>
        <v>3047281</v>
      </c>
      <c r="S14" s="609"/>
    </row>
    <row r="15" spans="1:19">
      <c r="E15" s="609"/>
      <c r="F15" s="609"/>
      <c r="G15" s="609"/>
      <c r="H15" s="609"/>
      <c r="I15" s="609"/>
      <c r="J15" s="1508"/>
      <c r="K15" s="609"/>
      <c r="L15" s="609"/>
      <c r="M15" s="609"/>
      <c r="N15" s="1508"/>
      <c r="O15" s="609"/>
      <c r="P15" s="609"/>
      <c r="Q15" s="609"/>
      <c r="R15" s="609"/>
      <c r="S15" s="609"/>
    </row>
    <row r="16" spans="1:19">
      <c r="B16" s="1481">
        <f>B14+1</f>
        <v>2</v>
      </c>
      <c r="D16" s="298" t="s">
        <v>1592</v>
      </c>
      <c r="E16" s="1480"/>
      <c r="F16" s="1480"/>
      <c r="G16" s="1480"/>
      <c r="H16" s="1480"/>
      <c r="I16" s="1480"/>
      <c r="J16" s="614" t="s">
        <v>1974</v>
      </c>
      <c r="K16" s="1480"/>
      <c r="L16" s="1480"/>
      <c r="M16" s="1480"/>
      <c r="N16" s="614" t="s">
        <v>1976</v>
      </c>
      <c r="O16" s="1480"/>
      <c r="P16" s="1480"/>
      <c r="Q16" s="1480"/>
      <c r="R16" s="1480"/>
      <c r="S16" s="1480"/>
    </row>
    <row r="17" spans="2:19">
      <c r="B17" s="1481"/>
      <c r="E17" s="1480"/>
      <c r="F17" s="1480"/>
      <c r="G17" s="1480"/>
      <c r="H17" s="1480"/>
      <c r="I17" s="1480"/>
      <c r="J17" s="1480"/>
      <c r="K17" s="1480"/>
      <c r="L17" s="1480"/>
      <c r="M17" s="1480"/>
      <c r="N17" s="1480"/>
      <c r="O17" s="1480"/>
      <c r="P17" s="1480"/>
      <c r="Q17" s="1480"/>
      <c r="R17" s="1480"/>
      <c r="S17" s="1480"/>
    </row>
    <row r="18" spans="2:19">
      <c r="B18" s="352">
        <f>B16+1</f>
        <v>3</v>
      </c>
      <c r="D18" s="357" t="s">
        <v>493</v>
      </c>
      <c r="E18" s="614">
        <v>31</v>
      </c>
      <c r="F18" s="620">
        <v>0</v>
      </c>
      <c r="G18" s="620">
        <v>214</v>
      </c>
      <c r="H18" s="619">
        <f t="shared" ref="H18:H29" si="0">IF(F18=0,0.5,F18/G18)</f>
        <v>0.5</v>
      </c>
      <c r="I18" s="618"/>
      <c r="J18" s="614">
        <f>'1E - EDIT Amortization'!$O$88/12</f>
        <v>0</v>
      </c>
      <c r="K18" s="612">
        <f t="shared" ref="K18:K29" si="1">+J18*H18</f>
        <v>0</v>
      </c>
      <c r="L18" s="612">
        <f>+K18+L14</f>
        <v>3047281</v>
      </c>
      <c r="M18" s="618"/>
      <c r="N18" s="614">
        <v>0</v>
      </c>
      <c r="O18" s="612">
        <f t="shared" ref="O18:O29" si="2">IF($D$249="True-Up Adjustment",N18-J18,0)</f>
        <v>0</v>
      </c>
      <c r="P18" s="612">
        <f t="shared" ref="P18:P29" si="3">IF($D$249="True-Up Adjustment",IF(AND(J18&gt;=0,N18&gt;=0),IF(O18&gt;=0,K18+O18,N18/J18*K18),IF(AND(J18&lt;0,N18&lt;0),IF(O18&lt;0,K18+O18,N18/J18*K18),0)),0)</f>
        <v>0</v>
      </c>
      <c r="Q18" s="612">
        <f t="shared" ref="Q18:Q29" si="4">IF(AND(J18&gt;=0,N18&lt;0),N18,IF(AND(J18&lt;0,N18&gt;=0),N18,0))</f>
        <v>0</v>
      </c>
      <c r="R18" s="612">
        <f>P18+Q18+R14</f>
        <v>3047281</v>
      </c>
      <c r="S18" s="618"/>
    </row>
    <row r="19" spans="2:19">
      <c r="B19" s="352">
        <f t="shared" ref="B19:B30" si="5">+B18+1</f>
        <v>4</v>
      </c>
      <c r="D19" s="357" t="s">
        <v>494</v>
      </c>
      <c r="E19" s="614">
        <v>28</v>
      </c>
      <c r="F19" s="620">
        <v>0</v>
      </c>
      <c r="G19" s="620">
        <v>214</v>
      </c>
      <c r="H19" s="619">
        <f t="shared" si="0"/>
        <v>0.5</v>
      </c>
      <c r="I19" s="618"/>
      <c r="J19" s="614">
        <f>'1E - EDIT Amortization'!$O$88/12</f>
        <v>0</v>
      </c>
      <c r="K19" s="612">
        <f t="shared" si="1"/>
        <v>0</v>
      </c>
      <c r="L19" s="612">
        <f t="shared" ref="L19:L29" si="6">+K19+L18</f>
        <v>3047281</v>
      </c>
      <c r="M19" s="618"/>
      <c r="N19" s="614">
        <v>0</v>
      </c>
      <c r="O19" s="612">
        <f t="shared" si="2"/>
        <v>0</v>
      </c>
      <c r="P19" s="612">
        <f t="shared" si="3"/>
        <v>0</v>
      </c>
      <c r="Q19" s="612">
        <f t="shared" si="4"/>
        <v>0</v>
      </c>
      <c r="R19" s="612">
        <f t="shared" ref="R19:R29" si="7">R18+P19+Q19</f>
        <v>3047281</v>
      </c>
      <c r="S19" s="618"/>
    </row>
    <row r="20" spans="2:19">
      <c r="B20" s="352">
        <f t="shared" si="5"/>
        <v>5</v>
      </c>
      <c r="D20" s="357" t="s">
        <v>517</v>
      </c>
      <c r="E20" s="614">
        <v>31</v>
      </c>
      <c r="F20" s="620">
        <v>0</v>
      </c>
      <c r="G20" s="620">
        <v>214</v>
      </c>
      <c r="H20" s="619">
        <f t="shared" si="0"/>
        <v>0.5</v>
      </c>
      <c r="I20" s="618"/>
      <c r="J20" s="614">
        <f>'1E - EDIT Amortization'!$O$88/12</f>
        <v>0</v>
      </c>
      <c r="K20" s="612">
        <f t="shared" si="1"/>
        <v>0</v>
      </c>
      <c r="L20" s="612">
        <f t="shared" si="6"/>
        <v>3047281</v>
      </c>
      <c r="M20" s="618"/>
      <c r="N20" s="614">
        <v>0</v>
      </c>
      <c r="O20" s="612">
        <f t="shared" si="2"/>
        <v>0</v>
      </c>
      <c r="P20" s="612">
        <f t="shared" si="3"/>
        <v>0</v>
      </c>
      <c r="Q20" s="612">
        <f t="shared" si="4"/>
        <v>0</v>
      </c>
      <c r="R20" s="612">
        <f t="shared" si="7"/>
        <v>3047281</v>
      </c>
      <c r="S20" s="618"/>
    </row>
    <row r="21" spans="2:19">
      <c r="B21" s="352">
        <f t="shared" si="5"/>
        <v>6</v>
      </c>
      <c r="D21" s="357" t="s">
        <v>161</v>
      </c>
      <c r="E21" s="614">
        <v>30</v>
      </c>
      <c r="F21" s="620">
        <v>0</v>
      </c>
      <c r="G21" s="620">
        <v>214</v>
      </c>
      <c r="H21" s="619">
        <f t="shared" si="0"/>
        <v>0.5</v>
      </c>
      <c r="I21" s="618"/>
      <c r="J21" s="614">
        <f>'1E - EDIT Amortization'!$O$88/12</f>
        <v>0</v>
      </c>
      <c r="K21" s="612">
        <f t="shared" si="1"/>
        <v>0</v>
      </c>
      <c r="L21" s="612">
        <f t="shared" si="6"/>
        <v>3047281</v>
      </c>
      <c r="M21" s="618"/>
      <c r="N21" s="614">
        <v>0</v>
      </c>
      <c r="O21" s="612">
        <f t="shared" si="2"/>
        <v>0</v>
      </c>
      <c r="P21" s="612">
        <f t="shared" si="3"/>
        <v>0</v>
      </c>
      <c r="Q21" s="612">
        <f t="shared" si="4"/>
        <v>0</v>
      </c>
      <c r="R21" s="612">
        <f t="shared" si="7"/>
        <v>3047281</v>
      </c>
      <c r="S21" s="618"/>
    </row>
    <row r="22" spans="2:19">
      <c r="B22" s="352">
        <f t="shared" si="5"/>
        <v>7</v>
      </c>
      <c r="D22" s="357" t="s">
        <v>162</v>
      </c>
      <c r="E22" s="614">
        <v>31</v>
      </c>
      <c r="F22" s="620">
        <v>0</v>
      </c>
      <c r="G22" s="620">
        <v>214</v>
      </c>
      <c r="H22" s="619">
        <f t="shared" si="0"/>
        <v>0.5</v>
      </c>
      <c r="I22" s="618"/>
      <c r="J22" s="614">
        <f>'1E - EDIT Amortization'!$O$88/12</f>
        <v>0</v>
      </c>
      <c r="K22" s="612">
        <f t="shared" si="1"/>
        <v>0</v>
      </c>
      <c r="L22" s="612">
        <f t="shared" si="6"/>
        <v>3047281</v>
      </c>
      <c r="M22" s="618"/>
      <c r="N22" s="614">
        <v>0</v>
      </c>
      <c r="O22" s="612">
        <f t="shared" si="2"/>
        <v>0</v>
      </c>
      <c r="P22" s="612">
        <f t="shared" si="3"/>
        <v>0</v>
      </c>
      <c r="Q22" s="612">
        <f t="shared" si="4"/>
        <v>0</v>
      </c>
      <c r="R22" s="612">
        <f t="shared" si="7"/>
        <v>3047281</v>
      </c>
      <c r="S22" s="618"/>
    </row>
    <row r="23" spans="2:19">
      <c r="B23" s="352">
        <f t="shared" si="5"/>
        <v>8</v>
      </c>
      <c r="D23" s="357" t="s">
        <v>163</v>
      </c>
      <c r="E23" s="614">
        <v>30</v>
      </c>
      <c r="F23" s="620">
        <f t="shared" ref="F23:F28" si="8">F24+E24</f>
        <v>185</v>
      </c>
      <c r="G23" s="620">
        <v>214</v>
      </c>
      <c r="H23" s="619">
        <f t="shared" si="0"/>
        <v>0.86448598130841126</v>
      </c>
      <c r="I23" s="618"/>
      <c r="J23" s="614">
        <f>'1E - EDIT Amortization'!$O$88/12</f>
        <v>0</v>
      </c>
      <c r="K23" s="612">
        <f t="shared" si="1"/>
        <v>0</v>
      </c>
      <c r="L23" s="612">
        <f t="shared" si="6"/>
        <v>3047281</v>
      </c>
      <c r="M23" s="618"/>
      <c r="N23" s="614">
        <v>0</v>
      </c>
      <c r="O23" s="612">
        <f t="shared" si="2"/>
        <v>0</v>
      </c>
      <c r="P23" s="612">
        <f t="shared" si="3"/>
        <v>0</v>
      </c>
      <c r="Q23" s="612">
        <f t="shared" si="4"/>
        <v>0</v>
      </c>
      <c r="R23" s="612">
        <f t="shared" si="7"/>
        <v>3047281</v>
      </c>
      <c r="S23" s="618"/>
    </row>
    <row r="24" spans="2:19">
      <c r="B24" s="352">
        <f t="shared" si="5"/>
        <v>9</v>
      </c>
      <c r="D24" s="357" t="s">
        <v>496</v>
      </c>
      <c r="E24" s="614">
        <v>31</v>
      </c>
      <c r="F24" s="620">
        <f t="shared" si="8"/>
        <v>154</v>
      </c>
      <c r="G24" s="620">
        <v>214</v>
      </c>
      <c r="H24" s="619">
        <f t="shared" si="0"/>
        <v>0.71962616822429903</v>
      </c>
      <c r="I24" s="618"/>
      <c r="J24" s="614">
        <f>'1E - EDIT Amortization'!$O$88/12</f>
        <v>0</v>
      </c>
      <c r="K24" s="612">
        <f t="shared" si="1"/>
        <v>0</v>
      </c>
      <c r="L24" s="612">
        <f t="shared" si="6"/>
        <v>3047281</v>
      </c>
      <c r="M24" s="618"/>
      <c r="N24" s="614">
        <v>0</v>
      </c>
      <c r="O24" s="612">
        <f t="shared" si="2"/>
        <v>0</v>
      </c>
      <c r="P24" s="612">
        <f t="shared" si="3"/>
        <v>0</v>
      </c>
      <c r="Q24" s="612">
        <f t="shared" si="4"/>
        <v>0</v>
      </c>
      <c r="R24" s="612">
        <f t="shared" si="7"/>
        <v>3047281</v>
      </c>
      <c r="S24" s="618"/>
    </row>
    <row r="25" spans="2:19">
      <c r="B25" s="352">
        <f t="shared" si="5"/>
        <v>10</v>
      </c>
      <c r="D25" s="357" t="s">
        <v>518</v>
      </c>
      <c r="E25" s="614">
        <v>31</v>
      </c>
      <c r="F25" s="620">
        <f t="shared" si="8"/>
        <v>123</v>
      </c>
      <c r="G25" s="620">
        <v>214</v>
      </c>
      <c r="H25" s="619">
        <f t="shared" si="0"/>
        <v>0.57476635514018692</v>
      </c>
      <c r="I25" s="618"/>
      <c r="J25" s="614">
        <f>'1E - EDIT Amortization'!$O$88/12</f>
        <v>0</v>
      </c>
      <c r="K25" s="612">
        <f t="shared" si="1"/>
        <v>0</v>
      </c>
      <c r="L25" s="612">
        <f t="shared" si="6"/>
        <v>3047281</v>
      </c>
      <c r="M25" s="618"/>
      <c r="N25" s="614">
        <v>0</v>
      </c>
      <c r="O25" s="612">
        <f t="shared" si="2"/>
        <v>0</v>
      </c>
      <c r="P25" s="612">
        <f t="shared" si="3"/>
        <v>0</v>
      </c>
      <c r="Q25" s="612">
        <f t="shared" si="4"/>
        <v>0</v>
      </c>
      <c r="R25" s="612">
        <f t="shared" si="7"/>
        <v>3047281</v>
      </c>
      <c r="S25" s="618"/>
    </row>
    <row r="26" spans="2:19">
      <c r="B26" s="352">
        <f t="shared" si="5"/>
        <v>11</v>
      </c>
      <c r="D26" s="357" t="s">
        <v>498</v>
      </c>
      <c r="E26" s="614">
        <v>30</v>
      </c>
      <c r="F26" s="620">
        <f t="shared" si="8"/>
        <v>93</v>
      </c>
      <c r="G26" s="620">
        <v>214</v>
      </c>
      <c r="H26" s="619">
        <f t="shared" si="0"/>
        <v>0.43457943925233644</v>
      </c>
      <c r="I26" s="618"/>
      <c r="J26" s="614">
        <f>'1E - EDIT Amortization'!$O$88/12</f>
        <v>0</v>
      </c>
      <c r="K26" s="612">
        <f t="shared" si="1"/>
        <v>0</v>
      </c>
      <c r="L26" s="612">
        <f t="shared" si="6"/>
        <v>3047281</v>
      </c>
      <c r="M26" s="618"/>
      <c r="N26" s="614">
        <v>0</v>
      </c>
      <c r="O26" s="612">
        <f t="shared" si="2"/>
        <v>0</v>
      </c>
      <c r="P26" s="612">
        <f t="shared" si="3"/>
        <v>0</v>
      </c>
      <c r="Q26" s="612">
        <f t="shared" si="4"/>
        <v>0</v>
      </c>
      <c r="R26" s="612">
        <f t="shared" si="7"/>
        <v>3047281</v>
      </c>
      <c r="S26" s="618"/>
    </row>
    <row r="27" spans="2:19">
      <c r="B27" s="352">
        <f t="shared" si="5"/>
        <v>12</v>
      </c>
      <c r="D27" s="357" t="s">
        <v>499</v>
      </c>
      <c r="E27" s="614">
        <v>31</v>
      </c>
      <c r="F27" s="620">
        <f t="shared" si="8"/>
        <v>62</v>
      </c>
      <c r="G27" s="620">
        <v>214</v>
      </c>
      <c r="H27" s="619">
        <f t="shared" si="0"/>
        <v>0.28971962616822428</v>
      </c>
      <c r="I27" s="618"/>
      <c r="J27" s="614">
        <f>'1E - EDIT Amortization'!$O$88/12</f>
        <v>0</v>
      </c>
      <c r="K27" s="612">
        <f t="shared" si="1"/>
        <v>0</v>
      </c>
      <c r="L27" s="612">
        <f t="shared" si="6"/>
        <v>3047281</v>
      </c>
      <c r="M27" s="618"/>
      <c r="N27" s="614">
        <v>0</v>
      </c>
      <c r="O27" s="612">
        <f t="shared" si="2"/>
        <v>0</v>
      </c>
      <c r="P27" s="612">
        <f t="shared" si="3"/>
        <v>0</v>
      </c>
      <c r="Q27" s="612">
        <f t="shared" si="4"/>
        <v>0</v>
      </c>
      <c r="R27" s="612">
        <f t="shared" si="7"/>
        <v>3047281</v>
      </c>
      <c r="S27" s="618"/>
    </row>
    <row r="28" spans="2:19">
      <c r="B28" s="352">
        <f t="shared" si="5"/>
        <v>13</v>
      </c>
      <c r="D28" s="357" t="s">
        <v>500</v>
      </c>
      <c r="E28" s="614">
        <v>30</v>
      </c>
      <c r="F28" s="620">
        <f t="shared" si="8"/>
        <v>32</v>
      </c>
      <c r="G28" s="620">
        <v>214</v>
      </c>
      <c r="H28" s="619">
        <f t="shared" si="0"/>
        <v>0.14953271028037382</v>
      </c>
      <c r="I28" s="618"/>
      <c r="J28" s="614">
        <f>'1E - EDIT Amortization'!$O$88/12</f>
        <v>0</v>
      </c>
      <c r="K28" s="612">
        <f t="shared" si="1"/>
        <v>0</v>
      </c>
      <c r="L28" s="612">
        <f t="shared" si="6"/>
        <v>3047281</v>
      </c>
      <c r="M28" s="618"/>
      <c r="N28" s="614">
        <v>0</v>
      </c>
      <c r="O28" s="612">
        <f t="shared" si="2"/>
        <v>0</v>
      </c>
      <c r="P28" s="612">
        <f t="shared" si="3"/>
        <v>0</v>
      </c>
      <c r="Q28" s="612">
        <f t="shared" si="4"/>
        <v>0</v>
      </c>
      <c r="R28" s="612">
        <f t="shared" si="7"/>
        <v>3047281</v>
      </c>
      <c r="S28" s="618"/>
    </row>
    <row r="29" spans="2:19">
      <c r="B29" s="352">
        <f t="shared" si="5"/>
        <v>14</v>
      </c>
      <c r="D29" s="358" t="s">
        <v>715</v>
      </c>
      <c r="E29" s="614">
        <v>31</v>
      </c>
      <c r="F29" s="620">
        <v>1</v>
      </c>
      <c r="G29" s="620">
        <v>214</v>
      </c>
      <c r="H29" s="619">
        <f t="shared" si="0"/>
        <v>4.6728971962616819E-3</v>
      </c>
      <c r="I29" s="618"/>
      <c r="J29" s="614">
        <f>'1E - EDIT Amortization'!$O$88/12</f>
        <v>0</v>
      </c>
      <c r="K29" s="612">
        <f t="shared" si="1"/>
        <v>0</v>
      </c>
      <c r="L29" s="612">
        <f t="shared" si="6"/>
        <v>3047281</v>
      </c>
      <c r="M29" s="618"/>
      <c r="N29" s="614">
        <v>0</v>
      </c>
      <c r="O29" s="612">
        <f t="shared" si="2"/>
        <v>0</v>
      </c>
      <c r="P29" s="612">
        <f t="shared" si="3"/>
        <v>0</v>
      </c>
      <c r="Q29" s="612">
        <f t="shared" si="4"/>
        <v>0</v>
      </c>
      <c r="R29" s="612">
        <f t="shared" si="7"/>
        <v>3047281</v>
      </c>
      <c r="S29" s="618"/>
    </row>
    <row r="30" spans="2:19">
      <c r="B30" s="352">
        <f t="shared" si="5"/>
        <v>15</v>
      </c>
      <c r="D30" s="359" t="str">
        <f>"Total (Sum of Lines "&amp;B18&amp;" - "&amp;B29&amp;")"</f>
        <v>Total (Sum of Lines 3 - 14)</v>
      </c>
      <c r="E30" s="617">
        <f>SUM(E18:E29)</f>
        <v>365</v>
      </c>
      <c r="F30" s="360"/>
      <c r="G30" s="360"/>
      <c r="H30" s="361"/>
      <c r="I30" s="615"/>
      <c r="J30" s="617">
        <f>SUM(J18:J29)</f>
        <v>0</v>
      </c>
      <c r="K30" s="617">
        <f>SUM(K18:K29)</f>
        <v>0</v>
      </c>
      <c r="L30" s="616"/>
      <c r="M30" s="615"/>
      <c r="N30" s="617">
        <f>SUM(N18:N29)</f>
        <v>0</v>
      </c>
      <c r="O30" s="617">
        <f>SUM(O18:O29)</f>
        <v>0</v>
      </c>
      <c r="P30" s="617">
        <f>SUM(P18:P29)</f>
        <v>0</v>
      </c>
      <c r="Q30" s="617">
        <f>SUM(Q18:Q29)</f>
        <v>0</v>
      </c>
      <c r="R30" s="616"/>
      <c r="S30" s="615"/>
    </row>
    <row r="31" spans="2:19">
      <c r="D31" s="362"/>
      <c r="E31" s="362"/>
      <c r="F31" s="362"/>
      <c r="G31" s="362"/>
      <c r="H31" s="363"/>
      <c r="I31" s="363"/>
      <c r="K31" s="364"/>
      <c r="L31" s="363"/>
      <c r="M31" s="363"/>
      <c r="O31" s="364"/>
      <c r="P31" s="364"/>
      <c r="Q31" s="364"/>
      <c r="R31" s="363"/>
      <c r="S31" s="363"/>
    </row>
    <row r="32" spans="2:19">
      <c r="B32" s="352">
        <f>B30+1</f>
        <v>16</v>
      </c>
      <c r="D32" s="298" t="s">
        <v>1260</v>
      </c>
      <c r="I32" s="363"/>
      <c r="J32" s="614" t="str">
        <f>$J$14</f>
        <v>12/31/2021 (Actuals)</v>
      </c>
      <c r="L32" s="614">
        <f>'1E - EDIT Amortization'!M70+'1E - EDIT Amortization'!M79</f>
        <v>0</v>
      </c>
      <c r="M32" s="365"/>
      <c r="N32" s="614" t="str">
        <f>$N$14</f>
        <v>12/31/2021 (Actuals)</v>
      </c>
      <c r="R32" s="614">
        <f>'1E - EDIT Amortization'!M70+'1E - EDIT Amortization'!M79</f>
        <v>0</v>
      </c>
    </row>
    <row r="33" spans="2:19">
      <c r="B33" s="352">
        <f>B32+1</f>
        <v>17</v>
      </c>
      <c r="D33" s="298" t="s">
        <v>1261</v>
      </c>
      <c r="I33" s="363"/>
      <c r="J33" s="366" t="s">
        <v>611</v>
      </c>
      <c r="L33" s="367">
        <v>0</v>
      </c>
      <c r="M33" s="368"/>
      <c r="N33" s="366"/>
      <c r="R33" s="367">
        <v>0</v>
      </c>
    </row>
    <row r="34" spans="2:19">
      <c r="B34" s="352">
        <f>B33+1</f>
        <v>18</v>
      </c>
      <c r="D34" s="298" t="s">
        <v>1262</v>
      </c>
      <c r="I34" s="363"/>
      <c r="J34" s="359" t="str">
        <f>"(Col. "&amp;L11&amp;", Line "&amp;B32&amp;" + Line "&amp;B33&amp;")"</f>
        <v>(Col. (H), Line 16 + Line 17)</v>
      </c>
      <c r="L34" s="613">
        <f>L32+L33</f>
        <v>0</v>
      </c>
      <c r="M34" s="363"/>
      <c r="N34" s="359" t="str">
        <f>"(Col. "&amp;R11&amp;", Line "&amp;B32&amp;" + Line "&amp;B33&amp;")"</f>
        <v>(Col. (M), Line 16 + Line 17)</v>
      </c>
      <c r="R34" s="613">
        <f>R32+R33</f>
        <v>0</v>
      </c>
    </row>
    <row r="35" spans="2:19">
      <c r="I35" s="363"/>
      <c r="L35" s="613"/>
      <c r="M35" s="363"/>
      <c r="R35" s="613"/>
    </row>
    <row r="36" spans="2:19">
      <c r="B36" s="352">
        <f>B34+1</f>
        <v>19</v>
      </c>
      <c r="D36" s="298" t="s">
        <v>1263</v>
      </c>
      <c r="I36" s="363"/>
      <c r="J36" s="614" t="str">
        <f>$J$16</f>
        <v>2022 Projected</v>
      </c>
      <c r="L36" s="614">
        <f>'1E - EDIT Amortization'!Q70+'1E - EDIT Amortization'!Q79</f>
        <v>0</v>
      </c>
      <c r="M36" s="365"/>
      <c r="N36" s="614" t="str">
        <f>$N$16</f>
        <v>12/31/2022 (Actuals)</v>
      </c>
      <c r="R36" s="614">
        <f>'1E - EDIT Amortization'!Q70+'1E - EDIT Amortization'!Q79</f>
        <v>0</v>
      </c>
    </row>
    <row r="37" spans="2:19">
      <c r="B37" s="352">
        <f>B36+1</f>
        <v>20</v>
      </c>
      <c r="D37" s="298" t="s">
        <v>1264</v>
      </c>
      <c r="I37" s="363"/>
      <c r="J37" s="366" t="s">
        <v>611</v>
      </c>
      <c r="L37" s="367">
        <v>0</v>
      </c>
      <c r="M37" s="363"/>
      <c r="N37" s="366"/>
      <c r="R37" s="367">
        <v>0</v>
      </c>
    </row>
    <row r="38" spans="2:19">
      <c r="B38" s="352">
        <f>B37+1</f>
        <v>21</v>
      </c>
      <c r="D38" s="298" t="s">
        <v>1265</v>
      </c>
      <c r="G38" s="359"/>
      <c r="I38" s="363"/>
      <c r="J38" s="359" t="str">
        <f>"(Col. "&amp;L11&amp;", Line "&amp;B36&amp;" + Line "&amp;B37&amp;")"</f>
        <v>(Col. (H), Line 19 + Line 20)</v>
      </c>
      <c r="L38" s="613">
        <f>L36+L37</f>
        <v>0</v>
      </c>
      <c r="M38" s="363"/>
      <c r="N38" s="359" t="str">
        <f>"(Col. "&amp;R11&amp;", Line "&amp;B36&amp;" + Line "&amp;B37&amp;")"</f>
        <v>(Col. (M), Line 19 + Line 20)</v>
      </c>
      <c r="R38" s="613">
        <f>R36+R37</f>
        <v>0</v>
      </c>
    </row>
    <row r="39" spans="2:19">
      <c r="I39" s="363"/>
      <c r="L39" s="613"/>
      <c r="M39" s="363"/>
      <c r="R39" s="613"/>
    </row>
    <row r="40" spans="2:19">
      <c r="B40" s="352">
        <f>B38+1</f>
        <v>22</v>
      </c>
      <c r="D40" s="298" t="s">
        <v>955</v>
      </c>
      <c r="I40" s="363"/>
      <c r="J40" s="359" t="str">
        <f>"([Col. "&amp;L11&amp;", Line "&amp;B34&amp;" + Line "&amp;B38&amp;"] /2)"</f>
        <v>([Col. (H), Line 18 + Line 21] /2)</v>
      </c>
      <c r="L40" s="612">
        <f>(L34+L38)/2</f>
        <v>0</v>
      </c>
      <c r="M40" s="363"/>
      <c r="N40" s="359" t="str">
        <f>"([Col. "&amp;R11&amp;", Line "&amp;B34&amp;" + Line "&amp;B38&amp;"] /2)"</f>
        <v>([Col. (M), Line 18 + Line 21] /2)</v>
      </c>
      <c r="R40" s="612">
        <f>(R34+R38)/2</f>
        <v>0</v>
      </c>
    </row>
    <row r="41" spans="2:19">
      <c r="B41" s="352">
        <f>B40+1</f>
        <v>23</v>
      </c>
      <c r="D41" s="457" t="s">
        <v>1266</v>
      </c>
      <c r="E41" s="362"/>
      <c r="F41" s="362"/>
      <c r="G41" s="362"/>
      <c r="H41" s="363"/>
      <c r="I41" s="363"/>
      <c r="J41" s="359" t="str">
        <f>"(Col. "&amp;L11&amp;", Line "&amp;B29&amp;" )"</f>
        <v>(Col. (H), Line 14 )</v>
      </c>
      <c r="K41" s="364"/>
      <c r="L41" s="612">
        <f>L29</f>
        <v>3047281</v>
      </c>
      <c r="M41" s="363"/>
      <c r="N41" s="359" t="str">
        <f>"(Col. "&amp;R11&amp;", Line "&amp;B29&amp;" )"</f>
        <v>(Col. (M), Line 14 )</v>
      </c>
      <c r="R41" s="612">
        <f>R29</f>
        <v>3047281</v>
      </c>
    </row>
    <row r="42" spans="2:19" ht="13.5" thickBot="1">
      <c r="B42" s="352">
        <f>B41+1</f>
        <v>24</v>
      </c>
      <c r="D42" s="369" t="s">
        <v>1267</v>
      </c>
      <c r="E42" s="362"/>
      <c r="F42" s="362"/>
      <c r="G42" s="362"/>
      <c r="H42" s="363"/>
      <c r="I42" s="363"/>
      <c r="J42" s="359" t="str">
        <f>"(Col. "&amp;L11&amp;", Line "&amp;B40&amp;" + Line "&amp;B41&amp;")"</f>
        <v>(Col. (H), Line 22 + Line 23)</v>
      </c>
      <c r="K42" s="364"/>
      <c r="L42" s="611">
        <f>L40+L41</f>
        <v>3047281</v>
      </c>
      <c r="M42" s="363"/>
      <c r="N42" s="359" t="str">
        <f>"(Col. "&amp;R11&amp;", Line "&amp;B40&amp;" + Line "&amp;B41&amp;")"</f>
        <v>(Col. (M), Line 22 + Line 23)</v>
      </c>
      <c r="R42" s="611">
        <f>R40+R41</f>
        <v>3047281</v>
      </c>
    </row>
    <row r="43" spans="2:19">
      <c r="I43" s="363"/>
      <c r="L43" s="612"/>
      <c r="M43" s="363"/>
      <c r="R43" s="612"/>
      <c r="S43" s="363"/>
    </row>
    <row r="44" spans="2:19" ht="13">
      <c r="D44" s="349" t="s">
        <v>1268</v>
      </c>
      <c r="J44" s="370"/>
      <c r="K44" s="371"/>
      <c r="L44" s="371"/>
      <c r="N44" s="371"/>
      <c r="O44" s="371"/>
      <c r="P44" s="371"/>
      <c r="Q44" s="371"/>
      <c r="R44" s="371"/>
    </row>
    <row r="45" spans="2:19" ht="13">
      <c r="D45" s="1743" t="s">
        <v>870</v>
      </c>
      <c r="E45" s="1744"/>
      <c r="F45" s="1744"/>
      <c r="G45" s="1744"/>
      <c r="H45" s="1745"/>
      <c r="I45" s="353"/>
      <c r="J45" s="1746" t="s">
        <v>1257</v>
      </c>
      <c r="K45" s="1747"/>
      <c r="L45" s="1748"/>
      <c r="M45" s="353"/>
      <c r="N45" s="1746" t="s">
        <v>1258</v>
      </c>
      <c r="O45" s="1747"/>
      <c r="P45" s="1747"/>
      <c r="Q45" s="1747"/>
      <c r="R45" s="1748"/>
      <c r="S45" s="353"/>
    </row>
    <row r="46" spans="2:19" ht="13">
      <c r="D46" s="354" t="s">
        <v>164</v>
      </c>
      <c r="E46" s="354" t="s">
        <v>165</v>
      </c>
      <c r="F46" s="354" t="s">
        <v>1201</v>
      </c>
      <c r="G46" s="354" t="s">
        <v>1202</v>
      </c>
      <c r="H46" s="354" t="s">
        <v>1203</v>
      </c>
      <c r="I46" s="353"/>
      <c r="J46" s="354" t="s">
        <v>1204</v>
      </c>
      <c r="K46" s="354" t="s">
        <v>1205</v>
      </c>
      <c r="L46" s="354" t="s">
        <v>1206</v>
      </c>
      <c r="M46" s="353"/>
      <c r="N46" s="354" t="s">
        <v>1207</v>
      </c>
      <c r="O46" s="354" t="s">
        <v>1208</v>
      </c>
      <c r="P46" s="354" t="s">
        <v>1209</v>
      </c>
      <c r="Q46" s="354" t="s">
        <v>1210</v>
      </c>
      <c r="R46" s="354" t="s">
        <v>1211</v>
      </c>
      <c r="S46" s="353"/>
    </row>
    <row r="47" spans="2:19" ht="50">
      <c r="B47" s="355" t="s">
        <v>1212</v>
      </c>
      <c r="D47" s="356" t="s">
        <v>159</v>
      </c>
      <c r="E47" s="356" t="s">
        <v>871</v>
      </c>
      <c r="F47" s="356" t="s">
        <v>872</v>
      </c>
      <c r="G47" s="356" t="s">
        <v>873</v>
      </c>
      <c r="H47" s="356" t="s">
        <v>1213</v>
      </c>
      <c r="I47" s="609"/>
      <c r="J47" s="356" t="s">
        <v>874</v>
      </c>
      <c r="K47" s="356" t="s">
        <v>1214</v>
      </c>
      <c r="L47" s="356" t="s">
        <v>1215</v>
      </c>
      <c r="M47" s="609"/>
      <c r="N47" s="356" t="s">
        <v>958</v>
      </c>
      <c r="O47" s="356" t="s">
        <v>1216</v>
      </c>
      <c r="P47" s="356" t="s">
        <v>1217</v>
      </c>
      <c r="Q47" s="356" t="s">
        <v>1218</v>
      </c>
      <c r="R47" s="356" t="s">
        <v>1219</v>
      </c>
      <c r="S47" s="609"/>
    </row>
    <row r="48" spans="2:19">
      <c r="E48" s="609"/>
      <c r="F48" s="609"/>
      <c r="G48" s="609"/>
      <c r="H48" s="609"/>
      <c r="I48" s="609"/>
      <c r="J48" s="609"/>
      <c r="K48" s="609"/>
      <c r="L48" s="609"/>
      <c r="M48" s="609"/>
      <c r="N48" s="609"/>
      <c r="O48" s="609"/>
      <c r="P48" s="609"/>
      <c r="Q48" s="609"/>
      <c r="R48" s="609"/>
      <c r="S48" s="609"/>
    </row>
    <row r="49" spans="2:19">
      <c r="B49" s="352">
        <f>B42+1</f>
        <v>25</v>
      </c>
      <c r="D49" s="298" t="s">
        <v>1259</v>
      </c>
      <c r="E49" s="609"/>
      <c r="F49" s="609"/>
      <c r="G49" s="609"/>
      <c r="H49" s="609"/>
      <c r="I49" s="609"/>
      <c r="J49" s="614" t="str">
        <f>$J$14</f>
        <v>12/31/2021 (Actuals)</v>
      </c>
      <c r="K49" s="609"/>
      <c r="L49" s="614">
        <f>'1E - EDIT Amortization'!M90</f>
        <v>-62200199</v>
      </c>
      <c r="M49" s="609"/>
      <c r="N49" s="614" t="str">
        <f>$N$14</f>
        <v>12/31/2021 (Actuals)</v>
      </c>
      <c r="O49" s="609"/>
      <c r="P49" s="609"/>
      <c r="Q49" s="609"/>
      <c r="R49" s="614">
        <f>'1E - EDIT Amortization'!M90</f>
        <v>-62200199</v>
      </c>
      <c r="S49" s="609"/>
    </row>
    <row r="50" spans="2:19">
      <c r="E50" s="609"/>
      <c r="F50" s="609"/>
      <c r="G50" s="609"/>
      <c r="H50" s="609"/>
      <c r="I50" s="609"/>
      <c r="J50" s="609"/>
      <c r="K50" s="609"/>
      <c r="L50" s="609"/>
      <c r="M50" s="609"/>
      <c r="N50" s="609"/>
      <c r="O50" s="609"/>
      <c r="P50" s="609"/>
      <c r="Q50" s="609"/>
      <c r="R50" s="609"/>
      <c r="S50" s="609"/>
    </row>
    <row r="51" spans="2:19">
      <c r="B51" s="1481">
        <f>B49+1</f>
        <v>26</v>
      </c>
      <c r="D51" s="298" t="s">
        <v>1592</v>
      </c>
      <c r="E51" s="1480"/>
      <c r="F51" s="1480"/>
      <c r="G51" s="1480"/>
      <c r="H51" s="1480"/>
      <c r="I51" s="1480"/>
      <c r="J51" s="614" t="str">
        <f>$J$16</f>
        <v>2022 Projected</v>
      </c>
      <c r="K51" s="1480"/>
      <c r="L51" s="1480"/>
      <c r="M51" s="1480"/>
      <c r="N51" s="614" t="str">
        <f>$N$16</f>
        <v>12/31/2022 (Actuals)</v>
      </c>
      <c r="O51" s="1480"/>
      <c r="P51" s="1480"/>
      <c r="Q51" s="1480"/>
      <c r="R51" s="1480"/>
      <c r="S51" s="1480"/>
    </row>
    <row r="52" spans="2:19">
      <c r="B52" s="1481"/>
      <c r="E52" s="1480"/>
      <c r="F52" s="1480"/>
      <c r="G52" s="1480"/>
      <c r="H52" s="1480"/>
      <c r="I52" s="1480"/>
      <c r="J52" s="1480"/>
      <c r="K52" s="1480"/>
      <c r="L52" s="1480"/>
      <c r="M52" s="1480"/>
      <c r="N52" s="1480"/>
      <c r="O52" s="1480"/>
      <c r="P52" s="1480"/>
      <c r="Q52" s="1480"/>
      <c r="R52" s="1480"/>
      <c r="S52" s="1480"/>
    </row>
    <row r="53" spans="2:19">
      <c r="B53" s="352">
        <f>B51+1</f>
        <v>27</v>
      </c>
      <c r="D53" s="357" t="s">
        <v>493</v>
      </c>
      <c r="E53" s="614">
        <v>31</v>
      </c>
      <c r="F53" s="620">
        <v>0</v>
      </c>
      <c r="G53" s="620">
        <v>214</v>
      </c>
      <c r="H53" s="619">
        <f t="shared" ref="H53:H64" si="9">IF(F53=0,0.5,F53/G53)</f>
        <v>0.5</v>
      </c>
      <c r="I53" s="618"/>
      <c r="J53" s="614">
        <v>111758.41666666667</v>
      </c>
      <c r="K53" s="612">
        <f t="shared" ref="K53:K64" si="10">+J53*H53</f>
        <v>55879.208333333336</v>
      </c>
      <c r="L53" s="612">
        <f>+K53+L49</f>
        <v>-62144319.791666664</v>
      </c>
      <c r="M53" s="618"/>
      <c r="N53" s="614">
        <f>'1E - EDIT Amortization'!$O$90/12</f>
        <v>152647.58333333334</v>
      </c>
      <c r="O53" s="612">
        <f t="shared" ref="O53:O64" si="11">IF($D$249="True-Up Adjustment",N53-J53,0)</f>
        <v>40889.166666666672</v>
      </c>
      <c r="P53" s="612">
        <f t="shared" ref="P53:P64" si="12">IF($D$249="True-Up Adjustment",IF(AND(J53&gt;=0,N53&gt;=0),IF(O53&gt;=0,K53+O53,N53/J53*K53),IF(AND(J53&lt;0,N53&lt;0),IF(O53&lt;0,K53+O53,N53/J53*K53),0)),0)</f>
        <v>96768.375</v>
      </c>
      <c r="Q53" s="612">
        <f t="shared" ref="Q53:Q64" si="13">IF(AND(J53&gt;=0,N53&lt;0),N53,IF(AND(J53&lt;0,N53&gt;=0),N53,0))</f>
        <v>0</v>
      </c>
      <c r="R53" s="612">
        <f>R49+P53+Q53</f>
        <v>-62103430.625</v>
      </c>
      <c r="S53" s="618"/>
    </row>
    <row r="54" spans="2:19">
      <c r="B54" s="352">
        <f t="shared" ref="B54:B65" si="14">+B53+1</f>
        <v>28</v>
      </c>
      <c r="D54" s="357" t="s">
        <v>494</v>
      </c>
      <c r="E54" s="614">
        <v>28</v>
      </c>
      <c r="F54" s="620">
        <v>0</v>
      </c>
      <c r="G54" s="620">
        <v>214</v>
      </c>
      <c r="H54" s="619">
        <f t="shared" si="9"/>
        <v>0.5</v>
      </c>
      <c r="I54" s="618"/>
      <c r="J54" s="614">
        <v>111758.41666666667</v>
      </c>
      <c r="K54" s="612">
        <f t="shared" si="10"/>
        <v>55879.208333333336</v>
      </c>
      <c r="L54" s="612">
        <f t="shared" ref="L54:L64" si="15">+K54+L53</f>
        <v>-62088440.583333328</v>
      </c>
      <c r="M54" s="618"/>
      <c r="N54" s="614">
        <f>'1E - EDIT Amortization'!$O$90/12</f>
        <v>152647.58333333334</v>
      </c>
      <c r="O54" s="612">
        <f t="shared" si="11"/>
        <v>40889.166666666672</v>
      </c>
      <c r="P54" s="612">
        <f t="shared" si="12"/>
        <v>96768.375</v>
      </c>
      <c r="Q54" s="612">
        <f t="shared" si="13"/>
        <v>0</v>
      </c>
      <c r="R54" s="612">
        <f t="shared" ref="R54:R64" si="16">R53+P54+Q54</f>
        <v>-62006662.25</v>
      </c>
      <c r="S54" s="618"/>
    </row>
    <row r="55" spans="2:19">
      <c r="B55" s="352">
        <f t="shared" si="14"/>
        <v>29</v>
      </c>
      <c r="D55" s="357" t="s">
        <v>517</v>
      </c>
      <c r="E55" s="614">
        <v>31</v>
      </c>
      <c r="F55" s="620">
        <v>0</v>
      </c>
      <c r="G55" s="620">
        <v>214</v>
      </c>
      <c r="H55" s="619">
        <f t="shared" si="9"/>
        <v>0.5</v>
      </c>
      <c r="I55" s="618"/>
      <c r="J55" s="614">
        <v>111758.41666666667</v>
      </c>
      <c r="K55" s="612">
        <f t="shared" si="10"/>
        <v>55879.208333333336</v>
      </c>
      <c r="L55" s="612">
        <f t="shared" si="15"/>
        <v>-62032561.374999993</v>
      </c>
      <c r="M55" s="618"/>
      <c r="N55" s="614">
        <f>'1E - EDIT Amortization'!$O$90/12</f>
        <v>152647.58333333334</v>
      </c>
      <c r="O55" s="612">
        <f t="shared" si="11"/>
        <v>40889.166666666672</v>
      </c>
      <c r="P55" s="612">
        <f t="shared" si="12"/>
        <v>96768.375</v>
      </c>
      <c r="Q55" s="612">
        <f t="shared" si="13"/>
        <v>0</v>
      </c>
      <c r="R55" s="612">
        <f t="shared" si="16"/>
        <v>-61909893.875</v>
      </c>
      <c r="S55" s="618"/>
    </row>
    <row r="56" spans="2:19">
      <c r="B56" s="352">
        <f t="shared" si="14"/>
        <v>30</v>
      </c>
      <c r="D56" s="357" t="s">
        <v>161</v>
      </c>
      <c r="E56" s="614">
        <v>30</v>
      </c>
      <c r="F56" s="620">
        <v>0</v>
      </c>
      <c r="G56" s="620">
        <v>214</v>
      </c>
      <c r="H56" s="619">
        <f t="shared" si="9"/>
        <v>0.5</v>
      </c>
      <c r="I56" s="618"/>
      <c r="J56" s="614">
        <v>111758.41666666667</v>
      </c>
      <c r="K56" s="612">
        <f t="shared" si="10"/>
        <v>55879.208333333336</v>
      </c>
      <c r="L56" s="612">
        <f t="shared" si="15"/>
        <v>-61976682.166666657</v>
      </c>
      <c r="M56" s="618"/>
      <c r="N56" s="614">
        <f>'1E - EDIT Amortization'!$O$90/12</f>
        <v>152647.58333333334</v>
      </c>
      <c r="O56" s="612">
        <f t="shared" si="11"/>
        <v>40889.166666666672</v>
      </c>
      <c r="P56" s="612">
        <f t="shared" si="12"/>
        <v>96768.375</v>
      </c>
      <c r="Q56" s="612">
        <f t="shared" si="13"/>
        <v>0</v>
      </c>
      <c r="R56" s="612">
        <f t="shared" si="16"/>
        <v>-61813125.5</v>
      </c>
      <c r="S56" s="618"/>
    </row>
    <row r="57" spans="2:19">
      <c r="B57" s="352">
        <f t="shared" si="14"/>
        <v>31</v>
      </c>
      <c r="D57" s="357" t="s">
        <v>162</v>
      </c>
      <c r="E57" s="614">
        <v>31</v>
      </c>
      <c r="F57" s="620">
        <v>0</v>
      </c>
      <c r="G57" s="620">
        <v>214</v>
      </c>
      <c r="H57" s="619">
        <f t="shared" si="9"/>
        <v>0.5</v>
      </c>
      <c r="I57" s="618"/>
      <c r="J57" s="614">
        <v>111758.41666666667</v>
      </c>
      <c r="K57" s="612">
        <f t="shared" si="10"/>
        <v>55879.208333333336</v>
      </c>
      <c r="L57" s="612">
        <f t="shared" si="15"/>
        <v>-61920802.958333321</v>
      </c>
      <c r="M57" s="618"/>
      <c r="N57" s="614">
        <f>'1E - EDIT Amortization'!$O$90/12</f>
        <v>152647.58333333334</v>
      </c>
      <c r="O57" s="612">
        <f t="shared" si="11"/>
        <v>40889.166666666672</v>
      </c>
      <c r="P57" s="612">
        <f t="shared" si="12"/>
        <v>96768.375</v>
      </c>
      <c r="Q57" s="612">
        <f t="shared" si="13"/>
        <v>0</v>
      </c>
      <c r="R57" s="612">
        <f t="shared" si="16"/>
        <v>-61716357.125</v>
      </c>
      <c r="S57" s="618"/>
    </row>
    <row r="58" spans="2:19">
      <c r="B58" s="352">
        <f t="shared" si="14"/>
        <v>32</v>
      </c>
      <c r="D58" s="357" t="s">
        <v>163</v>
      </c>
      <c r="E58" s="614">
        <v>30</v>
      </c>
      <c r="F58" s="620">
        <f t="shared" ref="F58:F63" si="17">F59+E59</f>
        <v>185</v>
      </c>
      <c r="G58" s="620">
        <v>214</v>
      </c>
      <c r="H58" s="619">
        <f t="shared" si="9"/>
        <v>0.86448598130841126</v>
      </c>
      <c r="I58" s="618"/>
      <c r="J58" s="614">
        <v>111758.41666666667</v>
      </c>
      <c r="K58" s="612">
        <f t="shared" si="10"/>
        <v>96613.584501557634</v>
      </c>
      <c r="L58" s="612">
        <f t="shared" si="15"/>
        <v>-61824189.373831764</v>
      </c>
      <c r="M58" s="618"/>
      <c r="N58" s="614">
        <f>'1E - EDIT Amortization'!$O$90/12</f>
        <v>152647.58333333334</v>
      </c>
      <c r="O58" s="612">
        <f t="shared" si="11"/>
        <v>40889.166666666672</v>
      </c>
      <c r="P58" s="612">
        <f t="shared" si="12"/>
        <v>137502.75116822432</v>
      </c>
      <c r="Q58" s="612">
        <f t="shared" si="13"/>
        <v>0</v>
      </c>
      <c r="R58" s="612">
        <f t="shared" si="16"/>
        <v>-61578854.373831779</v>
      </c>
      <c r="S58" s="618"/>
    </row>
    <row r="59" spans="2:19">
      <c r="B59" s="352">
        <f t="shared" si="14"/>
        <v>33</v>
      </c>
      <c r="D59" s="357" t="s">
        <v>496</v>
      </c>
      <c r="E59" s="614">
        <v>31</v>
      </c>
      <c r="F59" s="620">
        <f t="shared" si="17"/>
        <v>154</v>
      </c>
      <c r="G59" s="620">
        <v>214</v>
      </c>
      <c r="H59" s="619">
        <f t="shared" si="9"/>
        <v>0.71962616822429903</v>
      </c>
      <c r="I59" s="618"/>
      <c r="J59" s="614">
        <v>111758.41666666667</v>
      </c>
      <c r="K59" s="612">
        <f t="shared" si="10"/>
        <v>80424.281152647978</v>
      </c>
      <c r="L59" s="612">
        <f t="shared" si="15"/>
        <v>-61743765.092679113</v>
      </c>
      <c r="M59" s="618"/>
      <c r="N59" s="614">
        <f>'1E - EDIT Amortization'!$O$90/12</f>
        <v>152647.58333333334</v>
      </c>
      <c r="O59" s="612">
        <f t="shared" si="11"/>
        <v>40889.166666666672</v>
      </c>
      <c r="P59" s="612">
        <f t="shared" si="12"/>
        <v>121313.44781931465</v>
      </c>
      <c r="Q59" s="612">
        <f t="shared" si="13"/>
        <v>0</v>
      </c>
      <c r="R59" s="612">
        <f t="shared" si="16"/>
        <v>-61457540.926012464</v>
      </c>
      <c r="S59" s="618"/>
    </row>
    <row r="60" spans="2:19">
      <c r="B60" s="352">
        <f t="shared" si="14"/>
        <v>34</v>
      </c>
      <c r="D60" s="357" t="s">
        <v>518</v>
      </c>
      <c r="E60" s="614">
        <v>31</v>
      </c>
      <c r="F60" s="620">
        <f t="shared" si="17"/>
        <v>123</v>
      </c>
      <c r="G60" s="620">
        <v>214</v>
      </c>
      <c r="H60" s="619">
        <f t="shared" si="9"/>
        <v>0.57476635514018692</v>
      </c>
      <c r="I60" s="618"/>
      <c r="J60" s="614">
        <v>111758.41666666667</v>
      </c>
      <c r="K60" s="612">
        <f t="shared" si="10"/>
        <v>64234.977803738322</v>
      </c>
      <c r="L60" s="612">
        <f t="shared" si="15"/>
        <v>-61679530.114875376</v>
      </c>
      <c r="M60" s="618"/>
      <c r="N60" s="614">
        <f>'1E - EDIT Amortization'!$O$90/12</f>
        <v>152647.58333333334</v>
      </c>
      <c r="O60" s="612">
        <f t="shared" si="11"/>
        <v>40889.166666666672</v>
      </c>
      <c r="P60" s="612">
        <f t="shared" si="12"/>
        <v>105124.14447040499</v>
      </c>
      <c r="Q60" s="612">
        <f t="shared" si="13"/>
        <v>0</v>
      </c>
      <c r="R60" s="612">
        <f t="shared" si="16"/>
        <v>-61352416.781542055</v>
      </c>
      <c r="S60" s="618"/>
    </row>
    <row r="61" spans="2:19">
      <c r="B61" s="352">
        <f t="shared" si="14"/>
        <v>35</v>
      </c>
      <c r="D61" s="357" t="s">
        <v>498</v>
      </c>
      <c r="E61" s="614">
        <v>30</v>
      </c>
      <c r="F61" s="620">
        <f t="shared" si="17"/>
        <v>93</v>
      </c>
      <c r="G61" s="620">
        <v>214</v>
      </c>
      <c r="H61" s="619">
        <f t="shared" si="9"/>
        <v>0.43457943925233644</v>
      </c>
      <c r="I61" s="618"/>
      <c r="J61" s="614">
        <v>111758.41666666667</v>
      </c>
      <c r="K61" s="612">
        <f t="shared" si="10"/>
        <v>48567.910046728975</v>
      </c>
      <c r="L61" s="612">
        <f t="shared" si="15"/>
        <v>-61630962.20482865</v>
      </c>
      <c r="M61" s="618"/>
      <c r="N61" s="614">
        <f>'1E - EDIT Amortization'!$O$90/12</f>
        <v>152647.58333333334</v>
      </c>
      <c r="O61" s="612">
        <f t="shared" si="11"/>
        <v>40889.166666666672</v>
      </c>
      <c r="P61" s="612">
        <f t="shared" si="12"/>
        <v>89457.076713395654</v>
      </c>
      <c r="Q61" s="612">
        <f t="shared" si="13"/>
        <v>0</v>
      </c>
      <c r="R61" s="612">
        <f t="shared" si="16"/>
        <v>-61262959.704828657</v>
      </c>
      <c r="S61" s="618"/>
    </row>
    <row r="62" spans="2:19">
      <c r="B62" s="352">
        <f t="shared" si="14"/>
        <v>36</v>
      </c>
      <c r="D62" s="357" t="s">
        <v>499</v>
      </c>
      <c r="E62" s="614">
        <v>31</v>
      </c>
      <c r="F62" s="620">
        <f t="shared" si="17"/>
        <v>62</v>
      </c>
      <c r="G62" s="620">
        <v>214</v>
      </c>
      <c r="H62" s="619">
        <f t="shared" si="9"/>
        <v>0.28971962616822428</v>
      </c>
      <c r="I62" s="618"/>
      <c r="J62" s="614">
        <v>111758.41666666667</v>
      </c>
      <c r="K62" s="612">
        <f t="shared" si="10"/>
        <v>32378.606697819312</v>
      </c>
      <c r="L62" s="612">
        <f t="shared" si="15"/>
        <v>-61598583.59813083</v>
      </c>
      <c r="M62" s="618"/>
      <c r="N62" s="614">
        <f>'1E - EDIT Amortization'!$O$90/12</f>
        <v>152647.58333333334</v>
      </c>
      <c r="O62" s="612">
        <f t="shared" si="11"/>
        <v>40889.166666666672</v>
      </c>
      <c r="P62" s="612">
        <f t="shared" si="12"/>
        <v>73267.773364485984</v>
      </c>
      <c r="Q62" s="612">
        <f t="shared" si="13"/>
        <v>0</v>
      </c>
      <c r="R62" s="612">
        <f t="shared" si="16"/>
        <v>-61189691.931464173</v>
      </c>
      <c r="S62" s="618"/>
    </row>
    <row r="63" spans="2:19">
      <c r="B63" s="352">
        <f t="shared" si="14"/>
        <v>37</v>
      </c>
      <c r="D63" s="357" t="s">
        <v>500</v>
      </c>
      <c r="E63" s="614">
        <v>30</v>
      </c>
      <c r="F63" s="620">
        <f t="shared" si="17"/>
        <v>32</v>
      </c>
      <c r="G63" s="620">
        <v>214</v>
      </c>
      <c r="H63" s="619">
        <f t="shared" si="9"/>
        <v>0.14953271028037382</v>
      </c>
      <c r="I63" s="618"/>
      <c r="J63" s="614">
        <v>111758.41666666667</v>
      </c>
      <c r="K63" s="612">
        <f t="shared" si="10"/>
        <v>16711.538940809969</v>
      </c>
      <c r="L63" s="612">
        <f t="shared" si="15"/>
        <v>-61581872.05919002</v>
      </c>
      <c r="M63" s="618"/>
      <c r="N63" s="614">
        <f>'1E - EDIT Amortization'!$O$90/12</f>
        <v>152647.58333333334</v>
      </c>
      <c r="O63" s="612">
        <f t="shared" si="11"/>
        <v>40889.166666666672</v>
      </c>
      <c r="P63" s="612">
        <f t="shared" si="12"/>
        <v>57600.705607476644</v>
      </c>
      <c r="Q63" s="612">
        <f t="shared" si="13"/>
        <v>0</v>
      </c>
      <c r="R63" s="612">
        <f t="shared" si="16"/>
        <v>-61132091.225856699</v>
      </c>
      <c r="S63" s="618"/>
    </row>
    <row r="64" spans="2:19">
      <c r="B64" s="352">
        <f t="shared" si="14"/>
        <v>38</v>
      </c>
      <c r="D64" s="358" t="s">
        <v>715</v>
      </c>
      <c r="E64" s="614">
        <v>31</v>
      </c>
      <c r="F64" s="620">
        <v>1</v>
      </c>
      <c r="G64" s="620">
        <v>214</v>
      </c>
      <c r="H64" s="619">
        <f t="shared" si="9"/>
        <v>4.6728971962616819E-3</v>
      </c>
      <c r="I64" s="618"/>
      <c r="J64" s="367">
        <v>111758.41666666667</v>
      </c>
      <c r="K64" s="612">
        <f t="shared" si="10"/>
        <v>522.23559190031153</v>
      </c>
      <c r="L64" s="612">
        <f t="shared" si="15"/>
        <v>-61581349.823598117</v>
      </c>
      <c r="M64" s="618"/>
      <c r="N64" s="614">
        <f>'1E - EDIT Amortization'!$O$90/12</f>
        <v>152647.58333333334</v>
      </c>
      <c r="O64" s="612">
        <f t="shared" si="11"/>
        <v>40889.166666666672</v>
      </c>
      <c r="P64" s="612">
        <f t="shared" si="12"/>
        <v>41411.402258566981</v>
      </c>
      <c r="Q64" s="612">
        <f t="shared" si="13"/>
        <v>0</v>
      </c>
      <c r="R64" s="612">
        <f t="shared" si="16"/>
        <v>-61090679.823598132</v>
      </c>
      <c r="S64" s="618"/>
    </row>
    <row r="65" spans="2:19">
      <c r="B65" s="352">
        <f t="shared" si="14"/>
        <v>39</v>
      </c>
      <c r="D65" s="359" t="str">
        <f>"Total (Sum of Lines "&amp;B53&amp;" - "&amp;B64&amp;")"</f>
        <v>Total (Sum of Lines 27 - 38)</v>
      </c>
      <c r="E65" s="617">
        <f>SUM(E53:E64)</f>
        <v>365</v>
      </c>
      <c r="F65" s="360"/>
      <c r="G65" s="360"/>
      <c r="H65" s="361"/>
      <c r="I65" s="615"/>
      <c r="J65" s="617">
        <f>SUM(J53:J64)</f>
        <v>1341101</v>
      </c>
      <c r="K65" s="617">
        <f>SUM(K53:K64)</f>
        <v>618849.17640186928</v>
      </c>
      <c r="L65" s="617"/>
      <c r="M65" s="615"/>
      <c r="N65" s="617">
        <f>SUM(N53:N64)</f>
        <v>1831770.9999999998</v>
      </c>
      <c r="O65" s="617">
        <f>SUM(O53:O64)</f>
        <v>490670.00000000017</v>
      </c>
      <c r="P65" s="617">
        <f>SUM(P53:P64)</f>
        <v>1109519.1764018692</v>
      </c>
      <c r="Q65" s="617">
        <f>SUM(Q53:Q64)</f>
        <v>0</v>
      </c>
      <c r="R65" s="616"/>
      <c r="S65" s="615"/>
    </row>
    <row r="66" spans="2:19">
      <c r="D66" s="362"/>
      <c r="E66" s="362"/>
      <c r="F66" s="362"/>
      <c r="G66" s="362"/>
      <c r="H66" s="363"/>
      <c r="I66" s="363"/>
      <c r="K66" s="364"/>
      <c r="L66" s="363"/>
      <c r="M66" s="363"/>
      <c r="N66" s="372"/>
      <c r="O66" s="364"/>
      <c r="P66" s="364"/>
      <c r="Q66" s="364"/>
      <c r="R66" s="363"/>
      <c r="S66" s="363"/>
    </row>
    <row r="67" spans="2:19" ht="15" customHeight="1">
      <c r="B67" s="352">
        <f>B65+1</f>
        <v>40</v>
      </c>
      <c r="D67" s="298" t="s">
        <v>1260</v>
      </c>
      <c r="I67" s="363"/>
      <c r="J67" s="614" t="str">
        <f>$J$14</f>
        <v>12/31/2021 (Actuals)</v>
      </c>
      <c r="L67" s="614">
        <f>'1E - EDIT Amortization'!M18+'1E - EDIT Amortization'!M27</f>
        <v>-9288540.7493878119</v>
      </c>
      <c r="M67" s="365"/>
      <c r="N67" s="614" t="str">
        <f>$N$14</f>
        <v>12/31/2021 (Actuals)</v>
      </c>
      <c r="R67" s="614">
        <f>'1E - EDIT Amortization'!M18+'1E - EDIT Amortization'!M27</f>
        <v>-9288540.7493878119</v>
      </c>
    </row>
    <row r="68" spans="2:19">
      <c r="B68" s="352">
        <f>B67+1</f>
        <v>41</v>
      </c>
      <c r="D68" s="298" t="s">
        <v>1261</v>
      </c>
      <c r="I68" s="363"/>
      <c r="J68" s="366" t="s">
        <v>611</v>
      </c>
      <c r="L68" s="367">
        <v>0</v>
      </c>
      <c r="M68" s="368"/>
      <c r="N68" s="366"/>
      <c r="R68" s="367">
        <v>0</v>
      </c>
    </row>
    <row r="69" spans="2:19">
      <c r="B69" s="352">
        <f>B68+1</f>
        <v>42</v>
      </c>
      <c r="D69" s="298" t="s">
        <v>1262</v>
      </c>
      <c r="I69" s="363"/>
      <c r="J69" s="359" t="str">
        <f>"(Col. "&amp;L46&amp;", Line "&amp;B67&amp;" + Line "&amp;B68&amp;")"</f>
        <v>(Col. (H), Line 40 + Line 41)</v>
      </c>
      <c r="L69" s="613">
        <f>L67+L68</f>
        <v>-9288540.7493878119</v>
      </c>
      <c r="M69" s="363"/>
      <c r="N69" s="359" t="str">
        <f>"(Col. "&amp;R46&amp;", Line "&amp;B67&amp;" + Line "&amp;B68&amp;")"</f>
        <v>(Col. (M), Line 40 + Line 41)</v>
      </c>
      <c r="R69" s="613">
        <f>R67+R68</f>
        <v>-9288540.7493878119</v>
      </c>
    </row>
    <row r="70" spans="2:19">
      <c r="I70" s="363"/>
      <c r="L70" s="613"/>
      <c r="M70" s="363"/>
      <c r="R70" s="613"/>
    </row>
    <row r="71" spans="2:19">
      <c r="B71" s="352">
        <f>B69+1</f>
        <v>43</v>
      </c>
      <c r="D71" s="298" t="s">
        <v>1263</v>
      </c>
      <c r="I71" s="363"/>
      <c r="J71" s="614" t="str">
        <f>$J$16</f>
        <v>2022 Projected</v>
      </c>
      <c r="L71" s="614">
        <f>'1E - EDIT Amortization'!Q18+'1E - EDIT Amortization'!Q27</f>
        <v>0</v>
      </c>
      <c r="M71" s="365"/>
      <c r="N71" s="614" t="str">
        <f>$N$16</f>
        <v>12/31/2022 (Actuals)</v>
      </c>
      <c r="R71" s="614">
        <f>'1E - EDIT Amortization'!Q18+'1E - EDIT Amortization'!Q27</f>
        <v>0</v>
      </c>
    </row>
    <row r="72" spans="2:19">
      <c r="B72" s="352">
        <f>B71+1</f>
        <v>44</v>
      </c>
      <c r="D72" s="298" t="s">
        <v>1264</v>
      </c>
      <c r="I72" s="363"/>
      <c r="J72" s="366" t="s">
        <v>611</v>
      </c>
      <c r="L72" s="367">
        <v>0</v>
      </c>
      <c r="M72" s="363"/>
      <c r="N72" s="366"/>
      <c r="R72" s="367">
        <v>0</v>
      </c>
    </row>
    <row r="73" spans="2:19">
      <c r="B73" s="352">
        <f>B72+1</f>
        <v>45</v>
      </c>
      <c r="D73" s="298" t="s">
        <v>1265</v>
      </c>
      <c r="I73" s="363"/>
      <c r="J73" s="359" t="str">
        <f>"(Col. "&amp;L46&amp;", Line "&amp;B71&amp;" + Line "&amp;B72&amp;")"</f>
        <v>(Col. (H), Line 43 + Line 44)</v>
      </c>
      <c r="L73" s="613">
        <f>L71+L72</f>
        <v>0</v>
      </c>
      <c r="M73" s="363"/>
      <c r="N73" s="359" t="str">
        <f>"(Col. "&amp;R46&amp;", Line "&amp;B71&amp;" + Line "&amp;B72&amp;")"</f>
        <v>(Col. (M), Line 43 + Line 44)</v>
      </c>
      <c r="R73" s="613">
        <f>R71+R72</f>
        <v>0</v>
      </c>
    </row>
    <row r="74" spans="2:19">
      <c r="I74" s="363"/>
      <c r="L74" s="613"/>
      <c r="M74" s="363"/>
      <c r="R74" s="613"/>
    </row>
    <row r="75" spans="2:19">
      <c r="B75" s="352">
        <f>B73+1</f>
        <v>46</v>
      </c>
      <c r="D75" s="298" t="s">
        <v>955</v>
      </c>
      <c r="I75" s="363"/>
      <c r="J75" s="359" t="str">
        <f>"([Col. "&amp;L46&amp;", Line "&amp;B69&amp;" + Line "&amp;B73&amp;"] /2)"</f>
        <v>([Col. (H), Line 42 + Line 45] /2)</v>
      </c>
      <c r="L75" s="612">
        <f>(L69+L73)/2</f>
        <v>-4644270.3746939059</v>
      </c>
      <c r="M75" s="363"/>
      <c r="N75" s="359" t="str">
        <f>"([Col. "&amp;R46&amp;", Line "&amp;B69&amp;" + Line "&amp;B73&amp;"] /2)"</f>
        <v>([Col. (M), Line 42 + Line 45] /2)</v>
      </c>
      <c r="R75" s="612">
        <f>(R69+R73)/2</f>
        <v>-4644270.3746939059</v>
      </c>
    </row>
    <row r="76" spans="2:19">
      <c r="B76" s="352">
        <f>B75+1</f>
        <v>47</v>
      </c>
      <c r="D76" s="457" t="s">
        <v>1266</v>
      </c>
      <c r="E76" s="362"/>
      <c r="F76" s="362"/>
      <c r="G76" s="362"/>
      <c r="H76" s="363"/>
      <c r="I76" s="363"/>
      <c r="J76" s="359" t="str">
        <f>"(Col. "&amp;L46&amp;", Line "&amp;B64&amp;" )"</f>
        <v>(Col. (H), Line 38 )</v>
      </c>
      <c r="K76" s="364"/>
      <c r="L76" s="612">
        <f>L64</f>
        <v>-61581349.823598117</v>
      </c>
      <c r="M76" s="363"/>
      <c r="N76" s="359" t="str">
        <f>"(Col. "&amp;R46&amp;", Line "&amp;B64&amp;" )"</f>
        <v>(Col. (M), Line 38 )</v>
      </c>
      <c r="R76" s="612">
        <f>R64</f>
        <v>-61090679.823598132</v>
      </c>
    </row>
    <row r="77" spans="2:19" ht="13.5" thickBot="1">
      <c r="B77" s="352">
        <f>B76+1</f>
        <v>48</v>
      </c>
      <c r="D77" s="369" t="s">
        <v>1269</v>
      </c>
      <c r="E77" s="362"/>
      <c r="F77" s="362"/>
      <c r="G77" s="362"/>
      <c r="H77" s="363"/>
      <c r="I77" s="363"/>
      <c r="J77" s="359" t="str">
        <f>"(Col. "&amp;L46&amp;", Line "&amp;B75&amp;" + Line "&amp;B76&amp;")"</f>
        <v>(Col. (H), Line 46 + Line 47)</v>
      </c>
      <c r="K77" s="364"/>
      <c r="L77" s="611">
        <f>L75+L76</f>
        <v>-66225620.198292024</v>
      </c>
      <c r="M77" s="363"/>
      <c r="N77" s="359" t="str">
        <f>"(Col. "&amp;R46&amp;", Line "&amp;B75&amp;" + Line "&amp;B76&amp;")"</f>
        <v>(Col. (M), Line 46 + Line 47)</v>
      </c>
      <c r="R77" s="611">
        <f>R75+R76</f>
        <v>-65734950.198292039</v>
      </c>
    </row>
    <row r="78" spans="2:19" ht="13">
      <c r="D78" s="349"/>
    </row>
    <row r="79" spans="2:19" ht="13">
      <c r="D79" s="349" t="s">
        <v>1270</v>
      </c>
      <c r="J79" s="1750"/>
      <c r="K79" s="1750"/>
      <c r="L79" s="1750"/>
      <c r="N79" s="1750"/>
      <c r="O79" s="1750"/>
      <c r="P79" s="1750"/>
      <c r="Q79" s="1750"/>
      <c r="R79" s="1750"/>
    </row>
    <row r="80" spans="2:19" ht="13">
      <c r="D80" s="1743" t="s">
        <v>870</v>
      </c>
      <c r="E80" s="1744"/>
      <c r="F80" s="1744"/>
      <c r="G80" s="1744"/>
      <c r="H80" s="1745"/>
      <c r="I80" s="353"/>
      <c r="J80" s="1746" t="s">
        <v>1257</v>
      </c>
      <c r="K80" s="1747"/>
      <c r="L80" s="1748"/>
      <c r="M80" s="353"/>
      <c r="N80" s="1746" t="s">
        <v>1258</v>
      </c>
      <c r="O80" s="1747"/>
      <c r="P80" s="1747"/>
      <c r="Q80" s="1747"/>
      <c r="R80" s="1748"/>
      <c r="S80" s="353"/>
    </row>
    <row r="81" spans="2:19" ht="13">
      <c r="D81" s="354" t="s">
        <v>164</v>
      </c>
      <c r="E81" s="354" t="s">
        <v>165</v>
      </c>
      <c r="F81" s="354" t="s">
        <v>1201</v>
      </c>
      <c r="G81" s="354" t="s">
        <v>1202</v>
      </c>
      <c r="H81" s="354" t="s">
        <v>1203</v>
      </c>
      <c r="I81" s="353"/>
      <c r="J81" s="354" t="s">
        <v>1204</v>
      </c>
      <c r="K81" s="354" t="s">
        <v>1205</v>
      </c>
      <c r="L81" s="354" t="s">
        <v>1206</v>
      </c>
      <c r="M81" s="353"/>
      <c r="N81" s="354" t="s">
        <v>1207</v>
      </c>
      <c r="O81" s="354" t="s">
        <v>1208</v>
      </c>
      <c r="P81" s="354" t="s">
        <v>1209</v>
      </c>
      <c r="Q81" s="354" t="s">
        <v>1210</v>
      </c>
      <c r="R81" s="354" t="s">
        <v>1211</v>
      </c>
      <c r="S81" s="353"/>
    </row>
    <row r="82" spans="2:19" ht="50">
      <c r="B82" s="355" t="s">
        <v>1212</v>
      </c>
      <c r="D82" s="356" t="s">
        <v>159</v>
      </c>
      <c r="E82" s="356" t="s">
        <v>871</v>
      </c>
      <c r="F82" s="356" t="s">
        <v>872</v>
      </c>
      <c r="G82" s="356" t="s">
        <v>873</v>
      </c>
      <c r="H82" s="356" t="s">
        <v>1213</v>
      </c>
      <c r="I82" s="609"/>
      <c r="J82" s="356" t="s">
        <v>874</v>
      </c>
      <c r="K82" s="356" t="s">
        <v>1214</v>
      </c>
      <c r="L82" s="356" t="s">
        <v>1215</v>
      </c>
      <c r="M82" s="609"/>
      <c r="N82" s="356" t="s">
        <v>958</v>
      </c>
      <c r="O82" s="356" t="s">
        <v>1216</v>
      </c>
      <c r="P82" s="356" t="s">
        <v>1217</v>
      </c>
      <c r="Q82" s="356" t="s">
        <v>1218</v>
      </c>
      <c r="R82" s="356" t="s">
        <v>1219</v>
      </c>
      <c r="S82" s="609"/>
    </row>
    <row r="83" spans="2:19">
      <c r="E83" s="609"/>
      <c r="F83" s="609"/>
      <c r="G83" s="609"/>
      <c r="H83" s="609"/>
      <c r="I83" s="609"/>
      <c r="J83" s="609"/>
      <c r="K83" s="609"/>
      <c r="L83" s="609"/>
      <c r="M83" s="609"/>
      <c r="N83" s="609"/>
      <c r="O83" s="609"/>
      <c r="P83" s="609"/>
      <c r="Q83" s="609"/>
      <c r="R83" s="609"/>
      <c r="S83" s="609"/>
    </row>
    <row r="84" spans="2:19">
      <c r="B84" s="352">
        <f>B77+1</f>
        <v>49</v>
      </c>
      <c r="D84" s="298" t="s">
        <v>957</v>
      </c>
      <c r="E84" s="609"/>
      <c r="F84" s="609"/>
      <c r="G84" s="609"/>
      <c r="H84" s="609"/>
      <c r="I84" s="609"/>
      <c r="J84" s="614" t="str">
        <f>$J$14</f>
        <v>12/31/2021 (Actuals)</v>
      </c>
      <c r="K84" s="609"/>
      <c r="L84" s="614">
        <f>'1E - EDIT Amortization'!M91</f>
        <v>0</v>
      </c>
      <c r="M84" s="609"/>
      <c r="N84" s="614" t="str">
        <f>$N$14</f>
        <v>12/31/2021 (Actuals)</v>
      </c>
      <c r="O84" s="609"/>
      <c r="P84" s="609"/>
      <c r="Q84" s="609"/>
      <c r="R84" s="614">
        <v>0</v>
      </c>
      <c r="S84" s="609"/>
    </row>
    <row r="85" spans="2:19">
      <c r="E85" s="609"/>
      <c r="F85" s="609"/>
      <c r="G85" s="609"/>
      <c r="H85" s="609"/>
      <c r="I85" s="609"/>
      <c r="J85" s="1508"/>
      <c r="K85" s="609"/>
      <c r="L85" s="609"/>
      <c r="M85" s="609"/>
      <c r="N85" s="1508"/>
      <c r="O85" s="609"/>
      <c r="P85" s="609"/>
      <c r="Q85" s="609"/>
      <c r="R85" s="609"/>
      <c r="S85" s="609"/>
    </row>
    <row r="86" spans="2:19">
      <c r="B86" s="1481">
        <f>B84+1</f>
        <v>50</v>
      </c>
      <c r="D86" s="298" t="s">
        <v>1592</v>
      </c>
      <c r="E86" s="1480"/>
      <c r="F86" s="1480"/>
      <c r="G86" s="1480"/>
      <c r="H86" s="1480"/>
      <c r="I86" s="1480"/>
      <c r="J86" s="614" t="str">
        <f>$J$16</f>
        <v>2022 Projected</v>
      </c>
      <c r="K86" s="1480"/>
      <c r="L86" s="1480"/>
      <c r="M86" s="1480"/>
      <c r="N86" s="614" t="str">
        <f>$N$16</f>
        <v>12/31/2022 (Actuals)</v>
      </c>
      <c r="O86" s="1480"/>
      <c r="P86" s="1480"/>
      <c r="Q86" s="1480"/>
      <c r="R86" s="1480"/>
      <c r="S86" s="1480"/>
    </row>
    <row r="87" spans="2:19">
      <c r="B87" s="1481"/>
      <c r="E87" s="1480"/>
      <c r="F87" s="1480"/>
      <c r="G87" s="1480"/>
      <c r="H87" s="1480"/>
      <c r="I87" s="1480"/>
      <c r="J87" s="1480"/>
      <c r="K87" s="1480"/>
      <c r="L87" s="1480"/>
      <c r="M87" s="1480"/>
      <c r="N87" s="1480"/>
      <c r="O87" s="1480"/>
      <c r="P87" s="1480"/>
      <c r="Q87" s="1480"/>
      <c r="R87" s="1480"/>
      <c r="S87" s="1480"/>
    </row>
    <row r="88" spans="2:19">
      <c r="B88" s="352">
        <f>B86+1</f>
        <v>51</v>
      </c>
      <c r="D88" s="357" t="s">
        <v>493</v>
      </c>
      <c r="E88" s="614">
        <v>31</v>
      </c>
      <c r="F88" s="620">
        <v>0</v>
      </c>
      <c r="G88" s="620">
        <v>214</v>
      </c>
      <c r="H88" s="619">
        <f t="shared" ref="H88:H99" si="18">IF(F88=0,0.5,F88/G88)</f>
        <v>0.5</v>
      </c>
      <c r="I88" s="618"/>
      <c r="J88" s="614">
        <f>'1E - EDIT Amortization'!$O$91/12</f>
        <v>0</v>
      </c>
      <c r="K88" s="612">
        <f t="shared" ref="K88:K99" si="19">+J88*H88</f>
        <v>0</v>
      </c>
      <c r="L88" s="612">
        <f>+K88</f>
        <v>0</v>
      </c>
      <c r="M88" s="618"/>
      <c r="N88" s="614">
        <v>0</v>
      </c>
      <c r="O88" s="612">
        <f t="shared" ref="O88:O99" si="20">IF($D$249="True-Up Adjustment",N88-J88,0)</f>
        <v>0</v>
      </c>
      <c r="P88" s="612">
        <f t="shared" ref="P88:P99" si="21">IF($D$249="True-Up Adjustment",IF(AND(J88&gt;=0,N88&gt;=0),IF(O88&gt;=0,K88+O88,N88/J88*K88),IF(AND(J88&lt;0,N88&lt;0),IF(O88&lt;0,K88+O88,N88/J88*K88),0)),0)</f>
        <v>0</v>
      </c>
      <c r="Q88" s="612">
        <f t="shared" ref="Q88:Q99" si="22">IF(AND(J88&gt;=0,N88&lt;0),N88,IF(AND(J88&lt;0,N88&gt;=0),N88,0))</f>
        <v>0</v>
      </c>
      <c r="R88" s="612">
        <f>P88+Q88+R84</f>
        <v>0</v>
      </c>
      <c r="S88" s="618"/>
    </row>
    <row r="89" spans="2:19">
      <c r="B89" s="352">
        <f t="shared" ref="B89:B100" si="23">+B88+1</f>
        <v>52</v>
      </c>
      <c r="D89" s="357" t="s">
        <v>494</v>
      </c>
      <c r="E89" s="614">
        <v>28</v>
      </c>
      <c r="F89" s="620">
        <v>0</v>
      </c>
      <c r="G89" s="620">
        <v>214</v>
      </c>
      <c r="H89" s="619">
        <f t="shared" si="18"/>
        <v>0.5</v>
      </c>
      <c r="I89" s="618"/>
      <c r="J89" s="614">
        <f>'1E - EDIT Amortization'!$O$91/12</f>
        <v>0</v>
      </c>
      <c r="K89" s="612">
        <f t="shared" si="19"/>
        <v>0</v>
      </c>
      <c r="L89" s="612">
        <f t="shared" ref="L89:L99" si="24">+K89+L88</f>
        <v>0</v>
      </c>
      <c r="M89" s="618"/>
      <c r="N89" s="614">
        <v>0</v>
      </c>
      <c r="O89" s="612">
        <f t="shared" si="20"/>
        <v>0</v>
      </c>
      <c r="P89" s="612">
        <f t="shared" si="21"/>
        <v>0</v>
      </c>
      <c r="Q89" s="612">
        <f t="shared" si="22"/>
        <v>0</v>
      </c>
      <c r="R89" s="612">
        <f t="shared" ref="R89:R99" si="25">R88+P89+Q89</f>
        <v>0</v>
      </c>
      <c r="S89" s="618"/>
    </row>
    <row r="90" spans="2:19">
      <c r="B90" s="352">
        <f t="shared" si="23"/>
        <v>53</v>
      </c>
      <c r="D90" s="357" t="s">
        <v>517</v>
      </c>
      <c r="E90" s="614">
        <v>31</v>
      </c>
      <c r="F90" s="620">
        <v>0</v>
      </c>
      <c r="G90" s="620">
        <v>214</v>
      </c>
      <c r="H90" s="619">
        <f t="shared" si="18"/>
        <v>0.5</v>
      </c>
      <c r="I90" s="618"/>
      <c r="J90" s="614">
        <f>'1E - EDIT Amortization'!$O$91/12</f>
        <v>0</v>
      </c>
      <c r="K90" s="612">
        <f t="shared" si="19"/>
        <v>0</v>
      </c>
      <c r="L90" s="612">
        <f t="shared" si="24"/>
        <v>0</v>
      </c>
      <c r="M90" s="618"/>
      <c r="N90" s="614">
        <v>0</v>
      </c>
      <c r="O90" s="612">
        <f t="shared" si="20"/>
        <v>0</v>
      </c>
      <c r="P90" s="612">
        <f t="shared" si="21"/>
        <v>0</v>
      </c>
      <c r="Q90" s="612">
        <f t="shared" si="22"/>
        <v>0</v>
      </c>
      <c r="R90" s="612">
        <f t="shared" si="25"/>
        <v>0</v>
      </c>
      <c r="S90" s="618"/>
    </row>
    <row r="91" spans="2:19">
      <c r="B91" s="352">
        <f t="shared" si="23"/>
        <v>54</v>
      </c>
      <c r="D91" s="357" t="s">
        <v>161</v>
      </c>
      <c r="E91" s="614">
        <v>30</v>
      </c>
      <c r="F91" s="620">
        <v>0</v>
      </c>
      <c r="G91" s="620">
        <v>214</v>
      </c>
      <c r="H91" s="619">
        <f t="shared" si="18"/>
        <v>0.5</v>
      </c>
      <c r="I91" s="618"/>
      <c r="J91" s="614">
        <f>'1E - EDIT Amortization'!$O$91/12</f>
        <v>0</v>
      </c>
      <c r="K91" s="612">
        <f t="shared" si="19"/>
        <v>0</v>
      </c>
      <c r="L91" s="612">
        <f t="shared" si="24"/>
        <v>0</v>
      </c>
      <c r="M91" s="618"/>
      <c r="N91" s="614">
        <v>0</v>
      </c>
      <c r="O91" s="612">
        <f t="shared" si="20"/>
        <v>0</v>
      </c>
      <c r="P91" s="612">
        <f t="shared" si="21"/>
        <v>0</v>
      </c>
      <c r="Q91" s="612">
        <f t="shared" si="22"/>
        <v>0</v>
      </c>
      <c r="R91" s="612">
        <f t="shared" si="25"/>
        <v>0</v>
      </c>
      <c r="S91" s="618"/>
    </row>
    <row r="92" spans="2:19">
      <c r="B92" s="352">
        <f t="shared" si="23"/>
        <v>55</v>
      </c>
      <c r="D92" s="357" t="s">
        <v>162</v>
      </c>
      <c r="E92" s="614">
        <v>31</v>
      </c>
      <c r="F92" s="620">
        <v>0</v>
      </c>
      <c r="G92" s="620">
        <v>214</v>
      </c>
      <c r="H92" s="619">
        <f t="shared" si="18"/>
        <v>0.5</v>
      </c>
      <c r="I92" s="618"/>
      <c r="J92" s="614">
        <f>'1E - EDIT Amortization'!$O$91/12</f>
        <v>0</v>
      </c>
      <c r="K92" s="612">
        <f t="shared" si="19"/>
        <v>0</v>
      </c>
      <c r="L92" s="612">
        <f t="shared" si="24"/>
        <v>0</v>
      </c>
      <c r="M92" s="618"/>
      <c r="N92" s="614">
        <v>0</v>
      </c>
      <c r="O92" s="612">
        <f t="shared" si="20"/>
        <v>0</v>
      </c>
      <c r="P92" s="612">
        <f t="shared" si="21"/>
        <v>0</v>
      </c>
      <c r="Q92" s="612">
        <f t="shared" si="22"/>
        <v>0</v>
      </c>
      <c r="R92" s="612">
        <f t="shared" si="25"/>
        <v>0</v>
      </c>
      <c r="S92" s="618"/>
    </row>
    <row r="93" spans="2:19">
      <c r="B93" s="352">
        <f t="shared" si="23"/>
        <v>56</v>
      </c>
      <c r="D93" s="357" t="s">
        <v>163</v>
      </c>
      <c r="E93" s="614">
        <v>30</v>
      </c>
      <c r="F93" s="620">
        <f t="shared" ref="F93:F98" si="26">F94+E94</f>
        <v>185</v>
      </c>
      <c r="G93" s="620">
        <v>214</v>
      </c>
      <c r="H93" s="619">
        <f t="shared" si="18"/>
        <v>0.86448598130841126</v>
      </c>
      <c r="I93" s="618"/>
      <c r="J93" s="614">
        <f>'1E - EDIT Amortization'!$O$91/12</f>
        <v>0</v>
      </c>
      <c r="K93" s="612">
        <f t="shared" si="19"/>
        <v>0</v>
      </c>
      <c r="L93" s="612">
        <f t="shared" si="24"/>
        <v>0</v>
      </c>
      <c r="M93" s="618"/>
      <c r="N93" s="614">
        <v>0</v>
      </c>
      <c r="O93" s="612">
        <f t="shared" si="20"/>
        <v>0</v>
      </c>
      <c r="P93" s="612">
        <f t="shared" si="21"/>
        <v>0</v>
      </c>
      <c r="Q93" s="612">
        <f t="shared" si="22"/>
        <v>0</v>
      </c>
      <c r="R93" s="612">
        <f t="shared" si="25"/>
        <v>0</v>
      </c>
      <c r="S93" s="618"/>
    </row>
    <row r="94" spans="2:19">
      <c r="B94" s="352">
        <f t="shared" si="23"/>
        <v>57</v>
      </c>
      <c r="D94" s="357" t="s">
        <v>496</v>
      </c>
      <c r="E94" s="614">
        <v>31</v>
      </c>
      <c r="F94" s="620">
        <f t="shared" si="26"/>
        <v>154</v>
      </c>
      <c r="G94" s="620">
        <v>214</v>
      </c>
      <c r="H94" s="619">
        <f t="shared" si="18"/>
        <v>0.71962616822429903</v>
      </c>
      <c r="I94" s="618"/>
      <c r="J94" s="614">
        <f>'1E - EDIT Amortization'!$O$91/12</f>
        <v>0</v>
      </c>
      <c r="K94" s="612">
        <f t="shared" si="19"/>
        <v>0</v>
      </c>
      <c r="L94" s="612">
        <f t="shared" si="24"/>
        <v>0</v>
      </c>
      <c r="M94" s="618"/>
      <c r="N94" s="614">
        <v>0</v>
      </c>
      <c r="O94" s="612">
        <f t="shared" si="20"/>
        <v>0</v>
      </c>
      <c r="P94" s="612">
        <f t="shared" si="21"/>
        <v>0</v>
      </c>
      <c r="Q94" s="612">
        <f t="shared" si="22"/>
        <v>0</v>
      </c>
      <c r="R94" s="612">
        <f t="shared" si="25"/>
        <v>0</v>
      </c>
      <c r="S94" s="618"/>
    </row>
    <row r="95" spans="2:19">
      <c r="B95" s="352">
        <f t="shared" si="23"/>
        <v>58</v>
      </c>
      <c r="D95" s="357" t="s">
        <v>518</v>
      </c>
      <c r="E95" s="614">
        <v>31</v>
      </c>
      <c r="F95" s="620">
        <f t="shared" si="26"/>
        <v>123</v>
      </c>
      <c r="G95" s="620">
        <v>214</v>
      </c>
      <c r="H95" s="619">
        <f t="shared" si="18"/>
        <v>0.57476635514018692</v>
      </c>
      <c r="I95" s="618"/>
      <c r="J95" s="614">
        <f>'1E - EDIT Amortization'!$O$91/12</f>
        <v>0</v>
      </c>
      <c r="K95" s="612">
        <f t="shared" si="19"/>
        <v>0</v>
      </c>
      <c r="L95" s="612">
        <f t="shared" si="24"/>
        <v>0</v>
      </c>
      <c r="M95" s="618"/>
      <c r="N95" s="614">
        <v>0</v>
      </c>
      <c r="O95" s="612">
        <f t="shared" si="20"/>
        <v>0</v>
      </c>
      <c r="P95" s="612">
        <f t="shared" si="21"/>
        <v>0</v>
      </c>
      <c r="Q95" s="612">
        <f t="shared" si="22"/>
        <v>0</v>
      </c>
      <c r="R95" s="612">
        <f t="shared" si="25"/>
        <v>0</v>
      </c>
      <c r="S95" s="618"/>
    </row>
    <row r="96" spans="2:19">
      <c r="B96" s="352">
        <f t="shared" si="23"/>
        <v>59</v>
      </c>
      <c r="D96" s="357" t="s">
        <v>498</v>
      </c>
      <c r="E96" s="614">
        <v>30</v>
      </c>
      <c r="F96" s="620">
        <f t="shared" si="26"/>
        <v>93</v>
      </c>
      <c r="G96" s="620">
        <v>214</v>
      </c>
      <c r="H96" s="619">
        <f t="shared" si="18"/>
        <v>0.43457943925233644</v>
      </c>
      <c r="I96" s="618"/>
      <c r="J96" s="614">
        <f>'1E - EDIT Amortization'!$O$91/12</f>
        <v>0</v>
      </c>
      <c r="K96" s="612">
        <f t="shared" si="19"/>
        <v>0</v>
      </c>
      <c r="L96" s="612">
        <f t="shared" si="24"/>
        <v>0</v>
      </c>
      <c r="M96" s="618"/>
      <c r="N96" s="614">
        <v>0</v>
      </c>
      <c r="O96" s="612">
        <f t="shared" si="20"/>
        <v>0</v>
      </c>
      <c r="P96" s="612">
        <f t="shared" si="21"/>
        <v>0</v>
      </c>
      <c r="Q96" s="612">
        <f t="shared" si="22"/>
        <v>0</v>
      </c>
      <c r="R96" s="612">
        <f t="shared" si="25"/>
        <v>0</v>
      </c>
      <c r="S96" s="618"/>
    </row>
    <row r="97" spans="2:19">
      <c r="B97" s="352">
        <f t="shared" si="23"/>
        <v>60</v>
      </c>
      <c r="D97" s="357" t="s">
        <v>499</v>
      </c>
      <c r="E97" s="614">
        <v>31</v>
      </c>
      <c r="F97" s="620">
        <f t="shared" si="26"/>
        <v>62</v>
      </c>
      <c r="G97" s="620">
        <v>214</v>
      </c>
      <c r="H97" s="619">
        <f t="shared" si="18"/>
        <v>0.28971962616822428</v>
      </c>
      <c r="I97" s="618"/>
      <c r="J97" s="614">
        <f>'1E - EDIT Amortization'!$O$91/12</f>
        <v>0</v>
      </c>
      <c r="K97" s="612">
        <f t="shared" si="19"/>
        <v>0</v>
      </c>
      <c r="L97" s="612">
        <f t="shared" si="24"/>
        <v>0</v>
      </c>
      <c r="M97" s="618"/>
      <c r="N97" s="614">
        <v>0</v>
      </c>
      <c r="O97" s="612">
        <f t="shared" si="20"/>
        <v>0</v>
      </c>
      <c r="P97" s="612">
        <f t="shared" si="21"/>
        <v>0</v>
      </c>
      <c r="Q97" s="612">
        <f t="shared" si="22"/>
        <v>0</v>
      </c>
      <c r="R97" s="612">
        <f t="shared" si="25"/>
        <v>0</v>
      </c>
      <c r="S97" s="618"/>
    </row>
    <row r="98" spans="2:19">
      <c r="B98" s="352">
        <f t="shared" si="23"/>
        <v>61</v>
      </c>
      <c r="D98" s="357" t="s">
        <v>500</v>
      </c>
      <c r="E98" s="614">
        <v>30</v>
      </c>
      <c r="F98" s="620">
        <f t="shared" si="26"/>
        <v>32</v>
      </c>
      <c r="G98" s="620">
        <v>214</v>
      </c>
      <c r="H98" s="619">
        <f t="shared" si="18"/>
        <v>0.14953271028037382</v>
      </c>
      <c r="I98" s="618"/>
      <c r="J98" s="614">
        <f>'1E - EDIT Amortization'!$O$91/12</f>
        <v>0</v>
      </c>
      <c r="K98" s="612">
        <f t="shared" si="19"/>
        <v>0</v>
      </c>
      <c r="L98" s="612">
        <f t="shared" si="24"/>
        <v>0</v>
      </c>
      <c r="M98" s="618"/>
      <c r="N98" s="614">
        <v>0</v>
      </c>
      <c r="O98" s="612">
        <f t="shared" si="20"/>
        <v>0</v>
      </c>
      <c r="P98" s="612">
        <f t="shared" si="21"/>
        <v>0</v>
      </c>
      <c r="Q98" s="612">
        <f t="shared" si="22"/>
        <v>0</v>
      </c>
      <c r="R98" s="612">
        <f t="shared" si="25"/>
        <v>0</v>
      </c>
      <c r="S98" s="618"/>
    </row>
    <row r="99" spans="2:19">
      <c r="B99" s="352">
        <f t="shared" si="23"/>
        <v>62</v>
      </c>
      <c r="D99" s="358" t="s">
        <v>715</v>
      </c>
      <c r="E99" s="614">
        <v>31</v>
      </c>
      <c r="F99" s="620">
        <v>1</v>
      </c>
      <c r="G99" s="620">
        <v>214</v>
      </c>
      <c r="H99" s="619">
        <f t="shared" si="18"/>
        <v>4.6728971962616819E-3</v>
      </c>
      <c r="I99" s="618"/>
      <c r="J99" s="614">
        <f>'1E - EDIT Amortization'!$O$91/12</f>
        <v>0</v>
      </c>
      <c r="K99" s="612">
        <f t="shared" si="19"/>
        <v>0</v>
      </c>
      <c r="L99" s="612">
        <f t="shared" si="24"/>
        <v>0</v>
      </c>
      <c r="M99" s="618"/>
      <c r="N99" s="614">
        <v>0</v>
      </c>
      <c r="O99" s="612">
        <f t="shared" si="20"/>
        <v>0</v>
      </c>
      <c r="P99" s="612">
        <f t="shared" si="21"/>
        <v>0</v>
      </c>
      <c r="Q99" s="612">
        <f t="shared" si="22"/>
        <v>0</v>
      </c>
      <c r="R99" s="612">
        <f t="shared" si="25"/>
        <v>0</v>
      </c>
      <c r="S99" s="618"/>
    </row>
    <row r="100" spans="2:19">
      <c r="B100" s="352">
        <f t="shared" si="23"/>
        <v>63</v>
      </c>
      <c r="D100" s="359" t="str">
        <f>"Total (Sum of Lines "&amp;B88&amp;" - "&amp;B99&amp;")"</f>
        <v>Total (Sum of Lines 51 - 62)</v>
      </c>
      <c r="E100" s="617">
        <f>SUM(E88:E99)</f>
        <v>365</v>
      </c>
      <c r="F100" s="360"/>
      <c r="G100" s="360"/>
      <c r="H100" s="361"/>
      <c r="I100" s="615"/>
      <c r="J100" s="617">
        <f>SUM(J88:J99)</f>
        <v>0</v>
      </c>
      <c r="K100" s="617">
        <f>SUM(K88:K99)</f>
        <v>0</v>
      </c>
      <c r="L100" s="616"/>
      <c r="M100" s="615"/>
      <c r="N100" s="617">
        <f>SUM(N88:N99)</f>
        <v>0</v>
      </c>
      <c r="O100" s="617">
        <f>SUM(O88:O99)</f>
        <v>0</v>
      </c>
      <c r="P100" s="617">
        <f>SUM(P88:P99)</f>
        <v>0</v>
      </c>
      <c r="Q100" s="617">
        <f>SUM(Q88:Q99)</f>
        <v>0</v>
      </c>
      <c r="R100" s="616"/>
      <c r="S100" s="615"/>
    </row>
    <row r="101" spans="2:19">
      <c r="D101" s="362"/>
      <c r="E101" s="362"/>
      <c r="F101" s="362"/>
      <c r="G101" s="362"/>
      <c r="H101" s="363"/>
      <c r="I101" s="363"/>
      <c r="K101" s="364"/>
      <c r="L101" s="363"/>
      <c r="M101" s="363"/>
      <c r="N101" s="372"/>
      <c r="O101" s="364"/>
      <c r="P101" s="364"/>
      <c r="Q101" s="364"/>
      <c r="R101" s="363"/>
      <c r="S101" s="363"/>
    </row>
    <row r="102" spans="2:19">
      <c r="B102" s="352">
        <f>B100+1</f>
        <v>64</v>
      </c>
      <c r="D102" s="298" t="s">
        <v>1260</v>
      </c>
      <c r="I102" s="363"/>
      <c r="J102" s="614" t="str">
        <f>$J$14</f>
        <v>12/31/2021 (Actuals)</v>
      </c>
      <c r="L102" s="614">
        <f>'1E - EDIT Amortization'!M73+'1E - EDIT Amortization'!M82</f>
        <v>0</v>
      </c>
      <c r="M102" s="365"/>
      <c r="N102" s="614" t="str">
        <f>$N$14</f>
        <v>12/31/2021 (Actuals)</v>
      </c>
      <c r="R102" s="614">
        <f>'1E - EDIT Amortization'!M73+'1E - EDIT Amortization'!M82</f>
        <v>0</v>
      </c>
    </row>
    <row r="103" spans="2:19">
      <c r="B103" s="352">
        <f>B102+1</f>
        <v>65</v>
      </c>
      <c r="D103" s="298" t="s">
        <v>1261</v>
      </c>
      <c r="I103" s="363"/>
      <c r="J103" s="366" t="s">
        <v>611</v>
      </c>
      <c r="L103" s="367">
        <v>0</v>
      </c>
      <c r="M103" s="368"/>
      <c r="N103" s="366"/>
      <c r="R103" s="367">
        <v>0</v>
      </c>
    </row>
    <row r="104" spans="2:19">
      <c r="B104" s="352">
        <f>B103+1</f>
        <v>66</v>
      </c>
      <c r="D104" s="298" t="s">
        <v>1262</v>
      </c>
      <c r="I104" s="363"/>
      <c r="J104" s="359" t="str">
        <f>"(Col. "&amp;L81&amp;", Line "&amp;B102&amp;" + Line "&amp;B103&amp;")"</f>
        <v>(Col. (H), Line 64 + Line 65)</v>
      </c>
      <c r="L104" s="613">
        <f>L102+L103</f>
        <v>0</v>
      </c>
      <c r="M104" s="363"/>
      <c r="N104" s="359" t="str">
        <f>"(Col. "&amp;R81&amp;", Line "&amp;B102&amp;" + Line "&amp;B103&amp;")"</f>
        <v>(Col. (M), Line 64 + Line 65)</v>
      </c>
      <c r="R104" s="613">
        <f>R102+R103</f>
        <v>0</v>
      </c>
    </row>
    <row r="105" spans="2:19">
      <c r="I105" s="363"/>
      <c r="L105" s="613"/>
      <c r="M105" s="363"/>
      <c r="R105" s="613"/>
    </row>
    <row r="106" spans="2:19">
      <c r="B106" s="352">
        <f>B104+1</f>
        <v>67</v>
      </c>
      <c r="D106" s="298" t="s">
        <v>1263</v>
      </c>
      <c r="I106" s="363"/>
      <c r="J106" s="614" t="str">
        <f>$J$16</f>
        <v>2022 Projected</v>
      </c>
      <c r="L106" s="614">
        <f>'1E - EDIT Amortization'!Q73+'1E - EDIT Amortization'!Q82</f>
        <v>0</v>
      </c>
      <c r="M106" s="365"/>
      <c r="N106" s="614" t="str">
        <f>$N$16</f>
        <v>12/31/2022 (Actuals)</v>
      </c>
      <c r="R106" s="614">
        <v>0</v>
      </c>
    </row>
    <row r="107" spans="2:19">
      <c r="B107" s="352">
        <f>B106+1</f>
        <v>68</v>
      </c>
      <c r="D107" s="298" t="s">
        <v>1264</v>
      </c>
      <c r="I107" s="363"/>
      <c r="J107" s="366" t="s">
        <v>611</v>
      </c>
      <c r="L107" s="367">
        <v>0</v>
      </c>
      <c r="M107" s="363"/>
      <c r="N107" s="366"/>
      <c r="R107" s="367">
        <v>0</v>
      </c>
    </row>
    <row r="108" spans="2:19">
      <c r="B108" s="352">
        <f>B107+1</f>
        <v>69</v>
      </c>
      <c r="D108" s="298" t="s">
        <v>1265</v>
      </c>
      <c r="I108" s="363"/>
      <c r="J108" s="359" t="str">
        <f>"(Col. "&amp;L81&amp;", Line "&amp;B106&amp;" + Line "&amp;B107&amp;")"</f>
        <v>(Col. (H), Line 67 + Line 68)</v>
      </c>
      <c r="L108" s="613">
        <f>L106+L107</f>
        <v>0</v>
      </c>
      <c r="M108" s="363"/>
      <c r="N108" s="359" t="str">
        <f>"(Col. "&amp;R81&amp;", Line "&amp;B106&amp;" + Line "&amp;B107&amp;")"</f>
        <v>(Col. (M), Line 67 + Line 68)</v>
      </c>
      <c r="R108" s="613">
        <f>R106+R107</f>
        <v>0</v>
      </c>
    </row>
    <row r="109" spans="2:19">
      <c r="I109" s="363"/>
      <c r="L109" s="613"/>
      <c r="M109" s="363"/>
      <c r="R109" s="613"/>
    </row>
    <row r="110" spans="2:19">
      <c r="B110" s="352">
        <f>B108+1</f>
        <v>70</v>
      </c>
      <c r="D110" s="298" t="s">
        <v>955</v>
      </c>
      <c r="I110" s="363"/>
      <c r="J110" s="359" t="str">
        <f>"([Col. "&amp;L81&amp;", Line "&amp;B104&amp;" + Line "&amp;B108&amp;"] /2)"</f>
        <v>([Col. (H), Line 66 + Line 69] /2)</v>
      </c>
      <c r="L110" s="612">
        <f>(L104+L108)/2</f>
        <v>0</v>
      </c>
      <c r="M110" s="363"/>
      <c r="N110" s="359" t="str">
        <f>"([Col. "&amp;R81&amp;", Line "&amp;B104&amp;" + Line "&amp;B108&amp;"] /2)"</f>
        <v>([Col. (M), Line 66 + Line 69] /2)</v>
      </c>
      <c r="R110" s="612">
        <f>(R104+R108)/2</f>
        <v>0</v>
      </c>
    </row>
    <row r="111" spans="2:19">
      <c r="B111" s="352">
        <f>B110+1</f>
        <v>71</v>
      </c>
      <c r="D111" s="457" t="s">
        <v>1266</v>
      </c>
      <c r="E111" s="362"/>
      <c r="F111" s="362"/>
      <c r="G111" s="362"/>
      <c r="H111" s="363"/>
      <c r="I111" s="363"/>
      <c r="J111" s="359" t="str">
        <f>"(Col. "&amp;L81&amp;", Line "&amp;B99&amp;" )"</f>
        <v>(Col. (H), Line 62 )</v>
      </c>
      <c r="K111" s="364"/>
      <c r="L111" s="612">
        <f>L99</f>
        <v>0</v>
      </c>
      <c r="M111" s="363"/>
      <c r="N111" s="359" t="str">
        <f>"(Col. "&amp;R81&amp;", Line "&amp;B99&amp;" )"</f>
        <v>(Col. (M), Line 62 )</v>
      </c>
      <c r="R111" s="612">
        <f>R99</f>
        <v>0</v>
      </c>
    </row>
    <row r="112" spans="2:19" ht="13.5" thickBot="1">
      <c r="B112" s="352">
        <f>B111+1</f>
        <v>72</v>
      </c>
      <c r="D112" s="369" t="s">
        <v>1271</v>
      </c>
      <c r="E112" s="362"/>
      <c r="F112" s="362"/>
      <c r="G112" s="362"/>
      <c r="H112" s="363"/>
      <c r="I112" s="363"/>
      <c r="J112" s="359" t="str">
        <f>"(Col. "&amp;L81&amp;", Line "&amp;B110&amp;" + Line "&amp;B111&amp;")"</f>
        <v>(Col. (H), Line 70 + Line 71)</v>
      </c>
      <c r="K112" s="364"/>
      <c r="L112" s="611">
        <f>L110+L111</f>
        <v>0</v>
      </c>
      <c r="M112" s="363"/>
      <c r="N112" s="359" t="str">
        <f>"(Col. "&amp;R81&amp;", Line "&amp;B110&amp;" + Line "&amp;B111&amp;")"</f>
        <v>(Col. (M), Line 70 + Line 71)</v>
      </c>
      <c r="R112" s="611">
        <f>R110+R111</f>
        <v>0</v>
      </c>
    </row>
    <row r="113" spans="2:19">
      <c r="D113" s="362"/>
      <c r="E113" s="362"/>
      <c r="F113" s="362"/>
      <c r="G113" s="362"/>
      <c r="H113" s="363"/>
      <c r="I113" s="363"/>
      <c r="K113" s="364"/>
      <c r="L113" s="363"/>
      <c r="M113" s="363"/>
      <c r="O113" s="364"/>
      <c r="P113" s="364"/>
      <c r="Q113" s="364"/>
      <c r="R113" s="363"/>
      <c r="S113" s="363"/>
    </row>
    <row r="114" spans="2:19">
      <c r="D114" s="362"/>
      <c r="E114" s="362"/>
      <c r="F114" s="362" t="s">
        <v>83</v>
      </c>
      <c r="G114" s="362"/>
      <c r="H114" s="363"/>
      <c r="I114" s="363"/>
      <c r="K114" s="364"/>
      <c r="L114" s="363"/>
      <c r="M114" s="363"/>
      <c r="O114" s="364"/>
      <c r="P114" s="364"/>
      <c r="Q114" s="364"/>
      <c r="R114" s="363"/>
      <c r="S114" s="363"/>
    </row>
    <row r="115" spans="2:19" ht="13">
      <c r="D115" s="1761" t="s">
        <v>1272</v>
      </c>
      <c r="E115" s="1761"/>
      <c r="F115" s="1761"/>
      <c r="G115" s="1761"/>
      <c r="H115" s="1762"/>
      <c r="I115" s="363"/>
      <c r="J115" s="1762" t="s">
        <v>1273</v>
      </c>
      <c r="K115" s="1762"/>
      <c r="L115" s="1762"/>
      <c r="M115" s="1762"/>
      <c r="N115" s="1762"/>
      <c r="O115" s="364"/>
      <c r="P115" s="364"/>
      <c r="Q115" s="364"/>
      <c r="R115" s="363"/>
      <c r="S115" s="363"/>
    </row>
    <row r="116" spans="2:19" ht="12.75" customHeight="1">
      <c r="B116" s="1763" t="s">
        <v>1212</v>
      </c>
      <c r="C116" s="607"/>
      <c r="D116" s="603" t="s">
        <v>164</v>
      </c>
      <c r="E116" s="604"/>
      <c r="F116" s="603" t="s">
        <v>165</v>
      </c>
      <c r="G116" s="605"/>
      <c r="H116" s="602" t="s">
        <v>1201</v>
      </c>
      <c r="I116" s="353"/>
      <c r="J116" s="603" t="s">
        <v>1202</v>
      </c>
      <c r="K116" s="604"/>
      <c r="L116" s="603" t="s">
        <v>1203</v>
      </c>
      <c r="M116" s="605"/>
      <c r="N116" s="602" t="s">
        <v>1204</v>
      </c>
    </row>
    <row r="117" spans="2:19" ht="26">
      <c r="B117" s="1764"/>
      <c r="C117" s="607"/>
      <c r="D117" s="458" t="s">
        <v>1274</v>
      </c>
      <c r="E117" s="459"/>
      <c r="F117" s="460" t="s">
        <v>1275</v>
      </c>
      <c r="G117" s="461"/>
      <c r="H117" s="462" t="s">
        <v>1276</v>
      </c>
      <c r="J117" s="463" t="s">
        <v>1274</v>
      </c>
      <c r="K117" s="464"/>
      <c r="L117" s="465" t="s">
        <v>1275</v>
      </c>
      <c r="M117" s="466"/>
      <c r="N117" s="462" t="s">
        <v>1276</v>
      </c>
      <c r="O117" s="364"/>
      <c r="P117" s="364"/>
      <c r="Q117" s="364"/>
      <c r="R117" s="363"/>
      <c r="S117" s="363"/>
    </row>
    <row r="118" spans="2:19" ht="5.15" customHeight="1">
      <c r="B118" s="298"/>
      <c r="E118" s="362"/>
      <c r="K118" s="362"/>
      <c r="O118" s="364"/>
      <c r="P118" s="364"/>
      <c r="Q118" s="364"/>
      <c r="R118" s="363"/>
      <c r="S118" s="363"/>
    </row>
    <row r="119" spans="2:19">
      <c r="B119" s="352">
        <f>B112+1</f>
        <v>73</v>
      </c>
      <c r="D119" s="467" t="s">
        <v>1277</v>
      </c>
      <c r="F119" s="468" t="str">
        <f>"(Col. "&amp;L11&amp;", Line "&amp;B42&amp;")"</f>
        <v>(Col. (H), Line 24)</v>
      </c>
      <c r="G119" s="471"/>
      <c r="H119" s="469">
        <f>L42</f>
        <v>3047281</v>
      </c>
      <c r="I119" s="471"/>
      <c r="J119" s="467" t="s">
        <v>1277</v>
      </c>
      <c r="L119" s="468" t="str">
        <f>"(Col. "&amp;R11&amp;", Line "&amp;B42&amp;")"</f>
        <v>(Col. (M), Line 24)</v>
      </c>
      <c r="M119" s="471"/>
      <c r="N119" s="469">
        <f>R42</f>
        <v>3047281</v>
      </c>
      <c r="O119" s="364"/>
      <c r="P119" s="364"/>
      <c r="Q119" s="364"/>
      <c r="R119" s="363"/>
      <c r="S119" s="363"/>
    </row>
    <row r="120" spans="2:19">
      <c r="B120" s="352">
        <f>B119+1</f>
        <v>74</v>
      </c>
      <c r="D120" s="467" t="s">
        <v>1278</v>
      </c>
      <c r="F120" s="468" t="str">
        <f>"(Col. "&amp;L46&amp;", Line "&amp;B77&amp;")"</f>
        <v>(Col. (H), Line 48)</v>
      </c>
      <c r="H120" s="470">
        <f>L77</f>
        <v>-66225620.198292024</v>
      </c>
      <c r="J120" s="467" t="s">
        <v>1278</v>
      </c>
      <c r="L120" s="468" t="str">
        <f>"(Col. "&amp;R46&amp;", Line "&amp;B77&amp;")"</f>
        <v>(Col. (M), Line 48)</v>
      </c>
      <c r="N120" s="470">
        <f>R77</f>
        <v>-65734950.198292039</v>
      </c>
      <c r="O120" s="364"/>
      <c r="P120" s="364"/>
      <c r="Q120" s="364"/>
      <c r="R120" s="363"/>
      <c r="S120" s="363"/>
    </row>
    <row r="121" spans="2:19">
      <c r="B121" s="352">
        <f>B120+1</f>
        <v>75</v>
      </c>
      <c r="D121" s="467" t="s">
        <v>1279</v>
      </c>
      <c r="F121" s="468" t="str">
        <f>"(Col. "&amp;L81&amp;", Line "&amp;B112&amp;")"</f>
        <v>(Col. (H), Line 72)</v>
      </c>
      <c r="H121" s="470">
        <f>L112</f>
        <v>0</v>
      </c>
      <c r="J121" s="467" t="s">
        <v>1279</v>
      </c>
      <c r="L121" s="468" t="str">
        <f>"(Col. "&amp;R81&amp;", Line "&amp;B112&amp;")"</f>
        <v>(Col. (M), Line 72)</v>
      </c>
      <c r="N121" s="470">
        <f>R112</f>
        <v>0</v>
      </c>
      <c r="O121" s="364"/>
      <c r="P121" s="364"/>
      <c r="Q121" s="364"/>
      <c r="R121" s="363"/>
      <c r="S121" s="363"/>
    </row>
    <row r="122" spans="2:19" ht="5.15" customHeight="1">
      <c r="D122" s="362"/>
      <c r="E122" s="362"/>
      <c r="J122" s="362"/>
      <c r="K122" s="362"/>
      <c r="O122" s="364"/>
      <c r="P122" s="364"/>
      <c r="Q122" s="364"/>
      <c r="R122" s="363"/>
      <c r="S122" s="363"/>
    </row>
    <row r="123" spans="2:19" ht="13">
      <c r="B123" s="352">
        <f>B121+1</f>
        <v>76</v>
      </c>
      <c r="D123" s="6" t="s">
        <v>1122</v>
      </c>
      <c r="E123" s="362"/>
      <c r="F123" s="468" t="s">
        <v>1446</v>
      </c>
      <c r="G123" s="471"/>
      <c r="H123" s="472">
        <f>SUM(H119:H122)</f>
        <v>-63178339.198292024</v>
      </c>
      <c r="I123" s="471"/>
      <c r="J123" s="6" t="s">
        <v>1122</v>
      </c>
      <c r="K123" s="362"/>
      <c r="L123" s="473" t="s">
        <v>1446</v>
      </c>
      <c r="M123" s="471"/>
      <c r="N123" s="472">
        <f>SUM(N119:N122)</f>
        <v>-62687669.198292039</v>
      </c>
      <c r="O123" s="364"/>
      <c r="P123" s="364"/>
      <c r="Q123" s="364"/>
      <c r="R123" s="363"/>
      <c r="S123" s="363"/>
    </row>
    <row r="124" spans="2:19">
      <c r="D124" s="362"/>
      <c r="E124" s="362"/>
      <c r="F124" s="362"/>
      <c r="G124" s="362"/>
      <c r="H124" s="362"/>
      <c r="I124" s="363"/>
      <c r="J124" s="364"/>
      <c r="K124" s="364"/>
      <c r="L124" s="363"/>
      <c r="M124" s="363"/>
      <c r="O124" s="364"/>
      <c r="P124" s="364"/>
      <c r="Q124" s="364"/>
      <c r="R124" s="363"/>
      <c r="S124" s="363"/>
    </row>
    <row r="125" spans="2:19">
      <c r="D125" s="362"/>
      <c r="E125" s="362"/>
      <c r="F125" s="362"/>
      <c r="G125" s="362"/>
      <c r="H125" s="363"/>
      <c r="I125" s="363"/>
      <c r="K125" s="364"/>
      <c r="L125" s="363"/>
      <c r="M125" s="363"/>
      <c r="O125" s="364"/>
      <c r="P125" s="364"/>
      <c r="Q125" s="364"/>
      <c r="R125" s="363"/>
      <c r="S125" s="363"/>
    </row>
    <row r="126" spans="2:19" ht="15.75" customHeight="1">
      <c r="B126" s="1760" t="s">
        <v>1280</v>
      </c>
      <c r="C126" s="1760"/>
      <c r="D126" s="1760"/>
      <c r="E126" s="1760"/>
      <c r="F126" s="1760"/>
      <c r="G126" s="1760"/>
      <c r="H126" s="1760"/>
      <c r="I126" s="1760"/>
      <c r="J126" s="1760"/>
      <c r="K126" s="1760"/>
      <c r="L126" s="1760"/>
      <c r="M126" s="1760"/>
      <c r="N126" s="1760"/>
      <c r="O126" s="1760"/>
      <c r="P126" s="1760"/>
      <c r="Q126" s="1760"/>
      <c r="R126" s="1760"/>
    </row>
    <row r="127" spans="2:19" ht="13">
      <c r="D127" s="349"/>
    </row>
    <row r="128" spans="2:19" ht="13">
      <c r="D128" s="349" t="s">
        <v>1256</v>
      </c>
      <c r="J128" s="1750"/>
      <c r="K128" s="1750"/>
      <c r="L128" s="1750"/>
      <c r="N128" s="1750"/>
      <c r="O128" s="1750"/>
      <c r="P128" s="1750"/>
      <c r="Q128" s="1750"/>
      <c r="R128" s="1750"/>
    </row>
    <row r="129" spans="2:19" ht="13">
      <c r="D129" s="1743" t="s">
        <v>870</v>
      </c>
      <c r="E129" s="1744"/>
      <c r="F129" s="1744"/>
      <c r="G129" s="1744"/>
      <c r="H129" s="1745"/>
      <c r="I129" s="353"/>
      <c r="J129" s="1746" t="s">
        <v>1257</v>
      </c>
      <c r="K129" s="1747"/>
      <c r="L129" s="1748"/>
      <c r="M129" s="353"/>
      <c r="N129" s="1746" t="s">
        <v>1258</v>
      </c>
      <c r="O129" s="1747"/>
      <c r="P129" s="1747"/>
      <c r="Q129" s="1747"/>
      <c r="R129" s="1748"/>
      <c r="S129" s="353"/>
    </row>
    <row r="130" spans="2:19" ht="13">
      <c r="D130" s="354" t="s">
        <v>164</v>
      </c>
      <c r="E130" s="354" t="s">
        <v>165</v>
      </c>
      <c r="F130" s="354" t="s">
        <v>1201</v>
      </c>
      <c r="G130" s="354" t="s">
        <v>1202</v>
      </c>
      <c r="H130" s="354" t="s">
        <v>1203</v>
      </c>
      <c r="I130" s="353"/>
      <c r="J130" s="354" t="s">
        <v>1204</v>
      </c>
      <c r="K130" s="354" t="s">
        <v>1205</v>
      </c>
      <c r="L130" s="354" t="s">
        <v>1206</v>
      </c>
      <c r="M130" s="353"/>
      <c r="N130" s="354" t="s">
        <v>1207</v>
      </c>
      <c r="O130" s="354" t="s">
        <v>1208</v>
      </c>
      <c r="P130" s="354" t="s">
        <v>1209</v>
      </c>
      <c r="Q130" s="354" t="s">
        <v>1210</v>
      </c>
      <c r="R130" s="354" t="s">
        <v>1211</v>
      </c>
      <c r="S130" s="353"/>
    </row>
    <row r="131" spans="2:19" ht="63" customHeight="1">
      <c r="B131" s="355" t="s">
        <v>1212</v>
      </c>
      <c r="D131" s="356" t="s">
        <v>159</v>
      </c>
      <c r="E131" s="356" t="s">
        <v>871</v>
      </c>
      <c r="F131" s="356" t="s">
        <v>960</v>
      </c>
      <c r="G131" s="356" t="s">
        <v>959</v>
      </c>
      <c r="H131" s="356" t="s">
        <v>1213</v>
      </c>
      <c r="I131" s="609"/>
      <c r="J131" s="356" t="s">
        <v>874</v>
      </c>
      <c r="K131" s="356" t="s">
        <v>1214</v>
      </c>
      <c r="L131" s="356" t="s">
        <v>1215</v>
      </c>
      <c r="M131" s="609"/>
      <c r="N131" s="356" t="s">
        <v>958</v>
      </c>
      <c r="O131" s="356" t="s">
        <v>1216</v>
      </c>
      <c r="P131" s="356" t="s">
        <v>1217</v>
      </c>
      <c r="Q131" s="356" t="s">
        <v>1218</v>
      </c>
      <c r="R131" s="356" t="s">
        <v>1219</v>
      </c>
      <c r="S131" s="609"/>
    </row>
    <row r="132" spans="2:19">
      <c r="E132" s="609"/>
      <c r="F132" s="609"/>
      <c r="G132" s="609"/>
      <c r="H132" s="609"/>
      <c r="I132" s="609"/>
      <c r="J132" s="609"/>
      <c r="K132" s="609"/>
      <c r="L132" s="609"/>
      <c r="M132" s="609"/>
      <c r="N132" s="609"/>
      <c r="O132" s="609"/>
      <c r="P132" s="609"/>
      <c r="Q132" s="609"/>
      <c r="R132" s="609"/>
      <c r="S132" s="609"/>
    </row>
    <row r="133" spans="2:19">
      <c r="B133" s="352">
        <f>B123+1</f>
        <v>77</v>
      </c>
      <c r="D133" s="298" t="s">
        <v>1259</v>
      </c>
      <c r="E133" s="609"/>
      <c r="F133" s="609"/>
      <c r="G133" s="609"/>
      <c r="H133" s="609"/>
      <c r="I133" s="609"/>
      <c r="J133" s="614" t="str">
        <f>$J$14</f>
        <v>12/31/2021 (Actuals)</v>
      </c>
      <c r="K133" s="609"/>
      <c r="L133" s="614">
        <f>'1E - EDIT Amortization'!M193</f>
        <v>0</v>
      </c>
      <c r="M133" s="609"/>
      <c r="N133" s="614" t="str">
        <f>$N$14</f>
        <v>12/31/2021 (Actuals)</v>
      </c>
      <c r="O133" s="609"/>
      <c r="P133" s="609"/>
      <c r="Q133" s="609"/>
      <c r="R133" s="614">
        <v>0</v>
      </c>
      <c r="S133" s="609"/>
    </row>
    <row r="134" spans="2:19">
      <c r="E134" s="609"/>
      <c r="F134" s="609"/>
      <c r="G134" s="609"/>
      <c r="H134" s="609"/>
      <c r="I134" s="609"/>
      <c r="J134" s="609"/>
      <c r="K134" s="609"/>
      <c r="L134" s="609"/>
      <c r="M134" s="609"/>
      <c r="N134" s="609"/>
      <c r="O134" s="609"/>
      <c r="P134" s="609"/>
      <c r="Q134" s="609"/>
      <c r="R134" s="609"/>
      <c r="S134" s="609"/>
    </row>
    <row r="135" spans="2:19">
      <c r="B135" s="1481">
        <f>B133+1</f>
        <v>78</v>
      </c>
      <c r="D135" s="298" t="s">
        <v>1592</v>
      </c>
      <c r="E135" s="1480"/>
      <c r="F135" s="1480"/>
      <c r="G135" s="1480"/>
      <c r="H135" s="1480"/>
      <c r="I135" s="1480"/>
      <c r="J135" s="614" t="str">
        <f>$J$16</f>
        <v>2022 Projected</v>
      </c>
      <c r="K135" s="1480"/>
      <c r="L135" s="1480"/>
      <c r="M135" s="1480"/>
      <c r="N135" s="614" t="str">
        <f>$N$16</f>
        <v>12/31/2022 (Actuals)</v>
      </c>
      <c r="O135" s="1480"/>
      <c r="P135" s="1480"/>
      <c r="Q135" s="1480"/>
      <c r="R135" s="1480"/>
      <c r="S135" s="1480"/>
    </row>
    <row r="136" spans="2:19">
      <c r="B136" s="1481"/>
      <c r="E136" s="1480"/>
      <c r="F136" s="1480"/>
      <c r="G136" s="1480"/>
      <c r="H136" s="1480"/>
      <c r="I136" s="1480"/>
      <c r="J136" s="1480"/>
      <c r="K136" s="1480"/>
      <c r="L136" s="1480"/>
      <c r="M136" s="1480"/>
      <c r="N136" s="1480"/>
      <c r="O136" s="1480"/>
      <c r="P136" s="1480"/>
      <c r="Q136" s="1480"/>
      <c r="R136" s="1480"/>
      <c r="S136" s="1480"/>
    </row>
    <row r="137" spans="2:19">
      <c r="B137" s="352">
        <f>B135+1</f>
        <v>79</v>
      </c>
      <c r="D137" s="357" t="s">
        <v>493</v>
      </c>
      <c r="E137" s="614">
        <v>31</v>
      </c>
      <c r="F137" s="620">
        <v>0</v>
      </c>
      <c r="G137" s="620">
        <v>214</v>
      </c>
      <c r="H137" s="619">
        <f t="shared" ref="H137:H148" si="27">IF(F137=0,0.5,F137/G137)</f>
        <v>0.5</v>
      </c>
      <c r="I137" s="618"/>
      <c r="J137" s="614">
        <f>'1E - EDIT Amortization'!$O$193/12</f>
        <v>0</v>
      </c>
      <c r="K137" s="612">
        <f t="shared" ref="K137:K148" si="28">+J137*H137</f>
        <v>0</v>
      </c>
      <c r="L137" s="612">
        <f>+K137+L133</f>
        <v>0</v>
      </c>
      <c r="M137" s="618"/>
      <c r="N137" s="614">
        <v>0</v>
      </c>
      <c r="O137" s="612">
        <f t="shared" ref="O137:O148" si="29">IF($D$249="True-Up Adjustment",N137-J137,0)</f>
        <v>0</v>
      </c>
      <c r="P137" s="612">
        <f t="shared" ref="P137:P148" si="30">IF($D$249="True-Up Adjustment",IF(AND(J137&gt;=0,N137&gt;=0),IF(O137&gt;=0,K137+O137,N137/J137*K137),IF(AND(J137&lt;0,N137&lt;0),IF(O137&lt;0,K137+O137,N137/J137*K137),0)),0)</f>
        <v>0</v>
      </c>
      <c r="Q137" s="612">
        <f t="shared" ref="Q137:Q148" si="31">IF(AND(J137&gt;=0,N137&lt;0),N137,IF(AND(J137&lt;0,N137&gt;=0),N137,0))</f>
        <v>0</v>
      </c>
      <c r="R137" s="612">
        <f>P137+Q137+R133</f>
        <v>0</v>
      </c>
      <c r="S137" s="618"/>
    </row>
    <row r="138" spans="2:19">
      <c r="B138" s="352">
        <f t="shared" ref="B138:B149" si="32">+B137+1</f>
        <v>80</v>
      </c>
      <c r="D138" s="357" t="s">
        <v>494</v>
      </c>
      <c r="E138" s="614">
        <v>28</v>
      </c>
      <c r="F138" s="620">
        <v>0</v>
      </c>
      <c r="G138" s="620">
        <v>214</v>
      </c>
      <c r="H138" s="619">
        <f t="shared" si="27"/>
        <v>0.5</v>
      </c>
      <c r="I138" s="618"/>
      <c r="J138" s="614">
        <f>'1E - EDIT Amortization'!$O$193/12</f>
        <v>0</v>
      </c>
      <c r="K138" s="612">
        <f t="shared" si="28"/>
        <v>0</v>
      </c>
      <c r="L138" s="612">
        <f t="shared" ref="L138:L148" si="33">+K138+L137</f>
        <v>0</v>
      </c>
      <c r="M138" s="618"/>
      <c r="N138" s="614">
        <v>0</v>
      </c>
      <c r="O138" s="612">
        <f t="shared" si="29"/>
        <v>0</v>
      </c>
      <c r="P138" s="612">
        <f t="shared" si="30"/>
        <v>0</v>
      </c>
      <c r="Q138" s="612">
        <f t="shared" si="31"/>
        <v>0</v>
      </c>
      <c r="R138" s="612">
        <f t="shared" ref="R138:R148" si="34">R137+P138+Q138</f>
        <v>0</v>
      </c>
      <c r="S138" s="618"/>
    </row>
    <row r="139" spans="2:19">
      <c r="B139" s="352">
        <f t="shared" si="32"/>
        <v>81</v>
      </c>
      <c r="D139" s="357" t="s">
        <v>517</v>
      </c>
      <c r="E139" s="614">
        <v>31</v>
      </c>
      <c r="F139" s="620">
        <v>0</v>
      </c>
      <c r="G139" s="620">
        <v>214</v>
      </c>
      <c r="H139" s="619">
        <f t="shared" si="27"/>
        <v>0.5</v>
      </c>
      <c r="I139" s="618"/>
      <c r="J139" s="614">
        <f>'1E - EDIT Amortization'!$O$193/12</f>
        <v>0</v>
      </c>
      <c r="K139" s="612">
        <f t="shared" si="28"/>
        <v>0</v>
      </c>
      <c r="L139" s="612">
        <f t="shared" si="33"/>
        <v>0</v>
      </c>
      <c r="M139" s="618"/>
      <c r="N139" s="614">
        <v>0</v>
      </c>
      <c r="O139" s="612">
        <f t="shared" si="29"/>
        <v>0</v>
      </c>
      <c r="P139" s="612">
        <f t="shared" si="30"/>
        <v>0</v>
      </c>
      <c r="Q139" s="612">
        <f t="shared" si="31"/>
        <v>0</v>
      </c>
      <c r="R139" s="612">
        <f t="shared" si="34"/>
        <v>0</v>
      </c>
      <c r="S139" s="618"/>
    </row>
    <row r="140" spans="2:19">
      <c r="B140" s="352">
        <f t="shared" si="32"/>
        <v>82</v>
      </c>
      <c r="D140" s="357" t="s">
        <v>161</v>
      </c>
      <c r="E140" s="614">
        <v>30</v>
      </c>
      <c r="F140" s="620">
        <v>0</v>
      </c>
      <c r="G140" s="620">
        <v>214</v>
      </c>
      <c r="H140" s="619">
        <f t="shared" si="27"/>
        <v>0.5</v>
      </c>
      <c r="I140" s="618"/>
      <c r="J140" s="614">
        <f>'1E - EDIT Amortization'!$O$193/12</f>
        <v>0</v>
      </c>
      <c r="K140" s="612">
        <f t="shared" si="28"/>
        <v>0</v>
      </c>
      <c r="L140" s="612">
        <f t="shared" si="33"/>
        <v>0</v>
      </c>
      <c r="M140" s="618"/>
      <c r="N140" s="614">
        <v>0</v>
      </c>
      <c r="O140" s="612">
        <f t="shared" si="29"/>
        <v>0</v>
      </c>
      <c r="P140" s="612">
        <f t="shared" si="30"/>
        <v>0</v>
      </c>
      <c r="Q140" s="612">
        <f t="shared" si="31"/>
        <v>0</v>
      </c>
      <c r="R140" s="612">
        <f t="shared" si="34"/>
        <v>0</v>
      </c>
      <c r="S140" s="618"/>
    </row>
    <row r="141" spans="2:19">
      <c r="B141" s="352">
        <f t="shared" si="32"/>
        <v>83</v>
      </c>
      <c r="D141" s="357" t="s">
        <v>162</v>
      </c>
      <c r="E141" s="614">
        <v>31</v>
      </c>
      <c r="F141" s="620">
        <v>0</v>
      </c>
      <c r="G141" s="620">
        <v>214</v>
      </c>
      <c r="H141" s="619">
        <f t="shared" si="27"/>
        <v>0.5</v>
      </c>
      <c r="I141" s="618"/>
      <c r="J141" s="614">
        <f>'1E - EDIT Amortization'!$O$193/12</f>
        <v>0</v>
      </c>
      <c r="K141" s="612">
        <f t="shared" si="28"/>
        <v>0</v>
      </c>
      <c r="L141" s="612">
        <f t="shared" si="33"/>
        <v>0</v>
      </c>
      <c r="M141" s="618"/>
      <c r="N141" s="614">
        <v>0</v>
      </c>
      <c r="O141" s="612">
        <f t="shared" si="29"/>
        <v>0</v>
      </c>
      <c r="P141" s="612">
        <f t="shared" si="30"/>
        <v>0</v>
      </c>
      <c r="Q141" s="612">
        <f t="shared" si="31"/>
        <v>0</v>
      </c>
      <c r="R141" s="612">
        <f t="shared" si="34"/>
        <v>0</v>
      </c>
      <c r="S141" s="618"/>
    </row>
    <row r="142" spans="2:19">
      <c r="B142" s="352">
        <f t="shared" si="32"/>
        <v>84</v>
      </c>
      <c r="D142" s="357" t="s">
        <v>163</v>
      </c>
      <c r="E142" s="614">
        <v>30</v>
      </c>
      <c r="F142" s="620">
        <f t="shared" ref="F142:F147" si="35">F143+E143</f>
        <v>185</v>
      </c>
      <c r="G142" s="620">
        <v>214</v>
      </c>
      <c r="H142" s="619">
        <f t="shared" si="27"/>
        <v>0.86448598130841126</v>
      </c>
      <c r="I142" s="618"/>
      <c r="J142" s="614">
        <f>'1E - EDIT Amortization'!$O$193/12</f>
        <v>0</v>
      </c>
      <c r="K142" s="612">
        <f t="shared" si="28"/>
        <v>0</v>
      </c>
      <c r="L142" s="612">
        <f t="shared" si="33"/>
        <v>0</v>
      </c>
      <c r="M142" s="618"/>
      <c r="N142" s="614">
        <v>0</v>
      </c>
      <c r="O142" s="612">
        <f t="shared" si="29"/>
        <v>0</v>
      </c>
      <c r="P142" s="612">
        <f t="shared" si="30"/>
        <v>0</v>
      </c>
      <c r="Q142" s="612">
        <f t="shared" si="31"/>
        <v>0</v>
      </c>
      <c r="R142" s="612">
        <f t="shared" si="34"/>
        <v>0</v>
      </c>
      <c r="S142" s="618"/>
    </row>
    <row r="143" spans="2:19">
      <c r="B143" s="352">
        <f t="shared" si="32"/>
        <v>85</v>
      </c>
      <c r="D143" s="357" t="s">
        <v>496</v>
      </c>
      <c r="E143" s="614">
        <v>31</v>
      </c>
      <c r="F143" s="620">
        <f t="shared" si="35"/>
        <v>154</v>
      </c>
      <c r="G143" s="620">
        <v>214</v>
      </c>
      <c r="H143" s="619">
        <f t="shared" si="27"/>
        <v>0.71962616822429903</v>
      </c>
      <c r="I143" s="618"/>
      <c r="J143" s="614">
        <f>'1E - EDIT Amortization'!$O$193/12</f>
        <v>0</v>
      </c>
      <c r="K143" s="612">
        <f t="shared" si="28"/>
        <v>0</v>
      </c>
      <c r="L143" s="612">
        <f t="shared" si="33"/>
        <v>0</v>
      </c>
      <c r="M143" s="618"/>
      <c r="N143" s="614">
        <v>0</v>
      </c>
      <c r="O143" s="612">
        <f t="shared" si="29"/>
        <v>0</v>
      </c>
      <c r="P143" s="612">
        <f t="shared" si="30"/>
        <v>0</v>
      </c>
      <c r="Q143" s="612">
        <f t="shared" si="31"/>
        <v>0</v>
      </c>
      <c r="R143" s="612">
        <f t="shared" si="34"/>
        <v>0</v>
      </c>
      <c r="S143" s="618"/>
    </row>
    <row r="144" spans="2:19">
      <c r="B144" s="352">
        <f t="shared" si="32"/>
        <v>86</v>
      </c>
      <c r="D144" s="357" t="s">
        <v>518</v>
      </c>
      <c r="E144" s="614">
        <v>31</v>
      </c>
      <c r="F144" s="620">
        <f t="shared" si="35"/>
        <v>123</v>
      </c>
      <c r="G144" s="620">
        <v>214</v>
      </c>
      <c r="H144" s="619">
        <f t="shared" si="27"/>
        <v>0.57476635514018692</v>
      </c>
      <c r="I144" s="618"/>
      <c r="J144" s="614">
        <f>'1E - EDIT Amortization'!$O$193/12</f>
        <v>0</v>
      </c>
      <c r="K144" s="612">
        <f t="shared" si="28"/>
        <v>0</v>
      </c>
      <c r="L144" s="612">
        <f t="shared" si="33"/>
        <v>0</v>
      </c>
      <c r="M144" s="618"/>
      <c r="N144" s="614">
        <v>0</v>
      </c>
      <c r="O144" s="612">
        <f t="shared" si="29"/>
        <v>0</v>
      </c>
      <c r="P144" s="612">
        <f t="shared" si="30"/>
        <v>0</v>
      </c>
      <c r="Q144" s="612">
        <f t="shared" si="31"/>
        <v>0</v>
      </c>
      <c r="R144" s="612">
        <f t="shared" si="34"/>
        <v>0</v>
      </c>
      <c r="S144" s="618"/>
    </row>
    <row r="145" spans="2:19">
      <c r="B145" s="352">
        <f t="shared" si="32"/>
        <v>87</v>
      </c>
      <c r="D145" s="357" t="s">
        <v>498</v>
      </c>
      <c r="E145" s="614">
        <v>30</v>
      </c>
      <c r="F145" s="620">
        <f t="shared" si="35"/>
        <v>93</v>
      </c>
      <c r="G145" s="620">
        <v>214</v>
      </c>
      <c r="H145" s="619">
        <f t="shared" si="27"/>
        <v>0.43457943925233644</v>
      </c>
      <c r="I145" s="618"/>
      <c r="J145" s="614">
        <f>'1E - EDIT Amortization'!$O$193/12</f>
        <v>0</v>
      </c>
      <c r="K145" s="612">
        <f t="shared" si="28"/>
        <v>0</v>
      </c>
      <c r="L145" s="612">
        <f t="shared" si="33"/>
        <v>0</v>
      </c>
      <c r="M145" s="618"/>
      <c r="N145" s="614">
        <v>0</v>
      </c>
      <c r="O145" s="612">
        <f t="shared" si="29"/>
        <v>0</v>
      </c>
      <c r="P145" s="612">
        <f t="shared" si="30"/>
        <v>0</v>
      </c>
      <c r="Q145" s="612">
        <f t="shared" si="31"/>
        <v>0</v>
      </c>
      <c r="R145" s="612">
        <f t="shared" si="34"/>
        <v>0</v>
      </c>
      <c r="S145" s="618"/>
    </row>
    <row r="146" spans="2:19">
      <c r="B146" s="352">
        <f t="shared" si="32"/>
        <v>88</v>
      </c>
      <c r="D146" s="357" t="s">
        <v>499</v>
      </c>
      <c r="E146" s="614">
        <v>31</v>
      </c>
      <c r="F146" s="620">
        <f t="shared" si="35"/>
        <v>62</v>
      </c>
      <c r="G146" s="620">
        <v>214</v>
      </c>
      <c r="H146" s="619">
        <f t="shared" si="27"/>
        <v>0.28971962616822428</v>
      </c>
      <c r="I146" s="618"/>
      <c r="J146" s="614">
        <f>'1E - EDIT Amortization'!$O$193/12</f>
        <v>0</v>
      </c>
      <c r="K146" s="612">
        <f t="shared" si="28"/>
        <v>0</v>
      </c>
      <c r="L146" s="612">
        <f t="shared" si="33"/>
        <v>0</v>
      </c>
      <c r="M146" s="618"/>
      <c r="N146" s="614">
        <v>0</v>
      </c>
      <c r="O146" s="612">
        <f t="shared" si="29"/>
        <v>0</v>
      </c>
      <c r="P146" s="612">
        <f t="shared" si="30"/>
        <v>0</v>
      </c>
      <c r="Q146" s="612">
        <f t="shared" si="31"/>
        <v>0</v>
      </c>
      <c r="R146" s="612">
        <f t="shared" si="34"/>
        <v>0</v>
      </c>
      <c r="S146" s="618"/>
    </row>
    <row r="147" spans="2:19">
      <c r="B147" s="352">
        <f t="shared" si="32"/>
        <v>89</v>
      </c>
      <c r="D147" s="357" t="s">
        <v>500</v>
      </c>
      <c r="E147" s="614">
        <v>30</v>
      </c>
      <c r="F147" s="620">
        <f t="shared" si="35"/>
        <v>32</v>
      </c>
      <c r="G147" s="620">
        <v>214</v>
      </c>
      <c r="H147" s="619">
        <f t="shared" si="27"/>
        <v>0.14953271028037382</v>
      </c>
      <c r="I147" s="618"/>
      <c r="J147" s="614">
        <f>'1E - EDIT Amortization'!$O$193/12</f>
        <v>0</v>
      </c>
      <c r="K147" s="612">
        <f t="shared" si="28"/>
        <v>0</v>
      </c>
      <c r="L147" s="612">
        <f t="shared" si="33"/>
        <v>0</v>
      </c>
      <c r="M147" s="618"/>
      <c r="N147" s="614">
        <v>0</v>
      </c>
      <c r="O147" s="612">
        <f t="shared" si="29"/>
        <v>0</v>
      </c>
      <c r="P147" s="612">
        <f t="shared" si="30"/>
        <v>0</v>
      </c>
      <c r="Q147" s="612">
        <f t="shared" si="31"/>
        <v>0</v>
      </c>
      <c r="R147" s="612">
        <f t="shared" si="34"/>
        <v>0</v>
      </c>
      <c r="S147" s="618"/>
    </row>
    <row r="148" spans="2:19">
      <c r="B148" s="352">
        <f t="shared" si="32"/>
        <v>90</v>
      </c>
      <c r="D148" s="358" t="s">
        <v>715</v>
      </c>
      <c r="E148" s="614">
        <v>31</v>
      </c>
      <c r="F148" s="620">
        <v>1</v>
      </c>
      <c r="G148" s="620">
        <v>214</v>
      </c>
      <c r="H148" s="619">
        <f t="shared" si="27"/>
        <v>4.6728971962616819E-3</v>
      </c>
      <c r="I148" s="618"/>
      <c r="J148" s="614">
        <f>'1E - EDIT Amortization'!$O$193/12</f>
        <v>0</v>
      </c>
      <c r="K148" s="612">
        <f t="shared" si="28"/>
        <v>0</v>
      </c>
      <c r="L148" s="612">
        <f t="shared" si="33"/>
        <v>0</v>
      </c>
      <c r="M148" s="618"/>
      <c r="N148" s="614">
        <v>0</v>
      </c>
      <c r="O148" s="612">
        <f t="shared" si="29"/>
        <v>0</v>
      </c>
      <c r="P148" s="612">
        <f t="shared" si="30"/>
        <v>0</v>
      </c>
      <c r="Q148" s="612">
        <f t="shared" si="31"/>
        <v>0</v>
      </c>
      <c r="R148" s="612">
        <f t="shared" si="34"/>
        <v>0</v>
      </c>
      <c r="S148" s="618"/>
    </row>
    <row r="149" spans="2:19">
      <c r="B149" s="352">
        <f t="shared" si="32"/>
        <v>91</v>
      </c>
      <c r="D149" s="359" t="str">
        <f>"Total (Sum of Lines "&amp;B137&amp;" - "&amp;B148&amp;")"</f>
        <v>Total (Sum of Lines 79 - 90)</v>
      </c>
      <c r="E149" s="617">
        <f>SUM(E137:E148)</f>
        <v>365</v>
      </c>
      <c r="F149" s="360"/>
      <c r="G149" s="360"/>
      <c r="H149" s="361"/>
      <c r="I149" s="615"/>
      <c r="J149" s="617">
        <f>SUM(J137:J148)</f>
        <v>0</v>
      </c>
      <c r="K149" s="617">
        <f>SUM(K137:K148)</f>
        <v>0</v>
      </c>
      <c r="L149" s="616"/>
      <c r="M149" s="615"/>
      <c r="N149" s="617">
        <f>SUM(N137:N148)</f>
        <v>0</v>
      </c>
      <c r="O149" s="617">
        <f>SUM(O137:O148)</f>
        <v>0</v>
      </c>
      <c r="P149" s="617">
        <f>SUM(P137:P148)</f>
        <v>0</v>
      </c>
      <c r="Q149" s="617">
        <f>SUM(Q137:Q148)</f>
        <v>0</v>
      </c>
      <c r="R149" s="616"/>
      <c r="S149" s="615"/>
    </row>
    <row r="150" spans="2:19">
      <c r="D150" s="362"/>
      <c r="E150" s="362"/>
      <c r="F150" s="362"/>
      <c r="G150" s="362"/>
      <c r="H150" s="363"/>
      <c r="I150" s="363"/>
      <c r="K150" s="364"/>
      <c r="L150" s="363"/>
      <c r="M150" s="363"/>
      <c r="O150" s="364"/>
      <c r="P150" s="364"/>
      <c r="Q150" s="364"/>
      <c r="R150" s="363"/>
      <c r="S150" s="363"/>
    </row>
    <row r="151" spans="2:19">
      <c r="B151" s="352">
        <f>B149+1</f>
        <v>92</v>
      </c>
      <c r="D151" s="298" t="s">
        <v>1260</v>
      </c>
      <c r="I151" s="363"/>
      <c r="J151" s="614" t="str">
        <f>$J$14</f>
        <v>12/31/2021 (Actuals)</v>
      </c>
      <c r="L151" s="614">
        <f>'1E - EDIT Amortization'!M175+'1E - EDIT Amortization'!M184</f>
        <v>0</v>
      </c>
      <c r="M151" s="365"/>
      <c r="N151" s="614" t="str">
        <f>$N$14</f>
        <v>12/31/2021 (Actuals)</v>
      </c>
      <c r="R151" s="614">
        <v>0</v>
      </c>
    </row>
    <row r="152" spans="2:19">
      <c r="B152" s="352">
        <f>B151+1</f>
        <v>93</v>
      </c>
      <c r="D152" s="298" t="s">
        <v>1261</v>
      </c>
      <c r="I152" s="363"/>
      <c r="J152" s="366" t="s">
        <v>611</v>
      </c>
      <c r="L152" s="367">
        <v>0</v>
      </c>
      <c r="M152" s="368"/>
      <c r="N152" s="366"/>
      <c r="R152" s="367">
        <v>0</v>
      </c>
    </row>
    <row r="153" spans="2:19">
      <c r="B153" s="352">
        <f>B152+1</f>
        <v>94</v>
      </c>
      <c r="D153" s="298" t="s">
        <v>1262</v>
      </c>
      <c r="I153" s="363"/>
      <c r="J153" s="359" t="str">
        <f>"(Col. "&amp;L130&amp;", Line "&amp;B151&amp;" + Line "&amp;B152&amp;")"</f>
        <v>(Col. (H), Line 92 + Line 93)</v>
      </c>
      <c r="L153" s="613">
        <f>L151+L152</f>
        <v>0</v>
      </c>
      <c r="M153" s="363"/>
      <c r="N153" s="359" t="str">
        <f>"(Col. "&amp;R130&amp;", Line "&amp;B151&amp;" + Line "&amp;B152&amp;")"</f>
        <v>(Col. (M), Line 92 + Line 93)</v>
      </c>
      <c r="R153" s="613">
        <f>R151+R152</f>
        <v>0</v>
      </c>
    </row>
    <row r="154" spans="2:19">
      <c r="I154" s="363"/>
      <c r="L154" s="613"/>
      <c r="M154" s="363"/>
      <c r="R154" s="613"/>
    </row>
    <row r="155" spans="2:19">
      <c r="B155" s="352">
        <f>B153+1</f>
        <v>95</v>
      </c>
      <c r="D155" s="298" t="s">
        <v>1263</v>
      </c>
      <c r="I155" s="363"/>
      <c r="J155" s="614" t="str">
        <f>$J$16</f>
        <v>2022 Projected</v>
      </c>
      <c r="L155" s="614">
        <f>'1E - EDIT Amortization'!Q175+'1E - EDIT Amortization'!Q184</f>
        <v>0</v>
      </c>
      <c r="M155" s="365"/>
      <c r="N155" s="614" t="str">
        <f>$N$16</f>
        <v>12/31/2022 (Actuals)</v>
      </c>
      <c r="R155" s="614">
        <v>0</v>
      </c>
    </row>
    <row r="156" spans="2:19">
      <c r="B156" s="352">
        <f>B155+1</f>
        <v>96</v>
      </c>
      <c r="D156" s="298" t="s">
        <v>1264</v>
      </c>
      <c r="I156" s="363"/>
      <c r="J156" s="366" t="s">
        <v>611</v>
      </c>
      <c r="L156" s="367">
        <v>0</v>
      </c>
      <c r="M156" s="363"/>
      <c r="N156" s="366"/>
      <c r="R156" s="367">
        <v>0</v>
      </c>
    </row>
    <row r="157" spans="2:19">
      <c r="B157" s="352">
        <f>B156+1</f>
        <v>97</v>
      </c>
      <c r="D157" s="298" t="s">
        <v>1265</v>
      </c>
      <c r="G157" s="359"/>
      <c r="I157" s="363"/>
      <c r="J157" s="359" t="str">
        <f>"(Col. "&amp;L130&amp;", Line "&amp;B155&amp;" + Line "&amp;B156&amp;")"</f>
        <v>(Col. (H), Line 95 + Line 96)</v>
      </c>
      <c r="L157" s="613">
        <f>L155+L156</f>
        <v>0</v>
      </c>
      <c r="M157" s="363"/>
      <c r="N157" s="359" t="str">
        <f>"(Col. "&amp;R130&amp;", Line "&amp;B155&amp;" + Line "&amp;B156&amp;")"</f>
        <v>(Col. (M), Line 95 + Line 96)</v>
      </c>
      <c r="R157" s="613">
        <f>R155+R156</f>
        <v>0</v>
      </c>
    </row>
    <row r="158" spans="2:19">
      <c r="I158" s="363"/>
      <c r="L158" s="613"/>
      <c r="M158" s="363"/>
      <c r="R158" s="613"/>
    </row>
    <row r="159" spans="2:19">
      <c r="B159" s="352">
        <f>B157+1</f>
        <v>98</v>
      </c>
      <c r="D159" s="298" t="s">
        <v>955</v>
      </c>
      <c r="I159" s="363"/>
      <c r="J159" s="359" t="str">
        <f>"([Col. "&amp;L130&amp;", Line "&amp;B153&amp;" + Line "&amp;B157&amp;"] /2)"</f>
        <v>([Col. (H), Line 94 + Line 97] /2)</v>
      </c>
      <c r="L159" s="612">
        <f>(L153+L157)/2</f>
        <v>0</v>
      </c>
      <c r="M159" s="363"/>
      <c r="N159" s="359" t="str">
        <f>"([Col. "&amp;R130&amp;", Line "&amp;B153&amp;" + Line "&amp;B157&amp;"] /2)"</f>
        <v>([Col. (M), Line 94 + Line 97] /2)</v>
      </c>
      <c r="R159" s="612">
        <f>(R153+R157)/2</f>
        <v>0</v>
      </c>
    </row>
    <row r="160" spans="2:19">
      <c r="B160" s="352">
        <f>B159+1</f>
        <v>99</v>
      </c>
      <c r="D160" s="457" t="s">
        <v>1266</v>
      </c>
      <c r="E160" s="362"/>
      <c r="F160" s="362"/>
      <c r="G160" s="362"/>
      <c r="H160" s="363"/>
      <c r="I160" s="363"/>
      <c r="J160" s="359" t="str">
        <f>"(Col. "&amp;L130&amp;", Line "&amp;B148&amp;" )"</f>
        <v>(Col. (H), Line 90 )</v>
      </c>
      <c r="K160" s="364"/>
      <c r="L160" s="612">
        <f>L148</f>
        <v>0</v>
      </c>
      <c r="M160" s="363"/>
      <c r="N160" s="359" t="str">
        <f>"(Col. "&amp;R130&amp;", Line "&amp;B148&amp;" )"</f>
        <v>(Col. (M), Line 90 )</v>
      </c>
      <c r="R160" s="612">
        <f>R148</f>
        <v>0</v>
      </c>
    </row>
    <row r="161" spans="2:19" ht="13.5" thickBot="1">
      <c r="B161" s="352">
        <f>B160+1</f>
        <v>100</v>
      </c>
      <c r="D161" s="369" t="s">
        <v>1267</v>
      </c>
      <c r="E161" s="362"/>
      <c r="F161" s="362"/>
      <c r="G161" s="362"/>
      <c r="H161" s="363"/>
      <c r="I161" s="363"/>
      <c r="J161" s="359" t="str">
        <f>"(Col. "&amp;L130&amp;", Line "&amp;B159&amp;" + Line "&amp;B160&amp;")"</f>
        <v>(Col. (H), Line 98 + Line 99)</v>
      </c>
      <c r="K161" s="364"/>
      <c r="L161" s="611">
        <f>L159+L160</f>
        <v>0</v>
      </c>
      <c r="M161" s="363"/>
      <c r="N161" s="359" t="str">
        <f>"(Col. "&amp;R130&amp;", Line "&amp;B159&amp;" + Line "&amp;B160&amp;")"</f>
        <v>(Col. (M), Line 98 + Line 99)</v>
      </c>
      <c r="R161" s="611">
        <f>R159+R160</f>
        <v>0</v>
      </c>
    </row>
    <row r="162" spans="2:19">
      <c r="I162" s="363"/>
      <c r="L162" s="612"/>
      <c r="M162" s="363"/>
      <c r="R162" s="612"/>
      <c r="S162" s="363"/>
    </row>
    <row r="163" spans="2:19" ht="13">
      <c r="D163" s="349" t="s">
        <v>1268</v>
      </c>
      <c r="J163" s="370"/>
      <c r="K163" s="371"/>
      <c r="L163" s="371"/>
      <c r="N163" s="371"/>
      <c r="O163" s="371"/>
      <c r="P163" s="371"/>
      <c r="Q163" s="371"/>
      <c r="R163" s="371"/>
    </row>
    <row r="164" spans="2:19" ht="13">
      <c r="D164" s="1743" t="s">
        <v>870</v>
      </c>
      <c r="E164" s="1744"/>
      <c r="F164" s="1744"/>
      <c r="G164" s="1744"/>
      <c r="H164" s="1745"/>
      <c r="I164" s="353"/>
      <c r="J164" s="1746" t="s">
        <v>1257</v>
      </c>
      <c r="K164" s="1747"/>
      <c r="L164" s="1748"/>
      <c r="M164" s="353"/>
      <c r="N164" s="1746" t="s">
        <v>1258</v>
      </c>
      <c r="O164" s="1747"/>
      <c r="P164" s="1747"/>
      <c r="Q164" s="1747"/>
      <c r="R164" s="1748"/>
      <c r="S164" s="353"/>
    </row>
    <row r="165" spans="2:19" ht="13">
      <c r="D165" s="354" t="s">
        <v>164</v>
      </c>
      <c r="E165" s="354" t="s">
        <v>165</v>
      </c>
      <c r="F165" s="354" t="s">
        <v>1201</v>
      </c>
      <c r="G165" s="354" t="s">
        <v>1202</v>
      </c>
      <c r="H165" s="354" t="s">
        <v>1203</v>
      </c>
      <c r="I165" s="353"/>
      <c r="J165" s="354" t="s">
        <v>1204</v>
      </c>
      <c r="K165" s="354" t="s">
        <v>1205</v>
      </c>
      <c r="L165" s="354" t="s">
        <v>1206</v>
      </c>
      <c r="M165" s="353"/>
      <c r="N165" s="354" t="s">
        <v>1207</v>
      </c>
      <c r="O165" s="354" t="s">
        <v>1208</v>
      </c>
      <c r="P165" s="354" t="s">
        <v>1209</v>
      </c>
      <c r="Q165" s="354" t="s">
        <v>1210</v>
      </c>
      <c r="R165" s="354" t="s">
        <v>1211</v>
      </c>
      <c r="S165" s="353"/>
    </row>
    <row r="166" spans="2:19" ht="50">
      <c r="B166" s="355" t="s">
        <v>1212</v>
      </c>
      <c r="D166" s="356" t="s">
        <v>159</v>
      </c>
      <c r="E166" s="356" t="s">
        <v>871</v>
      </c>
      <c r="F166" s="356" t="s">
        <v>872</v>
      </c>
      <c r="G166" s="356" t="s">
        <v>873</v>
      </c>
      <c r="H166" s="356" t="s">
        <v>1213</v>
      </c>
      <c r="I166" s="609"/>
      <c r="J166" s="356" t="s">
        <v>874</v>
      </c>
      <c r="K166" s="356" t="s">
        <v>1214</v>
      </c>
      <c r="L166" s="356" t="s">
        <v>1215</v>
      </c>
      <c r="M166" s="609"/>
      <c r="N166" s="356" t="s">
        <v>958</v>
      </c>
      <c r="O166" s="356" t="s">
        <v>1216</v>
      </c>
      <c r="P166" s="356" t="s">
        <v>1217</v>
      </c>
      <c r="Q166" s="356" t="s">
        <v>1218</v>
      </c>
      <c r="R166" s="356" t="s">
        <v>1219</v>
      </c>
      <c r="S166" s="609"/>
    </row>
    <row r="167" spans="2:19">
      <c r="E167" s="609"/>
      <c r="F167" s="609"/>
      <c r="G167" s="609"/>
      <c r="H167" s="609"/>
      <c r="I167" s="609"/>
      <c r="J167" s="609"/>
      <c r="K167" s="609"/>
      <c r="L167" s="609"/>
      <c r="M167" s="609"/>
      <c r="N167" s="609"/>
      <c r="O167" s="609"/>
      <c r="P167" s="609"/>
      <c r="Q167" s="609"/>
      <c r="R167" s="609"/>
      <c r="S167" s="609"/>
    </row>
    <row r="168" spans="2:19">
      <c r="B168" s="352">
        <f>B161+1</f>
        <v>101</v>
      </c>
      <c r="D168" s="298" t="s">
        <v>1259</v>
      </c>
      <c r="E168" s="609"/>
      <c r="F168" s="609"/>
      <c r="G168" s="609"/>
      <c r="H168" s="609"/>
      <c r="I168" s="609"/>
      <c r="J168" s="614" t="str">
        <f>$J$14</f>
        <v>12/31/2021 (Actuals)</v>
      </c>
      <c r="K168" s="609"/>
      <c r="L168" s="614">
        <f>'1E - EDIT Amortization'!M195</f>
        <v>0</v>
      </c>
      <c r="M168" s="609"/>
      <c r="N168" s="614" t="str">
        <f>$N$14</f>
        <v>12/31/2021 (Actuals)</v>
      </c>
      <c r="O168" s="609"/>
      <c r="P168" s="609"/>
      <c r="Q168" s="609"/>
      <c r="R168" s="614">
        <v>0</v>
      </c>
      <c r="S168" s="609"/>
    </row>
    <row r="169" spans="2:19">
      <c r="E169" s="609"/>
      <c r="F169" s="609"/>
      <c r="G169" s="609"/>
      <c r="H169" s="609"/>
      <c r="I169" s="609"/>
      <c r="J169" s="609"/>
      <c r="K169" s="609"/>
      <c r="L169" s="609"/>
      <c r="M169" s="609"/>
      <c r="N169" s="609"/>
      <c r="O169" s="609"/>
      <c r="P169" s="609"/>
      <c r="Q169" s="609"/>
      <c r="R169" s="609"/>
      <c r="S169" s="609"/>
    </row>
    <row r="170" spans="2:19">
      <c r="B170" s="1481">
        <f>B168+1</f>
        <v>102</v>
      </c>
      <c r="D170" s="298" t="s">
        <v>1592</v>
      </c>
      <c r="E170" s="1480"/>
      <c r="F170" s="1480"/>
      <c r="G170" s="1480"/>
      <c r="H170" s="1480"/>
      <c r="I170" s="1480"/>
      <c r="J170" s="614" t="str">
        <f>$J$16</f>
        <v>2022 Projected</v>
      </c>
      <c r="K170" s="1480"/>
      <c r="L170" s="1480"/>
      <c r="M170" s="1480"/>
      <c r="N170" s="614" t="str">
        <f>$N$16</f>
        <v>12/31/2022 (Actuals)</v>
      </c>
      <c r="O170" s="1480"/>
      <c r="P170" s="1480"/>
      <c r="Q170" s="1480"/>
      <c r="R170" s="1480"/>
      <c r="S170" s="1480"/>
    </row>
    <row r="171" spans="2:19">
      <c r="B171" s="1481"/>
      <c r="E171" s="1480"/>
      <c r="F171" s="1480"/>
      <c r="G171" s="1480"/>
      <c r="H171" s="1480"/>
      <c r="I171" s="1480"/>
      <c r="J171" s="1480"/>
      <c r="K171" s="1480"/>
      <c r="L171" s="1480"/>
      <c r="M171" s="1480"/>
      <c r="N171" s="1480"/>
      <c r="O171" s="1480"/>
      <c r="P171" s="1480"/>
      <c r="Q171" s="1480"/>
      <c r="R171" s="1480"/>
      <c r="S171" s="1480"/>
    </row>
    <row r="172" spans="2:19">
      <c r="B172" s="352">
        <f>B170+1</f>
        <v>103</v>
      </c>
      <c r="D172" s="357" t="s">
        <v>493</v>
      </c>
      <c r="E172" s="614">
        <v>31</v>
      </c>
      <c r="F172" s="620">
        <v>0</v>
      </c>
      <c r="G172" s="620">
        <v>214</v>
      </c>
      <c r="H172" s="619">
        <f t="shared" ref="H172:H183" si="36">IF(F172=0,0.5,F172/G172)</f>
        <v>0.5</v>
      </c>
      <c r="I172" s="618"/>
      <c r="J172" s="614">
        <f>'1E - EDIT Amortization'!$O$195/12</f>
        <v>0</v>
      </c>
      <c r="K172" s="612">
        <f t="shared" ref="K172:K183" si="37">+J172*H172</f>
        <v>0</v>
      </c>
      <c r="L172" s="612">
        <f>+K172+L168</f>
        <v>0</v>
      </c>
      <c r="M172" s="618"/>
      <c r="N172" s="614">
        <v>0</v>
      </c>
      <c r="O172" s="612">
        <f t="shared" ref="O172:O183" si="38">IF($D$249="True-Up Adjustment",N172-J172,0)</f>
        <v>0</v>
      </c>
      <c r="P172" s="612">
        <f t="shared" ref="P172:P183" si="39">IF($D$249="True-Up Adjustment",IF(AND(J172&gt;=0,N172&gt;=0),IF(O172&gt;=0,K172+O172,N172/J172*K172),IF(AND(J172&lt;0,N172&lt;0),IF(O172&lt;0,K172+O172,N172/J172*K172),0)),0)</f>
        <v>0</v>
      </c>
      <c r="Q172" s="612">
        <f t="shared" ref="Q172:Q183" si="40">IF(AND(J172&gt;=0,N172&lt;0),N172,IF(AND(J172&lt;0,N172&gt;=0),N172,0))</f>
        <v>0</v>
      </c>
      <c r="R172" s="612">
        <f>R168+P172+Q172</f>
        <v>0</v>
      </c>
      <c r="S172" s="618"/>
    </row>
    <row r="173" spans="2:19">
      <c r="B173" s="352">
        <f t="shared" ref="B173:B184" si="41">+B172+1</f>
        <v>104</v>
      </c>
      <c r="D173" s="357" t="s">
        <v>494</v>
      </c>
      <c r="E173" s="614">
        <v>28</v>
      </c>
      <c r="F173" s="620">
        <v>0</v>
      </c>
      <c r="G173" s="620">
        <v>214</v>
      </c>
      <c r="H173" s="619">
        <f t="shared" si="36"/>
        <v>0.5</v>
      </c>
      <c r="I173" s="618"/>
      <c r="J173" s="614">
        <f>'1E - EDIT Amortization'!$O$195/12</f>
        <v>0</v>
      </c>
      <c r="K173" s="612">
        <f t="shared" si="37"/>
        <v>0</v>
      </c>
      <c r="L173" s="612">
        <f t="shared" ref="L173:L183" si="42">+K173+L172</f>
        <v>0</v>
      </c>
      <c r="M173" s="618"/>
      <c r="N173" s="614">
        <v>0</v>
      </c>
      <c r="O173" s="612">
        <f t="shared" si="38"/>
        <v>0</v>
      </c>
      <c r="P173" s="612">
        <f t="shared" si="39"/>
        <v>0</v>
      </c>
      <c r="Q173" s="612">
        <f t="shared" si="40"/>
        <v>0</v>
      </c>
      <c r="R173" s="612">
        <f t="shared" ref="R173:R183" si="43">R172+P173+Q173</f>
        <v>0</v>
      </c>
      <c r="S173" s="618"/>
    </row>
    <row r="174" spans="2:19">
      <c r="B174" s="352">
        <f t="shared" si="41"/>
        <v>105</v>
      </c>
      <c r="D174" s="357" t="s">
        <v>517</v>
      </c>
      <c r="E174" s="614">
        <v>31</v>
      </c>
      <c r="F174" s="620">
        <v>0</v>
      </c>
      <c r="G174" s="620">
        <v>214</v>
      </c>
      <c r="H174" s="619">
        <f t="shared" si="36"/>
        <v>0.5</v>
      </c>
      <c r="I174" s="618"/>
      <c r="J174" s="614">
        <f>'1E - EDIT Amortization'!$O$195/12</f>
        <v>0</v>
      </c>
      <c r="K174" s="612">
        <f t="shared" si="37"/>
        <v>0</v>
      </c>
      <c r="L174" s="612">
        <f t="shared" si="42"/>
        <v>0</v>
      </c>
      <c r="M174" s="618"/>
      <c r="N174" s="614">
        <v>0</v>
      </c>
      <c r="O174" s="612">
        <f t="shared" si="38"/>
        <v>0</v>
      </c>
      <c r="P174" s="612">
        <f t="shared" si="39"/>
        <v>0</v>
      </c>
      <c r="Q174" s="612">
        <f t="shared" si="40"/>
        <v>0</v>
      </c>
      <c r="R174" s="612">
        <f t="shared" si="43"/>
        <v>0</v>
      </c>
      <c r="S174" s="618"/>
    </row>
    <row r="175" spans="2:19">
      <c r="B175" s="352">
        <f t="shared" si="41"/>
        <v>106</v>
      </c>
      <c r="D175" s="357" t="s">
        <v>161</v>
      </c>
      <c r="E175" s="614">
        <v>30</v>
      </c>
      <c r="F175" s="620">
        <v>0</v>
      </c>
      <c r="G175" s="620">
        <v>214</v>
      </c>
      <c r="H175" s="619">
        <f t="shared" si="36"/>
        <v>0.5</v>
      </c>
      <c r="I175" s="618"/>
      <c r="J175" s="614">
        <f>'1E - EDIT Amortization'!$O$195/12</f>
        <v>0</v>
      </c>
      <c r="K175" s="612">
        <f t="shared" si="37"/>
        <v>0</v>
      </c>
      <c r="L175" s="612">
        <f t="shared" si="42"/>
        <v>0</v>
      </c>
      <c r="M175" s="618"/>
      <c r="N175" s="614">
        <v>0</v>
      </c>
      <c r="O175" s="612">
        <f t="shared" si="38"/>
        <v>0</v>
      </c>
      <c r="P175" s="612">
        <f t="shared" si="39"/>
        <v>0</v>
      </c>
      <c r="Q175" s="612">
        <f t="shared" si="40"/>
        <v>0</v>
      </c>
      <c r="R175" s="612">
        <f t="shared" si="43"/>
        <v>0</v>
      </c>
      <c r="S175" s="618"/>
    </row>
    <row r="176" spans="2:19">
      <c r="B176" s="352">
        <f t="shared" si="41"/>
        <v>107</v>
      </c>
      <c r="D176" s="357" t="s">
        <v>162</v>
      </c>
      <c r="E176" s="614">
        <v>31</v>
      </c>
      <c r="F176" s="620">
        <v>0</v>
      </c>
      <c r="G176" s="620">
        <v>214</v>
      </c>
      <c r="H176" s="619">
        <f t="shared" si="36"/>
        <v>0.5</v>
      </c>
      <c r="I176" s="618"/>
      <c r="J176" s="614">
        <f>'1E - EDIT Amortization'!$O$195/12</f>
        <v>0</v>
      </c>
      <c r="K176" s="612">
        <f t="shared" si="37"/>
        <v>0</v>
      </c>
      <c r="L176" s="612">
        <f t="shared" si="42"/>
        <v>0</v>
      </c>
      <c r="M176" s="618"/>
      <c r="N176" s="614">
        <v>0</v>
      </c>
      <c r="O176" s="612">
        <f t="shared" si="38"/>
        <v>0</v>
      </c>
      <c r="P176" s="612">
        <f t="shared" si="39"/>
        <v>0</v>
      </c>
      <c r="Q176" s="612">
        <f t="shared" si="40"/>
        <v>0</v>
      </c>
      <c r="R176" s="612">
        <f t="shared" si="43"/>
        <v>0</v>
      </c>
      <c r="S176" s="618"/>
    </row>
    <row r="177" spans="2:19">
      <c r="B177" s="352">
        <f t="shared" si="41"/>
        <v>108</v>
      </c>
      <c r="D177" s="357" t="s">
        <v>163</v>
      </c>
      <c r="E177" s="614">
        <v>30</v>
      </c>
      <c r="F177" s="620">
        <f t="shared" ref="F177:F182" si="44">F178+E178</f>
        <v>185</v>
      </c>
      <c r="G177" s="620">
        <v>214</v>
      </c>
      <c r="H177" s="619">
        <f t="shared" si="36"/>
        <v>0.86448598130841126</v>
      </c>
      <c r="I177" s="618"/>
      <c r="J177" s="614">
        <f>'1E - EDIT Amortization'!$O$195/12</f>
        <v>0</v>
      </c>
      <c r="K177" s="612">
        <f t="shared" si="37"/>
        <v>0</v>
      </c>
      <c r="L177" s="612">
        <f t="shared" si="42"/>
        <v>0</v>
      </c>
      <c r="M177" s="618"/>
      <c r="N177" s="614">
        <v>0</v>
      </c>
      <c r="O177" s="612">
        <f t="shared" si="38"/>
        <v>0</v>
      </c>
      <c r="P177" s="612">
        <f t="shared" si="39"/>
        <v>0</v>
      </c>
      <c r="Q177" s="612">
        <f t="shared" si="40"/>
        <v>0</v>
      </c>
      <c r="R177" s="612">
        <f t="shared" si="43"/>
        <v>0</v>
      </c>
      <c r="S177" s="618"/>
    </row>
    <row r="178" spans="2:19">
      <c r="B178" s="352">
        <f t="shared" si="41"/>
        <v>109</v>
      </c>
      <c r="D178" s="357" t="s">
        <v>496</v>
      </c>
      <c r="E178" s="614">
        <v>31</v>
      </c>
      <c r="F178" s="620">
        <f t="shared" si="44"/>
        <v>154</v>
      </c>
      <c r="G178" s="620">
        <v>214</v>
      </c>
      <c r="H178" s="619">
        <f t="shared" si="36"/>
        <v>0.71962616822429903</v>
      </c>
      <c r="I178" s="618"/>
      <c r="J178" s="614">
        <f>'1E - EDIT Amortization'!$O$195/12</f>
        <v>0</v>
      </c>
      <c r="K178" s="612">
        <f t="shared" si="37"/>
        <v>0</v>
      </c>
      <c r="L178" s="612">
        <f t="shared" si="42"/>
        <v>0</v>
      </c>
      <c r="M178" s="618"/>
      <c r="N178" s="614">
        <v>0</v>
      </c>
      <c r="O178" s="612">
        <f t="shared" si="38"/>
        <v>0</v>
      </c>
      <c r="P178" s="612">
        <f t="shared" si="39"/>
        <v>0</v>
      </c>
      <c r="Q178" s="612">
        <f t="shared" si="40"/>
        <v>0</v>
      </c>
      <c r="R178" s="612">
        <f t="shared" si="43"/>
        <v>0</v>
      </c>
      <c r="S178" s="618"/>
    </row>
    <row r="179" spans="2:19">
      <c r="B179" s="352">
        <f t="shared" si="41"/>
        <v>110</v>
      </c>
      <c r="D179" s="357" t="s">
        <v>518</v>
      </c>
      <c r="E179" s="614">
        <v>31</v>
      </c>
      <c r="F179" s="620">
        <f t="shared" si="44"/>
        <v>123</v>
      </c>
      <c r="G179" s="620">
        <v>214</v>
      </c>
      <c r="H179" s="619">
        <f t="shared" si="36"/>
        <v>0.57476635514018692</v>
      </c>
      <c r="I179" s="618"/>
      <c r="J179" s="614">
        <f>'1E - EDIT Amortization'!$O$195/12</f>
        <v>0</v>
      </c>
      <c r="K179" s="612">
        <f t="shared" si="37"/>
        <v>0</v>
      </c>
      <c r="L179" s="612">
        <f t="shared" si="42"/>
        <v>0</v>
      </c>
      <c r="M179" s="618"/>
      <c r="N179" s="614">
        <v>0</v>
      </c>
      <c r="O179" s="612">
        <f t="shared" si="38"/>
        <v>0</v>
      </c>
      <c r="P179" s="612">
        <f t="shared" si="39"/>
        <v>0</v>
      </c>
      <c r="Q179" s="612">
        <f t="shared" si="40"/>
        <v>0</v>
      </c>
      <c r="R179" s="612">
        <f t="shared" si="43"/>
        <v>0</v>
      </c>
      <c r="S179" s="618"/>
    </row>
    <row r="180" spans="2:19">
      <c r="B180" s="352">
        <f t="shared" si="41"/>
        <v>111</v>
      </c>
      <c r="D180" s="357" t="s">
        <v>498</v>
      </c>
      <c r="E180" s="614">
        <v>30</v>
      </c>
      <c r="F180" s="620">
        <f t="shared" si="44"/>
        <v>93</v>
      </c>
      <c r="G180" s="620">
        <v>214</v>
      </c>
      <c r="H180" s="619">
        <f t="shared" si="36"/>
        <v>0.43457943925233644</v>
      </c>
      <c r="I180" s="618"/>
      <c r="J180" s="614">
        <f>'1E - EDIT Amortization'!$O$195/12</f>
        <v>0</v>
      </c>
      <c r="K180" s="612">
        <f t="shared" si="37"/>
        <v>0</v>
      </c>
      <c r="L180" s="612">
        <f t="shared" si="42"/>
        <v>0</v>
      </c>
      <c r="M180" s="618"/>
      <c r="N180" s="614">
        <v>0</v>
      </c>
      <c r="O180" s="612">
        <f t="shared" si="38"/>
        <v>0</v>
      </c>
      <c r="P180" s="612">
        <f t="shared" si="39"/>
        <v>0</v>
      </c>
      <c r="Q180" s="612">
        <f t="shared" si="40"/>
        <v>0</v>
      </c>
      <c r="R180" s="612">
        <f t="shared" si="43"/>
        <v>0</v>
      </c>
      <c r="S180" s="618"/>
    </row>
    <row r="181" spans="2:19">
      <c r="B181" s="352">
        <f t="shared" si="41"/>
        <v>112</v>
      </c>
      <c r="D181" s="357" t="s">
        <v>499</v>
      </c>
      <c r="E181" s="614">
        <v>31</v>
      </c>
      <c r="F181" s="620">
        <f t="shared" si="44"/>
        <v>62</v>
      </c>
      <c r="G181" s="620">
        <v>214</v>
      </c>
      <c r="H181" s="619">
        <f t="shared" si="36"/>
        <v>0.28971962616822428</v>
      </c>
      <c r="I181" s="618"/>
      <c r="J181" s="614">
        <f>'1E - EDIT Amortization'!$O$195/12</f>
        <v>0</v>
      </c>
      <c r="K181" s="612">
        <f t="shared" si="37"/>
        <v>0</v>
      </c>
      <c r="L181" s="612">
        <f t="shared" si="42"/>
        <v>0</v>
      </c>
      <c r="M181" s="618"/>
      <c r="N181" s="614">
        <v>0</v>
      </c>
      <c r="O181" s="612">
        <f t="shared" si="38"/>
        <v>0</v>
      </c>
      <c r="P181" s="612">
        <f t="shared" si="39"/>
        <v>0</v>
      </c>
      <c r="Q181" s="612">
        <f t="shared" si="40"/>
        <v>0</v>
      </c>
      <c r="R181" s="612">
        <f t="shared" si="43"/>
        <v>0</v>
      </c>
      <c r="S181" s="618"/>
    </row>
    <row r="182" spans="2:19">
      <c r="B182" s="352">
        <f t="shared" si="41"/>
        <v>113</v>
      </c>
      <c r="D182" s="357" t="s">
        <v>500</v>
      </c>
      <c r="E182" s="614">
        <v>30</v>
      </c>
      <c r="F182" s="620">
        <f t="shared" si="44"/>
        <v>32</v>
      </c>
      <c r="G182" s="620">
        <v>214</v>
      </c>
      <c r="H182" s="619">
        <f t="shared" si="36"/>
        <v>0.14953271028037382</v>
      </c>
      <c r="I182" s="618"/>
      <c r="J182" s="614">
        <f>'1E - EDIT Amortization'!$O$195/12</f>
        <v>0</v>
      </c>
      <c r="K182" s="612">
        <f t="shared" si="37"/>
        <v>0</v>
      </c>
      <c r="L182" s="612">
        <f t="shared" si="42"/>
        <v>0</v>
      </c>
      <c r="M182" s="618"/>
      <c r="N182" s="614">
        <v>0</v>
      </c>
      <c r="O182" s="612">
        <f t="shared" si="38"/>
        <v>0</v>
      </c>
      <c r="P182" s="612">
        <f t="shared" si="39"/>
        <v>0</v>
      </c>
      <c r="Q182" s="612">
        <f t="shared" si="40"/>
        <v>0</v>
      </c>
      <c r="R182" s="612">
        <f t="shared" si="43"/>
        <v>0</v>
      </c>
      <c r="S182" s="618"/>
    </row>
    <row r="183" spans="2:19">
      <c r="B183" s="352">
        <f t="shared" si="41"/>
        <v>114</v>
      </c>
      <c r="D183" s="358" t="s">
        <v>715</v>
      </c>
      <c r="E183" s="614">
        <v>31</v>
      </c>
      <c r="F183" s="620">
        <v>1</v>
      </c>
      <c r="G183" s="620">
        <v>214</v>
      </c>
      <c r="H183" s="619">
        <f t="shared" si="36"/>
        <v>4.6728971962616819E-3</v>
      </c>
      <c r="I183" s="618"/>
      <c r="J183" s="614">
        <f>'1E - EDIT Amortization'!$O$195/12</f>
        <v>0</v>
      </c>
      <c r="K183" s="612">
        <f t="shared" si="37"/>
        <v>0</v>
      </c>
      <c r="L183" s="612">
        <f t="shared" si="42"/>
        <v>0</v>
      </c>
      <c r="M183" s="618"/>
      <c r="N183" s="614">
        <v>0</v>
      </c>
      <c r="O183" s="612">
        <f t="shared" si="38"/>
        <v>0</v>
      </c>
      <c r="P183" s="612">
        <f t="shared" si="39"/>
        <v>0</v>
      </c>
      <c r="Q183" s="612">
        <f t="shared" si="40"/>
        <v>0</v>
      </c>
      <c r="R183" s="612">
        <f t="shared" si="43"/>
        <v>0</v>
      </c>
      <c r="S183" s="618"/>
    </row>
    <row r="184" spans="2:19">
      <c r="B184" s="352">
        <f t="shared" si="41"/>
        <v>115</v>
      </c>
      <c r="D184" s="359" t="str">
        <f>"Total (Sum of Lines "&amp;B172&amp;" - "&amp;B183&amp;")"</f>
        <v>Total (Sum of Lines 103 - 114)</v>
      </c>
      <c r="E184" s="617">
        <f>SUM(E172:E183)</f>
        <v>365</v>
      </c>
      <c r="F184" s="360"/>
      <c r="G184" s="360"/>
      <c r="H184" s="361"/>
      <c r="I184" s="615"/>
      <c r="J184" s="617">
        <f>SUM(J172:J183)</f>
        <v>0</v>
      </c>
      <c r="K184" s="617">
        <f>SUM(K172:K183)</f>
        <v>0</v>
      </c>
      <c r="L184" s="617"/>
      <c r="M184" s="615"/>
      <c r="N184" s="617">
        <f>SUM(N172:N183)</f>
        <v>0</v>
      </c>
      <c r="O184" s="617">
        <f>SUM(O172:O183)</f>
        <v>0</v>
      </c>
      <c r="P184" s="617">
        <f>SUM(P172:P183)</f>
        <v>0</v>
      </c>
      <c r="Q184" s="617">
        <f>SUM(Q172:Q183)</f>
        <v>0</v>
      </c>
      <c r="R184" s="616"/>
      <c r="S184" s="615"/>
    </row>
    <row r="185" spans="2:19">
      <c r="D185" s="362"/>
      <c r="E185" s="362"/>
      <c r="F185" s="362"/>
      <c r="G185" s="362"/>
      <c r="H185" s="363"/>
      <c r="I185" s="363"/>
      <c r="K185" s="364"/>
      <c r="L185" s="363"/>
      <c r="M185" s="363"/>
      <c r="N185" s="372"/>
      <c r="O185" s="364"/>
      <c r="P185" s="364"/>
      <c r="Q185" s="364"/>
      <c r="R185" s="363"/>
      <c r="S185" s="363"/>
    </row>
    <row r="186" spans="2:19" ht="15" customHeight="1">
      <c r="B186" s="352">
        <f>B184+1</f>
        <v>116</v>
      </c>
      <c r="D186" s="298" t="s">
        <v>1260</v>
      </c>
      <c r="I186" s="363"/>
      <c r="J186" s="614" t="str">
        <f>$J$14</f>
        <v>12/31/2021 (Actuals)</v>
      </c>
      <c r="L186" s="614">
        <f>'1E - EDIT Amortization'!M177+'1E - EDIT Amortization'!M186</f>
        <v>0</v>
      </c>
      <c r="M186" s="365"/>
      <c r="N186" s="614" t="str">
        <f>$N$14</f>
        <v>12/31/2021 (Actuals)</v>
      </c>
      <c r="R186" s="614">
        <v>0</v>
      </c>
    </row>
    <row r="187" spans="2:19">
      <c r="B187" s="352">
        <f>B186+1</f>
        <v>117</v>
      </c>
      <c r="D187" s="298" t="s">
        <v>1261</v>
      </c>
      <c r="I187" s="363"/>
      <c r="J187" s="366" t="s">
        <v>611</v>
      </c>
      <c r="L187" s="367">
        <v>0</v>
      </c>
      <c r="M187" s="368"/>
      <c r="N187" s="366"/>
      <c r="R187" s="367">
        <v>0</v>
      </c>
    </row>
    <row r="188" spans="2:19">
      <c r="B188" s="352">
        <f>B187+1</f>
        <v>118</v>
      </c>
      <c r="D188" s="298" t="s">
        <v>1262</v>
      </c>
      <c r="I188" s="363"/>
      <c r="J188" s="359" t="str">
        <f>"(Col. "&amp;L165&amp;", Line "&amp;B186&amp;" + Line "&amp;B187&amp;")"</f>
        <v>(Col. (H), Line 116 + Line 117)</v>
      </c>
      <c r="L188" s="613">
        <f>L186+L187</f>
        <v>0</v>
      </c>
      <c r="M188" s="363"/>
      <c r="N188" s="359" t="str">
        <f>"(Col. "&amp;R165&amp;", Line "&amp;B186&amp;" + Line "&amp;B187&amp;")"</f>
        <v>(Col. (M), Line 116 + Line 117)</v>
      </c>
      <c r="R188" s="613">
        <f>R186+R187</f>
        <v>0</v>
      </c>
    </row>
    <row r="189" spans="2:19">
      <c r="I189" s="363"/>
      <c r="L189" s="613"/>
      <c r="M189" s="363"/>
      <c r="R189" s="613"/>
    </row>
    <row r="190" spans="2:19">
      <c r="B190" s="352">
        <f>B188+1</f>
        <v>119</v>
      </c>
      <c r="D190" s="298" t="s">
        <v>1263</v>
      </c>
      <c r="I190" s="363"/>
      <c r="J190" s="614" t="str">
        <f>$J$16</f>
        <v>2022 Projected</v>
      </c>
      <c r="L190" s="614">
        <f>'1E - EDIT Amortization'!Q177+'1E - EDIT Amortization'!Q186</f>
        <v>0</v>
      </c>
      <c r="M190" s="365"/>
      <c r="N190" s="614" t="str">
        <f>$N$16</f>
        <v>12/31/2022 (Actuals)</v>
      </c>
      <c r="R190" s="614">
        <v>0</v>
      </c>
    </row>
    <row r="191" spans="2:19">
      <c r="B191" s="352">
        <f>B190+1</f>
        <v>120</v>
      </c>
      <c r="D191" s="298" t="s">
        <v>1264</v>
      </c>
      <c r="I191" s="363"/>
      <c r="J191" s="366" t="s">
        <v>611</v>
      </c>
      <c r="L191" s="367">
        <v>0</v>
      </c>
      <c r="M191" s="363"/>
      <c r="N191" s="366"/>
      <c r="R191" s="367">
        <v>0</v>
      </c>
    </row>
    <row r="192" spans="2:19">
      <c r="B192" s="352">
        <f>B191+1</f>
        <v>121</v>
      </c>
      <c r="D192" s="298" t="s">
        <v>1265</v>
      </c>
      <c r="I192" s="363"/>
      <c r="J192" s="359" t="str">
        <f>"(Col. "&amp;L165&amp;", Line "&amp;B190&amp;" + Line "&amp;B191&amp;")"</f>
        <v>(Col. (H), Line 119 + Line 120)</v>
      </c>
      <c r="L192" s="613">
        <f>L190+L191</f>
        <v>0</v>
      </c>
      <c r="M192" s="363"/>
      <c r="N192" s="359" t="str">
        <f>"(Col. "&amp;R165&amp;", Line "&amp;B190&amp;" + Line "&amp;B191&amp;")"</f>
        <v>(Col. (M), Line 119 + Line 120)</v>
      </c>
      <c r="R192" s="613">
        <f>R190+R191</f>
        <v>0</v>
      </c>
    </row>
    <row r="193" spans="2:19">
      <c r="I193" s="363"/>
      <c r="L193" s="613"/>
      <c r="M193" s="363"/>
      <c r="R193" s="613"/>
    </row>
    <row r="194" spans="2:19">
      <c r="B194" s="352">
        <f>B192+1</f>
        <v>122</v>
      </c>
      <c r="D194" s="298" t="s">
        <v>955</v>
      </c>
      <c r="I194" s="363"/>
      <c r="J194" s="359" t="str">
        <f>"([Col. "&amp;L165&amp;", Line "&amp;B188&amp;" + Line "&amp;B192&amp;"] /2)"</f>
        <v>([Col. (H), Line 118 + Line 121] /2)</v>
      </c>
      <c r="L194" s="612">
        <f>(L188+L192)/2</f>
        <v>0</v>
      </c>
      <c r="M194" s="363"/>
      <c r="N194" s="359" t="str">
        <f>"([Col. "&amp;R165&amp;", Line "&amp;B188&amp;" + Line "&amp;B192&amp;"] /2)"</f>
        <v>([Col. (M), Line 118 + Line 121] /2)</v>
      </c>
      <c r="R194" s="612">
        <f>(R188+R192)/2</f>
        <v>0</v>
      </c>
    </row>
    <row r="195" spans="2:19">
      <c r="B195" s="352">
        <f>B194+1</f>
        <v>123</v>
      </c>
      <c r="D195" s="457" t="s">
        <v>1266</v>
      </c>
      <c r="E195" s="362"/>
      <c r="F195" s="362"/>
      <c r="G195" s="362"/>
      <c r="H195" s="363"/>
      <c r="I195" s="363"/>
      <c r="J195" s="359" t="str">
        <f>"(Col. "&amp;L165&amp;", Line "&amp;B183&amp;" )"</f>
        <v>(Col. (H), Line 114 )</v>
      </c>
      <c r="K195" s="364"/>
      <c r="L195" s="612">
        <f>L183</f>
        <v>0</v>
      </c>
      <c r="M195" s="363"/>
      <c r="N195" s="359" t="str">
        <f>"(Col. "&amp;R165&amp;", Line "&amp;B183&amp;" )"</f>
        <v>(Col. (M), Line 114 )</v>
      </c>
      <c r="R195" s="612">
        <f>R183</f>
        <v>0</v>
      </c>
    </row>
    <row r="196" spans="2:19" ht="13.5" thickBot="1">
      <c r="B196" s="352">
        <f>B195+1</f>
        <v>124</v>
      </c>
      <c r="D196" s="369" t="s">
        <v>1269</v>
      </c>
      <c r="E196" s="362"/>
      <c r="F196" s="362"/>
      <c r="G196" s="362"/>
      <c r="H196" s="363"/>
      <c r="I196" s="363"/>
      <c r="J196" s="359" t="str">
        <f>"(Col. "&amp;L165&amp;", Line "&amp;B194&amp;" + Line "&amp;B195&amp;")"</f>
        <v>(Col. (H), Line 122 + Line 123)</v>
      </c>
      <c r="K196" s="364"/>
      <c r="L196" s="611">
        <f>L194+L195</f>
        <v>0</v>
      </c>
      <c r="M196" s="363"/>
      <c r="N196" s="359" t="str">
        <f>"(Col. "&amp;R165&amp;", Line "&amp;B194&amp;" + Line "&amp;B195&amp;")"</f>
        <v>(Col. (M), Line 122 + Line 123)</v>
      </c>
      <c r="R196" s="611">
        <f>R194+R195</f>
        <v>0</v>
      </c>
    </row>
    <row r="197" spans="2:19" ht="13">
      <c r="D197" s="349"/>
    </row>
    <row r="198" spans="2:19" ht="13">
      <c r="D198" s="349" t="s">
        <v>1270</v>
      </c>
      <c r="J198" s="1750"/>
      <c r="K198" s="1750"/>
      <c r="L198" s="1750"/>
      <c r="N198" s="1750"/>
      <c r="O198" s="1750"/>
      <c r="P198" s="1750"/>
      <c r="Q198" s="1750"/>
      <c r="R198" s="1750"/>
    </row>
    <row r="199" spans="2:19" ht="13">
      <c r="D199" s="1743" t="s">
        <v>870</v>
      </c>
      <c r="E199" s="1744"/>
      <c r="F199" s="1744"/>
      <c r="G199" s="1744"/>
      <c r="H199" s="1745"/>
      <c r="I199" s="353"/>
      <c r="J199" s="1746" t="s">
        <v>1257</v>
      </c>
      <c r="K199" s="1747"/>
      <c r="L199" s="1748"/>
      <c r="M199" s="353"/>
      <c r="N199" s="1746" t="s">
        <v>1258</v>
      </c>
      <c r="O199" s="1747"/>
      <c r="P199" s="1747"/>
      <c r="Q199" s="1747"/>
      <c r="R199" s="1748"/>
      <c r="S199" s="353"/>
    </row>
    <row r="200" spans="2:19" ht="13">
      <c r="D200" s="354" t="s">
        <v>164</v>
      </c>
      <c r="E200" s="354" t="s">
        <v>165</v>
      </c>
      <c r="F200" s="354" t="s">
        <v>1201</v>
      </c>
      <c r="G200" s="354" t="s">
        <v>1202</v>
      </c>
      <c r="H200" s="354" t="s">
        <v>1203</v>
      </c>
      <c r="I200" s="353"/>
      <c r="J200" s="354" t="s">
        <v>1204</v>
      </c>
      <c r="K200" s="354" t="s">
        <v>1205</v>
      </c>
      <c r="L200" s="354" t="s">
        <v>1206</v>
      </c>
      <c r="M200" s="353"/>
      <c r="N200" s="354" t="s">
        <v>1207</v>
      </c>
      <c r="O200" s="354" t="s">
        <v>1208</v>
      </c>
      <c r="P200" s="354" t="s">
        <v>1209</v>
      </c>
      <c r="Q200" s="354" t="s">
        <v>1210</v>
      </c>
      <c r="R200" s="354" t="s">
        <v>1211</v>
      </c>
      <c r="S200" s="353"/>
    </row>
    <row r="201" spans="2:19" ht="50">
      <c r="B201" s="355" t="s">
        <v>1212</v>
      </c>
      <c r="D201" s="356" t="s">
        <v>159</v>
      </c>
      <c r="E201" s="356" t="s">
        <v>871</v>
      </c>
      <c r="F201" s="356" t="s">
        <v>872</v>
      </c>
      <c r="G201" s="356" t="s">
        <v>873</v>
      </c>
      <c r="H201" s="356" t="s">
        <v>1213</v>
      </c>
      <c r="I201" s="609"/>
      <c r="J201" s="356" t="s">
        <v>874</v>
      </c>
      <c r="K201" s="356" t="s">
        <v>1214</v>
      </c>
      <c r="L201" s="356" t="s">
        <v>1215</v>
      </c>
      <c r="M201" s="609"/>
      <c r="N201" s="356" t="s">
        <v>958</v>
      </c>
      <c r="O201" s="356" t="s">
        <v>1216</v>
      </c>
      <c r="P201" s="356" t="s">
        <v>1217</v>
      </c>
      <c r="Q201" s="356" t="s">
        <v>1218</v>
      </c>
      <c r="R201" s="356" t="s">
        <v>1219</v>
      </c>
      <c r="S201" s="609"/>
    </row>
    <row r="202" spans="2:19">
      <c r="E202" s="609"/>
      <c r="F202" s="609"/>
      <c r="G202" s="609"/>
      <c r="H202" s="609"/>
      <c r="I202" s="609"/>
      <c r="J202" s="609"/>
      <c r="K202" s="609"/>
      <c r="L202" s="609"/>
      <c r="M202" s="609"/>
      <c r="N202" s="609"/>
      <c r="O202" s="609"/>
      <c r="P202" s="609"/>
      <c r="Q202" s="609"/>
      <c r="R202" s="609"/>
      <c r="S202" s="609"/>
    </row>
    <row r="203" spans="2:19">
      <c r="B203" s="352">
        <f>B196+1</f>
        <v>125</v>
      </c>
      <c r="D203" s="298" t="s">
        <v>957</v>
      </c>
      <c r="E203" s="609"/>
      <c r="F203" s="609"/>
      <c r="G203" s="609"/>
      <c r="H203" s="609"/>
      <c r="I203" s="609"/>
      <c r="J203" s="614" t="str">
        <f>$J$14</f>
        <v>12/31/2021 (Actuals)</v>
      </c>
      <c r="K203" s="609"/>
      <c r="L203" s="614">
        <f>'1E - EDIT Amortization'!M196</f>
        <v>0</v>
      </c>
      <c r="M203" s="609"/>
      <c r="N203" s="614" t="str">
        <f>$N$14</f>
        <v>12/31/2021 (Actuals)</v>
      </c>
      <c r="O203" s="609"/>
      <c r="P203" s="609"/>
      <c r="Q203" s="609"/>
      <c r="R203" s="614">
        <v>0</v>
      </c>
      <c r="S203" s="609"/>
    </row>
    <row r="204" spans="2:19">
      <c r="E204" s="609"/>
      <c r="F204" s="609"/>
      <c r="G204" s="609"/>
      <c r="H204" s="609"/>
      <c r="I204" s="609"/>
      <c r="J204" s="609"/>
      <c r="K204" s="609"/>
      <c r="L204" s="609"/>
      <c r="M204" s="609"/>
      <c r="N204" s="609"/>
      <c r="O204" s="609"/>
      <c r="P204" s="609"/>
      <c r="Q204" s="609"/>
      <c r="R204" s="609"/>
      <c r="S204" s="609"/>
    </row>
    <row r="205" spans="2:19">
      <c r="B205" s="1481">
        <f>B203+1</f>
        <v>126</v>
      </c>
      <c r="D205" s="298" t="s">
        <v>1592</v>
      </c>
      <c r="E205" s="1480"/>
      <c r="F205" s="1480"/>
      <c r="G205" s="1480"/>
      <c r="H205" s="1480"/>
      <c r="I205" s="1480"/>
      <c r="J205" s="614" t="str">
        <f>$J$16</f>
        <v>2022 Projected</v>
      </c>
      <c r="K205" s="1480"/>
      <c r="L205" s="1480"/>
      <c r="M205" s="1480"/>
      <c r="N205" s="614" t="str">
        <f>$N$16</f>
        <v>12/31/2022 (Actuals)</v>
      </c>
      <c r="O205" s="1480"/>
      <c r="P205" s="1480"/>
      <c r="Q205" s="1480"/>
      <c r="R205" s="1480"/>
      <c r="S205" s="1480"/>
    </row>
    <row r="206" spans="2:19">
      <c r="B206" s="1481"/>
      <c r="E206" s="1480"/>
      <c r="F206" s="1480"/>
      <c r="G206" s="1480"/>
      <c r="H206" s="1480"/>
      <c r="I206" s="1480"/>
      <c r="J206" s="1480"/>
      <c r="K206" s="1480"/>
      <c r="L206" s="1480"/>
      <c r="M206" s="1480"/>
      <c r="N206" s="1480"/>
      <c r="O206" s="1480"/>
      <c r="P206" s="1480"/>
      <c r="Q206" s="1480"/>
      <c r="R206" s="1480"/>
      <c r="S206" s="1480"/>
    </row>
    <row r="207" spans="2:19">
      <c r="B207" s="352">
        <f>B205+1</f>
        <v>127</v>
      </c>
      <c r="D207" s="357" t="s">
        <v>493</v>
      </c>
      <c r="E207" s="614">
        <v>31</v>
      </c>
      <c r="F207" s="620">
        <v>0</v>
      </c>
      <c r="G207" s="620">
        <v>214</v>
      </c>
      <c r="H207" s="619">
        <f t="shared" ref="H207:H218" si="45">IF(F207=0,0.5,F207/G207)</f>
        <v>0.5</v>
      </c>
      <c r="I207" s="618"/>
      <c r="J207" s="614">
        <f>'1E - EDIT Amortization'!$O$196/12</f>
        <v>0</v>
      </c>
      <c r="K207" s="612">
        <f t="shared" ref="K207:K218" si="46">+J207*H207</f>
        <v>0</v>
      </c>
      <c r="L207" s="612">
        <f>+K207</f>
        <v>0</v>
      </c>
      <c r="M207" s="618"/>
      <c r="N207" s="614">
        <v>0</v>
      </c>
      <c r="O207" s="612">
        <f t="shared" ref="O207:O218" si="47">IF($D$249="True-Up Adjustment",N207-J207,0)</f>
        <v>0</v>
      </c>
      <c r="P207" s="612">
        <f t="shared" ref="P207:P218" si="48">IF($D$249="True-Up Adjustment",IF(AND(J207&gt;=0,N207&gt;=0),IF(O207&gt;=0,K207+O207,N207/J207*K207),IF(AND(J207&lt;0,N207&lt;0),IF(O207&lt;0,K207+O207,N207/J207*K207),0)),0)</f>
        <v>0</v>
      </c>
      <c r="Q207" s="612">
        <f t="shared" ref="Q207:Q218" si="49">IF(AND(J207&gt;=0,N207&lt;0),N207,IF(AND(J207&lt;0,N207&gt;=0),N207,0))</f>
        <v>0</v>
      </c>
      <c r="R207" s="612">
        <f>P207+Q207+R203</f>
        <v>0</v>
      </c>
      <c r="S207" s="618"/>
    </row>
    <row r="208" spans="2:19">
      <c r="B208" s="352">
        <f t="shared" ref="B208:B219" si="50">+B207+1</f>
        <v>128</v>
      </c>
      <c r="D208" s="357" t="s">
        <v>494</v>
      </c>
      <c r="E208" s="614">
        <v>28</v>
      </c>
      <c r="F208" s="620">
        <v>0</v>
      </c>
      <c r="G208" s="620">
        <v>214</v>
      </c>
      <c r="H208" s="619">
        <f t="shared" si="45"/>
        <v>0.5</v>
      </c>
      <c r="I208" s="618"/>
      <c r="J208" s="614">
        <f>'1E - EDIT Amortization'!$O$196/12</f>
        <v>0</v>
      </c>
      <c r="K208" s="612">
        <f t="shared" si="46"/>
        <v>0</v>
      </c>
      <c r="L208" s="612">
        <f t="shared" ref="L208:L218" si="51">+K208+L207</f>
        <v>0</v>
      </c>
      <c r="M208" s="618"/>
      <c r="N208" s="614">
        <v>0</v>
      </c>
      <c r="O208" s="612">
        <f t="shared" si="47"/>
        <v>0</v>
      </c>
      <c r="P208" s="612">
        <f t="shared" si="48"/>
        <v>0</v>
      </c>
      <c r="Q208" s="612">
        <f t="shared" si="49"/>
        <v>0</v>
      </c>
      <c r="R208" s="612">
        <f t="shared" ref="R208:R218" si="52">R207+P208+Q208</f>
        <v>0</v>
      </c>
      <c r="S208" s="618"/>
    </row>
    <row r="209" spans="2:19">
      <c r="B209" s="352">
        <f t="shared" si="50"/>
        <v>129</v>
      </c>
      <c r="D209" s="357" t="s">
        <v>517</v>
      </c>
      <c r="E209" s="614">
        <v>31</v>
      </c>
      <c r="F209" s="620">
        <v>0</v>
      </c>
      <c r="G209" s="620">
        <v>214</v>
      </c>
      <c r="H209" s="619">
        <f t="shared" si="45"/>
        <v>0.5</v>
      </c>
      <c r="I209" s="618"/>
      <c r="J209" s="614">
        <f>'1E - EDIT Amortization'!$O$196/12</f>
        <v>0</v>
      </c>
      <c r="K209" s="612">
        <f t="shared" si="46"/>
        <v>0</v>
      </c>
      <c r="L209" s="612">
        <f t="shared" si="51"/>
        <v>0</v>
      </c>
      <c r="M209" s="618"/>
      <c r="N209" s="614">
        <v>0</v>
      </c>
      <c r="O209" s="612">
        <f t="shared" si="47"/>
        <v>0</v>
      </c>
      <c r="P209" s="612">
        <f t="shared" si="48"/>
        <v>0</v>
      </c>
      <c r="Q209" s="612">
        <f t="shared" si="49"/>
        <v>0</v>
      </c>
      <c r="R209" s="612">
        <f t="shared" si="52"/>
        <v>0</v>
      </c>
      <c r="S209" s="618"/>
    </row>
    <row r="210" spans="2:19">
      <c r="B210" s="352">
        <f t="shared" si="50"/>
        <v>130</v>
      </c>
      <c r="D210" s="357" t="s">
        <v>161</v>
      </c>
      <c r="E210" s="614">
        <v>30</v>
      </c>
      <c r="F210" s="620">
        <v>0</v>
      </c>
      <c r="G210" s="620">
        <v>214</v>
      </c>
      <c r="H210" s="619">
        <f t="shared" si="45"/>
        <v>0.5</v>
      </c>
      <c r="I210" s="618"/>
      <c r="J210" s="614">
        <f>'1E - EDIT Amortization'!$O$196/12</f>
        <v>0</v>
      </c>
      <c r="K210" s="612">
        <f t="shared" si="46"/>
        <v>0</v>
      </c>
      <c r="L210" s="612">
        <f t="shared" si="51"/>
        <v>0</v>
      </c>
      <c r="M210" s="618"/>
      <c r="N210" s="614">
        <v>0</v>
      </c>
      <c r="O210" s="612">
        <f t="shared" si="47"/>
        <v>0</v>
      </c>
      <c r="P210" s="612">
        <f t="shared" si="48"/>
        <v>0</v>
      </c>
      <c r="Q210" s="612">
        <f t="shared" si="49"/>
        <v>0</v>
      </c>
      <c r="R210" s="612">
        <f t="shared" si="52"/>
        <v>0</v>
      </c>
      <c r="S210" s="618"/>
    </row>
    <row r="211" spans="2:19">
      <c r="B211" s="352">
        <f t="shared" si="50"/>
        <v>131</v>
      </c>
      <c r="D211" s="357" t="s">
        <v>162</v>
      </c>
      <c r="E211" s="614">
        <v>31</v>
      </c>
      <c r="F211" s="620">
        <v>0</v>
      </c>
      <c r="G211" s="620">
        <v>214</v>
      </c>
      <c r="H211" s="619">
        <f t="shared" si="45"/>
        <v>0.5</v>
      </c>
      <c r="I211" s="618"/>
      <c r="J211" s="614">
        <f>'1E - EDIT Amortization'!$O$196/12</f>
        <v>0</v>
      </c>
      <c r="K211" s="612">
        <f t="shared" si="46"/>
        <v>0</v>
      </c>
      <c r="L211" s="612">
        <f t="shared" si="51"/>
        <v>0</v>
      </c>
      <c r="M211" s="618"/>
      <c r="N211" s="614">
        <v>0</v>
      </c>
      <c r="O211" s="612">
        <f t="shared" si="47"/>
        <v>0</v>
      </c>
      <c r="P211" s="612">
        <f t="shared" si="48"/>
        <v>0</v>
      </c>
      <c r="Q211" s="612">
        <f t="shared" si="49"/>
        <v>0</v>
      </c>
      <c r="R211" s="612">
        <f t="shared" si="52"/>
        <v>0</v>
      </c>
      <c r="S211" s="618"/>
    </row>
    <row r="212" spans="2:19">
      <c r="B212" s="352">
        <f t="shared" si="50"/>
        <v>132</v>
      </c>
      <c r="D212" s="357" t="s">
        <v>163</v>
      </c>
      <c r="E212" s="614">
        <v>30</v>
      </c>
      <c r="F212" s="620">
        <f t="shared" ref="F212:F217" si="53">F213+E213</f>
        <v>185</v>
      </c>
      <c r="G212" s="620">
        <v>214</v>
      </c>
      <c r="H212" s="619">
        <f t="shared" si="45"/>
        <v>0.86448598130841126</v>
      </c>
      <c r="I212" s="618"/>
      <c r="J212" s="614">
        <f>'1E - EDIT Amortization'!$O$196/12</f>
        <v>0</v>
      </c>
      <c r="K212" s="612">
        <f t="shared" si="46"/>
        <v>0</v>
      </c>
      <c r="L212" s="612">
        <f t="shared" si="51"/>
        <v>0</v>
      </c>
      <c r="M212" s="618"/>
      <c r="N212" s="614">
        <v>0</v>
      </c>
      <c r="O212" s="612">
        <f t="shared" si="47"/>
        <v>0</v>
      </c>
      <c r="P212" s="612">
        <f t="shared" si="48"/>
        <v>0</v>
      </c>
      <c r="Q212" s="612">
        <f t="shared" si="49"/>
        <v>0</v>
      </c>
      <c r="R212" s="612">
        <f t="shared" si="52"/>
        <v>0</v>
      </c>
      <c r="S212" s="618"/>
    </row>
    <row r="213" spans="2:19">
      <c r="B213" s="352">
        <f t="shared" si="50"/>
        <v>133</v>
      </c>
      <c r="D213" s="357" t="s">
        <v>496</v>
      </c>
      <c r="E213" s="614">
        <v>31</v>
      </c>
      <c r="F213" s="620">
        <f t="shared" si="53"/>
        <v>154</v>
      </c>
      <c r="G213" s="620">
        <v>214</v>
      </c>
      <c r="H213" s="619">
        <f t="shared" si="45"/>
        <v>0.71962616822429903</v>
      </c>
      <c r="I213" s="618"/>
      <c r="J213" s="614">
        <f>'1E - EDIT Amortization'!$O$196/12</f>
        <v>0</v>
      </c>
      <c r="K213" s="612">
        <f t="shared" si="46"/>
        <v>0</v>
      </c>
      <c r="L213" s="612">
        <f t="shared" si="51"/>
        <v>0</v>
      </c>
      <c r="M213" s="618"/>
      <c r="N213" s="614">
        <v>0</v>
      </c>
      <c r="O213" s="612">
        <f t="shared" si="47"/>
        <v>0</v>
      </c>
      <c r="P213" s="612">
        <f t="shared" si="48"/>
        <v>0</v>
      </c>
      <c r="Q213" s="612">
        <f t="shared" si="49"/>
        <v>0</v>
      </c>
      <c r="R213" s="612">
        <f t="shared" si="52"/>
        <v>0</v>
      </c>
      <c r="S213" s="618"/>
    </row>
    <row r="214" spans="2:19">
      <c r="B214" s="352">
        <f t="shared" si="50"/>
        <v>134</v>
      </c>
      <c r="D214" s="357" t="s">
        <v>518</v>
      </c>
      <c r="E214" s="614">
        <v>31</v>
      </c>
      <c r="F214" s="620">
        <f t="shared" si="53"/>
        <v>123</v>
      </c>
      <c r="G214" s="620">
        <v>214</v>
      </c>
      <c r="H214" s="619">
        <f t="shared" si="45"/>
        <v>0.57476635514018692</v>
      </c>
      <c r="I214" s="618"/>
      <c r="J214" s="614">
        <f>'1E - EDIT Amortization'!$O$196/12</f>
        <v>0</v>
      </c>
      <c r="K214" s="612">
        <f t="shared" si="46"/>
        <v>0</v>
      </c>
      <c r="L214" s="612">
        <f t="shared" si="51"/>
        <v>0</v>
      </c>
      <c r="M214" s="618"/>
      <c r="N214" s="614">
        <v>0</v>
      </c>
      <c r="O214" s="612">
        <f t="shared" si="47"/>
        <v>0</v>
      </c>
      <c r="P214" s="612">
        <f t="shared" si="48"/>
        <v>0</v>
      </c>
      <c r="Q214" s="612">
        <f t="shared" si="49"/>
        <v>0</v>
      </c>
      <c r="R214" s="612">
        <f t="shared" si="52"/>
        <v>0</v>
      </c>
      <c r="S214" s="618"/>
    </row>
    <row r="215" spans="2:19">
      <c r="B215" s="352">
        <f t="shared" si="50"/>
        <v>135</v>
      </c>
      <c r="D215" s="357" t="s">
        <v>498</v>
      </c>
      <c r="E215" s="614">
        <v>30</v>
      </c>
      <c r="F215" s="620">
        <f t="shared" si="53"/>
        <v>93</v>
      </c>
      <c r="G215" s="620">
        <v>214</v>
      </c>
      <c r="H215" s="619">
        <f t="shared" si="45"/>
        <v>0.43457943925233644</v>
      </c>
      <c r="I215" s="618"/>
      <c r="J215" s="614">
        <f>'1E - EDIT Amortization'!$O$196/12</f>
        <v>0</v>
      </c>
      <c r="K215" s="612">
        <f t="shared" si="46"/>
        <v>0</v>
      </c>
      <c r="L215" s="612">
        <f t="shared" si="51"/>
        <v>0</v>
      </c>
      <c r="M215" s="618"/>
      <c r="N215" s="614">
        <v>0</v>
      </c>
      <c r="O215" s="612">
        <f t="shared" si="47"/>
        <v>0</v>
      </c>
      <c r="P215" s="612">
        <f t="shared" si="48"/>
        <v>0</v>
      </c>
      <c r="Q215" s="612">
        <f t="shared" si="49"/>
        <v>0</v>
      </c>
      <c r="R215" s="612">
        <f t="shared" si="52"/>
        <v>0</v>
      </c>
      <c r="S215" s="618"/>
    </row>
    <row r="216" spans="2:19">
      <c r="B216" s="352">
        <f t="shared" si="50"/>
        <v>136</v>
      </c>
      <c r="D216" s="357" t="s">
        <v>499</v>
      </c>
      <c r="E216" s="614">
        <v>31</v>
      </c>
      <c r="F216" s="620">
        <f t="shared" si="53"/>
        <v>62</v>
      </c>
      <c r="G216" s="620">
        <v>214</v>
      </c>
      <c r="H216" s="619">
        <f t="shared" si="45"/>
        <v>0.28971962616822428</v>
      </c>
      <c r="I216" s="618"/>
      <c r="J216" s="614">
        <f>'1E - EDIT Amortization'!$O$196/12</f>
        <v>0</v>
      </c>
      <c r="K216" s="612">
        <f t="shared" si="46"/>
        <v>0</v>
      </c>
      <c r="L216" s="612">
        <f t="shared" si="51"/>
        <v>0</v>
      </c>
      <c r="M216" s="618"/>
      <c r="N216" s="614">
        <v>0</v>
      </c>
      <c r="O216" s="612">
        <f t="shared" si="47"/>
        <v>0</v>
      </c>
      <c r="P216" s="612">
        <f t="shared" si="48"/>
        <v>0</v>
      </c>
      <c r="Q216" s="612">
        <f t="shared" si="49"/>
        <v>0</v>
      </c>
      <c r="R216" s="612">
        <f t="shared" si="52"/>
        <v>0</v>
      </c>
      <c r="S216" s="618"/>
    </row>
    <row r="217" spans="2:19">
      <c r="B217" s="352">
        <f t="shared" si="50"/>
        <v>137</v>
      </c>
      <c r="D217" s="357" t="s">
        <v>500</v>
      </c>
      <c r="E217" s="614">
        <v>30</v>
      </c>
      <c r="F217" s="620">
        <f t="shared" si="53"/>
        <v>32</v>
      </c>
      <c r="G217" s="620">
        <v>214</v>
      </c>
      <c r="H217" s="619">
        <f t="shared" si="45"/>
        <v>0.14953271028037382</v>
      </c>
      <c r="I217" s="618"/>
      <c r="J217" s="614">
        <f>'1E - EDIT Amortization'!$O$196/12</f>
        <v>0</v>
      </c>
      <c r="K217" s="612">
        <f t="shared" si="46"/>
        <v>0</v>
      </c>
      <c r="L217" s="612">
        <f t="shared" si="51"/>
        <v>0</v>
      </c>
      <c r="M217" s="618"/>
      <c r="N217" s="614">
        <v>0</v>
      </c>
      <c r="O217" s="612">
        <f t="shared" si="47"/>
        <v>0</v>
      </c>
      <c r="P217" s="612">
        <f t="shared" si="48"/>
        <v>0</v>
      </c>
      <c r="Q217" s="612">
        <f t="shared" si="49"/>
        <v>0</v>
      </c>
      <c r="R217" s="612">
        <f t="shared" si="52"/>
        <v>0</v>
      </c>
      <c r="S217" s="618"/>
    </row>
    <row r="218" spans="2:19">
      <c r="B218" s="352">
        <f t="shared" si="50"/>
        <v>138</v>
      </c>
      <c r="D218" s="358" t="s">
        <v>715</v>
      </c>
      <c r="E218" s="614">
        <v>31</v>
      </c>
      <c r="F218" s="620">
        <v>1</v>
      </c>
      <c r="G218" s="620">
        <v>214</v>
      </c>
      <c r="H218" s="619">
        <f t="shared" si="45"/>
        <v>4.6728971962616819E-3</v>
      </c>
      <c r="I218" s="618"/>
      <c r="J218" s="614">
        <f>'1E - EDIT Amortization'!$O$196/12</f>
        <v>0</v>
      </c>
      <c r="K218" s="612">
        <f t="shared" si="46"/>
        <v>0</v>
      </c>
      <c r="L218" s="612">
        <f t="shared" si="51"/>
        <v>0</v>
      </c>
      <c r="M218" s="618"/>
      <c r="N218" s="614">
        <v>0</v>
      </c>
      <c r="O218" s="612">
        <f t="shared" si="47"/>
        <v>0</v>
      </c>
      <c r="P218" s="612">
        <f t="shared" si="48"/>
        <v>0</v>
      </c>
      <c r="Q218" s="612">
        <f t="shared" si="49"/>
        <v>0</v>
      </c>
      <c r="R218" s="612">
        <f t="shared" si="52"/>
        <v>0</v>
      </c>
      <c r="S218" s="618"/>
    </row>
    <row r="219" spans="2:19">
      <c r="B219" s="352">
        <f t="shared" si="50"/>
        <v>139</v>
      </c>
      <c r="D219" s="359" t="str">
        <f>"Total (Sum of Lines "&amp;B207&amp;" - "&amp;B218&amp;")"</f>
        <v>Total (Sum of Lines 127 - 138)</v>
      </c>
      <c r="E219" s="617">
        <f>SUM(E207:E218)</f>
        <v>365</v>
      </c>
      <c r="F219" s="360"/>
      <c r="G219" s="360"/>
      <c r="H219" s="361"/>
      <c r="I219" s="615"/>
      <c r="J219" s="617">
        <f>SUM(J207:J218)</f>
        <v>0</v>
      </c>
      <c r="K219" s="617">
        <f>SUM(K207:K218)</f>
        <v>0</v>
      </c>
      <c r="L219" s="616"/>
      <c r="M219" s="615"/>
      <c r="N219" s="617">
        <f>SUM(N207:N218)</f>
        <v>0</v>
      </c>
      <c r="O219" s="617">
        <f>SUM(O207:O218)</f>
        <v>0</v>
      </c>
      <c r="P219" s="617">
        <f>SUM(P207:P218)</f>
        <v>0</v>
      </c>
      <c r="Q219" s="617">
        <f>SUM(Q207:Q218)</f>
        <v>0</v>
      </c>
      <c r="R219" s="616"/>
      <c r="S219" s="615"/>
    </row>
    <row r="220" spans="2:19">
      <c r="D220" s="362"/>
      <c r="E220" s="362"/>
      <c r="F220" s="362"/>
      <c r="G220" s="362"/>
      <c r="H220" s="363"/>
      <c r="I220" s="363"/>
      <c r="K220" s="364"/>
      <c r="L220" s="363"/>
      <c r="M220" s="363"/>
      <c r="N220" s="372"/>
      <c r="O220" s="364"/>
      <c r="P220" s="364"/>
      <c r="Q220" s="364"/>
      <c r="R220" s="363"/>
      <c r="S220" s="363"/>
    </row>
    <row r="221" spans="2:19">
      <c r="B221" s="352">
        <f>B219+1</f>
        <v>140</v>
      </c>
      <c r="D221" s="298" t="s">
        <v>1260</v>
      </c>
      <c r="I221" s="363"/>
      <c r="J221" s="614" t="str">
        <f>$J$14</f>
        <v>12/31/2021 (Actuals)</v>
      </c>
      <c r="L221" s="614">
        <f>'1E - EDIT Amortization'!Q178+'1E - EDIT Amortization'!Q187</f>
        <v>0</v>
      </c>
      <c r="M221" s="365"/>
      <c r="N221" s="614" t="str">
        <f>$N$14</f>
        <v>12/31/2021 (Actuals)</v>
      </c>
      <c r="R221" s="614">
        <v>0</v>
      </c>
    </row>
    <row r="222" spans="2:19">
      <c r="B222" s="352">
        <f>B221+1</f>
        <v>141</v>
      </c>
      <c r="D222" s="298" t="s">
        <v>1261</v>
      </c>
      <c r="I222" s="363"/>
      <c r="J222" s="366" t="s">
        <v>611</v>
      </c>
      <c r="L222" s="367">
        <v>0</v>
      </c>
      <c r="M222" s="368"/>
      <c r="N222" s="366"/>
      <c r="R222" s="367">
        <v>0</v>
      </c>
    </row>
    <row r="223" spans="2:19">
      <c r="B223" s="352">
        <f>B222+1</f>
        <v>142</v>
      </c>
      <c r="D223" s="298" t="s">
        <v>1262</v>
      </c>
      <c r="I223" s="363"/>
      <c r="J223" s="359" t="str">
        <f>"(Col. "&amp;L200&amp;", Line "&amp;B221&amp;" + Line "&amp;B222&amp;")"</f>
        <v>(Col. (H), Line 140 + Line 141)</v>
      </c>
      <c r="L223" s="613">
        <f>L221+L222</f>
        <v>0</v>
      </c>
      <c r="M223" s="363"/>
      <c r="N223" s="359" t="str">
        <f>"(Col. "&amp;R200&amp;", Line "&amp;B221&amp;" + Line "&amp;B222&amp;")"</f>
        <v>(Col. (M), Line 140 + Line 141)</v>
      </c>
      <c r="R223" s="613">
        <f>R221+R222</f>
        <v>0</v>
      </c>
    </row>
    <row r="224" spans="2:19">
      <c r="I224" s="363"/>
      <c r="L224" s="613"/>
      <c r="M224" s="363"/>
      <c r="R224" s="613"/>
    </row>
    <row r="225" spans="2:19">
      <c r="B225" s="352">
        <f>B223+1</f>
        <v>143</v>
      </c>
      <c r="D225" s="298" t="s">
        <v>1263</v>
      </c>
      <c r="I225" s="363"/>
      <c r="J225" s="614" t="str">
        <f>$J$16</f>
        <v>2022 Projected</v>
      </c>
      <c r="L225" s="614">
        <f>'1E - EDIT Amortization'!Q178+'1E - EDIT Amortization'!Q187</f>
        <v>0</v>
      </c>
      <c r="M225" s="365"/>
      <c r="N225" s="614" t="str">
        <f>$N$16</f>
        <v>12/31/2022 (Actuals)</v>
      </c>
      <c r="R225" s="614">
        <v>0</v>
      </c>
    </row>
    <row r="226" spans="2:19">
      <c r="B226" s="352">
        <f>B225+1</f>
        <v>144</v>
      </c>
      <c r="D226" s="298" t="s">
        <v>1264</v>
      </c>
      <c r="I226" s="363"/>
      <c r="J226" s="366" t="s">
        <v>611</v>
      </c>
      <c r="L226" s="367">
        <v>0</v>
      </c>
      <c r="M226" s="363"/>
      <c r="N226" s="366"/>
      <c r="R226" s="367">
        <v>0</v>
      </c>
    </row>
    <row r="227" spans="2:19">
      <c r="B227" s="352">
        <f>B226+1</f>
        <v>145</v>
      </c>
      <c r="D227" s="298" t="s">
        <v>1265</v>
      </c>
      <c r="I227" s="363"/>
      <c r="J227" s="359" t="str">
        <f>"(Col. "&amp;L200&amp;", Line "&amp;B225&amp;" + Line "&amp;B226&amp;")"</f>
        <v>(Col. (H), Line 143 + Line 144)</v>
      </c>
      <c r="L227" s="613">
        <f>L225+L226</f>
        <v>0</v>
      </c>
      <c r="M227" s="363"/>
      <c r="N227" s="359" t="str">
        <f>"(Col. "&amp;R200&amp;", Line "&amp;B225&amp;" + Line "&amp;B226&amp;")"</f>
        <v>(Col. (M), Line 143 + Line 144)</v>
      </c>
      <c r="R227" s="613">
        <f>R225+R226</f>
        <v>0</v>
      </c>
    </row>
    <row r="228" spans="2:19">
      <c r="I228" s="363"/>
      <c r="L228" s="613"/>
      <c r="M228" s="363"/>
      <c r="R228" s="613"/>
    </row>
    <row r="229" spans="2:19">
      <c r="B229" s="352">
        <f>B227+1</f>
        <v>146</v>
      </c>
      <c r="D229" s="298" t="s">
        <v>955</v>
      </c>
      <c r="I229" s="363"/>
      <c r="J229" s="359" t="str">
        <f>"([Col. "&amp;L200&amp;", Line "&amp;B223&amp;" + Line "&amp;B227&amp;"] /2)"</f>
        <v>([Col. (H), Line 142 + Line 145] /2)</v>
      </c>
      <c r="L229" s="612">
        <f>(L223+L227)/2</f>
        <v>0</v>
      </c>
      <c r="M229" s="363"/>
      <c r="N229" s="359" t="str">
        <f>"([Col. "&amp;R200&amp;", Line "&amp;B223&amp;" + Line "&amp;B227&amp;"] /2)"</f>
        <v>([Col. (M), Line 142 + Line 145] /2)</v>
      </c>
      <c r="R229" s="612">
        <f>(R223+R227)/2</f>
        <v>0</v>
      </c>
    </row>
    <row r="230" spans="2:19">
      <c r="B230" s="352">
        <f>B229+1</f>
        <v>147</v>
      </c>
      <c r="D230" s="457" t="s">
        <v>1266</v>
      </c>
      <c r="E230" s="362"/>
      <c r="F230" s="362"/>
      <c r="G230" s="362"/>
      <c r="H230" s="363"/>
      <c r="I230" s="363"/>
      <c r="J230" s="359" t="str">
        <f>"(Col. "&amp;L200&amp;", Line "&amp;B218&amp;" )"</f>
        <v>(Col. (H), Line 138 )</v>
      </c>
      <c r="K230" s="364"/>
      <c r="L230" s="612">
        <f>L218</f>
        <v>0</v>
      </c>
      <c r="M230" s="363"/>
      <c r="N230" s="359" t="str">
        <f>"(Col. "&amp;R200&amp;", Line "&amp;B218&amp;" )"</f>
        <v>(Col. (M), Line 138 )</v>
      </c>
      <c r="R230" s="612">
        <f>R218</f>
        <v>0</v>
      </c>
    </row>
    <row r="231" spans="2:19" ht="13.5" thickBot="1">
      <c r="B231" s="352">
        <f>B230+1</f>
        <v>148</v>
      </c>
      <c r="D231" s="369" t="s">
        <v>1271</v>
      </c>
      <c r="E231" s="362"/>
      <c r="F231" s="362"/>
      <c r="G231" s="362"/>
      <c r="H231" s="363"/>
      <c r="I231" s="363"/>
      <c r="J231" s="359" t="str">
        <f>"(Col. "&amp;L200&amp;", Line "&amp;B229&amp;" + Line "&amp;B230&amp;")"</f>
        <v>(Col. (H), Line 146 + Line 147)</v>
      </c>
      <c r="K231" s="364"/>
      <c r="L231" s="611">
        <f>L229+L230</f>
        <v>0</v>
      </c>
      <c r="M231" s="363"/>
      <c r="N231" s="359" t="str">
        <f>"(Col. "&amp;R200&amp;", Line "&amp;B229&amp;" + Line "&amp;B230&amp;")"</f>
        <v>(Col. (M), Line 146 + Line 147)</v>
      </c>
      <c r="R231" s="611">
        <f>R229+R230</f>
        <v>0</v>
      </c>
    </row>
    <row r="232" spans="2:19">
      <c r="D232" s="362"/>
      <c r="E232" s="362"/>
      <c r="F232" s="362"/>
      <c r="G232" s="362"/>
      <c r="H232" s="363"/>
      <c r="I232" s="363"/>
      <c r="K232" s="364"/>
      <c r="L232" s="363"/>
      <c r="M232" s="363"/>
      <c r="O232" s="364"/>
      <c r="P232" s="364"/>
      <c r="Q232" s="364"/>
      <c r="R232" s="363"/>
      <c r="S232" s="363"/>
    </row>
    <row r="233" spans="2:19">
      <c r="D233" s="362"/>
      <c r="E233" s="362"/>
      <c r="F233" s="362" t="s">
        <v>83</v>
      </c>
      <c r="G233" s="362"/>
      <c r="H233" s="363"/>
      <c r="I233" s="363"/>
      <c r="K233" s="364"/>
      <c r="L233" s="363"/>
      <c r="M233" s="363"/>
      <c r="O233" s="364"/>
      <c r="P233" s="364"/>
      <c r="Q233" s="364"/>
      <c r="R233" s="363"/>
      <c r="S233" s="363"/>
    </row>
    <row r="234" spans="2:19" ht="13">
      <c r="D234" s="1762" t="s">
        <v>1281</v>
      </c>
      <c r="E234" s="1762"/>
      <c r="F234" s="1762"/>
      <c r="G234" s="1762"/>
      <c r="H234" s="1762"/>
      <c r="I234" s="363"/>
      <c r="J234" s="1762" t="s">
        <v>1282</v>
      </c>
      <c r="K234" s="1762"/>
      <c r="L234" s="1762"/>
      <c r="M234" s="1762"/>
      <c r="N234" s="1762"/>
      <c r="O234" s="364"/>
      <c r="P234" s="364"/>
      <c r="Q234" s="364"/>
      <c r="R234" s="363"/>
      <c r="S234" s="363"/>
    </row>
    <row r="235" spans="2:19" ht="12.75" customHeight="1">
      <c r="B235" s="1763" t="s">
        <v>1212</v>
      </c>
      <c r="C235" s="607"/>
      <c r="D235" s="603" t="s">
        <v>164</v>
      </c>
      <c r="E235" s="604"/>
      <c r="F235" s="603" t="s">
        <v>165</v>
      </c>
      <c r="G235" s="605"/>
      <c r="H235" s="602" t="s">
        <v>1201</v>
      </c>
      <c r="I235" s="353"/>
      <c r="J235" s="603" t="s">
        <v>1202</v>
      </c>
      <c r="K235" s="604"/>
      <c r="L235" s="603" t="s">
        <v>1203</v>
      </c>
      <c r="M235" s="605"/>
      <c r="N235" s="602" t="s">
        <v>1204</v>
      </c>
    </row>
    <row r="236" spans="2:19" ht="26">
      <c r="B236" s="1764"/>
      <c r="C236" s="607"/>
      <c r="D236" s="463" t="s">
        <v>1274</v>
      </c>
      <c r="E236" s="464"/>
      <c r="F236" s="465" t="s">
        <v>1275</v>
      </c>
      <c r="G236" s="466"/>
      <c r="H236" s="462" t="s">
        <v>1283</v>
      </c>
      <c r="J236" s="463" t="s">
        <v>1274</v>
      </c>
      <c r="K236" s="464"/>
      <c r="L236" s="465" t="s">
        <v>1275</v>
      </c>
      <c r="M236" s="466"/>
      <c r="N236" s="462" t="s">
        <v>1276</v>
      </c>
      <c r="O236" s="364"/>
      <c r="P236" s="364"/>
      <c r="Q236" s="364"/>
      <c r="R236" s="363"/>
      <c r="S236" s="363"/>
    </row>
    <row r="237" spans="2:19" ht="5.15" customHeight="1">
      <c r="B237" s="298"/>
      <c r="E237" s="362"/>
      <c r="K237" s="362"/>
      <c r="O237" s="364"/>
      <c r="P237" s="364"/>
      <c r="Q237" s="364"/>
      <c r="R237" s="363"/>
      <c r="S237" s="363"/>
    </row>
    <row r="238" spans="2:19">
      <c r="B238" s="352">
        <f>B231+1</f>
        <v>149</v>
      </c>
      <c r="D238" s="467" t="s">
        <v>1277</v>
      </c>
      <c r="F238" s="468" t="str">
        <f>"(Col. "&amp;L130&amp;", Line "&amp;B161&amp;")"</f>
        <v>(Col. (H), Line 100)</v>
      </c>
      <c r="G238" s="471"/>
      <c r="H238" s="469">
        <f>L161</f>
        <v>0</v>
      </c>
      <c r="I238" s="471"/>
      <c r="J238" s="467" t="s">
        <v>1277</v>
      </c>
      <c r="L238" s="468" t="str">
        <f>"(Col. "&amp;R130&amp;", Line "&amp;B161&amp;")"</f>
        <v>(Col. (M), Line 100)</v>
      </c>
      <c r="M238" s="471"/>
      <c r="N238" s="469">
        <f>R161</f>
        <v>0</v>
      </c>
      <c r="O238" s="364"/>
      <c r="P238" s="364"/>
      <c r="Q238" s="364"/>
      <c r="R238" s="363"/>
      <c r="S238" s="363"/>
    </row>
    <row r="239" spans="2:19">
      <c r="B239" s="352">
        <f>B238+1</f>
        <v>150</v>
      </c>
      <c r="D239" s="467" t="s">
        <v>1278</v>
      </c>
      <c r="F239" s="468" t="str">
        <f>"(Col. "&amp;L165&amp;", Line "&amp;B196&amp;")"</f>
        <v>(Col. (H), Line 124)</v>
      </c>
      <c r="H239" s="470">
        <f>L196</f>
        <v>0</v>
      </c>
      <c r="J239" s="467" t="s">
        <v>1278</v>
      </c>
      <c r="L239" s="468" t="str">
        <f>"(Col. "&amp;R165&amp;", Line "&amp;B196&amp;")"</f>
        <v>(Col. (M), Line 124)</v>
      </c>
      <c r="N239" s="470">
        <f>R196</f>
        <v>0</v>
      </c>
      <c r="O239" s="364"/>
      <c r="P239" s="364"/>
      <c r="Q239" s="364"/>
      <c r="R239" s="363"/>
      <c r="S239" s="363"/>
    </row>
    <row r="240" spans="2:19">
      <c r="B240" s="352">
        <f>B239+1</f>
        <v>151</v>
      </c>
      <c r="D240" s="467" t="s">
        <v>1279</v>
      </c>
      <c r="F240" s="468" t="str">
        <f>"(Col. "&amp;L200&amp;", Line "&amp;B231&amp;")"</f>
        <v>(Col. (H), Line 148)</v>
      </c>
      <c r="H240" s="470">
        <f>L231</f>
        <v>0</v>
      </c>
      <c r="J240" s="467" t="s">
        <v>1279</v>
      </c>
      <c r="L240" s="468" t="str">
        <f>"(Col. "&amp;R200&amp;", Line "&amp;B231&amp;")"</f>
        <v>(Col. (M), Line 148)</v>
      </c>
      <c r="N240" s="470">
        <f>R231</f>
        <v>0</v>
      </c>
      <c r="O240" s="364"/>
      <c r="P240" s="364"/>
      <c r="Q240" s="364"/>
      <c r="R240" s="363"/>
      <c r="S240" s="363"/>
    </row>
    <row r="241" spans="1:19" ht="5.15" customHeight="1">
      <c r="D241" s="362"/>
      <c r="E241" s="362"/>
      <c r="J241" s="362"/>
      <c r="K241" s="362"/>
      <c r="O241" s="364"/>
      <c r="P241" s="364"/>
      <c r="Q241" s="364"/>
      <c r="R241" s="363"/>
      <c r="S241" s="363"/>
    </row>
    <row r="242" spans="1:19" ht="13">
      <c r="B242" s="352">
        <f>B240+1</f>
        <v>152</v>
      </c>
      <c r="D242" s="6" t="s">
        <v>1124</v>
      </c>
      <c r="E242" s="362"/>
      <c r="F242" s="468" t="s">
        <v>1447</v>
      </c>
      <c r="G242" s="471"/>
      <c r="H242" s="472">
        <f>SUM(H238:H241)</f>
        <v>0</v>
      </c>
      <c r="I242" s="471"/>
      <c r="J242" s="6" t="s">
        <v>1124</v>
      </c>
      <c r="K242" s="362"/>
      <c r="L242" s="473" t="s">
        <v>1447</v>
      </c>
      <c r="M242" s="471"/>
      <c r="N242" s="472">
        <f>SUM(N238:N241)</f>
        <v>0</v>
      </c>
      <c r="O242" s="364"/>
      <c r="P242" s="364"/>
      <c r="Q242" s="364"/>
      <c r="R242" s="363"/>
      <c r="S242" s="363"/>
    </row>
    <row r="243" spans="1:19">
      <c r="D243" s="362"/>
      <c r="E243" s="362"/>
      <c r="F243" s="362"/>
      <c r="G243" s="362"/>
      <c r="H243" s="363"/>
      <c r="I243" s="363"/>
      <c r="K243" s="364"/>
      <c r="L243" s="363"/>
      <c r="M243" s="363"/>
      <c r="O243" s="364"/>
      <c r="P243" s="364"/>
      <c r="Q243" s="364"/>
      <c r="R243" s="363"/>
      <c r="S243" s="363"/>
    </row>
    <row r="244" spans="1:19" ht="13">
      <c r="A244" s="373"/>
      <c r="B244" s="374" t="s">
        <v>1181</v>
      </c>
      <c r="C244" s="373"/>
      <c r="D244" s="373"/>
      <c r="E244" s="373"/>
      <c r="F244" s="373"/>
      <c r="G244" s="373"/>
      <c r="H244" s="373"/>
      <c r="I244" s="373"/>
      <c r="J244" s="373"/>
      <c r="K244" s="373"/>
      <c r="L244" s="373"/>
      <c r="M244" s="373"/>
      <c r="N244" s="373"/>
      <c r="O244" s="373"/>
      <c r="P244" s="373"/>
      <c r="Q244" s="373"/>
      <c r="R244" s="373"/>
      <c r="S244" s="373"/>
    </row>
    <row r="246" spans="1:19">
      <c r="B246" s="1752" t="s">
        <v>1232</v>
      </c>
      <c r="C246" s="1752"/>
      <c r="D246" s="1752"/>
      <c r="E246" s="1752"/>
      <c r="F246" s="1752"/>
      <c r="G246" s="1752"/>
      <c r="H246" s="1752"/>
      <c r="I246" s="1752"/>
      <c r="J246" s="1752"/>
      <c r="K246" s="1752"/>
      <c r="L246" s="1752"/>
      <c r="M246" s="363"/>
      <c r="O246" s="364"/>
      <c r="P246" s="364"/>
      <c r="Q246" s="364"/>
      <c r="R246" s="363"/>
      <c r="S246" s="363"/>
    </row>
    <row r="247" spans="1:19">
      <c r="B247" s="1752"/>
      <c r="C247" s="1752"/>
      <c r="D247" s="1752"/>
      <c r="E247" s="1752"/>
      <c r="F247" s="1752"/>
      <c r="G247" s="1752"/>
      <c r="H247" s="1752"/>
      <c r="I247" s="1752"/>
      <c r="J247" s="1752"/>
      <c r="K247" s="1752"/>
      <c r="L247" s="1752"/>
      <c r="M247" s="363"/>
      <c r="O247" s="364"/>
      <c r="P247" s="364"/>
      <c r="Q247" s="364"/>
      <c r="R247" s="363"/>
      <c r="S247" s="363"/>
    </row>
    <row r="248" spans="1:19">
      <c r="D248" s="362"/>
      <c r="E248" s="362"/>
      <c r="F248" s="362"/>
      <c r="G248" s="362"/>
      <c r="H248" s="363"/>
      <c r="I248" s="363"/>
      <c r="K248" s="364"/>
      <c r="L248" s="363"/>
      <c r="M248" s="363"/>
      <c r="O248" s="364"/>
      <c r="P248" s="364"/>
      <c r="Q248" s="364"/>
      <c r="R248" s="363"/>
      <c r="S248" s="363"/>
    </row>
    <row r="249" spans="1:19" ht="13">
      <c r="B249" s="350" t="s">
        <v>1233</v>
      </c>
      <c r="D249" s="375" t="s">
        <v>600</v>
      </c>
      <c r="E249" s="376" t="str">
        <f>IF(D249="Projected Activity","Check",IF(D249="True-Up Adjustment","Check","Error"))</f>
        <v>Check</v>
      </c>
      <c r="F249" s="362"/>
      <c r="G249" s="362"/>
      <c r="H249" s="363"/>
      <c r="I249" s="363"/>
      <c r="K249" s="364"/>
      <c r="L249" s="363" t="s">
        <v>83</v>
      </c>
      <c r="M249" s="363"/>
      <c r="O249" s="364"/>
      <c r="P249" s="364"/>
      <c r="Q249" s="364"/>
      <c r="R249" s="363"/>
      <c r="S249" s="363"/>
    </row>
    <row r="250" spans="1:19">
      <c r="D250" s="362"/>
      <c r="E250" s="362"/>
      <c r="F250" s="362"/>
      <c r="G250" s="362"/>
      <c r="H250" s="363"/>
      <c r="I250" s="363"/>
      <c r="K250" s="364"/>
      <c r="L250" s="363"/>
      <c r="M250" s="363"/>
      <c r="O250" s="364"/>
      <c r="P250" s="364"/>
      <c r="Q250" s="364"/>
      <c r="R250" s="363"/>
      <c r="S250" s="363"/>
    </row>
    <row r="251" spans="1:19">
      <c r="B251" s="1753" t="s">
        <v>1234</v>
      </c>
      <c r="C251" s="1753"/>
      <c r="D251" s="1753"/>
      <c r="E251" s="1753"/>
      <c r="F251" s="1753"/>
      <c r="G251" s="1753"/>
      <c r="H251" s="1753"/>
      <c r="I251" s="1753"/>
      <c r="J251" s="1753"/>
      <c r="K251" s="1753"/>
      <c r="L251" s="1753"/>
      <c r="M251" s="363"/>
      <c r="O251" s="364"/>
      <c r="P251" s="364"/>
      <c r="Q251" s="364"/>
      <c r="R251" s="363"/>
      <c r="S251" s="363"/>
    </row>
    <row r="252" spans="1:19">
      <c r="B252" s="1753"/>
      <c r="C252" s="1753"/>
      <c r="D252" s="1753"/>
      <c r="E252" s="1753"/>
      <c r="F252" s="1753"/>
      <c r="G252" s="1753"/>
      <c r="H252" s="1753"/>
      <c r="I252" s="1753"/>
      <c r="J252" s="1753"/>
      <c r="K252" s="1753"/>
      <c r="L252" s="1753"/>
      <c r="M252" s="363"/>
      <c r="O252" s="364"/>
      <c r="P252" s="364"/>
      <c r="Q252" s="364"/>
      <c r="R252" s="363"/>
      <c r="S252" s="363"/>
    </row>
    <row r="253" spans="1:19">
      <c r="D253" s="362"/>
      <c r="E253" s="362"/>
      <c r="F253" s="362"/>
      <c r="G253" s="362"/>
      <c r="H253" s="363"/>
      <c r="I253" s="363"/>
      <c r="K253" s="364"/>
      <c r="L253" s="363"/>
      <c r="M253" s="363"/>
      <c r="O253" s="364"/>
      <c r="P253" s="364"/>
      <c r="Q253" s="364"/>
      <c r="R253" s="363"/>
      <c r="S253" s="363"/>
    </row>
    <row r="254" spans="1:19" ht="13">
      <c r="A254" s="373"/>
      <c r="B254" s="374" t="s">
        <v>883</v>
      </c>
      <c r="C254" s="373"/>
      <c r="D254" s="373"/>
      <c r="E254" s="373"/>
      <c r="F254" s="373"/>
      <c r="G254" s="373"/>
      <c r="H254" s="373"/>
      <c r="I254" s="373"/>
      <c r="J254" s="373"/>
      <c r="K254" s="373"/>
      <c r="L254" s="373"/>
      <c r="M254" s="373"/>
      <c r="N254" s="373"/>
      <c r="O254" s="373"/>
      <c r="P254" s="373"/>
      <c r="Q254" s="373"/>
      <c r="R254" s="373"/>
      <c r="S254" s="373"/>
    </row>
    <row r="256" spans="1:19" ht="15.75" customHeight="1">
      <c r="A256" s="349"/>
      <c r="B256" s="350" t="s">
        <v>9</v>
      </c>
      <c r="C256" s="1752" t="s">
        <v>1284</v>
      </c>
      <c r="D256" s="1752"/>
      <c r="E256" s="1752"/>
      <c r="F256" s="1752"/>
      <c r="G256" s="1752"/>
      <c r="H256" s="1752"/>
      <c r="I256" s="1752"/>
      <c r="J256" s="1752"/>
      <c r="K256" s="1752"/>
      <c r="L256" s="1752"/>
    </row>
    <row r="257" spans="1:12" ht="13">
      <c r="A257" s="349"/>
      <c r="B257" s="350"/>
      <c r="C257" s="1752"/>
      <c r="D257" s="1752"/>
      <c r="E257" s="1752"/>
      <c r="F257" s="1752"/>
      <c r="G257" s="1752"/>
      <c r="H257" s="1752"/>
      <c r="I257" s="1752"/>
      <c r="J257" s="1752"/>
      <c r="K257" s="1752"/>
      <c r="L257" s="1752"/>
    </row>
    <row r="258" spans="1:12" ht="13">
      <c r="A258" s="349"/>
      <c r="B258" s="350"/>
      <c r="C258" s="1752"/>
      <c r="D258" s="1752"/>
      <c r="E258" s="1752"/>
      <c r="F258" s="1752"/>
      <c r="G258" s="1752"/>
      <c r="H258" s="1752"/>
      <c r="I258" s="1752"/>
      <c r="J258" s="1752"/>
      <c r="K258" s="1752"/>
      <c r="L258" s="1752"/>
    </row>
    <row r="259" spans="1:12">
      <c r="C259" s="1752"/>
      <c r="D259" s="1752"/>
      <c r="E259" s="1752"/>
      <c r="F259" s="1752"/>
      <c r="G259" s="1752"/>
      <c r="H259" s="1752"/>
      <c r="I259" s="1752"/>
      <c r="J259" s="1752"/>
      <c r="K259" s="1752"/>
      <c r="L259" s="1752"/>
    </row>
    <row r="260" spans="1:12">
      <c r="C260" s="1752"/>
      <c r="D260" s="1752"/>
      <c r="E260" s="1752"/>
      <c r="F260" s="1752"/>
      <c r="G260" s="1752"/>
      <c r="H260" s="1752"/>
      <c r="I260" s="1752"/>
      <c r="J260" s="1752"/>
      <c r="K260" s="1752"/>
      <c r="L260" s="1752"/>
    </row>
    <row r="261" spans="1:12" ht="15.75" customHeight="1">
      <c r="A261" s="349"/>
      <c r="B261" s="350" t="s">
        <v>10</v>
      </c>
      <c r="C261" s="1752" t="s">
        <v>1285</v>
      </c>
      <c r="D261" s="1752"/>
      <c r="E261" s="1752"/>
      <c r="F261" s="1752"/>
      <c r="G261" s="1752"/>
      <c r="H261" s="1752"/>
      <c r="I261" s="1752"/>
      <c r="J261" s="1752"/>
      <c r="K261" s="1752"/>
      <c r="L261" s="1752"/>
    </row>
    <row r="262" spans="1:12" ht="13">
      <c r="A262" s="349"/>
      <c r="B262" s="350"/>
      <c r="C262" s="1752"/>
      <c r="D262" s="1752"/>
      <c r="E262" s="1752"/>
      <c r="F262" s="1752"/>
      <c r="G262" s="1752"/>
      <c r="H262" s="1752"/>
      <c r="I262" s="1752"/>
      <c r="J262" s="1752"/>
      <c r="K262" s="1752"/>
      <c r="L262" s="1752"/>
    </row>
    <row r="263" spans="1:12" ht="13">
      <c r="A263" s="349"/>
      <c r="B263" s="350"/>
      <c r="C263" s="1752"/>
      <c r="D263" s="1752"/>
      <c r="E263" s="1752"/>
      <c r="F263" s="1752"/>
      <c r="G263" s="1752"/>
      <c r="H263" s="1752"/>
      <c r="I263" s="1752"/>
      <c r="J263" s="1752"/>
      <c r="K263" s="1752"/>
      <c r="L263" s="1752"/>
    </row>
    <row r="264" spans="1:12" ht="13">
      <c r="A264" s="349"/>
      <c r="B264" s="350"/>
      <c r="C264" s="1752"/>
      <c r="D264" s="1752"/>
      <c r="E264" s="1752"/>
      <c r="F264" s="1752"/>
      <c r="G264" s="1752"/>
      <c r="H264" s="1752"/>
      <c r="I264" s="1752"/>
      <c r="J264" s="1752"/>
      <c r="K264" s="1752"/>
      <c r="L264" s="1752"/>
    </row>
    <row r="265" spans="1:12" ht="13">
      <c r="A265" s="349"/>
      <c r="B265" s="350"/>
      <c r="C265" s="1752"/>
      <c r="D265" s="1752"/>
      <c r="E265" s="1752"/>
      <c r="F265" s="1752"/>
      <c r="G265" s="1752"/>
      <c r="H265" s="1752"/>
      <c r="I265" s="1752"/>
      <c r="J265" s="1752"/>
      <c r="K265" s="1752"/>
      <c r="L265" s="1752"/>
    </row>
    <row r="266" spans="1:12" ht="13">
      <c r="A266" s="349"/>
      <c r="B266" s="350"/>
      <c r="C266" s="1752"/>
      <c r="D266" s="1752"/>
      <c r="E266" s="1752"/>
      <c r="F266" s="1752"/>
      <c r="G266" s="1752"/>
      <c r="H266" s="1752"/>
      <c r="I266" s="1752"/>
      <c r="J266" s="1752"/>
      <c r="K266" s="1752"/>
      <c r="L266" s="1752"/>
    </row>
    <row r="267" spans="1:12" ht="13">
      <c r="A267" s="349"/>
      <c r="B267" s="350"/>
      <c r="C267" s="1752"/>
      <c r="D267" s="1752"/>
      <c r="E267" s="1752"/>
      <c r="F267" s="1752"/>
      <c r="G267" s="1752"/>
      <c r="H267" s="1752"/>
      <c r="I267" s="1752"/>
      <c r="J267" s="1752"/>
      <c r="K267" s="1752"/>
      <c r="L267" s="1752"/>
    </row>
    <row r="268" spans="1:12" ht="13">
      <c r="A268" s="349"/>
      <c r="B268" s="350"/>
      <c r="C268" s="1752"/>
      <c r="D268" s="1752"/>
      <c r="E268" s="1752"/>
      <c r="F268" s="1752"/>
      <c r="G268" s="1752"/>
      <c r="H268" s="1752"/>
      <c r="I268" s="1752"/>
      <c r="J268" s="1752"/>
      <c r="K268" s="1752"/>
      <c r="L268" s="1752"/>
    </row>
    <row r="269" spans="1:12">
      <c r="C269" s="1752"/>
      <c r="D269" s="1752"/>
      <c r="E269" s="1752"/>
      <c r="F269" s="1752"/>
      <c r="G269" s="1752"/>
      <c r="H269" s="1752"/>
      <c r="I269" s="1752"/>
      <c r="J269" s="1752"/>
      <c r="K269" s="1752"/>
      <c r="L269" s="1752"/>
    </row>
    <row r="270" spans="1:12" ht="15.75" customHeight="1">
      <c r="A270" s="349"/>
      <c r="B270" s="350" t="s">
        <v>11</v>
      </c>
      <c r="C270" s="1752" t="s">
        <v>1286</v>
      </c>
      <c r="D270" s="1752"/>
      <c r="E270" s="1752"/>
      <c r="F270" s="1752"/>
      <c r="G270" s="1752"/>
      <c r="H270" s="1752"/>
      <c r="I270" s="1752"/>
      <c r="J270" s="1752"/>
      <c r="K270" s="1752"/>
      <c r="L270" s="1752"/>
    </row>
    <row r="271" spans="1:12" ht="13">
      <c r="A271" s="349"/>
      <c r="B271" s="350"/>
      <c r="C271" s="1752"/>
      <c r="D271" s="1752"/>
      <c r="E271" s="1752"/>
      <c r="F271" s="1752"/>
      <c r="G271" s="1752"/>
      <c r="H271" s="1752"/>
      <c r="I271" s="1752"/>
      <c r="J271" s="1752"/>
      <c r="K271" s="1752"/>
      <c r="L271" s="1752"/>
    </row>
    <row r="272" spans="1:12" ht="13">
      <c r="A272" s="349"/>
      <c r="B272" s="350"/>
      <c r="C272" s="1752"/>
      <c r="D272" s="1752"/>
      <c r="E272" s="1752"/>
      <c r="F272" s="1752"/>
      <c r="G272" s="1752"/>
      <c r="H272" s="1752"/>
      <c r="I272" s="1752"/>
      <c r="J272" s="1752"/>
      <c r="K272" s="1752"/>
      <c r="L272" s="1752"/>
    </row>
    <row r="273" spans="1:12" ht="13">
      <c r="A273" s="349"/>
      <c r="B273" s="350"/>
      <c r="C273" s="1752"/>
      <c r="D273" s="1752"/>
      <c r="E273" s="1752"/>
      <c r="F273" s="1752"/>
      <c r="G273" s="1752"/>
      <c r="H273" s="1752"/>
      <c r="I273" s="1752"/>
      <c r="J273" s="1752"/>
      <c r="K273" s="1752"/>
      <c r="L273" s="1752"/>
    </row>
    <row r="274" spans="1:12" ht="15.75" customHeight="1">
      <c r="A274" s="349"/>
      <c r="B274" s="350" t="s">
        <v>14</v>
      </c>
      <c r="C274" s="1752" t="s">
        <v>1287</v>
      </c>
      <c r="D274" s="1752"/>
      <c r="E274" s="1752"/>
      <c r="F274" s="1752"/>
      <c r="G274" s="1752"/>
      <c r="H274" s="1752"/>
      <c r="I274" s="1752"/>
      <c r="J274" s="1752"/>
      <c r="K274" s="1752"/>
      <c r="L274" s="1752"/>
    </row>
    <row r="275" spans="1:12" ht="15.75" customHeight="1">
      <c r="C275" s="1752"/>
      <c r="D275" s="1752"/>
      <c r="E275" s="1752"/>
      <c r="F275" s="1752"/>
      <c r="G275" s="1752"/>
      <c r="H275" s="1752"/>
      <c r="I275" s="1752"/>
      <c r="J275" s="1752"/>
      <c r="K275" s="1752"/>
      <c r="L275" s="1752"/>
    </row>
    <row r="276" spans="1:12" ht="15.75" customHeight="1">
      <c r="A276" s="349"/>
      <c r="B276" s="350" t="s">
        <v>134</v>
      </c>
      <c r="C276" s="1752" t="s">
        <v>1288</v>
      </c>
      <c r="D276" s="1752"/>
      <c r="E276" s="1752"/>
      <c r="F276" s="1752"/>
      <c r="G276" s="1752"/>
      <c r="H276" s="1752"/>
      <c r="I276" s="1752"/>
      <c r="J276" s="1752"/>
      <c r="K276" s="1752"/>
      <c r="L276" s="1752"/>
    </row>
    <row r="277" spans="1:12" ht="15.75" customHeight="1">
      <c r="C277" s="1752"/>
      <c r="D277" s="1752"/>
      <c r="E277" s="1752"/>
      <c r="F277" s="1752"/>
      <c r="G277" s="1752"/>
      <c r="H277" s="1752"/>
      <c r="I277" s="1752"/>
      <c r="J277" s="1752"/>
      <c r="K277" s="1752"/>
      <c r="L277" s="1752"/>
    </row>
    <row r="278" spans="1:12" ht="15.75" customHeight="1">
      <c r="A278" s="349"/>
      <c r="B278" s="350" t="s">
        <v>135</v>
      </c>
      <c r="C278" s="1751" t="s">
        <v>1569</v>
      </c>
      <c r="D278" s="1751"/>
      <c r="E278" s="1751"/>
      <c r="F278" s="1751"/>
      <c r="G278" s="1751"/>
      <c r="H278" s="1751"/>
      <c r="I278" s="1751"/>
      <c r="J278" s="1751"/>
      <c r="K278" s="1751"/>
      <c r="L278" s="1751"/>
    </row>
    <row r="279" spans="1:12">
      <c r="C279" s="1751"/>
      <c r="D279" s="1751"/>
      <c r="E279" s="1751"/>
      <c r="F279" s="1751"/>
      <c r="G279" s="1751"/>
      <c r="H279" s="1751"/>
      <c r="I279" s="1751"/>
      <c r="J279" s="1751"/>
      <c r="K279" s="1751"/>
      <c r="L279" s="1751"/>
    </row>
  </sheetData>
  <mergeCells count="45">
    <mergeCell ref="C274:L275"/>
    <mergeCell ref="C276:L277"/>
    <mergeCell ref="C278:L279"/>
    <mergeCell ref="B235:B236"/>
    <mergeCell ref="B246:L247"/>
    <mergeCell ref="B251:L252"/>
    <mergeCell ref="C261:L269"/>
    <mergeCell ref="C270:L273"/>
    <mergeCell ref="C256:L260"/>
    <mergeCell ref="D164:H164"/>
    <mergeCell ref="J164:L164"/>
    <mergeCell ref="N164:R164"/>
    <mergeCell ref="J198:L198"/>
    <mergeCell ref="N198:R198"/>
    <mergeCell ref="D199:H199"/>
    <mergeCell ref="J199:L199"/>
    <mergeCell ref="N199:R199"/>
    <mergeCell ref="D234:H234"/>
    <mergeCell ref="J234:N234"/>
    <mergeCell ref="B116:B117"/>
    <mergeCell ref="B126:R126"/>
    <mergeCell ref="D129:H129"/>
    <mergeCell ref="J129:L129"/>
    <mergeCell ref="N129:R129"/>
    <mergeCell ref="J128:L128"/>
    <mergeCell ref="N128:R128"/>
    <mergeCell ref="D115:H115"/>
    <mergeCell ref="J115:N115"/>
    <mergeCell ref="D10:H10"/>
    <mergeCell ref="J10:L10"/>
    <mergeCell ref="N10:R10"/>
    <mergeCell ref="D45:H45"/>
    <mergeCell ref="J45:L45"/>
    <mergeCell ref="N45:R45"/>
    <mergeCell ref="J79:L79"/>
    <mergeCell ref="N79:R79"/>
    <mergeCell ref="D80:H80"/>
    <mergeCell ref="J80:L80"/>
    <mergeCell ref="N80:R80"/>
    <mergeCell ref="A1:R1"/>
    <mergeCell ref="A2:R2"/>
    <mergeCell ref="A3:R3"/>
    <mergeCell ref="B7:R7"/>
    <mergeCell ref="J9:L9"/>
    <mergeCell ref="N9:R9"/>
  </mergeCells>
  <pageMargins left="0.7" right="0.7" top="0.75" bottom="0.75" header="0.3" footer="0.3"/>
  <pageSetup scale="25" orientation="portrait" r:id="rId1"/>
  <rowBreaks count="1" manualBreakCount="1">
    <brk id="19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C8111-0D98-42AF-A67E-EAC270CE38DD}">
  <dimension ref="A1:T278"/>
  <sheetViews>
    <sheetView view="pageBreakPreview" topLeftCell="A193" zoomScale="60" zoomScaleNormal="80" workbookViewId="0">
      <selection sqref="A1:XFD1048576"/>
    </sheetView>
  </sheetViews>
  <sheetFormatPr defaultColWidth="9.1796875" defaultRowHeight="12.5"/>
  <cols>
    <col min="1" max="1" width="9.1796875" style="298"/>
    <col min="2" max="2" width="5.7265625" style="298" customWidth="1"/>
    <col min="3" max="3" width="9.453125" style="298" customWidth="1"/>
    <col min="4" max="4" width="2.7265625" style="298" customWidth="1"/>
    <col min="5" max="5" width="46.81640625" style="298" bestFit="1" customWidth="1"/>
    <col min="6" max="6" width="2.7265625" style="298" customWidth="1"/>
    <col min="7" max="7" width="19.1796875" style="298" bestFit="1" customWidth="1"/>
    <col min="8" max="8" width="2.7265625" style="298" customWidth="1"/>
    <col min="9" max="9" width="19.1796875" style="298" bestFit="1" customWidth="1"/>
    <col min="10" max="10" width="2.7265625" style="298" customWidth="1"/>
    <col min="11" max="11" width="18.54296875" style="298" bestFit="1" customWidth="1"/>
    <col min="12" max="12" width="5.7265625" style="298" customWidth="1"/>
    <col min="13" max="13" width="19.1796875" style="298" bestFit="1" customWidth="1"/>
    <col min="14" max="14" width="2.7265625" style="298" customWidth="1"/>
    <col min="15" max="15" width="17.453125" style="298" customWidth="1"/>
    <col min="16" max="16" width="2.7265625" style="298" customWidth="1"/>
    <col min="17" max="17" width="19" style="298" customWidth="1"/>
    <col min="18" max="18" width="5.7265625" style="298" customWidth="1"/>
    <col min="19" max="19" width="9.1796875" style="298"/>
    <col min="20" max="20" width="15.26953125" style="298" customWidth="1"/>
    <col min="21" max="21" width="15.1796875" style="298" customWidth="1"/>
    <col min="22" max="16384" width="9.1796875" style="298"/>
  </cols>
  <sheetData>
    <row r="1" spans="1:20" ht="15.5">
      <c r="A1" s="1749" t="s">
        <v>1436</v>
      </c>
      <c r="B1" s="1749"/>
      <c r="C1" s="1749"/>
      <c r="D1" s="1749"/>
      <c r="E1" s="1749"/>
      <c r="F1" s="1749"/>
      <c r="G1" s="1749"/>
      <c r="H1" s="1749"/>
      <c r="I1" s="1749"/>
      <c r="J1" s="1749"/>
      <c r="K1" s="1749"/>
      <c r="L1" s="1749"/>
      <c r="M1" s="1749"/>
      <c r="N1" s="1749"/>
      <c r="O1" s="1749"/>
      <c r="P1" s="1749"/>
      <c r="Q1" s="1749"/>
      <c r="R1" s="1749"/>
      <c r="S1" s="1749"/>
    </row>
    <row r="2" spans="1:20" ht="15.5">
      <c r="A2" s="1749" t="s">
        <v>1289</v>
      </c>
      <c r="B2" s="1749"/>
      <c r="C2" s="1749"/>
      <c r="D2" s="1749"/>
      <c r="E2" s="1749"/>
      <c r="F2" s="1749"/>
      <c r="G2" s="1749"/>
      <c r="H2" s="1749"/>
      <c r="I2" s="1749"/>
      <c r="J2" s="1749"/>
      <c r="K2" s="1749"/>
      <c r="L2" s="1749"/>
      <c r="M2" s="1749"/>
      <c r="N2" s="1749"/>
      <c r="O2" s="1749"/>
      <c r="P2" s="1749"/>
      <c r="Q2" s="1749"/>
      <c r="R2" s="1749"/>
      <c r="S2" s="1749"/>
    </row>
    <row r="3" spans="1:20" ht="15.5">
      <c r="A3" s="1749" t="s">
        <v>1290</v>
      </c>
      <c r="B3" s="1749"/>
      <c r="C3" s="1749"/>
      <c r="D3" s="1749"/>
      <c r="E3" s="1749"/>
      <c r="F3" s="1749"/>
      <c r="G3" s="1749"/>
      <c r="H3" s="1749"/>
      <c r="I3" s="1749"/>
      <c r="J3" s="1749"/>
      <c r="K3" s="1749"/>
      <c r="L3" s="1749"/>
      <c r="M3" s="1749"/>
      <c r="N3" s="1749"/>
      <c r="O3" s="1749"/>
      <c r="P3" s="1749"/>
      <c r="Q3" s="1749"/>
      <c r="R3" s="1749"/>
      <c r="S3" s="1749"/>
    </row>
    <row r="4" spans="1:20" ht="14">
      <c r="A4" s="474"/>
      <c r="G4" s="474"/>
      <c r="O4" s="474"/>
    </row>
    <row r="5" spans="1:20" ht="14">
      <c r="A5" s="474"/>
      <c r="G5" s="474"/>
      <c r="O5" s="474"/>
    </row>
    <row r="6" spans="1:20" ht="15.75" customHeight="1">
      <c r="C6" s="1760" t="s">
        <v>1255</v>
      </c>
      <c r="D6" s="1760"/>
      <c r="E6" s="1760"/>
      <c r="F6" s="1760"/>
      <c r="G6" s="1760"/>
      <c r="H6" s="1760"/>
      <c r="I6" s="1760"/>
      <c r="J6" s="1760"/>
      <c r="K6" s="1760"/>
      <c r="L6" s="1760"/>
      <c r="M6" s="1760"/>
      <c r="N6" s="1760"/>
      <c r="O6" s="1760"/>
      <c r="P6" s="1760"/>
      <c r="Q6" s="1760"/>
    </row>
    <row r="8" spans="1:20" ht="15.75" customHeight="1">
      <c r="C8" s="1765" t="s">
        <v>1291</v>
      </c>
      <c r="D8" s="1766"/>
      <c r="E8" s="1766"/>
      <c r="F8" s="1766"/>
      <c r="G8" s="1766"/>
      <c r="H8" s="1766"/>
      <c r="I8" s="1766"/>
      <c r="J8" s="1766"/>
      <c r="K8" s="1766"/>
      <c r="L8" s="1766"/>
      <c r="M8" s="1766"/>
      <c r="N8" s="1766"/>
      <c r="O8" s="1766"/>
      <c r="P8" s="1766"/>
      <c r="Q8" s="1767"/>
    </row>
    <row r="10" spans="1:20" ht="13">
      <c r="E10" s="350" t="s">
        <v>164</v>
      </c>
      <c r="F10" s="350"/>
      <c r="G10" s="350" t="s">
        <v>165</v>
      </c>
      <c r="H10" s="350"/>
      <c r="I10" s="350" t="s">
        <v>1065</v>
      </c>
      <c r="J10" s="350"/>
      <c r="K10" s="350" t="s">
        <v>1202</v>
      </c>
      <c r="L10" s="350"/>
      <c r="M10" s="350" t="s">
        <v>1292</v>
      </c>
      <c r="N10" s="350"/>
      <c r="O10" s="350" t="s">
        <v>1204</v>
      </c>
      <c r="P10" s="350"/>
      <c r="Q10" s="350" t="s">
        <v>1205</v>
      </c>
    </row>
    <row r="11" spans="1:20" ht="25.5" customHeight="1">
      <c r="C11" s="1763" t="s">
        <v>1212</v>
      </c>
      <c r="D11" s="607"/>
      <c r="E11" s="1768" t="s">
        <v>1274</v>
      </c>
      <c r="G11" s="1770" t="s">
        <v>255</v>
      </c>
      <c r="I11" s="1770" t="s">
        <v>1293</v>
      </c>
      <c r="K11" s="475" t="s">
        <v>1294</v>
      </c>
      <c r="M11" s="1516" t="s">
        <v>1826</v>
      </c>
      <c r="O11" s="1772" t="s">
        <v>1295</v>
      </c>
      <c r="Q11" s="1516" t="s">
        <v>1973</v>
      </c>
    </row>
    <row r="12" spans="1:20" ht="25">
      <c r="C12" s="1764"/>
      <c r="D12" s="607"/>
      <c r="E12" s="1769"/>
      <c r="F12" s="476"/>
      <c r="G12" s="1771"/>
      <c r="H12" s="476"/>
      <c r="I12" s="1771"/>
      <c r="J12" s="476"/>
      <c r="K12" s="477" t="s">
        <v>1296</v>
      </c>
      <c r="M12" s="610" t="s">
        <v>1297</v>
      </c>
      <c r="O12" s="1773"/>
      <c r="Q12" s="610" t="s">
        <v>1298</v>
      </c>
    </row>
    <row r="13" spans="1:20" ht="5.15" customHeight="1"/>
    <row r="14" spans="1:20" ht="13">
      <c r="A14" s="478"/>
      <c r="B14" s="478"/>
      <c r="C14" s="352">
        <v>1</v>
      </c>
      <c r="D14" s="478"/>
      <c r="E14" s="479" t="s">
        <v>1299</v>
      </c>
      <c r="F14" s="478"/>
      <c r="G14" s="480"/>
      <c r="H14" s="478"/>
      <c r="I14" s="480"/>
      <c r="J14" s="478"/>
      <c r="K14" s="481"/>
      <c r="M14" s="471"/>
      <c r="O14" s="482"/>
      <c r="Q14" s="478"/>
    </row>
    <row r="15" spans="1:20" ht="5.15" customHeight="1"/>
    <row r="16" spans="1:20">
      <c r="C16" s="352">
        <f>C14+1</f>
        <v>2</v>
      </c>
      <c r="E16" s="467" t="s">
        <v>1277</v>
      </c>
      <c r="G16" s="628" t="s">
        <v>777</v>
      </c>
      <c r="I16" s="480" t="s">
        <v>1300</v>
      </c>
      <c r="K16" s="469">
        <f>SUMIFS('1F - ADIT Remeasurement'!$AF$11:$AF$174,'1F - ADIT Remeasurement'!$E$11:$E$174,"Non-Property",'1F - ADIT Remeasurement'!$AH$11:$AH$174,"190")</f>
        <v>-2276084.4922092138</v>
      </c>
      <c r="L16" s="471"/>
      <c r="M16" s="469">
        <v>0</v>
      </c>
      <c r="N16" s="471"/>
      <c r="O16" s="469">
        <v>0</v>
      </c>
      <c r="P16" s="471"/>
      <c r="Q16" s="469">
        <f>M16+O16</f>
        <v>0</v>
      </c>
      <c r="T16" s="372"/>
    </row>
    <row r="17" spans="1:20">
      <c r="C17" s="352">
        <f>C16+1</f>
        <v>3</v>
      </c>
      <c r="E17" s="467" t="s">
        <v>1301</v>
      </c>
      <c r="G17" s="628" t="s">
        <v>777</v>
      </c>
      <c r="I17" s="480" t="s">
        <v>1300</v>
      </c>
      <c r="K17" s="483">
        <f>SUMIFS('1F - ADIT Remeasurement'!$AF$11:$AF$174,'1F - ADIT Remeasurement'!$E$11:$E$174,"Non-Property",'1F - ADIT Remeasurement'!$AH$11:$AH$174,"281")</f>
        <v>0</v>
      </c>
      <c r="L17" s="638"/>
      <c r="M17" s="483">
        <v>0</v>
      </c>
      <c r="N17" s="638"/>
      <c r="O17" s="483">
        <f>-K17/4</f>
        <v>0</v>
      </c>
      <c r="P17" s="638"/>
      <c r="Q17" s="483">
        <f>M17+O17</f>
        <v>0</v>
      </c>
    </row>
    <row r="18" spans="1:20">
      <c r="C18" s="352">
        <f>C17+1</f>
        <v>4</v>
      </c>
      <c r="E18" s="467" t="s">
        <v>1278</v>
      </c>
      <c r="G18" s="628" t="s">
        <v>777</v>
      </c>
      <c r="I18" s="480" t="s">
        <v>1300</v>
      </c>
      <c r="K18" s="483">
        <f>SUMIFS('1F - ADIT Remeasurement'!$AF$11:$AF$174,'1F - ADIT Remeasurement'!$E$11:$E$174,"Non-Property",'1F - ADIT Remeasurement'!$AH$11:$AH$174,"282")</f>
        <v>0</v>
      </c>
      <c r="L18" s="638"/>
      <c r="M18" s="483">
        <v>0</v>
      </c>
      <c r="N18" s="638"/>
      <c r="O18" s="483">
        <f>-K18/4</f>
        <v>0</v>
      </c>
      <c r="P18" s="638"/>
      <c r="Q18" s="483">
        <f>M18+O18</f>
        <v>0</v>
      </c>
    </row>
    <row r="19" spans="1:20">
      <c r="C19" s="352">
        <f>C18+1</f>
        <v>5</v>
      </c>
      <c r="E19" s="467" t="s">
        <v>1279</v>
      </c>
      <c r="G19" s="628" t="s">
        <v>777</v>
      </c>
      <c r="I19" s="480" t="s">
        <v>1300</v>
      </c>
      <c r="K19" s="483">
        <f>SUMIFS('1F - ADIT Remeasurement'!$AF$11:$AF$174,'1F - ADIT Remeasurement'!$E$11:$E$174,"Non-Property",'1F - ADIT Remeasurement'!$AH$11:$AH$174,"283")</f>
        <v>-2583952.3407537979</v>
      </c>
      <c r="L19" s="638"/>
      <c r="M19" s="483">
        <v>0</v>
      </c>
      <c r="N19" s="638"/>
      <c r="O19" s="483">
        <v>0</v>
      </c>
      <c r="P19" s="638"/>
      <c r="Q19" s="483">
        <f>M19+O19</f>
        <v>0</v>
      </c>
      <c r="T19" s="372"/>
    </row>
    <row r="20" spans="1:20" ht="5.15" customHeight="1">
      <c r="K20" s="484"/>
      <c r="M20" s="484"/>
      <c r="O20" s="484"/>
      <c r="Q20" s="484"/>
    </row>
    <row r="21" spans="1:20" ht="13">
      <c r="C21" s="352">
        <f>C19+1</f>
        <v>6</v>
      </c>
      <c r="E21" s="349" t="s">
        <v>1302</v>
      </c>
      <c r="K21" s="471">
        <f>SUM(K15:K20)</f>
        <v>-4860036.8329630122</v>
      </c>
      <c r="L21" s="471"/>
      <c r="M21" s="471">
        <f>SUM(M15:M20)</f>
        <v>0</v>
      </c>
      <c r="N21" s="471"/>
      <c r="O21" s="471">
        <f>SUM(O15:O20)</f>
        <v>0</v>
      </c>
      <c r="P21" s="471"/>
      <c r="Q21" s="471">
        <f>SUM(Q15:Q20)</f>
        <v>0</v>
      </c>
    </row>
    <row r="22" spans="1:20">
      <c r="C22" s="352"/>
    </row>
    <row r="23" spans="1:20" ht="13">
      <c r="A23" s="478"/>
      <c r="B23" s="478"/>
      <c r="C23" s="352">
        <f>C21+1</f>
        <v>7</v>
      </c>
      <c r="D23" s="478"/>
      <c r="E23" s="479" t="s">
        <v>1303</v>
      </c>
      <c r="F23" s="478"/>
      <c r="G23" s="480"/>
      <c r="H23" s="478"/>
      <c r="I23" s="480"/>
      <c r="J23" s="478"/>
      <c r="K23" s="481"/>
      <c r="M23" s="471"/>
      <c r="O23" s="482"/>
      <c r="Q23" s="478"/>
    </row>
    <row r="24" spans="1:20" ht="5.15" customHeight="1"/>
    <row r="25" spans="1:20">
      <c r="C25" s="352">
        <f>C23+1</f>
        <v>8</v>
      </c>
      <c r="E25" s="467" t="s">
        <v>1277</v>
      </c>
      <c r="G25" s="628" t="s">
        <v>777</v>
      </c>
      <c r="I25" s="480" t="s">
        <v>1304</v>
      </c>
      <c r="K25" s="469">
        <f>SUMIFS('1F - ADIT Remeasurement'!$AF$11:$AF$174,'1F - ADIT Remeasurement'!$E$11:$E$174,"Unprotected Property",'1F - ADIT Remeasurement'!$AH$11:$AH$174,"190")</f>
        <v>0</v>
      </c>
      <c r="L25" s="471"/>
      <c r="M25" s="469">
        <v>0</v>
      </c>
      <c r="N25" s="471"/>
      <c r="O25" s="469">
        <f>-K25/5</f>
        <v>0</v>
      </c>
      <c r="P25" s="471"/>
      <c r="Q25" s="469">
        <f>M25+O25</f>
        <v>0</v>
      </c>
    </row>
    <row r="26" spans="1:20">
      <c r="C26" s="352">
        <f>C25+1</f>
        <v>9</v>
      </c>
      <c r="E26" s="467" t="s">
        <v>1301</v>
      </c>
      <c r="G26" s="628" t="s">
        <v>777</v>
      </c>
      <c r="I26" s="480" t="s">
        <v>1304</v>
      </c>
      <c r="K26" s="483">
        <f>SUMIFS('1F - ADIT Remeasurement'!$AF$11:$AF$174,'1F - ADIT Remeasurement'!$E$11:$E$174,"Unprotected Property",'1F - ADIT Remeasurement'!$AH$11:$AH$174,"281")</f>
        <v>0</v>
      </c>
      <c r="L26" s="638"/>
      <c r="M26" s="483">
        <v>0</v>
      </c>
      <c r="N26" s="638"/>
      <c r="O26" s="483">
        <f>-K26/5</f>
        <v>0</v>
      </c>
      <c r="P26" s="638"/>
      <c r="Q26" s="483">
        <f>M26+O26</f>
        <v>0</v>
      </c>
    </row>
    <row r="27" spans="1:20">
      <c r="C27" s="352">
        <f>C26+1</f>
        <v>10</v>
      </c>
      <c r="E27" s="467" t="s">
        <v>1278</v>
      </c>
      <c r="G27" s="628" t="s">
        <v>777</v>
      </c>
      <c r="I27" s="480" t="s">
        <v>1304</v>
      </c>
      <c r="K27" s="483">
        <f>SUMIFS('1F - ADIT Remeasurement'!$AF$11:$AF$174,'1F - ADIT Remeasurement'!$E$11:$E$174,"Unprotected Property",'1F - ADIT Remeasurement'!$AH$11:$AH$174,"282")</f>
        <v>-46442704.063265227</v>
      </c>
      <c r="L27" s="638"/>
      <c r="M27" s="483">
        <v>-9288540.7493878119</v>
      </c>
      <c r="N27" s="638"/>
      <c r="O27" s="483">
        <f>-M27</f>
        <v>9288540.7493878119</v>
      </c>
      <c r="P27" s="638"/>
      <c r="Q27" s="483">
        <f>M27+O27</f>
        <v>0</v>
      </c>
      <c r="T27" s="372"/>
    </row>
    <row r="28" spans="1:20">
      <c r="C28" s="352">
        <f>C27+1</f>
        <v>11</v>
      </c>
      <c r="E28" s="467" t="s">
        <v>1279</v>
      </c>
      <c r="G28" s="628" t="s">
        <v>777</v>
      </c>
      <c r="I28" s="480" t="s">
        <v>1304</v>
      </c>
      <c r="K28" s="483">
        <f>SUMIFS('1F - ADIT Remeasurement'!$AF$11:$AF$174,'1F - ADIT Remeasurement'!$E$11:$E$174,"Unprotected Property",'1F - ADIT Remeasurement'!$AH$11:$AH$174,"283")</f>
        <v>0</v>
      </c>
      <c r="L28" s="638"/>
      <c r="M28" s="483">
        <v>0</v>
      </c>
      <c r="N28" s="638"/>
      <c r="O28" s="483">
        <f>-K28/5</f>
        <v>0</v>
      </c>
      <c r="P28" s="638"/>
      <c r="Q28" s="483">
        <f>M28+O28</f>
        <v>0</v>
      </c>
    </row>
    <row r="29" spans="1:20" ht="5.15" customHeight="1">
      <c r="K29" s="484"/>
      <c r="M29" s="484"/>
      <c r="O29" s="484"/>
      <c r="Q29" s="484"/>
    </row>
    <row r="30" spans="1:20" ht="13">
      <c r="C30" s="352">
        <f>C28+1</f>
        <v>12</v>
      </c>
      <c r="E30" s="349" t="s">
        <v>1302</v>
      </c>
      <c r="K30" s="471">
        <f>SUM(K24:K29)</f>
        <v>-46442704.063265227</v>
      </c>
      <c r="L30" s="471"/>
      <c r="M30" s="471">
        <f>SUM(M24:M29)</f>
        <v>-9288540.7493878119</v>
      </c>
      <c r="N30" s="471"/>
      <c r="O30" s="471">
        <f>SUM(O24:O29)</f>
        <v>9288540.7493878119</v>
      </c>
      <c r="P30" s="471"/>
      <c r="Q30" s="471">
        <f>SUM(Q24:Q29)</f>
        <v>0</v>
      </c>
    </row>
    <row r="32" spans="1:20" ht="13">
      <c r="A32" s="478"/>
      <c r="B32" s="478"/>
      <c r="C32" s="352">
        <f>C30+1</f>
        <v>13</v>
      </c>
      <c r="D32" s="478"/>
      <c r="E32" s="479" t="s">
        <v>1305</v>
      </c>
      <c r="F32" s="478"/>
      <c r="G32" s="480"/>
      <c r="H32" s="478"/>
      <c r="I32" s="480"/>
      <c r="J32" s="478"/>
      <c r="K32" s="481"/>
      <c r="M32" s="471"/>
      <c r="O32" s="482"/>
      <c r="Q32" s="478"/>
    </row>
    <row r="33" spans="3:20" ht="5.15" customHeight="1"/>
    <row r="34" spans="3:20">
      <c r="C34" s="352">
        <f>C32+1</f>
        <v>14</v>
      </c>
      <c r="E34" s="467" t="s">
        <v>1277</v>
      </c>
      <c r="G34" s="628" t="s">
        <v>777</v>
      </c>
      <c r="I34" s="480" t="s">
        <v>1306</v>
      </c>
      <c r="K34" s="469">
        <f>SUMIFS('1F - ADIT Remeasurement'!$AF$11:$AF$174,'1F - ADIT Remeasurement'!$E$11:$E$174,"Protected Property",'1F - ADIT Remeasurement'!$AH$11:$AH$174,"190")</f>
        <v>3047280.9342206866</v>
      </c>
      <c r="L34" s="471"/>
      <c r="M34" s="469">
        <v>3047281</v>
      </c>
      <c r="N34" s="471"/>
      <c r="O34" s="469">
        <v>0</v>
      </c>
      <c r="P34" s="471"/>
      <c r="Q34" s="469">
        <f>M34+O34</f>
        <v>3047281</v>
      </c>
    </row>
    <row r="35" spans="3:20">
      <c r="C35" s="352">
        <f>C34+1</f>
        <v>15</v>
      </c>
      <c r="E35" s="467" t="s">
        <v>1301</v>
      </c>
      <c r="G35" s="628" t="s">
        <v>777</v>
      </c>
      <c r="I35" s="480" t="s">
        <v>1306</v>
      </c>
      <c r="K35" s="483">
        <f>SUMIFS('1F - ADIT Remeasurement'!$AF$11:$AF$174,'1F - ADIT Remeasurement'!$E$11:$E$174,"Protected Property",'1F - ADIT Remeasurement'!$AH$11:$AH$174,"281")</f>
        <v>0</v>
      </c>
      <c r="L35" s="638"/>
      <c r="M35" s="483">
        <v>0</v>
      </c>
      <c r="N35" s="638"/>
      <c r="O35" s="483">
        <v>0</v>
      </c>
      <c r="P35" s="638"/>
      <c r="Q35" s="483">
        <f>M35+O35</f>
        <v>0</v>
      </c>
    </row>
    <row r="36" spans="3:20">
      <c r="C36" s="352">
        <f>C35+1</f>
        <v>16</v>
      </c>
      <c r="E36" s="467" t="s">
        <v>1278</v>
      </c>
      <c r="G36" s="628" t="s">
        <v>777</v>
      </c>
      <c r="I36" s="480" t="s">
        <v>1306</v>
      </c>
      <c r="K36" s="483">
        <f>SUMIFS('1F - ADIT Remeasurement'!$AF$11:$AF$174,'1F - ADIT Remeasurement'!$E$11:$E$174,"Protected Property",'1F - ADIT Remeasurement'!$AH$11:$AH$174,"282")</f>
        <v>-68077222.677850693</v>
      </c>
      <c r="L36" s="638"/>
      <c r="M36" s="483">
        <v>-62200199</v>
      </c>
      <c r="N36" s="638"/>
      <c r="O36" s="483">
        <v>1831771</v>
      </c>
      <c r="P36" s="638"/>
      <c r="Q36" s="483">
        <f>M36+O36</f>
        <v>-60368428</v>
      </c>
    </row>
    <row r="37" spans="3:20">
      <c r="C37" s="352">
        <f>C36+1</f>
        <v>17</v>
      </c>
      <c r="E37" s="467" t="s">
        <v>1279</v>
      </c>
      <c r="G37" s="628" t="s">
        <v>777</v>
      </c>
      <c r="I37" s="480" t="s">
        <v>1306</v>
      </c>
      <c r="K37" s="483">
        <f>SUMIFS('1F - ADIT Remeasurement'!$AF$11:$AF$174,'1F - ADIT Remeasurement'!$E$11:$E$174,"Protected Property",'1F - ADIT Remeasurement'!$AH$11:$AH$174,"283")</f>
        <v>0</v>
      </c>
      <c r="L37" s="638"/>
      <c r="M37" s="483">
        <v>0</v>
      </c>
      <c r="N37" s="638"/>
      <c r="O37" s="483">
        <v>0</v>
      </c>
      <c r="P37" s="638"/>
      <c r="Q37" s="483">
        <f>M37+O37</f>
        <v>0</v>
      </c>
    </row>
    <row r="38" spans="3:20" ht="5.15" customHeight="1">
      <c r="K38" s="484"/>
      <c r="M38" s="484"/>
      <c r="O38" s="484"/>
      <c r="Q38" s="484"/>
    </row>
    <row r="39" spans="3:20" ht="13">
      <c r="C39" s="352">
        <f>C37+1</f>
        <v>18</v>
      </c>
      <c r="E39" s="349" t="s">
        <v>1302</v>
      </c>
      <c r="K39" s="471">
        <f>SUM(K33:K38)</f>
        <v>-65029941.743630007</v>
      </c>
      <c r="L39" s="471"/>
      <c r="M39" s="471">
        <f>SUM(M33:M38)</f>
        <v>-59152918</v>
      </c>
      <c r="N39" s="471"/>
      <c r="O39" s="471">
        <f>SUM(O33:O38)</f>
        <v>1831771</v>
      </c>
      <c r="P39" s="471"/>
      <c r="Q39" s="471">
        <f>SUM(Q33:Q38)</f>
        <v>-57321147</v>
      </c>
      <c r="T39" s="372"/>
    </row>
    <row r="41" spans="3:20" ht="13.5" thickBot="1">
      <c r="C41" s="352">
        <f>C39+1</f>
        <v>19</v>
      </c>
      <c r="E41" s="349" t="s">
        <v>1307</v>
      </c>
      <c r="K41" s="485">
        <f>K21+K30+K39</f>
        <v>-116332682.63985825</v>
      </c>
      <c r="L41" s="471"/>
      <c r="M41" s="485">
        <f>M21+M30+M39</f>
        <v>-68441458.749387816</v>
      </c>
      <c r="N41" s="471"/>
      <c r="O41" s="485">
        <f>O21+O30+O39</f>
        <v>11120311.749387812</v>
      </c>
      <c r="P41" s="471"/>
      <c r="Q41" s="485">
        <f>Q21+Q30+Q39</f>
        <v>-57321147</v>
      </c>
      <c r="T41" s="486"/>
    </row>
    <row r="44" spans="3:20" ht="15.75" customHeight="1">
      <c r="C44" s="1765" t="s">
        <v>1308</v>
      </c>
      <c r="D44" s="1766"/>
      <c r="E44" s="1766"/>
      <c r="F44" s="1766"/>
      <c r="G44" s="1766"/>
      <c r="H44" s="1766"/>
      <c r="I44" s="1766"/>
      <c r="J44" s="1766"/>
      <c r="K44" s="1766"/>
      <c r="L44" s="1766"/>
      <c r="M44" s="1766"/>
      <c r="N44" s="1766"/>
      <c r="O44" s="1766"/>
      <c r="P44" s="1766"/>
      <c r="Q44" s="1767"/>
    </row>
    <row r="46" spans="3:20" ht="13">
      <c r="E46" s="350" t="s">
        <v>164</v>
      </c>
      <c r="F46" s="350"/>
      <c r="G46" s="350" t="s">
        <v>165</v>
      </c>
      <c r="H46" s="350"/>
      <c r="I46" s="350" t="s">
        <v>1065</v>
      </c>
      <c r="J46" s="350"/>
      <c r="K46" s="350" t="s">
        <v>1202</v>
      </c>
      <c r="L46" s="350"/>
      <c r="M46" s="350" t="s">
        <v>1292</v>
      </c>
      <c r="N46" s="350"/>
      <c r="O46" s="350" t="s">
        <v>1204</v>
      </c>
      <c r="P46" s="350"/>
      <c r="Q46" s="350" t="s">
        <v>1205</v>
      </c>
    </row>
    <row r="47" spans="3:20" ht="21.75" customHeight="1">
      <c r="C47" s="1763" t="s">
        <v>1212</v>
      </c>
      <c r="D47" s="607"/>
      <c r="E47" s="1768" t="s">
        <v>1274</v>
      </c>
      <c r="G47" s="1770" t="s">
        <v>255</v>
      </c>
      <c r="I47" s="1770" t="s">
        <v>1293</v>
      </c>
      <c r="K47" s="487" t="s">
        <v>1309</v>
      </c>
      <c r="M47" s="1516" t="str">
        <f>$M$11</f>
        <v>December 31, 2021</v>
      </c>
      <c r="O47" s="1772" t="s">
        <v>1295</v>
      </c>
      <c r="Q47" s="1516" t="str">
        <f>$Q$11</f>
        <v>December 31, 2022</v>
      </c>
    </row>
    <row r="48" spans="3:20" ht="25">
      <c r="C48" s="1764"/>
      <c r="D48" s="607"/>
      <c r="E48" s="1769"/>
      <c r="F48" s="476"/>
      <c r="G48" s="1771"/>
      <c r="H48" s="476"/>
      <c r="I48" s="1771"/>
      <c r="J48" s="476"/>
      <c r="K48" s="477" t="s">
        <v>1296</v>
      </c>
      <c r="M48" s="610" t="s">
        <v>1297</v>
      </c>
      <c r="O48" s="1773"/>
      <c r="Q48" s="610" t="s">
        <v>1298</v>
      </c>
    </row>
    <row r="49" spans="1:20" ht="5.15" customHeight="1"/>
    <row r="50" spans="1:20" ht="13">
      <c r="A50" s="478"/>
      <c r="B50" s="478"/>
      <c r="C50" s="352">
        <f>C41+1</f>
        <v>20</v>
      </c>
      <c r="D50" s="478"/>
      <c r="E50" s="479" t="s">
        <v>1305</v>
      </c>
      <c r="F50" s="478"/>
      <c r="G50" s="480"/>
      <c r="H50" s="478"/>
      <c r="I50" s="480"/>
      <c r="J50" s="478"/>
      <c r="K50" s="481"/>
      <c r="M50" s="471"/>
      <c r="O50" s="482"/>
      <c r="Q50" s="478"/>
    </row>
    <row r="51" spans="1:20" ht="5.15" customHeight="1"/>
    <row r="52" spans="1:20">
      <c r="C52" s="352">
        <f>C50+1</f>
        <v>21</v>
      </c>
      <c r="E52" s="467" t="s">
        <v>1277</v>
      </c>
      <c r="G52" s="628" t="s">
        <v>296</v>
      </c>
      <c r="I52" s="480" t="s">
        <v>1306</v>
      </c>
      <c r="K52" s="469">
        <v>0</v>
      </c>
      <c r="L52" s="471"/>
      <c r="M52" s="469">
        <v>0</v>
      </c>
      <c r="N52" s="471"/>
      <c r="O52" s="469">
        <v>0</v>
      </c>
      <c r="P52" s="471"/>
      <c r="Q52" s="469">
        <f>M52+O52</f>
        <v>0</v>
      </c>
    </row>
    <row r="53" spans="1:20">
      <c r="C53" s="352">
        <f>C52+1</f>
        <v>22</v>
      </c>
      <c r="E53" s="467" t="s">
        <v>1301</v>
      </c>
      <c r="G53" s="628" t="s">
        <v>296</v>
      </c>
      <c r="I53" s="480" t="s">
        <v>1306</v>
      </c>
      <c r="K53" s="483">
        <v>0</v>
      </c>
      <c r="L53" s="638"/>
      <c r="M53" s="483">
        <v>0</v>
      </c>
      <c r="N53" s="638"/>
      <c r="O53" s="483">
        <v>0</v>
      </c>
      <c r="P53" s="638"/>
      <c r="Q53" s="483">
        <f>M53+O53</f>
        <v>0</v>
      </c>
    </row>
    <row r="54" spans="1:20">
      <c r="C54" s="352">
        <f>C53+1</f>
        <v>23</v>
      </c>
      <c r="E54" s="467" t="s">
        <v>1278</v>
      </c>
      <c r="G54" s="628" t="s">
        <v>296</v>
      </c>
      <c r="I54" s="480" t="s">
        <v>1306</v>
      </c>
      <c r="K54" s="483">
        <v>83678</v>
      </c>
      <c r="L54" s="638"/>
      <c r="M54" s="483">
        <v>0</v>
      </c>
      <c r="N54" s="638"/>
      <c r="O54" s="483">
        <v>0</v>
      </c>
      <c r="P54" s="638"/>
      <c r="Q54" s="483">
        <f>M54+O54</f>
        <v>0</v>
      </c>
    </row>
    <row r="55" spans="1:20">
      <c r="C55" s="352">
        <f>C54+1</f>
        <v>24</v>
      </c>
      <c r="E55" s="467" t="s">
        <v>1279</v>
      </c>
      <c r="G55" s="628" t="s">
        <v>296</v>
      </c>
      <c r="I55" s="480" t="s">
        <v>1306</v>
      </c>
      <c r="K55" s="483">
        <v>0</v>
      </c>
      <c r="L55" s="638"/>
      <c r="M55" s="483">
        <v>0</v>
      </c>
      <c r="N55" s="638"/>
      <c r="O55" s="483">
        <v>0</v>
      </c>
      <c r="P55" s="638"/>
      <c r="Q55" s="483">
        <f>M55+O55</f>
        <v>0</v>
      </c>
      <c r="R55" s="298" t="s">
        <v>83</v>
      </c>
      <c r="S55" s="298" t="s">
        <v>83</v>
      </c>
      <c r="T55" s="298" t="s">
        <v>83</v>
      </c>
    </row>
    <row r="56" spans="1:20" ht="5.15" customHeight="1">
      <c r="K56" s="484"/>
      <c r="M56" s="484"/>
      <c r="O56" s="484"/>
      <c r="Q56" s="484"/>
    </row>
    <row r="57" spans="1:20" ht="13">
      <c r="C57" s="352">
        <f>C55+1</f>
        <v>25</v>
      </c>
      <c r="E57" s="349" t="s">
        <v>1302</v>
      </c>
      <c r="K57" s="471">
        <f>SUM(K51:K56)</f>
        <v>83678</v>
      </c>
      <c r="L57" s="471"/>
      <c r="M57" s="471">
        <f>SUM(M51:M56)</f>
        <v>0</v>
      </c>
      <c r="N57" s="471"/>
      <c r="O57" s="471">
        <f>SUM(O51:O56)</f>
        <v>0</v>
      </c>
      <c r="P57" s="471"/>
      <c r="Q57" s="471">
        <f>SUM(Q51:Q56)</f>
        <v>0</v>
      </c>
    </row>
    <row r="59" spans="1:20" ht="13.5" thickBot="1">
      <c r="C59" s="352">
        <f>C57+1</f>
        <v>26</v>
      </c>
      <c r="E59" s="349" t="s">
        <v>1307</v>
      </c>
      <c r="K59" s="485">
        <f>K57</f>
        <v>83678</v>
      </c>
      <c r="L59" s="471"/>
      <c r="M59" s="485">
        <f>M57</f>
        <v>0</v>
      </c>
      <c r="N59" s="471"/>
      <c r="O59" s="485">
        <f>O57</f>
        <v>0</v>
      </c>
      <c r="P59" s="471"/>
      <c r="Q59" s="485">
        <f>Q57</f>
        <v>0</v>
      </c>
    </row>
    <row r="62" spans="1:20" ht="15.75" customHeight="1">
      <c r="C62" s="1765" t="s">
        <v>1310</v>
      </c>
      <c r="D62" s="1765"/>
      <c r="E62" s="1765"/>
      <c r="F62" s="1765"/>
      <c r="G62" s="1765"/>
      <c r="H62" s="1765"/>
      <c r="I62" s="1765"/>
      <c r="J62" s="1765"/>
      <c r="K62" s="1765"/>
      <c r="L62" s="1765"/>
      <c r="M62" s="1765"/>
      <c r="N62" s="1765"/>
      <c r="O62" s="1765"/>
      <c r="P62" s="1765"/>
      <c r="Q62" s="1765"/>
    </row>
    <row r="64" spans="1:20" ht="13">
      <c r="E64" s="350" t="s">
        <v>164</v>
      </c>
      <c r="F64" s="350"/>
      <c r="G64" s="350" t="s">
        <v>165</v>
      </c>
      <c r="H64" s="350"/>
      <c r="I64" s="350" t="s">
        <v>1065</v>
      </c>
      <c r="J64" s="350"/>
      <c r="K64" s="350" t="s">
        <v>1202</v>
      </c>
      <c r="L64" s="350"/>
      <c r="M64" s="350" t="s">
        <v>1292</v>
      </c>
      <c r="N64" s="350"/>
      <c r="O64" s="350" t="s">
        <v>1204</v>
      </c>
      <c r="P64" s="350"/>
      <c r="Q64" s="350" t="s">
        <v>1205</v>
      </c>
    </row>
    <row r="65" spans="1:20" ht="15" customHeight="1">
      <c r="C65" s="1763" t="s">
        <v>1212</v>
      </c>
      <c r="D65" s="607"/>
      <c r="E65" s="1768" t="s">
        <v>1274</v>
      </c>
      <c r="G65" s="1770" t="s">
        <v>255</v>
      </c>
      <c r="I65" s="1770" t="s">
        <v>1293</v>
      </c>
      <c r="K65" s="475"/>
      <c r="M65" s="1516" t="str">
        <f>M11</f>
        <v>December 31, 2021</v>
      </c>
      <c r="O65" s="1772" t="s">
        <v>1295</v>
      </c>
      <c r="Q65" s="1516" t="str">
        <f>Q11</f>
        <v>December 31, 2022</v>
      </c>
    </row>
    <row r="66" spans="1:20" ht="25">
      <c r="C66" s="1763"/>
      <c r="D66" s="607"/>
      <c r="E66" s="1768"/>
      <c r="F66" s="476"/>
      <c r="G66" s="1770"/>
      <c r="H66" s="476"/>
      <c r="I66" s="1770"/>
      <c r="J66" s="476"/>
      <c r="K66" s="477" t="s">
        <v>1296</v>
      </c>
      <c r="M66" s="1509" t="s">
        <v>1297</v>
      </c>
      <c r="O66" s="1773"/>
      <c r="Q66" s="1509" t="s">
        <v>1298</v>
      </c>
    </row>
    <row r="67" spans="1:20" ht="5.15" customHeight="1"/>
    <row r="68" spans="1:20" ht="13">
      <c r="A68" s="478"/>
      <c r="B68" s="478"/>
      <c r="C68" s="352">
        <f>C59+1</f>
        <v>27</v>
      </c>
      <c r="D68" s="478"/>
      <c r="E68" s="479" t="s">
        <v>1299</v>
      </c>
      <c r="F68" s="478"/>
      <c r="G68" s="480"/>
      <c r="H68" s="478"/>
      <c r="I68" s="480"/>
      <c r="J68" s="478"/>
      <c r="K68" s="481"/>
      <c r="M68" s="471"/>
      <c r="O68" s="482"/>
      <c r="Q68" s="478"/>
    </row>
    <row r="69" spans="1:20" ht="5.15" customHeight="1"/>
    <row r="70" spans="1:20">
      <c r="C70" s="352">
        <f>C68+1</f>
        <v>28</v>
      </c>
      <c r="E70" s="467" t="s">
        <v>1277</v>
      </c>
      <c r="G70" s="628"/>
      <c r="I70" s="480"/>
      <c r="K70" s="469">
        <f>K16</f>
        <v>-2276084.4922092138</v>
      </c>
      <c r="L70" s="471"/>
      <c r="M70" s="469">
        <f>M16</f>
        <v>0</v>
      </c>
      <c r="N70" s="471"/>
      <c r="O70" s="469">
        <f>O16</f>
        <v>0</v>
      </c>
      <c r="P70" s="471"/>
      <c r="Q70" s="469">
        <f>M70+O70</f>
        <v>0</v>
      </c>
      <c r="T70" s="372"/>
    </row>
    <row r="71" spans="1:20">
      <c r="C71" s="352">
        <f>C70+1</f>
        <v>29</v>
      </c>
      <c r="E71" s="467" t="s">
        <v>1301</v>
      </c>
      <c r="G71" s="628"/>
      <c r="I71" s="480"/>
      <c r="K71" s="483">
        <f>K17</f>
        <v>0</v>
      </c>
      <c r="M71" s="483">
        <f>M17</f>
        <v>0</v>
      </c>
      <c r="O71" s="483">
        <f>O17</f>
        <v>0</v>
      </c>
      <c r="Q71" s="483">
        <f>M71+O71</f>
        <v>0</v>
      </c>
    </row>
    <row r="72" spans="1:20">
      <c r="C72" s="352">
        <f>C71+1</f>
        <v>30</v>
      </c>
      <c r="E72" s="467" t="s">
        <v>1278</v>
      </c>
      <c r="G72" s="628"/>
      <c r="I72" s="480"/>
      <c r="K72" s="483">
        <f>K18</f>
        <v>0</v>
      </c>
      <c r="M72" s="483">
        <f>M18</f>
        <v>0</v>
      </c>
      <c r="O72" s="483">
        <f>O18</f>
        <v>0</v>
      </c>
      <c r="Q72" s="483">
        <f>M72+O72</f>
        <v>0</v>
      </c>
    </row>
    <row r="73" spans="1:20">
      <c r="C73" s="352">
        <f>C72+1</f>
        <v>31</v>
      </c>
      <c r="E73" s="467" t="s">
        <v>1279</v>
      </c>
      <c r="G73" s="628"/>
      <c r="I73" s="480"/>
      <c r="K73" s="483">
        <f>K19</f>
        <v>-2583952.3407537979</v>
      </c>
      <c r="M73" s="483">
        <f>M19</f>
        <v>0</v>
      </c>
      <c r="O73" s="483">
        <f>O19</f>
        <v>0</v>
      </c>
      <c r="Q73" s="483">
        <f>M73+O73</f>
        <v>0</v>
      </c>
      <c r="T73" s="372"/>
    </row>
    <row r="74" spans="1:20" ht="5.15" customHeight="1">
      <c r="K74" s="484"/>
      <c r="M74" s="484"/>
      <c r="O74" s="484"/>
      <c r="Q74" s="484"/>
    </row>
    <row r="75" spans="1:20" ht="13">
      <c r="C75" s="352">
        <f>C73+1</f>
        <v>32</v>
      </c>
      <c r="E75" s="349" t="s">
        <v>1302</v>
      </c>
      <c r="K75" s="471">
        <f>SUM(K69:K74)</f>
        <v>-4860036.8329630122</v>
      </c>
      <c r="L75" s="471"/>
      <c r="M75" s="471">
        <f>SUM(M69:M74)</f>
        <v>0</v>
      </c>
      <c r="N75" s="471"/>
      <c r="O75" s="471">
        <f>SUM(O69:O74)</f>
        <v>0</v>
      </c>
      <c r="P75" s="471"/>
      <c r="Q75" s="471">
        <f>SUM(Q69:Q74)</f>
        <v>0</v>
      </c>
    </row>
    <row r="76" spans="1:20">
      <c r="C76" s="352"/>
    </row>
    <row r="77" spans="1:20" ht="13">
      <c r="A77" s="478"/>
      <c r="B77" s="478"/>
      <c r="C77" s="352">
        <f>C75+1</f>
        <v>33</v>
      </c>
      <c r="D77" s="478"/>
      <c r="E77" s="479" t="s">
        <v>1303</v>
      </c>
      <c r="F77" s="478"/>
      <c r="G77" s="480"/>
      <c r="H77" s="478"/>
      <c r="I77" s="480"/>
      <c r="J77" s="478"/>
      <c r="K77" s="481"/>
      <c r="M77" s="471"/>
      <c r="O77" s="482"/>
      <c r="Q77" s="478"/>
    </row>
    <row r="78" spans="1:20" ht="5.15" customHeight="1"/>
    <row r="79" spans="1:20">
      <c r="C79" s="352">
        <f>C77+1</f>
        <v>34</v>
      </c>
      <c r="E79" s="467" t="s">
        <v>1277</v>
      </c>
      <c r="G79" s="628"/>
      <c r="I79" s="480"/>
      <c r="K79" s="469">
        <f>K25</f>
        <v>0</v>
      </c>
      <c r="L79" s="471"/>
      <c r="M79" s="469">
        <f>M25</f>
        <v>0</v>
      </c>
      <c r="N79" s="471"/>
      <c r="O79" s="469">
        <f>O25</f>
        <v>0</v>
      </c>
      <c r="P79" s="471"/>
      <c r="Q79" s="469">
        <f>M79+O79</f>
        <v>0</v>
      </c>
    </row>
    <row r="80" spans="1:20">
      <c r="C80" s="352">
        <f>C79+1</f>
        <v>35</v>
      </c>
      <c r="E80" s="467" t="s">
        <v>1301</v>
      </c>
      <c r="G80" s="628"/>
      <c r="I80" s="480"/>
      <c r="K80" s="483">
        <f>K26</f>
        <v>0</v>
      </c>
      <c r="M80" s="483">
        <f>M26</f>
        <v>0</v>
      </c>
      <c r="O80" s="483">
        <f>O26</f>
        <v>0</v>
      </c>
      <c r="Q80" s="483">
        <f>M80+O80</f>
        <v>0</v>
      </c>
    </row>
    <row r="81" spans="1:20">
      <c r="C81" s="352">
        <f>C80+1</f>
        <v>36</v>
      </c>
      <c r="E81" s="467" t="s">
        <v>1278</v>
      </c>
      <c r="G81" s="628"/>
      <c r="I81" s="480"/>
      <c r="K81" s="483">
        <f>K27</f>
        <v>-46442704.063265227</v>
      </c>
      <c r="M81" s="483">
        <f>M27</f>
        <v>-9288540.7493878119</v>
      </c>
      <c r="O81" s="483">
        <f>O27</f>
        <v>9288540.7493878119</v>
      </c>
      <c r="Q81" s="483">
        <f>M81+O81</f>
        <v>0</v>
      </c>
      <c r="T81" s="372"/>
    </row>
    <row r="82" spans="1:20">
      <c r="C82" s="352">
        <f>C81+1</f>
        <v>37</v>
      </c>
      <c r="E82" s="467" t="s">
        <v>1279</v>
      </c>
      <c r="G82" s="628"/>
      <c r="I82" s="480"/>
      <c r="K82" s="483">
        <f>K28</f>
        <v>0</v>
      </c>
      <c r="M82" s="483">
        <f>M28</f>
        <v>0</v>
      </c>
      <c r="O82" s="483">
        <f>O28</f>
        <v>0</v>
      </c>
      <c r="Q82" s="483">
        <f>M82+O82</f>
        <v>0</v>
      </c>
    </row>
    <row r="83" spans="1:20" ht="5.15" customHeight="1">
      <c r="K83" s="484"/>
      <c r="M83" s="484"/>
      <c r="O83" s="484"/>
      <c r="Q83" s="484"/>
    </row>
    <row r="84" spans="1:20" ht="13">
      <c r="C84" s="352">
        <f>C82+1</f>
        <v>38</v>
      </c>
      <c r="E84" s="349" t="s">
        <v>1302</v>
      </c>
      <c r="K84" s="471">
        <f>SUM(K78:K83)</f>
        <v>-46442704.063265227</v>
      </c>
      <c r="L84" s="471"/>
      <c r="M84" s="471">
        <f>SUM(M78:M83)</f>
        <v>-9288540.7493878119</v>
      </c>
      <c r="N84" s="471"/>
      <c r="O84" s="471">
        <f>SUM(O78:O83)</f>
        <v>9288540.7493878119</v>
      </c>
      <c r="P84" s="471"/>
      <c r="Q84" s="471">
        <f>SUM(Q78:Q83)</f>
        <v>0</v>
      </c>
    </row>
    <row r="86" spans="1:20" ht="13">
      <c r="A86" s="478"/>
      <c r="B86" s="478"/>
      <c r="C86" s="352">
        <f>C84+1</f>
        <v>39</v>
      </c>
      <c r="D86" s="478"/>
      <c r="E86" s="479" t="s">
        <v>1305</v>
      </c>
      <c r="F86" s="478"/>
      <c r="G86" s="480"/>
      <c r="H86" s="478"/>
      <c r="I86" s="480"/>
      <c r="J86" s="478"/>
      <c r="K86" s="481"/>
      <c r="M86" s="471"/>
      <c r="O86" s="482"/>
      <c r="Q86" s="478"/>
    </row>
    <row r="87" spans="1:20" ht="5.15" customHeight="1"/>
    <row r="88" spans="1:20">
      <c r="C88" s="352">
        <f>C86+1</f>
        <v>40</v>
      </c>
      <c r="E88" s="467" t="s">
        <v>1277</v>
      </c>
      <c r="G88" s="628"/>
      <c r="I88" s="480"/>
      <c r="K88" s="469">
        <f>K34+K52</f>
        <v>3047280.9342206866</v>
      </c>
      <c r="M88" s="469">
        <f>M34+M52</f>
        <v>3047281</v>
      </c>
      <c r="O88" s="469">
        <f>O34+O52</f>
        <v>0</v>
      </c>
      <c r="Q88" s="469">
        <f>M88+O88</f>
        <v>3047281</v>
      </c>
    </row>
    <row r="89" spans="1:20">
      <c r="C89" s="352">
        <f>C88+1</f>
        <v>41</v>
      </c>
      <c r="E89" s="467" t="s">
        <v>1301</v>
      </c>
      <c r="G89" s="628"/>
      <c r="I89" s="480"/>
      <c r="K89" s="483">
        <f>K35+K53</f>
        <v>0</v>
      </c>
      <c r="M89" s="483">
        <f>M35+M53</f>
        <v>0</v>
      </c>
      <c r="O89" s="483">
        <f>O35+O53</f>
        <v>0</v>
      </c>
      <c r="Q89" s="483">
        <f>M89+O89</f>
        <v>0</v>
      </c>
    </row>
    <row r="90" spans="1:20">
      <c r="C90" s="352">
        <f>C89+1</f>
        <v>42</v>
      </c>
      <c r="E90" s="467" t="s">
        <v>1278</v>
      </c>
      <c r="G90" s="628"/>
      <c r="I90" s="480"/>
      <c r="K90" s="483">
        <f>K36+K54</f>
        <v>-67993544.677850693</v>
      </c>
      <c r="M90" s="483">
        <f>M36+M54</f>
        <v>-62200199</v>
      </c>
      <c r="O90" s="483">
        <f>O36+O54</f>
        <v>1831771</v>
      </c>
      <c r="Q90" s="483">
        <f>M90+O90</f>
        <v>-60368428</v>
      </c>
    </row>
    <row r="91" spans="1:20">
      <c r="C91" s="352">
        <f>C90+1</f>
        <v>43</v>
      </c>
      <c r="E91" s="467" t="s">
        <v>1279</v>
      </c>
      <c r="G91" s="628"/>
      <c r="I91" s="480"/>
      <c r="K91" s="483">
        <f>K37+K55</f>
        <v>0</v>
      </c>
      <c r="M91" s="483">
        <f>M37+M55</f>
        <v>0</v>
      </c>
      <c r="O91" s="483">
        <f>O37+O55</f>
        <v>0</v>
      </c>
      <c r="Q91" s="483">
        <f>M91+O91</f>
        <v>0</v>
      </c>
    </row>
    <row r="92" spans="1:20" ht="5.15" customHeight="1">
      <c r="K92" s="484"/>
      <c r="M92" s="484"/>
      <c r="O92" s="484"/>
      <c r="Q92" s="484"/>
    </row>
    <row r="93" spans="1:20" ht="13">
      <c r="C93" s="352">
        <f>C91+1</f>
        <v>44</v>
      </c>
      <c r="E93" s="349" t="s">
        <v>1302</v>
      </c>
      <c r="K93" s="471">
        <f>SUM(K87:K92)</f>
        <v>-64946263.743630007</v>
      </c>
      <c r="L93" s="471"/>
      <c r="M93" s="471">
        <f>SUM(M87:M92)</f>
        <v>-59152918</v>
      </c>
      <c r="N93" s="471"/>
      <c r="O93" s="471">
        <f>SUM(O87:O92)</f>
        <v>1831771</v>
      </c>
      <c r="P93" s="471"/>
      <c r="Q93" s="471">
        <f>SUM(Q87:Q92)</f>
        <v>-57321147</v>
      </c>
      <c r="T93" s="372"/>
    </row>
    <row r="95" spans="1:20" ht="13.5" thickBot="1">
      <c r="C95" s="352">
        <f>C93+1</f>
        <v>45</v>
      </c>
      <c r="E95" s="349" t="s">
        <v>1307</v>
      </c>
      <c r="K95" s="485">
        <f>K75+K84+K93</f>
        <v>-116249004.63985825</v>
      </c>
      <c r="L95" s="471"/>
      <c r="M95" s="485">
        <f>M75+M84+M93</f>
        <v>-68441458.749387816</v>
      </c>
      <c r="N95" s="471"/>
      <c r="O95" s="485">
        <f>O75+O84+O93</f>
        <v>11120311.749387812</v>
      </c>
      <c r="P95" s="471"/>
      <c r="Q95" s="485">
        <f>Q75+Q84+Q93</f>
        <v>-57321147</v>
      </c>
      <c r="T95" s="486"/>
    </row>
    <row r="96" spans="1:20" ht="13">
      <c r="C96" s="352"/>
      <c r="E96" s="349"/>
      <c r="K96" s="488"/>
      <c r="L96" s="471"/>
      <c r="M96" s="488"/>
      <c r="N96" s="471"/>
      <c r="O96" s="488"/>
      <c r="P96" s="471"/>
      <c r="Q96" s="488"/>
      <c r="T96" s="486"/>
    </row>
    <row r="97" spans="3:20" ht="13">
      <c r="C97" s="352"/>
      <c r="E97" s="349"/>
      <c r="K97" s="629"/>
      <c r="L97" s="629"/>
      <c r="M97" s="629"/>
      <c r="N97" s="629"/>
      <c r="O97" s="629"/>
      <c r="P97" s="629"/>
      <c r="Q97" s="629"/>
      <c r="T97" s="486"/>
    </row>
    <row r="98" spans="3:20" ht="15.75" customHeight="1">
      <c r="C98" s="1765" t="s">
        <v>1310</v>
      </c>
      <c r="D98" s="1766"/>
      <c r="E98" s="1766"/>
      <c r="F98" s="1766"/>
      <c r="G98" s="1766"/>
      <c r="H98" s="1766"/>
      <c r="I98" s="1766"/>
      <c r="J98" s="1766"/>
      <c r="K98" s="1766"/>
      <c r="L98" s="1766"/>
      <c r="M98" s="1766"/>
      <c r="N98" s="1766"/>
      <c r="O98" s="1766"/>
      <c r="P98" s="1766"/>
      <c r="Q98" s="1767"/>
    </row>
    <row r="100" spans="3:20" ht="13">
      <c r="E100" s="350" t="s">
        <v>164</v>
      </c>
      <c r="F100" s="350"/>
      <c r="G100" s="350" t="s">
        <v>165</v>
      </c>
      <c r="H100" s="350"/>
      <c r="I100" s="350" t="s">
        <v>1065</v>
      </c>
      <c r="J100" s="350"/>
      <c r="K100" s="350" t="s">
        <v>1202</v>
      </c>
      <c r="L100" s="350"/>
      <c r="M100" s="350" t="s">
        <v>1292</v>
      </c>
      <c r="N100" s="350"/>
      <c r="O100" s="350" t="s">
        <v>1204</v>
      </c>
      <c r="P100" s="350"/>
      <c r="Q100" s="350" t="s">
        <v>1205</v>
      </c>
    </row>
    <row r="101" spans="3:20" ht="15" customHeight="1">
      <c r="C101" s="1763" t="s">
        <v>1212</v>
      </c>
      <c r="D101" s="607"/>
      <c r="E101" s="1768" t="s">
        <v>1274</v>
      </c>
      <c r="G101" s="1770" t="s">
        <v>255</v>
      </c>
      <c r="I101" s="1770" t="s">
        <v>1293</v>
      </c>
      <c r="M101" s="1516" t="str">
        <f>M11</f>
        <v>December 31, 2021</v>
      </c>
      <c r="O101" s="1772" t="s">
        <v>1295</v>
      </c>
      <c r="Q101" s="1516" t="str">
        <f>Q11</f>
        <v>December 31, 2022</v>
      </c>
    </row>
    <row r="102" spans="3:20" ht="25">
      <c r="C102" s="1764"/>
      <c r="D102" s="607"/>
      <c r="E102" s="1769"/>
      <c r="F102" s="476"/>
      <c r="G102" s="1771"/>
      <c r="H102" s="476"/>
      <c r="I102" s="1771"/>
      <c r="J102" s="476"/>
      <c r="K102" s="477" t="s">
        <v>1296</v>
      </c>
      <c r="M102" s="1509" t="s">
        <v>1297</v>
      </c>
      <c r="O102" s="1773"/>
      <c r="Q102" s="1509" t="s">
        <v>1298</v>
      </c>
    </row>
    <row r="103" spans="3:20" ht="5.15" customHeight="1"/>
    <row r="104" spans="3:20">
      <c r="C104" s="352">
        <f>C95+1</f>
        <v>46</v>
      </c>
      <c r="E104" s="467" t="s">
        <v>1277</v>
      </c>
      <c r="K104" s="469">
        <f>K70+K79+K88</f>
        <v>771196.44201147277</v>
      </c>
      <c r="L104" s="471"/>
      <c r="M104" s="469">
        <f>M16+M25+M34+M52</f>
        <v>3047281</v>
      </c>
      <c r="N104" s="471"/>
      <c r="O104" s="469">
        <f>O16+O25+O34+O52</f>
        <v>0</v>
      </c>
      <c r="P104" s="471"/>
      <c r="Q104" s="469">
        <f>M104+O104</f>
        <v>3047281</v>
      </c>
    </row>
    <row r="105" spans="3:20">
      <c r="C105" s="352">
        <f>C104+1</f>
        <v>47</v>
      </c>
      <c r="E105" s="467" t="s">
        <v>1301</v>
      </c>
      <c r="K105" s="483">
        <f>K71+K80+K89</f>
        <v>0</v>
      </c>
      <c r="M105" s="470">
        <f>M17+M26+M35+M53</f>
        <v>0</v>
      </c>
      <c r="O105" s="470">
        <f>O17+O26+O35+O53</f>
        <v>0</v>
      </c>
      <c r="Q105" s="483">
        <f>M105+O105</f>
        <v>0</v>
      </c>
    </row>
    <row r="106" spans="3:20">
      <c r="C106" s="352">
        <f>C105+1</f>
        <v>48</v>
      </c>
      <c r="E106" s="467" t="s">
        <v>1278</v>
      </c>
      <c r="K106" s="483">
        <f>K72+K81+K90</f>
        <v>-114436248.74111593</v>
      </c>
      <c r="M106" s="470">
        <f>M18+M27+M36+M54</f>
        <v>-71488739.749387816</v>
      </c>
      <c r="O106" s="470">
        <f>O18+O27+O36+O54</f>
        <v>11120311.749387812</v>
      </c>
      <c r="Q106" s="483">
        <f>M106+O106</f>
        <v>-60368428</v>
      </c>
    </row>
    <row r="107" spans="3:20">
      <c r="C107" s="352">
        <f>C106+1</f>
        <v>49</v>
      </c>
      <c r="E107" s="467" t="s">
        <v>1279</v>
      </c>
      <c r="K107" s="483">
        <f>K73+K82+K91</f>
        <v>-2583952.3407537979</v>
      </c>
      <c r="M107" s="470">
        <f>M19+M28+M37+M55</f>
        <v>0</v>
      </c>
      <c r="O107" s="470">
        <f>O19+O28+O37+O55</f>
        <v>0</v>
      </c>
      <c r="Q107" s="483">
        <f>M107+O107</f>
        <v>0</v>
      </c>
    </row>
    <row r="108" spans="3:20" ht="5.15" customHeight="1">
      <c r="Q108" s="484"/>
    </row>
    <row r="109" spans="3:20" ht="13">
      <c r="C109" s="352">
        <f>C107+1</f>
        <v>50</v>
      </c>
      <c r="E109" s="349" t="s">
        <v>1307</v>
      </c>
      <c r="K109" s="489">
        <f>SUM(K104:K108)</f>
        <v>-116249004.63985825</v>
      </c>
      <c r="L109" s="471"/>
      <c r="M109" s="489">
        <f>SUM(M104:M108)</f>
        <v>-68441458.749387816</v>
      </c>
      <c r="N109" s="471"/>
      <c r="O109" s="489">
        <f>SUM(O104:O108)</f>
        <v>11120311.749387812</v>
      </c>
      <c r="P109" s="471"/>
      <c r="Q109" s="489">
        <f>SUM(Q104:Q108)</f>
        <v>-57321147</v>
      </c>
    </row>
    <row r="110" spans="3:20" ht="5.15" customHeight="1"/>
    <row r="111" spans="3:20">
      <c r="C111" s="352">
        <f>C109+1</f>
        <v>51</v>
      </c>
      <c r="E111" s="467" t="s">
        <v>1155</v>
      </c>
      <c r="G111" s="298" t="s">
        <v>1448</v>
      </c>
      <c r="K111" s="490">
        <f>'ATT H-3D'!$H$262</f>
        <v>1.3834128795739087</v>
      </c>
      <c r="M111" s="490">
        <f>'ATT H-3D'!$H$262</f>
        <v>1.3834128795739087</v>
      </c>
      <c r="O111" s="490">
        <f>'ATT H-3D'!$H$262</f>
        <v>1.3834128795739087</v>
      </c>
      <c r="Q111" s="490">
        <f>'ATT H-3D'!$H$262</f>
        <v>1.3834128795739087</v>
      </c>
    </row>
    <row r="112" spans="3:20" ht="5.15" customHeight="1"/>
    <row r="113" spans="3:19" ht="13.5" thickBot="1">
      <c r="C113" s="352">
        <f>C111+1</f>
        <v>52</v>
      </c>
      <c r="E113" s="349" t="s">
        <v>1311</v>
      </c>
      <c r="K113" s="491">
        <f>K109*K111</f>
        <v>-160820370.25642696</v>
      </c>
      <c r="L113" s="471"/>
      <c r="M113" s="491">
        <f>M109*M111</f>
        <v>-94682795.530729488</v>
      </c>
      <c r="N113" s="471"/>
      <c r="O113" s="491">
        <f>O109*O111</f>
        <v>15383982.498980163</v>
      </c>
      <c r="P113" s="471"/>
      <c r="Q113" s="491">
        <f>Q109*Q111</f>
        <v>-79298813.031749323</v>
      </c>
      <c r="S113" s="10"/>
    </row>
    <row r="114" spans="3:19" ht="13" thickTop="1"/>
    <row r="116" spans="3:19" ht="15.75" customHeight="1">
      <c r="C116" s="1765" t="s">
        <v>1312</v>
      </c>
      <c r="D116" s="1766"/>
      <c r="E116" s="1766"/>
      <c r="F116" s="1766"/>
      <c r="G116" s="1766"/>
      <c r="H116" s="1766"/>
      <c r="I116" s="1766"/>
      <c r="J116" s="1766"/>
      <c r="K116" s="1766"/>
      <c r="L116" s="1766"/>
      <c r="M116" s="1766"/>
      <c r="N116" s="1766"/>
      <c r="O116" s="1766"/>
      <c r="P116" s="1766"/>
      <c r="Q116" s="1767"/>
    </row>
    <row r="118" spans="3:19" ht="13">
      <c r="E118" s="350" t="s">
        <v>164</v>
      </c>
      <c r="F118" s="350"/>
      <c r="G118" s="350" t="s">
        <v>165</v>
      </c>
      <c r="H118" s="350"/>
      <c r="I118" s="350" t="s">
        <v>1065</v>
      </c>
      <c r="J118" s="350"/>
      <c r="K118" s="350" t="s">
        <v>1202</v>
      </c>
      <c r="L118" s="350"/>
      <c r="M118" s="350" t="s">
        <v>1292</v>
      </c>
      <c r="N118" s="350"/>
      <c r="O118" s="350" t="s">
        <v>1204</v>
      </c>
      <c r="P118" s="350"/>
      <c r="Q118" s="350" t="s">
        <v>1205</v>
      </c>
    </row>
    <row r="119" spans="3:19">
      <c r="C119" s="1774" t="s">
        <v>1212</v>
      </c>
      <c r="E119" s="1775" t="s">
        <v>1313</v>
      </c>
      <c r="G119" s="1778" t="s">
        <v>255</v>
      </c>
      <c r="H119" s="1778"/>
      <c r="I119" s="1778"/>
      <c r="K119" s="475"/>
      <c r="M119" s="1516" t="str">
        <f>M11</f>
        <v>December 31, 2021</v>
      </c>
      <c r="Q119" s="1516" t="str">
        <f>Q11</f>
        <v>December 31, 2022</v>
      </c>
    </row>
    <row r="120" spans="3:19" ht="25">
      <c r="C120" s="1750"/>
      <c r="E120" s="1776"/>
      <c r="G120" s="1779"/>
      <c r="H120" s="1779"/>
      <c r="I120" s="1779"/>
      <c r="J120" s="476"/>
      <c r="K120" s="477" t="s">
        <v>1296</v>
      </c>
      <c r="M120" s="610" t="s">
        <v>1297</v>
      </c>
      <c r="O120" s="610" t="s">
        <v>1295</v>
      </c>
      <c r="Q120" s="610" t="s">
        <v>1298</v>
      </c>
    </row>
    <row r="121" spans="3:19" ht="5.15" customHeight="1"/>
    <row r="122" spans="3:19">
      <c r="C122" s="352">
        <f>C113+1</f>
        <v>53</v>
      </c>
      <c r="E122" s="467" t="s">
        <v>1314</v>
      </c>
      <c r="K122" s="469">
        <v>0</v>
      </c>
      <c r="L122" s="471"/>
      <c r="M122" s="469">
        <v>0</v>
      </c>
      <c r="N122" s="471"/>
      <c r="O122" s="469">
        <v>0</v>
      </c>
      <c r="P122" s="471"/>
      <c r="Q122" s="469">
        <f>M122+O122</f>
        <v>0</v>
      </c>
    </row>
    <row r="123" spans="3:19">
      <c r="C123" s="352">
        <f>C122+1</f>
        <v>54</v>
      </c>
      <c r="E123" s="467" t="s">
        <v>1315</v>
      </c>
      <c r="K123" s="470">
        <f>K113</f>
        <v>-160820370.25642696</v>
      </c>
      <c r="M123" s="470">
        <f>M113</f>
        <v>-94682795.530729488</v>
      </c>
      <c r="O123" s="470">
        <f>O113</f>
        <v>15383982.498980163</v>
      </c>
      <c r="Q123" s="483">
        <f>M123+O123</f>
        <v>-79298813.031749323</v>
      </c>
    </row>
    <row r="124" spans="3:19" ht="5.15" customHeight="1">
      <c r="K124" s="484"/>
      <c r="M124" s="484"/>
      <c r="O124" s="484"/>
      <c r="Q124" s="484"/>
    </row>
    <row r="125" spans="3:19" ht="13">
      <c r="C125" s="352">
        <f>C123+1</f>
        <v>55</v>
      </c>
      <c r="E125" s="349" t="s">
        <v>1316</v>
      </c>
      <c r="K125" s="471">
        <f>SUM(K122:K124)</f>
        <v>-160820370.25642696</v>
      </c>
      <c r="L125" s="471"/>
      <c r="M125" s="471">
        <f>SUM(M122:M124)</f>
        <v>-94682795.530729488</v>
      </c>
      <c r="N125" s="471"/>
      <c r="O125" s="471">
        <f>SUM(O122:O124)</f>
        <v>15383982.498980163</v>
      </c>
      <c r="P125" s="471"/>
      <c r="Q125" s="471">
        <f>SUM(Q122:Q124)</f>
        <v>-79298813.031749323</v>
      </c>
    </row>
    <row r="129" spans="1:17" ht="15.75" customHeight="1">
      <c r="C129" s="1760" t="s">
        <v>1280</v>
      </c>
      <c r="D129" s="1760"/>
      <c r="E129" s="1760"/>
      <c r="F129" s="1760"/>
      <c r="G129" s="1760"/>
      <c r="H129" s="1760"/>
      <c r="I129" s="1760"/>
      <c r="J129" s="1760"/>
      <c r="K129" s="1760"/>
      <c r="L129" s="1760"/>
      <c r="M129" s="1760"/>
      <c r="N129" s="1760"/>
      <c r="O129" s="1760"/>
      <c r="P129" s="1760"/>
      <c r="Q129" s="1760"/>
    </row>
    <row r="131" spans="1:17" ht="15.75" customHeight="1">
      <c r="C131" s="1765" t="s">
        <v>1437</v>
      </c>
      <c r="D131" s="1766"/>
      <c r="E131" s="1766"/>
      <c r="F131" s="1766"/>
      <c r="G131" s="1766"/>
      <c r="H131" s="1766"/>
      <c r="I131" s="1766"/>
      <c r="J131" s="1766"/>
      <c r="K131" s="1766"/>
      <c r="L131" s="1766"/>
      <c r="M131" s="1766"/>
      <c r="N131" s="1766"/>
      <c r="O131" s="1766"/>
      <c r="P131" s="1766"/>
      <c r="Q131" s="1767"/>
    </row>
    <row r="133" spans="1:17" ht="13">
      <c r="E133" s="350" t="s">
        <v>164</v>
      </c>
      <c r="F133" s="350"/>
      <c r="G133" s="350" t="s">
        <v>165</v>
      </c>
      <c r="H133" s="350"/>
      <c r="I133" s="350" t="s">
        <v>1065</v>
      </c>
      <c r="J133" s="350"/>
      <c r="K133" s="350" t="s">
        <v>1202</v>
      </c>
      <c r="L133" s="350"/>
      <c r="M133" s="350" t="s">
        <v>1292</v>
      </c>
      <c r="N133" s="350"/>
      <c r="O133" s="350" t="s">
        <v>1204</v>
      </c>
      <c r="P133" s="350"/>
      <c r="Q133" s="350" t="s">
        <v>1205</v>
      </c>
    </row>
    <row r="134" spans="1:17" ht="15" customHeight="1">
      <c r="C134" s="1763" t="s">
        <v>1212</v>
      </c>
      <c r="D134" s="607"/>
      <c r="E134" s="1768" t="s">
        <v>1274</v>
      </c>
      <c r="G134" s="1770" t="s">
        <v>255</v>
      </c>
      <c r="I134" s="1770" t="s">
        <v>1293</v>
      </c>
      <c r="K134" s="475"/>
      <c r="M134" s="1516" t="str">
        <f>M11</f>
        <v>December 31, 2021</v>
      </c>
      <c r="O134" s="1772" t="s">
        <v>1295</v>
      </c>
      <c r="Q134" s="1516" t="str">
        <f>Q11</f>
        <v>December 31, 2022</v>
      </c>
    </row>
    <row r="135" spans="1:17" ht="25">
      <c r="C135" s="1764"/>
      <c r="D135" s="607"/>
      <c r="E135" s="1769"/>
      <c r="F135" s="476"/>
      <c r="G135" s="1771"/>
      <c r="H135" s="476"/>
      <c r="I135" s="1771"/>
      <c r="J135" s="476"/>
      <c r="K135" s="477" t="s">
        <v>1296</v>
      </c>
      <c r="M135" s="610" t="s">
        <v>1297</v>
      </c>
      <c r="O135" s="1773"/>
      <c r="Q135" s="610" t="s">
        <v>1298</v>
      </c>
    </row>
    <row r="136" spans="1:17" ht="5.15" customHeight="1"/>
    <row r="137" spans="1:17" ht="13">
      <c r="A137" s="478"/>
      <c r="B137" s="478"/>
      <c r="C137" s="352">
        <f>C125+1</f>
        <v>56</v>
      </c>
      <c r="D137" s="478"/>
      <c r="E137" s="479" t="s">
        <v>1299</v>
      </c>
      <c r="F137" s="478"/>
      <c r="G137" s="480"/>
      <c r="H137" s="478"/>
      <c r="I137" s="480"/>
      <c r="J137" s="478"/>
      <c r="K137" s="481"/>
      <c r="M137" s="471"/>
      <c r="O137" s="482"/>
      <c r="Q137" s="478"/>
    </row>
    <row r="138" spans="1:17" ht="5.15" customHeight="1">
      <c r="C138" s="352"/>
    </row>
    <row r="139" spans="1:17">
      <c r="C139" s="352">
        <f>C137+1</f>
        <v>57</v>
      </c>
      <c r="E139" s="467" t="s">
        <v>1277</v>
      </c>
      <c r="G139" s="628" t="s">
        <v>64</v>
      </c>
      <c r="I139" s="480" t="s">
        <v>1300</v>
      </c>
      <c r="K139" s="469">
        <v>0</v>
      </c>
      <c r="L139" s="471"/>
      <c r="M139" s="469">
        <v>0</v>
      </c>
      <c r="N139" s="471"/>
      <c r="O139" s="469">
        <f>-K139/4</f>
        <v>0</v>
      </c>
      <c r="P139" s="471"/>
      <c r="Q139" s="469">
        <f>M139+O139</f>
        <v>0</v>
      </c>
    </row>
    <row r="140" spans="1:17">
      <c r="C140" s="352">
        <f>C139+1</f>
        <v>58</v>
      </c>
      <c r="E140" s="467" t="s">
        <v>1301</v>
      </c>
      <c r="G140" s="628" t="s">
        <v>64</v>
      </c>
      <c r="I140" s="480" t="s">
        <v>1300</v>
      </c>
      <c r="K140" s="483">
        <v>0</v>
      </c>
      <c r="L140" s="638"/>
      <c r="M140" s="483">
        <v>0</v>
      </c>
      <c r="N140" s="638"/>
      <c r="O140" s="483">
        <f>-K140/4</f>
        <v>0</v>
      </c>
      <c r="P140" s="638"/>
      <c r="Q140" s="483">
        <f>M140+O140</f>
        <v>0</v>
      </c>
    </row>
    <row r="141" spans="1:17">
      <c r="C141" s="352">
        <f>C140+1</f>
        <v>59</v>
      </c>
      <c r="E141" s="467" t="s">
        <v>1278</v>
      </c>
      <c r="G141" s="628" t="s">
        <v>64</v>
      </c>
      <c r="I141" s="480" t="s">
        <v>1300</v>
      </c>
      <c r="K141" s="483">
        <v>0</v>
      </c>
      <c r="L141" s="638"/>
      <c r="M141" s="483">
        <v>0</v>
      </c>
      <c r="N141" s="638"/>
      <c r="O141" s="483">
        <f>-K141/4</f>
        <v>0</v>
      </c>
      <c r="P141" s="638"/>
      <c r="Q141" s="483">
        <f>M141+O141</f>
        <v>0</v>
      </c>
    </row>
    <row r="142" spans="1:17">
      <c r="C142" s="352">
        <f>C141+1</f>
        <v>60</v>
      </c>
      <c r="E142" s="467" t="s">
        <v>1279</v>
      </c>
      <c r="G142" s="628" t="s">
        <v>64</v>
      </c>
      <c r="I142" s="480" t="s">
        <v>1300</v>
      </c>
      <c r="K142" s="483">
        <v>0</v>
      </c>
      <c r="L142" s="638"/>
      <c r="M142" s="483">
        <v>0</v>
      </c>
      <c r="N142" s="638"/>
      <c r="O142" s="483">
        <f>-K142/4</f>
        <v>0</v>
      </c>
      <c r="P142" s="638"/>
      <c r="Q142" s="483">
        <f>M142+O142</f>
        <v>0</v>
      </c>
    </row>
    <row r="143" spans="1:17" ht="5.15" customHeight="1">
      <c r="K143" s="484"/>
      <c r="M143" s="484"/>
      <c r="O143" s="484"/>
      <c r="Q143" s="484"/>
    </row>
    <row r="144" spans="1:17" ht="13">
      <c r="C144" s="352">
        <f>C142+1</f>
        <v>61</v>
      </c>
      <c r="E144" s="349" t="s">
        <v>1302</v>
      </c>
      <c r="K144" s="471">
        <f>SUM(K138:K143)</f>
        <v>0</v>
      </c>
      <c r="L144" s="471"/>
      <c r="M144" s="471">
        <f>SUM(M138:M143)</f>
        <v>0</v>
      </c>
      <c r="N144" s="471"/>
      <c r="O144" s="471">
        <f>SUM(O138:O143)</f>
        <v>0</v>
      </c>
      <c r="P144" s="471"/>
      <c r="Q144" s="471">
        <f>SUM(Q138:Q143)</f>
        <v>0</v>
      </c>
    </row>
    <row r="146" spans="1:17" ht="13">
      <c r="A146" s="478"/>
      <c r="B146" s="478"/>
      <c r="C146" s="352">
        <f>C144+1</f>
        <v>62</v>
      </c>
      <c r="D146" s="478"/>
      <c r="E146" s="479" t="s">
        <v>1303</v>
      </c>
      <c r="F146" s="478"/>
      <c r="G146" s="480"/>
      <c r="H146" s="478"/>
      <c r="I146" s="480"/>
      <c r="J146" s="478"/>
      <c r="K146" s="481"/>
      <c r="M146" s="471"/>
      <c r="O146" s="482"/>
      <c r="Q146" s="478"/>
    </row>
    <row r="147" spans="1:17" ht="5.15" customHeight="1"/>
    <row r="148" spans="1:17">
      <c r="C148" s="352">
        <f>C146+1</f>
        <v>63</v>
      </c>
      <c r="E148" s="467" t="s">
        <v>1277</v>
      </c>
      <c r="G148" s="628" t="s">
        <v>64</v>
      </c>
      <c r="I148" s="480" t="s">
        <v>1304</v>
      </c>
      <c r="K148" s="469">
        <v>0</v>
      </c>
      <c r="L148" s="471"/>
      <c r="M148" s="469">
        <v>0</v>
      </c>
      <c r="N148" s="471"/>
      <c r="O148" s="469">
        <f>-K148/4</f>
        <v>0</v>
      </c>
      <c r="P148" s="471"/>
      <c r="Q148" s="469">
        <f>M148+O148</f>
        <v>0</v>
      </c>
    </row>
    <row r="149" spans="1:17">
      <c r="C149" s="352">
        <f>C148+1</f>
        <v>64</v>
      </c>
      <c r="E149" s="467" t="s">
        <v>1301</v>
      </c>
      <c r="G149" s="628" t="s">
        <v>64</v>
      </c>
      <c r="I149" s="480" t="s">
        <v>1304</v>
      </c>
      <c r="K149" s="483">
        <v>0</v>
      </c>
      <c r="L149" s="638"/>
      <c r="M149" s="483">
        <v>0</v>
      </c>
      <c r="N149" s="638"/>
      <c r="O149" s="483">
        <f>-K149/4</f>
        <v>0</v>
      </c>
      <c r="P149" s="638"/>
      <c r="Q149" s="483">
        <f>M149+O149</f>
        <v>0</v>
      </c>
    </row>
    <row r="150" spans="1:17">
      <c r="C150" s="352">
        <f>C149+1</f>
        <v>65</v>
      </c>
      <c r="E150" s="467" t="s">
        <v>1278</v>
      </c>
      <c r="G150" s="628" t="s">
        <v>64</v>
      </c>
      <c r="I150" s="480" t="s">
        <v>1304</v>
      </c>
      <c r="K150" s="483">
        <v>0</v>
      </c>
      <c r="L150" s="638"/>
      <c r="M150" s="483">
        <v>0</v>
      </c>
      <c r="N150" s="638"/>
      <c r="O150" s="483">
        <f>-K150/4</f>
        <v>0</v>
      </c>
      <c r="P150" s="638"/>
      <c r="Q150" s="483">
        <f>M150+O150</f>
        <v>0</v>
      </c>
    </row>
    <row r="151" spans="1:17">
      <c r="C151" s="352">
        <f>C150+1</f>
        <v>66</v>
      </c>
      <c r="E151" s="467" t="s">
        <v>1279</v>
      </c>
      <c r="G151" s="628" t="s">
        <v>64</v>
      </c>
      <c r="I151" s="480" t="s">
        <v>1304</v>
      </c>
      <c r="K151" s="483">
        <v>0</v>
      </c>
      <c r="L151" s="638"/>
      <c r="M151" s="483">
        <v>0</v>
      </c>
      <c r="N151" s="638"/>
      <c r="O151" s="483">
        <f>-K151/4</f>
        <v>0</v>
      </c>
      <c r="P151" s="638"/>
      <c r="Q151" s="483">
        <f>M151+O151</f>
        <v>0</v>
      </c>
    </row>
    <row r="152" spans="1:17" ht="5.15" customHeight="1">
      <c r="K152" s="484"/>
      <c r="M152" s="484"/>
      <c r="O152" s="484"/>
      <c r="Q152" s="484"/>
    </row>
    <row r="153" spans="1:17" ht="13">
      <c r="C153" s="352">
        <f>C151+1</f>
        <v>67</v>
      </c>
      <c r="E153" s="349" t="s">
        <v>1302</v>
      </c>
      <c r="K153" s="471">
        <f>SUM(K147:K152)</f>
        <v>0</v>
      </c>
      <c r="L153" s="471"/>
      <c r="M153" s="471">
        <f>SUM(M147:M152)</f>
        <v>0</v>
      </c>
      <c r="N153" s="471"/>
      <c r="O153" s="471">
        <f>SUM(O147:O152)</f>
        <v>0</v>
      </c>
      <c r="P153" s="471"/>
      <c r="Q153" s="471">
        <f>SUM(Q147:Q152)</f>
        <v>0</v>
      </c>
    </row>
    <row r="155" spans="1:17" ht="13">
      <c r="A155" s="478"/>
      <c r="B155" s="478"/>
      <c r="C155" s="352">
        <f>C153+1</f>
        <v>68</v>
      </c>
      <c r="D155" s="478"/>
      <c r="E155" s="479" t="s">
        <v>1305</v>
      </c>
      <c r="F155" s="478"/>
      <c r="G155" s="480"/>
      <c r="H155" s="478"/>
      <c r="I155" s="480"/>
      <c r="J155" s="478"/>
      <c r="K155" s="481"/>
      <c r="M155" s="471"/>
      <c r="O155" s="482"/>
      <c r="Q155" s="478"/>
    </row>
    <row r="156" spans="1:17" ht="5.15" customHeight="1"/>
    <row r="157" spans="1:17">
      <c r="C157" s="352">
        <f>C155+1</f>
        <v>69</v>
      </c>
      <c r="E157" s="467" t="s">
        <v>1277</v>
      </c>
      <c r="G157" s="628" t="s">
        <v>64</v>
      </c>
      <c r="I157" s="480" t="s">
        <v>1317</v>
      </c>
      <c r="K157" s="469">
        <v>0</v>
      </c>
      <c r="L157" s="471"/>
      <c r="M157" s="469">
        <v>0</v>
      </c>
      <c r="N157" s="471"/>
      <c r="O157" s="469">
        <f>-K157/4</f>
        <v>0</v>
      </c>
      <c r="P157" s="471"/>
      <c r="Q157" s="469">
        <f>M157+O157</f>
        <v>0</v>
      </c>
    </row>
    <row r="158" spans="1:17">
      <c r="C158" s="352">
        <f>C157+1</f>
        <v>70</v>
      </c>
      <c r="E158" s="467" t="s">
        <v>1301</v>
      </c>
      <c r="G158" s="628" t="s">
        <v>64</v>
      </c>
      <c r="I158" s="480" t="s">
        <v>1317</v>
      </c>
      <c r="K158" s="483">
        <v>0</v>
      </c>
      <c r="L158" s="638"/>
      <c r="M158" s="483">
        <v>0</v>
      </c>
      <c r="N158" s="638"/>
      <c r="O158" s="483">
        <f>-K158/4</f>
        <v>0</v>
      </c>
      <c r="P158" s="638"/>
      <c r="Q158" s="483">
        <f>M158+O158</f>
        <v>0</v>
      </c>
    </row>
    <row r="159" spans="1:17">
      <c r="C159" s="352">
        <f>C158+1</f>
        <v>71</v>
      </c>
      <c r="E159" s="467" t="s">
        <v>1278</v>
      </c>
      <c r="G159" s="628" t="s">
        <v>64</v>
      </c>
      <c r="I159" s="480" t="s">
        <v>1317</v>
      </c>
      <c r="K159" s="483">
        <v>0</v>
      </c>
      <c r="L159" s="638"/>
      <c r="M159" s="483">
        <v>0</v>
      </c>
      <c r="N159" s="638"/>
      <c r="O159" s="483">
        <f>-K159/4</f>
        <v>0</v>
      </c>
      <c r="P159" s="638"/>
      <c r="Q159" s="483">
        <f>M159+O159</f>
        <v>0</v>
      </c>
    </row>
    <row r="160" spans="1:17">
      <c r="C160" s="352">
        <f>C159+1</f>
        <v>72</v>
      </c>
      <c r="E160" s="467" t="s">
        <v>1279</v>
      </c>
      <c r="G160" s="628" t="s">
        <v>64</v>
      </c>
      <c r="I160" s="480" t="s">
        <v>1317</v>
      </c>
      <c r="K160" s="483">
        <v>0</v>
      </c>
      <c r="L160" s="638"/>
      <c r="M160" s="483">
        <v>0</v>
      </c>
      <c r="N160" s="638"/>
      <c r="O160" s="483">
        <f>-K160/4</f>
        <v>0</v>
      </c>
      <c r="P160" s="638"/>
      <c r="Q160" s="483">
        <f>M160+O160</f>
        <v>0</v>
      </c>
    </row>
    <row r="161" spans="1:20" ht="5.15" customHeight="1">
      <c r="K161" s="484"/>
      <c r="M161" s="484"/>
      <c r="O161" s="484"/>
      <c r="Q161" s="484"/>
    </row>
    <row r="162" spans="1:20" ht="13">
      <c r="C162" s="352">
        <f>C160+1</f>
        <v>73</v>
      </c>
      <c r="E162" s="349" t="s">
        <v>1302</v>
      </c>
      <c r="K162" s="471">
        <f>SUM(K156:K161)</f>
        <v>0</v>
      </c>
      <c r="L162" s="471"/>
      <c r="M162" s="471">
        <f>SUM(M156:M161)</f>
        <v>0</v>
      </c>
      <c r="N162" s="471"/>
      <c r="O162" s="471">
        <f>SUM(O156:O161)</f>
        <v>0</v>
      </c>
      <c r="P162" s="471"/>
      <c r="Q162" s="471">
        <f>SUM(Q156:Q161)</f>
        <v>0</v>
      </c>
    </row>
    <row r="164" spans="1:20" ht="13.5" thickBot="1">
      <c r="C164" s="352">
        <f>C162+1</f>
        <v>74</v>
      </c>
      <c r="E164" s="349" t="s">
        <v>1307</v>
      </c>
      <c r="K164" s="485">
        <f>K144+K153+K162</f>
        <v>0</v>
      </c>
      <c r="L164" s="471"/>
      <c r="M164" s="485">
        <f>M144+M153+M162</f>
        <v>0</v>
      </c>
      <c r="N164" s="471"/>
      <c r="O164" s="485">
        <f>O144+O153+O162</f>
        <v>0</v>
      </c>
      <c r="P164" s="471"/>
      <c r="Q164" s="485">
        <f>Q144+Q153+Q162</f>
        <v>0</v>
      </c>
    </row>
    <row r="167" spans="1:20" ht="15.75" customHeight="1">
      <c r="C167" s="1765" t="s">
        <v>1318</v>
      </c>
      <c r="D167" s="1766"/>
      <c r="E167" s="1766"/>
      <c r="F167" s="1766"/>
      <c r="G167" s="1766"/>
      <c r="H167" s="1766"/>
      <c r="I167" s="1766"/>
      <c r="J167" s="1766"/>
      <c r="K167" s="1766"/>
      <c r="L167" s="1766"/>
      <c r="M167" s="1766"/>
      <c r="N167" s="1766"/>
      <c r="O167" s="1766"/>
      <c r="P167" s="1766"/>
      <c r="Q167" s="1767"/>
    </row>
    <row r="169" spans="1:20" ht="13">
      <c r="E169" s="350" t="s">
        <v>164</v>
      </c>
      <c r="F169" s="350"/>
      <c r="G169" s="350" t="s">
        <v>165</v>
      </c>
      <c r="H169" s="350"/>
      <c r="I169" s="350" t="s">
        <v>1065</v>
      </c>
      <c r="J169" s="350"/>
      <c r="K169" s="350" t="s">
        <v>1202</v>
      </c>
      <c r="L169" s="350"/>
      <c r="M169" s="350" t="s">
        <v>1292</v>
      </c>
      <c r="N169" s="350"/>
      <c r="O169" s="350" t="s">
        <v>1204</v>
      </c>
      <c r="P169" s="350"/>
      <c r="Q169" s="350" t="s">
        <v>1205</v>
      </c>
    </row>
    <row r="170" spans="1:20" ht="15" customHeight="1">
      <c r="C170" s="1763" t="s">
        <v>1212</v>
      </c>
      <c r="D170" s="607"/>
      <c r="E170" s="1768" t="s">
        <v>1274</v>
      </c>
      <c r="G170" s="1770" t="s">
        <v>255</v>
      </c>
      <c r="I170" s="1770" t="s">
        <v>1293</v>
      </c>
      <c r="K170" s="475"/>
      <c r="M170" s="1516" t="str">
        <f>M11</f>
        <v>December 31, 2021</v>
      </c>
      <c r="O170" s="1772" t="s">
        <v>1295</v>
      </c>
      <c r="Q170" s="1516" t="str">
        <f>Q11</f>
        <v>December 31, 2022</v>
      </c>
    </row>
    <row r="171" spans="1:20" ht="25">
      <c r="C171" s="1764"/>
      <c r="D171" s="607"/>
      <c r="E171" s="1769"/>
      <c r="F171" s="476"/>
      <c r="G171" s="1771"/>
      <c r="H171" s="476"/>
      <c r="I171" s="1771"/>
      <c r="J171" s="476"/>
      <c r="K171" s="477" t="s">
        <v>1296</v>
      </c>
      <c r="M171" s="610" t="s">
        <v>1297</v>
      </c>
      <c r="O171" s="1773"/>
      <c r="Q171" s="610" t="s">
        <v>1298</v>
      </c>
    </row>
    <row r="172" spans="1:20" ht="5.15" customHeight="1"/>
    <row r="173" spans="1:20" ht="13">
      <c r="A173" s="478"/>
      <c r="B173" s="478"/>
      <c r="C173" s="352">
        <f>C164+1</f>
        <v>75</v>
      </c>
      <c r="D173" s="478"/>
      <c r="E173" s="479" t="s">
        <v>1299</v>
      </c>
      <c r="F173" s="478"/>
      <c r="G173" s="480"/>
      <c r="H173" s="478"/>
      <c r="I173" s="480"/>
      <c r="J173" s="478"/>
      <c r="K173" s="481"/>
      <c r="M173" s="471"/>
      <c r="O173" s="482"/>
      <c r="Q173" s="478"/>
    </row>
    <row r="174" spans="1:20" ht="5.15" customHeight="1"/>
    <row r="175" spans="1:20">
      <c r="C175" s="352">
        <f>C173+1</f>
        <v>76</v>
      </c>
      <c r="E175" s="467" t="s">
        <v>1277</v>
      </c>
      <c r="G175" s="628"/>
      <c r="I175" s="480"/>
      <c r="K175" s="469">
        <f>K139</f>
        <v>0</v>
      </c>
      <c r="L175" s="471"/>
      <c r="M175" s="469">
        <f>M139</f>
        <v>0</v>
      </c>
      <c r="N175" s="471"/>
      <c r="O175" s="469">
        <f>O139</f>
        <v>0</v>
      </c>
      <c r="P175" s="471"/>
      <c r="Q175" s="469">
        <f>M175+O175</f>
        <v>0</v>
      </c>
      <c r="T175" s="372"/>
    </row>
    <row r="176" spans="1:20">
      <c r="C176" s="352">
        <f>C175+1</f>
        <v>77</v>
      </c>
      <c r="E176" s="467" t="s">
        <v>1301</v>
      </c>
      <c r="G176" s="628"/>
      <c r="I176" s="480"/>
      <c r="K176" s="483">
        <f>K140</f>
        <v>0</v>
      </c>
      <c r="L176" s="638"/>
      <c r="M176" s="483">
        <f>M140</f>
        <v>0</v>
      </c>
      <c r="N176" s="638"/>
      <c r="O176" s="483">
        <f>O140</f>
        <v>0</v>
      </c>
      <c r="P176" s="638"/>
      <c r="Q176" s="483">
        <f>M176+O176</f>
        <v>0</v>
      </c>
    </row>
    <row r="177" spans="1:20">
      <c r="C177" s="352">
        <f>C176+1</f>
        <v>78</v>
      </c>
      <c r="E177" s="467" t="s">
        <v>1278</v>
      </c>
      <c r="G177" s="628"/>
      <c r="I177" s="480"/>
      <c r="K177" s="483">
        <f>K141</f>
        <v>0</v>
      </c>
      <c r="L177" s="638"/>
      <c r="M177" s="483">
        <f>M141</f>
        <v>0</v>
      </c>
      <c r="N177" s="638"/>
      <c r="O177" s="483">
        <f>O141</f>
        <v>0</v>
      </c>
      <c r="P177" s="638"/>
      <c r="Q177" s="483">
        <f>M177+O177</f>
        <v>0</v>
      </c>
    </row>
    <row r="178" spans="1:20">
      <c r="C178" s="352">
        <f>C177+1</f>
        <v>79</v>
      </c>
      <c r="E178" s="467" t="s">
        <v>1279</v>
      </c>
      <c r="G178" s="628"/>
      <c r="I178" s="480"/>
      <c r="K178" s="483">
        <f>K142</f>
        <v>0</v>
      </c>
      <c r="L178" s="638"/>
      <c r="M178" s="483">
        <f>M142</f>
        <v>0</v>
      </c>
      <c r="N178" s="638"/>
      <c r="O178" s="483">
        <f>O142</f>
        <v>0</v>
      </c>
      <c r="P178" s="638"/>
      <c r="Q178" s="483">
        <f>M178+O178</f>
        <v>0</v>
      </c>
      <c r="T178" s="372"/>
    </row>
    <row r="179" spans="1:20" ht="5.15" customHeight="1">
      <c r="K179" s="484"/>
      <c r="M179" s="484"/>
      <c r="O179" s="484"/>
      <c r="Q179" s="484"/>
    </row>
    <row r="180" spans="1:20" ht="13">
      <c r="C180" s="352">
        <f>C178+1</f>
        <v>80</v>
      </c>
      <c r="E180" s="349" t="s">
        <v>1302</v>
      </c>
      <c r="K180" s="471">
        <f>SUM(K174:K179)</f>
        <v>0</v>
      </c>
      <c r="L180" s="471"/>
      <c r="M180" s="471">
        <f>SUM(M174:M179)</f>
        <v>0</v>
      </c>
      <c r="N180" s="471"/>
      <c r="O180" s="471">
        <f>SUM(O174:O179)</f>
        <v>0</v>
      </c>
      <c r="P180" s="471"/>
      <c r="Q180" s="471">
        <f>SUM(Q174:Q179)</f>
        <v>0</v>
      </c>
    </row>
    <row r="181" spans="1:20">
      <c r="C181" s="352"/>
    </row>
    <row r="182" spans="1:20" ht="13">
      <c r="A182" s="478"/>
      <c r="B182" s="478"/>
      <c r="C182" s="352">
        <f>C180+1</f>
        <v>81</v>
      </c>
      <c r="D182" s="478"/>
      <c r="E182" s="479" t="s">
        <v>1303</v>
      </c>
      <c r="F182" s="478"/>
      <c r="G182" s="480"/>
      <c r="H182" s="478"/>
      <c r="I182" s="480"/>
      <c r="J182" s="478"/>
      <c r="K182" s="481"/>
      <c r="M182" s="471"/>
      <c r="O182" s="482"/>
      <c r="Q182" s="478"/>
    </row>
    <row r="183" spans="1:20" ht="5.15" customHeight="1"/>
    <row r="184" spans="1:20">
      <c r="C184" s="352">
        <f>C182+1</f>
        <v>82</v>
      </c>
      <c r="E184" s="467" t="s">
        <v>1277</v>
      </c>
      <c r="G184" s="628"/>
      <c r="I184" s="480"/>
      <c r="K184" s="469">
        <f>K148</f>
        <v>0</v>
      </c>
      <c r="L184" s="471"/>
      <c r="M184" s="469">
        <f>M148</f>
        <v>0</v>
      </c>
      <c r="N184" s="471"/>
      <c r="O184" s="469">
        <f>O148</f>
        <v>0</v>
      </c>
      <c r="P184" s="471"/>
      <c r="Q184" s="469">
        <f>M184+O184</f>
        <v>0</v>
      </c>
    </row>
    <row r="185" spans="1:20">
      <c r="C185" s="352">
        <f>C184+1</f>
        <v>83</v>
      </c>
      <c r="E185" s="467" t="s">
        <v>1301</v>
      </c>
      <c r="G185" s="628"/>
      <c r="I185" s="480"/>
      <c r="K185" s="483">
        <f>K149</f>
        <v>0</v>
      </c>
      <c r="L185" s="638"/>
      <c r="M185" s="483">
        <f>M149</f>
        <v>0</v>
      </c>
      <c r="N185" s="638"/>
      <c r="O185" s="483">
        <f>O149</f>
        <v>0</v>
      </c>
      <c r="P185" s="638"/>
      <c r="Q185" s="483">
        <f>M185+O185</f>
        <v>0</v>
      </c>
    </row>
    <row r="186" spans="1:20">
      <c r="C186" s="352">
        <f>C185+1</f>
        <v>84</v>
      </c>
      <c r="E186" s="467" t="s">
        <v>1278</v>
      </c>
      <c r="G186" s="628"/>
      <c r="I186" s="480"/>
      <c r="K186" s="483">
        <f>K150</f>
        <v>0</v>
      </c>
      <c r="L186" s="638"/>
      <c r="M186" s="483">
        <f>M150</f>
        <v>0</v>
      </c>
      <c r="N186" s="638"/>
      <c r="O186" s="483">
        <f>O150</f>
        <v>0</v>
      </c>
      <c r="P186" s="638"/>
      <c r="Q186" s="483">
        <f>M186+O186</f>
        <v>0</v>
      </c>
      <c r="T186" s="372"/>
    </row>
    <row r="187" spans="1:20">
      <c r="C187" s="352">
        <f>C186+1</f>
        <v>85</v>
      </c>
      <c r="E187" s="467" t="s">
        <v>1279</v>
      </c>
      <c r="G187" s="628"/>
      <c r="I187" s="480"/>
      <c r="K187" s="483">
        <f>K151</f>
        <v>0</v>
      </c>
      <c r="L187" s="638"/>
      <c r="M187" s="483">
        <f>M151</f>
        <v>0</v>
      </c>
      <c r="N187" s="638"/>
      <c r="O187" s="483">
        <f>O151</f>
        <v>0</v>
      </c>
      <c r="P187" s="638"/>
      <c r="Q187" s="483">
        <f>M187+O187</f>
        <v>0</v>
      </c>
    </row>
    <row r="188" spans="1:20" ht="5.15" customHeight="1">
      <c r="K188" s="484"/>
      <c r="M188" s="484"/>
      <c r="O188" s="484"/>
      <c r="Q188" s="484"/>
    </row>
    <row r="189" spans="1:20" ht="13">
      <c r="C189" s="352">
        <f>C187+1</f>
        <v>86</v>
      </c>
      <c r="E189" s="349" t="s">
        <v>1302</v>
      </c>
      <c r="K189" s="471">
        <f>SUM(K183:K188)</f>
        <v>0</v>
      </c>
      <c r="L189" s="471"/>
      <c r="M189" s="471">
        <f>SUM(M183:M188)</f>
        <v>0</v>
      </c>
      <c r="N189" s="471"/>
      <c r="O189" s="471">
        <f>SUM(O183:O188)</f>
        <v>0</v>
      </c>
      <c r="P189" s="471"/>
      <c r="Q189" s="471">
        <f>SUM(Q183:Q188)</f>
        <v>0</v>
      </c>
    </row>
    <row r="191" spans="1:20" ht="13">
      <c r="A191" s="478"/>
      <c r="B191" s="478"/>
      <c r="C191" s="352">
        <f>C189+1</f>
        <v>87</v>
      </c>
      <c r="D191" s="478"/>
      <c r="E191" s="479" t="s">
        <v>1305</v>
      </c>
      <c r="F191" s="478"/>
      <c r="G191" s="480"/>
      <c r="H191" s="478"/>
      <c r="I191" s="480"/>
      <c r="J191" s="478"/>
      <c r="K191" s="481"/>
      <c r="M191" s="471"/>
      <c r="O191" s="482"/>
      <c r="Q191" s="478"/>
    </row>
    <row r="192" spans="1:20" ht="5.15" customHeight="1"/>
    <row r="193" spans="3:20">
      <c r="C193" s="352">
        <f>C191+1</f>
        <v>88</v>
      </c>
      <c r="E193" s="467" t="s">
        <v>1277</v>
      </c>
      <c r="G193" s="628"/>
      <c r="I193" s="480"/>
      <c r="K193" s="469">
        <f>K157</f>
        <v>0</v>
      </c>
      <c r="L193" s="471"/>
      <c r="M193" s="469">
        <f>M157</f>
        <v>0</v>
      </c>
      <c r="N193" s="471"/>
      <c r="O193" s="469">
        <f>O157</f>
        <v>0</v>
      </c>
      <c r="P193" s="471"/>
      <c r="Q193" s="469">
        <f>M193+O193</f>
        <v>0</v>
      </c>
    </row>
    <row r="194" spans="3:20">
      <c r="C194" s="352">
        <f>C193+1</f>
        <v>89</v>
      </c>
      <c r="E194" s="467" t="s">
        <v>1301</v>
      </c>
      <c r="G194" s="628"/>
      <c r="I194" s="480"/>
      <c r="K194" s="483">
        <f>K158</f>
        <v>0</v>
      </c>
      <c r="L194" s="638"/>
      <c r="M194" s="483">
        <f>M158</f>
        <v>0</v>
      </c>
      <c r="N194" s="638"/>
      <c r="O194" s="483">
        <f>O158</f>
        <v>0</v>
      </c>
      <c r="P194" s="638"/>
      <c r="Q194" s="483">
        <f>M194+O194</f>
        <v>0</v>
      </c>
    </row>
    <row r="195" spans="3:20">
      <c r="C195" s="352">
        <f>C194+1</f>
        <v>90</v>
      </c>
      <c r="E195" s="467" t="s">
        <v>1278</v>
      </c>
      <c r="G195" s="628"/>
      <c r="I195" s="480"/>
      <c r="K195" s="483">
        <f>K159</f>
        <v>0</v>
      </c>
      <c r="L195" s="638"/>
      <c r="M195" s="483">
        <f>M159</f>
        <v>0</v>
      </c>
      <c r="N195" s="638"/>
      <c r="O195" s="483">
        <f>O159</f>
        <v>0</v>
      </c>
      <c r="P195" s="638"/>
      <c r="Q195" s="483">
        <f>M195+O195</f>
        <v>0</v>
      </c>
    </row>
    <row r="196" spans="3:20">
      <c r="C196" s="352">
        <f>C195+1</f>
        <v>91</v>
      </c>
      <c r="E196" s="467" t="s">
        <v>1279</v>
      </c>
      <c r="G196" s="628"/>
      <c r="I196" s="480"/>
      <c r="K196" s="483">
        <f>K160</f>
        <v>0</v>
      </c>
      <c r="L196" s="638"/>
      <c r="M196" s="483">
        <f>M160</f>
        <v>0</v>
      </c>
      <c r="N196" s="638"/>
      <c r="O196" s="483">
        <f>O160</f>
        <v>0</v>
      </c>
      <c r="P196" s="638"/>
      <c r="Q196" s="483">
        <f>M196+O196</f>
        <v>0</v>
      </c>
    </row>
    <row r="197" spans="3:20" ht="5.15" customHeight="1">
      <c r="K197" s="484"/>
      <c r="M197" s="484"/>
      <c r="O197" s="484"/>
      <c r="Q197" s="484"/>
    </row>
    <row r="198" spans="3:20" ht="13">
      <c r="C198" s="352">
        <f>C196+1</f>
        <v>92</v>
      </c>
      <c r="E198" s="349" t="s">
        <v>1302</v>
      </c>
      <c r="K198" s="471">
        <f>SUM(K192:K197)</f>
        <v>0</v>
      </c>
      <c r="L198" s="471"/>
      <c r="M198" s="471">
        <f>SUM(M192:M197)</f>
        <v>0</v>
      </c>
      <c r="N198" s="471"/>
      <c r="O198" s="471">
        <f>SUM(O192:O197)</f>
        <v>0</v>
      </c>
      <c r="P198" s="471"/>
      <c r="Q198" s="471">
        <f>SUM(Q192:Q197)</f>
        <v>0</v>
      </c>
      <c r="T198" s="372"/>
    </row>
    <row r="200" spans="3:20" ht="13.5" thickBot="1">
      <c r="C200" s="352">
        <f>C198+1</f>
        <v>93</v>
      </c>
      <c r="E200" s="349" t="s">
        <v>1307</v>
      </c>
      <c r="K200" s="485">
        <f>K180+K189+K198</f>
        <v>0</v>
      </c>
      <c r="L200" s="471"/>
      <c r="M200" s="485">
        <f>M180+M189+M198</f>
        <v>0</v>
      </c>
      <c r="N200" s="471"/>
      <c r="O200" s="485">
        <f>O180+O189+O198</f>
        <v>0</v>
      </c>
      <c r="P200" s="471"/>
      <c r="Q200" s="485">
        <f>Q180+Q189+Q198</f>
        <v>0</v>
      </c>
      <c r="T200" s="486"/>
    </row>
    <row r="201" spans="3:20" ht="13">
      <c r="C201" s="352"/>
      <c r="E201" s="349"/>
      <c r="K201" s="488"/>
      <c r="L201" s="471"/>
      <c r="M201" s="488"/>
      <c r="N201" s="471"/>
      <c r="O201" s="488"/>
      <c r="P201" s="471"/>
      <c r="Q201" s="488"/>
      <c r="T201" s="486"/>
    </row>
    <row r="202" spans="3:20" ht="13">
      <c r="C202" s="352"/>
      <c r="E202" s="349"/>
      <c r="K202" s="488"/>
      <c r="L202" s="471"/>
      <c r="M202" s="488"/>
      <c r="N202" s="471"/>
      <c r="O202" s="488"/>
      <c r="P202" s="471"/>
      <c r="Q202" s="488"/>
      <c r="T202" s="486"/>
    </row>
    <row r="203" spans="3:20" ht="15.5">
      <c r="E203" s="1765" t="s">
        <v>1318</v>
      </c>
      <c r="F203" s="1766"/>
      <c r="G203" s="1766"/>
      <c r="H203" s="1766"/>
      <c r="I203" s="1766"/>
      <c r="J203" s="1766"/>
      <c r="K203" s="1766"/>
      <c r="L203" s="1766"/>
      <c r="M203" s="1766"/>
      <c r="N203" s="1766"/>
      <c r="O203" s="1766"/>
      <c r="P203" s="1766"/>
      <c r="Q203" s="1767"/>
    </row>
    <row r="205" spans="3:20" ht="13">
      <c r="E205" s="350" t="s">
        <v>164</v>
      </c>
      <c r="F205" s="350"/>
      <c r="G205" s="350" t="s">
        <v>165</v>
      </c>
      <c r="H205" s="350"/>
      <c r="I205" s="350" t="s">
        <v>1065</v>
      </c>
      <c r="J205" s="350"/>
      <c r="K205" s="350" t="s">
        <v>1202</v>
      </c>
      <c r="L205" s="350"/>
      <c r="M205" s="350" t="s">
        <v>1292</v>
      </c>
      <c r="N205" s="350"/>
      <c r="O205" s="350" t="s">
        <v>1204</v>
      </c>
      <c r="P205" s="350"/>
      <c r="Q205" s="350" t="s">
        <v>1205</v>
      </c>
    </row>
    <row r="206" spans="3:20" ht="15" customHeight="1">
      <c r="C206" s="1763" t="s">
        <v>1212</v>
      </c>
      <c r="D206" s="607"/>
      <c r="E206" s="1768" t="s">
        <v>1274</v>
      </c>
      <c r="G206" s="1770" t="s">
        <v>255</v>
      </c>
      <c r="I206" s="1770" t="s">
        <v>1293</v>
      </c>
      <c r="M206" s="1516" t="str">
        <f>M11</f>
        <v>December 31, 2021</v>
      </c>
      <c r="O206" s="1772" t="s">
        <v>1295</v>
      </c>
      <c r="Q206" s="1516" t="str">
        <f>Q11</f>
        <v>December 31, 2022</v>
      </c>
    </row>
    <row r="207" spans="3:20" ht="25">
      <c r="C207" s="1764"/>
      <c r="D207" s="607"/>
      <c r="E207" s="1769"/>
      <c r="F207" s="476"/>
      <c r="G207" s="1771"/>
      <c r="H207" s="476"/>
      <c r="I207" s="1771"/>
      <c r="J207" s="476"/>
      <c r="K207" s="477" t="s">
        <v>1296</v>
      </c>
      <c r="M207" s="610" t="s">
        <v>1297</v>
      </c>
      <c r="O207" s="1773"/>
      <c r="Q207" s="610" t="s">
        <v>1298</v>
      </c>
    </row>
    <row r="208" spans="3:20" ht="5.15" customHeight="1"/>
    <row r="209" spans="3:17">
      <c r="C209" s="352">
        <f>C200+1</f>
        <v>94</v>
      </c>
      <c r="E209" s="467" t="s">
        <v>1277</v>
      </c>
      <c r="K209" s="469">
        <f>K175+K184+K193</f>
        <v>0</v>
      </c>
      <c r="L209" s="471"/>
      <c r="M209" s="469">
        <f>M175+M184+M193</f>
        <v>0</v>
      </c>
      <c r="N209" s="471"/>
      <c r="O209" s="469">
        <f>O175+O184+O193</f>
        <v>0</v>
      </c>
      <c r="P209" s="471"/>
      <c r="Q209" s="469">
        <f>M209+O209</f>
        <v>0</v>
      </c>
    </row>
    <row r="210" spans="3:17">
      <c r="C210" s="352">
        <f>C209+1</f>
        <v>95</v>
      </c>
      <c r="E210" s="467" t="s">
        <v>1301</v>
      </c>
      <c r="K210" s="483">
        <f>K176+K185+K194</f>
        <v>0</v>
      </c>
      <c r="L210" s="638"/>
      <c r="M210" s="483">
        <f>M176+M185+M194</f>
        <v>0</v>
      </c>
      <c r="N210" s="638"/>
      <c r="O210" s="483">
        <f>O176+O185+O194</f>
        <v>0</v>
      </c>
      <c r="P210" s="638"/>
      <c r="Q210" s="483">
        <f>M210+O210</f>
        <v>0</v>
      </c>
    </row>
    <row r="211" spans="3:17">
      <c r="C211" s="352">
        <f>C210+1</f>
        <v>96</v>
      </c>
      <c r="E211" s="467" t="s">
        <v>1278</v>
      </c>
      <c r="K211" s="483">
        <f>K177+K186+K195</f>
        <v>0</v>
      </c>
      <c r="L211" s="638"/>
      <c r="M211" s="483">
        <f>M177+M186+M195</f>
        <v>0</v>
      </c>
      <c r="N211" s="638"/>
      <c r="O211" s="483">
        <f>O177+O186+O195</f>
        <v>0</v>
      </c>
      <c r="P211" s="638"/>
      <c r="Q211" s="483">
        <f>M211+O211</f>
        <v>0</v>
      </c>
    </row>
    <row r="212" spans="3:17">
      <c r="C212" s="352">
        <f>C211+1</f>
        <v>97</v>
      </c>
      <c r="E212" s="467" t="s">
        <v>1279</v>
      </c>
      <c r="K212" s="483">
        <f>K178+K187+K196</f>
        <v>0</v>
      </c>
      <c r="L212" s="638"/>
      <c r="M212" s="483">
        <f>M178+M187+M196</f>
        <v>0</v>
      </c>
      <c r="N212" s="638"/>
      <c r="O212" s="483">
        <f>O178+O187+O196</f>
        <v>0</v>
      </c>
      <c r="P212" s="638"/>
      <c r="Q212" s="483">
        <f>M212+O212</f>
        <v>0</v>
      </c>
    </row>
    <row r="213" spans="3:17" ht="5.15" customHeight="1">
      <c r="Q213" s="484"/>
    </row>
    <row r="214" spans="3:17" ht="13">
      <c r="C214" s="352">
        <f>C212+1</f>
        <v>98</v>
      </c>
      <c r="E214" s="349" t="s">
        <v>1307</v>
      </c>
      <c r="K214" s="489">
        <f>SUM(K209:K213)</f>
        <v>0</v>
      </c>
      <c r="L214" s="471"/>
      <c r="M214" s="489">
        <f>SUM(M209:M213)</f>
        <v>0</v>
      </c>
      <c r="N214" s="471"/>
      <c r="O214" s="489">
        <f>SUM(O209:O213)</f>
        <v>0</v>
      </c>
      <c r="P214" s="471"/>
      <c r="Q214" s="489">
        <f>SUM(Q209:Q213)</f>
        <v>0</v>
      </c>
    </row>
    <row r="215" spans="3:17" ht="5.15" customHeight="1"/>
    <row r="216" spans="3:17">
      <c r="C216" s="352">
        <f>C214+1</f>
        <v>99</v>
      </c>
      <c r="E216" s="467" t="s">
        <v>1155</v>
      </c>
      <c r="G216" s="298" t="s">
        <v>1448</v>
      </c>
      <c r="K216" s="490">
        <f>'ATT H-3D'!$H$262</f>
        <v>1.3834128795739087</v>
      </c>
      <c r="M216" s="490">
        <f>'ATT H-3D'!$H$262</f>
        <v>1.3834128795739087</v>
      </c>
      <c r="O216" s="490">
        <f>'ATT H-3D'!$H$262</f>
        <v>1.3834128795739087</v>
      </c>
      <c r="Q216" s="490">
        <f>'ATT H-3D'!$H$262</f>
        <v>1.3834128795739087</v>
      </c>
    </row>
    <row r="217" spans="3:17" ht="5.15" customHeight="1"/>
    <row r="218" spans="3:17" ht="13.5" thickBot="1">
      <c r="C218" s="352">
        <f>C216+1</f>
        <v>100</v>
      </c>
      <c r="E218" s="349" t="s">
        <v>1311</v>
      </c>
      <c r="K218" s="491">
        <f>K214*K216</f>
        <v>0</v>
      </c>
      <c r="L218" s="471"/>
      <c r="M218" s="491">
        <f>M214*M216</f>
        <v>0</v>
      </c>
      <c r="N218" s="471"/>
      <c r="O218" s="491">
        <f>O214*O216</f>
        <v>0</v>
      </c>
      <c r="P218" s="471"/>
      <c r="Q218" s="491">
        <f>Q214*Q216</f>
        <v>0</v>
      </c>
    </row>
    <row r="219" spans="3:17" ht="13" thickTop="1"/>
    <row r="221" spans="3:17" ht="15.5">
      <c r="E221" s="1765" t="s">
        <v>1319</v>
      </c>
      <c r="F221" s="1766"/>
      <c r="G221" s="1766"/>
      <c r="H221" s="1766"/>
      <c r="I221" s="1766"/>
      <c r="J221" s="1766"/>
      <c r="K221" s="1766"/>
      <c r="L221" s="1766"/>
      <c r="M221" s="1766"/>
      <c r="N221" s="1766"/>
      <c r="O221" s="1766"/>
      <c r="P221" s="1766"/>
      <c r="Q221" s="1767"/>
    </row>
    <row r="223" spans="3:17" ht="13">
      <c r="E223" s="350" t="s">
        <v>164</v>
      </c>
      <c r="F223" s="350"/>
      <c r="G223" s="350" t="s">
        <v>165</v>
      </c>
      <c r="H223" s="350"/>
      <c r="I223" s="350" t="s">
        <v>1065</v>
      </c>
      <c r="J223" s="350"/>
      <c r="K223" s="350" t="s">
        <v>1202</v>
      </c>
      <c r="L223" s="350"/>
      <c r="M223" s="350" t="s">
        <v>1292</v>
      </c>
      <c r="N223" s="350"/>
      <c r="O223" s="350" t="s">
        <v>1204</v>
      </c>
      <c r="P223" s="350"/>
      <c r="Q223" s="350" t="s">
        <v>1205</v>
      </c>
    </row>
    <row r="224" spans="3:17">
      <c r="C224" s="1774" t="s">
        <v>1212</v>
      </c>
      <c r="E224" s="1775" t="s">
        <v>1313</v>
      </c>
      <c r="G224" s="1778" t="s">
        <v>255</v>
      </c>
      <c r="H224" s="1778"/>
      <c r="I224" s="1778"/>
      <c r="K224" s="475"/>
      <c r="M224" s="1516" t="str">
        <f>M11</f>
        <v>December 31, 2021</v>
      </c>
      <c r="Q224" s="1516" t="str">
        <f>Q11</f>
        <v>December 31, 2022</v>
      </c>
    </row>
    <row r="225" spans="3:17" ht="25">
      <c r="C225" s="1750"/>
      <c r="E225" s="1776"/>
      <c r="G225" s="1779"/>
      <c r="H225" s="1779"/>
      <c r="I225" s="1779"/>
      <c r="J225" s="476"/>
      <c r="K225" s="477" t="s">
        <v>1296</v>
      </c>
      <c r="M225" s="610" t="s">
        <v>1297</v>
      </c>
      <c r="O225" s="610" t="s">
        <v>1295</v>
      </c>
      <c r="Q225" s="610" t="s">
        <v>1298</v>
      </c>
    </row>
    <row r="226" spans="3:17" ht="5.15" customHeight="1"/>
    <row r="227" spans="3:17">
      <c r="C227" s="352">
        <f>C218+1</f>
        <v>101</v>
      </c>
      <c r="E227" s="467" t="s">
        <v>1314</v>
      </c>
      <c r="K227" s="469">
        <v>0</v>
      </c>
      <c r="L227" s="471"/>
      <c r="M227" s="469">
        <v>0</v>
      </c>
      <c r="N227" s="471"/>
      <c r="O227" s="469">
        <v>0</v>
      </c>
      <c r="P227" s="471"/>
      <c r="Q227" s="469">
        <v>0</v>
      </c>
    </row>
    <row r="228" spans="3:17">
      <c r="C228" s="352">
        <f>C227+1</f>
        <v>102</v>
      </c>
      <c r="E228" s="467" t="s">
        <v>1315</v>
      </c>
      <c r="K228" s="470">
        <f>K218</f>
        <v>0</v>
      </c>
      <c r="M228" s="470">
        <f>M218</f>
        <v>0</v>
      </c>
      <c r="O228" s="470">
        <f>O218</f>
        <v>0</v>
      </c>
      <c r="Q228" s="470">
        <f>Q218</f>
        <v>0</v>
      </c>
    </row>
    <row r="229" spans="3:17" ht="5.15" customHeight="1">
      <c r="K229" s="484"/>
      <c r="M229" s="484"/>
      <c r="O229" s="484"/>
      <c r="Q229" s="484"/>
    </row>
    <row r="230" spans="3:17" ht="13">
      <c r="C230" s="352">
        <f>C228+1</f>
        <v>103</v>
      </c>
      <c r="E230" s="349" t="s">
        <v>1316</v>
      </c>
      <c r="K230" s="471">
        <f>SUM(K227:K229)</f>
        <v>0</v>
      </c>
      <c r="L230" s="471"/>
      <c r="M230" s="471">
        <f>SUM(M227:M229)</f>
        <v>0</v>
      </c>
      <c r="N230" s="471"/>
      <c r="O230" s="471">
        <f>SUM(O227:O229)</f>
        <v>0</v>
      </c>
      <c r="P230" s="471"/>
      <c r="Q230" s="471">
        <f>SUM(Q227:Q229)</f>
        <v>0</v>
      </c>
    </row>
    <row r="231" spans="3:17">
      <c r="K231" s="486"/>
    </row>
    <row r="233" spans="3:17" ht="15.5">
      <c r="E233" s="1760" t="s">
        <v>1320</v>
      </c>
      <c r="F233" s="1760"/>
      <c r="G233" s="1760"/>
      <c r="H233" s="1760"/>
      <c r="I233" s="1760"/>
      <c r="J233" s="1760"/>
      <c r="K233" s="1760"/>
      <c r="L233" s="1760"/>
      <c r="M233" s="1760"/>
      <c r="N233" s="1760"/>
      <c r="O233" s="1760"/>
      <c r="P233" s="1760"/>
      <c r="Q233" s="1760"/>
    </row>
    <row r="235" spans="3:17" ht="15.5">
      <c r="E235" s="1765" t="s">
        <v>1321</v>
      </c>
      <c r="F235" s="1766"/>
      <c r="G235" s="1766"/>
      <c r="H235" s="1766"/>
      <c r="I235" s="1766"/>
      <c r="J235" s="1766"/>
      <c r="K235" s="1766"/>
      <c r="L235" s="1766"/>
      <c r="M235" s="1766"/>
      <c r="N235" s="1766"/>
      <c r="O235" s="1766"/>
      <c r="P235" s="1766"/>
      <c r="Q235" s="1767"/>
    </row>
    <row r="237" spans="3:17" ht="13">
      <c r="E237" s="350" t="s">
        <v>164</v>
      </c>
      <c r="F237" s="350"/>
      <c r="G237" s="350" t="s">
        <v>165</v>
      </c>
      <c r="H237" s="350"/>
      <c r="I237" s="350" t="s">
        <v>1065</v>
      </c>
      <c r="J237" s="350"/>
      <c r="K237" s="350" t="s">
        <v>1202</v>
      </c>
      <c r="L237" s="350"/>
      <c r="M237" s="350" t="s">
        <v>1292</v>
      </c>
      <c r="N237" s="350"/>
      <c r="O237" s="350" t="s">
        <v>1204</v>
      </c>
      <c r="P237" s="350"/>
      <c r="Q237" s="350" t="s">
        <v>1205</v>
      </c>
    </row>
    <row r="238" spans="3:17">
      <c r="C238" s="1774" t="s">
        <v>1212</v>
      </c>
      <c r="E238" s="1775" t="s">
        <v>1313</v>
      </c>
      <c r="G238" s="1778" t="s">
        <v>255</v>
      </c>
      <c r="H238" s="1778"/>
      <c r="I238" s="1778"/>
      <c r="K238" s="475"/>
      <c r="M238" s="1516" t="str">
        <f>M11</f>
        <v>December 31, 2021</v>
      </c>
      <c r="Q238" s="1516" t="str">
        <f>Q11</f>
        <v>December 31, 2022</v>
      </c>
    </row>
    <row r="239" spans="3:17" ht="25">
      <c r="C239" s="1750"/>
      <c r="E239" s="1776"/>
      <c r="G239" s="1779"/>
      <c r="H239" s="1779"/>
      <c r="I239" s="1779"/>
      <c r="J239" s="476"/>
      <c r="K239" s="477" t="s">
        <v>1296</v>
      </c>
      <c r="M239" s="610" t="s">
        <v>1297</v>
      </c>
      <c r="O239" s="610" t="s">
        <v>1295</v>
      </c>
      <c r="Q239" s="610" t="s">
        <v>1298</v>
      </c>
    </row>
    <row r="240" spans="3:17" ht="5.15" customHeight="1"/>
    <row r="241" spans="1:19">
      <c r="C241" s="352">
        <f>C230+1</f>
        <v>104</v>
      </c>
      <c r="E241" s="467" t="s">
        <v>1314</v>
      </c>
      <c r="K241" s="469">
        <f>K122+K227</f>
        <v>0</v>
      </c>
      <c r="L241" s="471"/>
      <c r="M241" s="469">
        <f>M122+M227</f>
        <v>0</v>
      </c>
      <c r="N241" s="471"/>
      <c r="O241" s="469">
        <f>O122+O227</f>
        <v>0</v>
      </c>
      <c r="P241" s="471"/>
      <c r="Q241" s="469">
        <f>Q122+Q227</f>
        <v>0</v>
      </c>
    </row>
    <row r="242" spans="1:19">
      <c r="C242" s="352">
        <f>C241+1</f>
        <v>105</v>
      </c>
      <c r="E242" s="467" t="s">
        <v>1315</v>
      </c>
      <c r="K242" s="483">
        <f>K123+K228</f>
        <v>-160820370.25642696</v>
      </c>
      <c r="M242" s="483">
        <f>M123+M228</f>
        <v>-94682795.530729488</v>
      </c>
      <c r="O242" s="483">
        <f>O123+O228</f>
        <v>15383982.498980163</v>
      </c>
      <c r="Q242" s="483">
        <f>Q123+Q228</f>
        <v>-79298813.031749323</v>
      </c>
    </row>
    <row r="243" spans="1:19" ht="5.15" customHeight="1">
      <c r="K243" s="484"/>
      <c r="M243" s="484"/>
      <c r="O243" s="484"/>
      <c r="Q243" s="484"/>
    </row>
    <row r="244" spans="1:19" ht="13">
      <c r="C244" s="352">
        <f>C242+1</f>
        <v>106</v>
      </c>
      <c r="E244" s="349" t="s">
        <v>1316</v>
      </c>
      <c r="K244" s="471">
        <f>SUM(K241:K243)</f>
        <v>-160820370.25642696</v>
      </c>
      <c r="L244" s="471"/>
      <c r="M244" s="471">
        <f>SUM(M241:M243)</f>
        <v>-94682795.530729488</v>
      </c>
      <c r="N244" s="471"/>
      <c r="O244" s="471">
        <f>SUM(O241:O243)</f>
        <v>15383982.498980163</v>
      </c>
      <c r="P244" s="471"/>
      <c r="Q244" s="471">
        <f>SUM(Q241:Q243)</f>
        <v>-79298813.031749323</v>
      </c>
    </row>
    <row r="248" spans="1:19" ht="18">
      <c r="A248" s="267"/>
      <c r="B248" s="267" t="s">
        <v>1322</v>
      </c>
      <c r="C248" s="267"/>
      <c r="D248" s="267"/>
      <c r="E248" s="267"/>
      <c r="F248" s="267"/>
      <c r="G248" s="267"/>
      <c r="H248" s="267"/>
      <c r="I248" s="267"/>
      <c r="J248" s="267"/>
      <c r="K248" s="267"/>
      <c r="L248" s="267"/>
      <c r="M248" s="267"/>
      <c r="N248" s="267"/>
      <c r="O248" s="267"/>
      <c r="P248" s="267"/>
      <c r="Q248" s="267"/>
      <c r="R248" s="267"/>
      <c r="S248" s="267"/>
    </row>
    <row r="249" spans="1:19">
      <c r="A249" s="7"/>
      <c r="B249" s="7"/>
      <c r="C249" s="7"/>
      <c r="D249" s="7"/>
      <c r="E249" s="7"/>
      <c r="F249" s="7"/>
      <c r="G249" s="7"/>
      <c r="H249" s="7"/>
      <c r="I249" s="7"/>
      <c r="J249" s="7"/>
      <c r="K249" s="7"/>
      <c r="L249" s="7"/>
      <c r="M249" s="7"/>
      <c r="N249" s="7"/>
      <c r="O249" s="7"/>
      <c r="P249" s="7"/>
      <c r="Q249" s="7"/>
    </row>
    <row r="250" spans="1:19">
      <c r="A250" s="7"/>
      <c r="B250" s="1777" t="s">
        <v>1323</v>
      </c>
      <c r="C250" s="1777"/>
      <c r="D250" s="1777"/>
      <c r="E250" s="1777"/>
      <c r="F250" s="1777"/>
      <c r="G250" s="1777"/>
      <c r="H250" s="1777"/>
      <c r="I250" s="1777"/>
      <c r="J250" s="1777"/>
      <c r="K250" s="1777"/>
      <c r="L250" s="1777"/>
      <c r="M250" s="1777"/>
      <c r="N250" s="1777"/>
      <c r="O250" s="1777"/>
      <c r="P250" s="1777"/>
      <c r="Q250" s="1777"/>
    </row>
    <row r="251" spans="1:19">
      <c r="A251" s="7"/>
      <c r="B251" s="1777"/>
      <c r="C251" s="1777"/>
      <c r="D251" s="1777"/>
      <c r="E251" s="1777"/>
      <c r="F251" s="1777"/>
      <c r="G251" s="1777"/>
      <c r="H251" s="1777"/>
      <c r="I251" s="1777"/>
      <c r="J251" s="1777"/>
      <c r="K251" s="1777"/>
      <c r="L251" s="1777"/>
      <c r="M251" s="1777"/>
      <c r="N251" s="1777"/>
      <c r="O251" s="1777"/>
      <c r="P251" s="1777"/>
      <c r="Q251" s="1777"/>
    </row>
    <row r="252" spans="1:19">
      <c r="A252" s="7"/>
      <c r="B252" s="1777"/>
      <c r="C252" s="1777"/>
      <c r="D252" s="1777"/>
      <c r="E252" s="1777"/>
      <c r="F252" s="1777"/>
      <c r="G252" s="1777"/>
      <c r="H252" s="1777"/>
      <c r="I252" s="1777"/>
      <c r="J252" s="1777"/>
      <c r="K252" s="1777"/>
      <c r="L252" s="1777"/>
      <c r="M252" s="1777"/>
      <c r="N252" s="1777"/>
      <c r="O252" s="1777"/>
      <c r="P252" s="1777"/>
      <c r="Q252" s="1777"/>
    </row>
    <row r="253" spans="1:19">
      <c r="A253" s="7"/>
      <c r="B253" s="1777" t="s">
        <v>1324</v>
      </c>
      <c r="C253" s="1777"/>
      <c r="D253" s="1777"/>
      <c r="E253" s="1777"/>
      <c r="F253" s="1777"/>
      <c r="G253" s="1777"/>
      <c r="H253" s="1777"/>
      <c r="I253" s="1777"/>
      <c r="J253" s="1777"/>
      <c r="K253" s="1777"/>
      <c r="L253" s="1777"/>
      <c r="M253" s="1777"/>
      <c r="N253" s="1777"/>
      <c r="O253" s="1777"/>
      <c r="P253" s="1777"/>
      <c r="Q253" s="1777"/>
    </row>
    <row r="254" spans="1:19">
      <c r="A254" s="7"/>
      <c r="B254" s="1777"/>
      <c r="C254" s="1777"/>
      <c r="D254" s="1777"/>
      <c r="E254" s="1777"/>
      <c r="F254" s="1777"/>
      <c r="G254" s="1777"/>
      <c r="H254" s="1777"/>
      <c r="I254" s="1777"/>
      <c r="J254" s="1777"/>
      <c r="K254" s="1777"/>
      <c r="L254" s="1777"/>
      <c r="M254" s="1777"/>
      <c r="N254" s="1777"/>
      <c r="O254" s="1777"/>
      <c r="P254" s="1777"/>
      <c r="Q254" s="1777"/>
    </row>
    <row r="255" spans="1:19">
      <c r="A255" s="7"/>
      <c r="B255" s="1777"/>
      <c r="C255" s="1777"/>
      <c r="D255" s="1777"/>
      <c r="E255" s="1777"/>
      <c r="F255" s="1777"/>
      <c r="G255" s="1777"/>
      <c r="H255" s="1777"/>
      <c r="I255" s="1777"/>
      <c r="J255" s="1777"/>
      <c r="K255" s="1777"/>
      <c r="L255" s="1777"/>
      <c r="M255" s="1777"/>
      <c r="N255" s="1777"/>
      <c r="O255" s="1777"/>
      <c r="P255" s="1777"/>
      <c r="Q255" s="1777"/>
    </row>
    <row r="256" spans="1:19">
      <c r="A256" s="7"/>
      <c r="B256" s="1777" t="s">
        <v>1325</v>
      </c>
      <c r="C256" s="1777"/>
      <c r="D256" s="1777"/>
      <c r="E256" s="1777"/>
      <c r="F256" s="1777"/>
      <c r="G256" s="1777"/>
      <c r="H256" s="1777"/>
      <c r="I256" s="1777"/>
      <c r="J256" s="1777"/>
      <c r="K256" s="1777"/>
      <c r="L256" s="1777"/>
      <c r="M256" s="1777"/>
      <c r="N256" s="1777"/>
      <c r="O256" s="1777"/>
      <c r="P256" s="1777"/>
      <c r="Q256" s="1777"/>
    </row>
    <row r="257" spans="1:19">
      <c r="A257" s="7"/>
      <c r="B257" s="1777"/>
      <c r="C257" s="1777"/>
      <c r="D257" s="1777"/>
      <c r="E257" s="1777"/>
      <c r="F257" s="1777"/>
      <c r="G257" s="1777"/>
      <c r="H257" s="1777"/>
      <c r="I257" s="1777"/>
      <c r="J257" s="1777"/>
      <c r="K257" s="1777"/>
      <c r="L257" s="1777"/>
      <c r="M257" s="1777"/>
      <c r="N257" s="1777"/>
      <c r="O257" s="1777"/>
      <c r="P257" s="1777"/>
      <c r="Q257" s="1777"/>
    </row>
    <row r="258" spans="1:19">
      <c r="A258" s="7"/>
      <c r="B258" s="1777"/>
      <c r="C258" s="1777"/>
      <c r="D258" s="1777"/>
      <c r="E258" s="1777"/>
      <c r="F258" s="1777"/>
      <c r="G258" s="1777"/>
      <c r="H258" s="1777"/>
      <c r="I258" s="1777"/>
      <c r="J258" s="1777"/>
      <c r="K258" s="1777"/>
      <c r="L258" s="1777"/>
      <c r="M258" s="1777"/>
      <c r="N258" s="1777"/>
      <c r="O258" s="1777"/>
      <c r="P258" s="1777"/>
      <c r="Q258" s="1777"/>
    </row>
    <row r="259" spans="1:19">
      <c r="A259" s="7"/>
      <c r="B259" s="1777" t="s">
        <v>1326</v>
      </c>
      <c r="C259" s="1777"/>
      <c r="D259" s="1777"/>
      <c r="E259" s="1777"/>
      <c r="F259" s="1777"/>
      <c r="G259" s="1777"/>
      <c r="H259" s="1777"/>
      <c r="I259" s="1777"/>
      <c r="J259" s="1777"/>
      <c r="K259" s="1777"/>
      <c r="L259" s="1777"/>
      <c r="M259" s="1777"/>
      <c r="N259" s="1777"/>
      <c r="O259" s="1777"/>
      <c r="P259" s="1777"/>
      <c r="Q259" s="1777"/>
    </row>
    <row r="260" spans="1:19">
      <c r="A260" s="7"/>
      <c r="B260" s="1777"/>
      <c r="C260" s="1777"/>
      <c r="D260" s="1777"/>
      <c r="E260" s="1777"/>
      <c r="F260" s="1777"/>
      <c r="G260" s="1777"/>
      <c r="H260" s="1777"/>
      <c r="I260" s="1777"/>
      <c r="J260" s="1777"/>
      <c r="K260" s="1777"/>
      <c r="L260" s="1777"/>
      <c r="M260" s="1777"/>
      <c r="N260" s="1777"/>
      <c r="O260" s="1777"/>
      <c r="P260" s="1777"/>
      <c r="Q260" s="1777"/>
    </row>
    <row r="261" spans="1:19">
      <c r="A261" s="7"/>
      <c r="B261" s="608"/>
      <c r="C261" s="608"/>
      <c r="D261" s="608"/>
      <c r="E261" s="608"/>
      <c r="F261" s="608"/>
      <c r="G261" s="608"/>
      <c r="H261" s="608"/>
      <c r="I261" s="608"/>
      <c r="J261" s="608"/>
      <c r="K261" s="608"/>
      <c r="L261" s="608"/>
      <c r="M261" s="608"/>
      <c r="N261" s="608"/>
      <c r="O261" s="608"/>
      <c r="P261" s="608"/>
      <c r="Q261" s="608"/>
    </row>
    <row r="262" spans="1:19" ht="18">
      <c r="A262" s="267"/>
      <c r="B262" s="267" t="s">
        <v>883</v>
      </c>
      <c r="C262" s="267"/>
      <c r="D262" s="267"/>
      <c r="E262" s="267"/>
      <c r="F262" s="267"/>
      <c r="G262" s="267"/>
      <c r="H262" s="267"/>
      <c r="I262" s="267"/>
      <c r="J262" s="267"/>
      <c r="K262" s="267"/>
      <c r="L262" s="267"/>
      <c r="M262" s="267"/>
      <c r="N262" s="267"/>
      <c r="O262" s="267"/>
      <c r="P262" s="267"/>
      <c r="Q262" s="267"/>
      <c r="R262" s="267"/>
      <c r="S262" s="267"/>
    </row>
    <row r="263" spans="1:19">
      <c r="A263" s="7"/>
      <c r="B263" s="7"/>
      <c r="C263" s="7"/>
      <c r="D263" s="7"/>
      <c r="E263" s="7"/>
      <c r="F263" s="7"/>
      <c r="G263" s="7"/>
      <c r="H263" s="7"/>
      <c r="I263" s="7" t="s">
        <v>83</v>
      </c>
      <c r="J263" s="7"/>
      <c r="K263" s="7"/>
      <c r="L263" s="7"/>
      <c r="M263" s="7"/>
      <c r="N263" s="7"/>
      <c r="O263" s="7"/>
      <c r="P263" s="7"/>
      <c r="Q263" s="7"/>
    </row>
    <row r="264" spans="1:19" ht="12.75" customHeight="1">
      <c r="A264" s="7"/>
      <c r="B264" s="7" t="s">
        <v>9</v>
      </c>
      <c r="C264" s="1777" t="s">
        <v>1591</v>
      </c>
      <c r="D264" s="1777"/>
      <c r="E264" s="1777"/>
      <c r="F264" s="1777"/>
      <c r="G264" s="1777"/>
      <c r="H264" s="1777"/>
      <c r="I264" s="1777"/>
      <c r="J264" s="1777"/>
      <c r="K264" s="1777"/>
      <c r="L264" s="1777"/>
      <c r="M264" s="1777"/>
      <c r="N264" s="1777"/>
      <c r="O264" s="1777"/>
      <c r="P264" s="1777"/>
      <c r="Q264" s="1777"/>
    </row>
    <row r="265" spans="1:19">
      <c r="A265" s="7"/>
      <c r="B265" s="7"/>
      <c r="C265" s="1777"/>
      <c r="D265" s="1777"/>
      <c r="E265" s="1777"/>
      <c r="F265" s="1777"/>
      <c r="G265" s="1777"/>
      <c r="H265" s="1777"/>
      <c r="I265" s="1777"/>
      <c r="J265" s="1777"/>
      <c r="K265" s="1777"/>
      <c r="L265" s="1777"/>
      <c r="M265" s="1777"/>
      <c r="N265" s="1777"/>
      <c r="O265" s="1777"/>
      <c r="P265" s="1777"/>
      <c r="Q265" s="1777"/>
    </row>
    <row r="266" spans="1:19">
      <c r="A266" s="7"/>
      <c r="B266" s="7"/>
      <c r="C266" s="1777"/>
      <c r="D266" s="1777"/>
      <c r="E266" s="1777"/>
      <c r="F266" s="1777"/>
      <c r="G266" s="1777"/>
      <c r="H266" s="1777"/>
      <c r="I266" s="1777"/>
      <c r="J266" s="1777"/>
      <c r="K266" s="1777"/>
      <c r="L266" s="1777"/>
      <c r="M266" s="1777"/>
      <c r="N266" s="1777"/>
      <c r="O266" s="1777"/>
      <c r="P266" s="1777"/>
      <c r="Q266" s="1777"/>
    </row>
    <row r="267" spans="1:19">
      <c r="A267" s="7"/>
      <c r="B267" s="7"/>
      <c r="C267" s="1777"/>
      <c r="D267" s="1777"/>
      <c r="E267" s="1777"/>
      <c r="F267" s="1777"/>
      <c r="G267" s="1777"/>
      <c r="H267" s="1777"/>
      <c r="I267" s="1777"/>
      <c r="J267" s="1777"/>
      <c r="K267" s="1777"/>
      <c r="L267" s="1777"/>
      <c r="M267" s="1777"/>
      <c r="N267" s="1777"/>
      <c r="O267" s="1777"/>
      <c r="P267" s="1777"/>
      <c r="Q267" s="1777"/>
    </row>
    <row r="268" spans="1:19">
      <c r="A268" s="7"/>
      <c r="B268" s="7"/>
      <c r="C268" s="1777"/>
      <c r="D268" s="1777"/>
      <c r="E268" s="1777"/>
      <c r="F268" s="1777"/>
      <c r="G268" s="1777"/>
      <c r="H268" s="1777"/>
      <c r="I268" s="1777"/>
      <c r="J268" s="1777"/>
      <c r="K268" s="1777"/>
      <c r="L268" s="1777"/>
      <c r="M268" s="1777"/>
      <c r="N268" s="1777"/>
      <c r="O268" s="1777"/>
      <c r="P268" s="1777"/>
      <c r="Q268" s="1777"/>
    </row>
    <row r="269" spans="1:19">
      <c r="A269" s="7"/>
      <c r="B269" s="7"/>
      <c r="C269" s="1777"/>
      <c r="D269" s="1777"/>
      <c r="E269" s="1777"/>
      <c r="F269" s="1777"/>
      <c r="G269" s="1777"/>
      <c r="H269" s="1777"/>
      <c r="I269" s="1777"/>
      <c r="J269" s="1777"/>
      <c r="K269" s="1777"/>
      <c r="L269" s="1777"/>
      <c r="M269" s="1777"/>
      <c r="N269" s="1777"/>
      <c r="O269" s="1777"/>
      <c r="P269" s="1777"/>
      <c r="Q269" s="1777"/>
    </row>
    <row r="270" spans="1:19">
      <c r="A270" s="7"/>
      <c r="B270" s="7"/>
      <c r="C270" s="1777"/>
      <c r="D270" s="1777"/>
      <c r="E270" s="1777"/>
      <c r="F270" s="1777"/>
      <c r="G270" s="1777"/>
      <c r="H270" s="1777"/>
      <c r="I270" s="1777"/>
      <c r="J270" s="1777"/>
      <c r="K270" s="1777"/>
      <c r="L270" s="1777"/>
      <c r="M270" s="1777"/>
      <c r="N270" s="1777"/>
      <c r="O270" s="1777"/>
      <c r="P270" s="1777"/>
      <c r="Q270" s="1777"/>
    </row>
    <row r="271" spans="1:19">
      <c r="A271" s="7"/>
      <c r="B271" s="7"/>
      <c r="C271" s="1777"/>
      <c r="D271" s="1777"/>
      <c r="E271" s="1777"/>
      <c r="F271" s="1777"/>
      <c r="G271" s="1777"/>
      <c r="H271" s="1777"/>
      <c r="I271" s="1777"/>
      <c r="J271" s="1777"/>
      <c r="K271" s="1777"/>
      <c r="L271" s="1777"/>
      <c r="M271" s="1777"/>
      <c r="N271" s="1777"/>
      <c r="O271" s="1777"/>
      <c r="P271" s="1777"/>
      <c r="Q271" s="1777"/>
    </row>
    <row r="272" spans="1:19">
      <c r="A272" s="7"/>
      <c r="B272" s="7"/>
      <c r="C272" s="1777"/>
      <c r="D272" s="1777"/>
      <c r="E272" s="1777"/>
      <c r="F272" s="1777"/>
      <c r="G272" s="1777"/>
      <c r="H272" s="1777"/>
      <c r="I272" s="1777"/>
      <c r="J272" s="1777"/>
      <c r="K272" s="1777"/>
      <c r="L272" s="1777"/>
      <c r="M272" s="1777"/>
      <c r="N272" s="1777"/>
      <c r="O272" s="1777"/>
      <c r="P272" s="1777"/>
      <c r="Q272" s="1777"/>
    </row>
    <row r="273" spans="1:19">
      <c r="A273" s="7"/>
      <c r="B273" s="7"/>
      <c r="C273" s="1777"/>
      <c r="D273" s="1777"/>
      <c r="E273" s="1777"/>
      <c r="F273" s="1777"/>
      <c r="G273" s="1777"/>
      <c r="H273" s="1777"/>
      <c r="I273" s="1777"/>
      <c r="J273" s="1777"/>
      <c r="K273" s="1777"/>
      <c r="L273" s="1777"/>
      <c r="M273" s="1777"/>
      <c r="N273" s="1777"/>
      <c r="O273" s="1777"/>
      <c r="P273" s="1777"/>
      <c r="Q273" s="1777"/>
    </row>
    <row r="274" spans="1:19" ht="12.75" customHeight="1">
      <c r="A274" s="7"/>
      <c r="B274" s="7" t="s">
        <v>10</v>
      </c>
      <c r="C274" s="1777" t="s">
        <v>1327</v>
      </c>
      <c r="D274" s="1777"/>
      <c r="E274" s="1777"/>
      <c r="F274" s="1777"/>
      <c r="G274" s="1777"/>
      <c r="H274" s="1777"/>
      <c r="I274" s="1777"/>
      <c r="J274" s="1777"/>
      <c r="K274" s="1777"/>
      <c r="L274" s="1777"/>
      <c r="M274" s="1777"/>
      <c r="N274" s="1777"/>
      <c r="O274" s="1777"/>
      <c r="P274" s="1777"/>
      <c r="Q274" s="1777"/>
    </row>
    <row r="275" spans="1:19" ht="12.75" customHeight="1">
      <c r="A275" s="7"/>
      <c r="B275" s="7"/>
      <c r="C275" s="1777"/>
      <c r="D275" s="1777"/>
      <c r="E275" s="1777"/>
      <c r="F275" s="1777"/>
      <c r="G275" s="1777"/>
      <c r="H275" s="1777"/>
      <c r="I275" s="1777"/>
      <c r="J275" s="1777"/>
      <c r="K275" s="1777"/>
      <c r="L275" s="1777"/>
      <c r="M275" s="1777"/>
      <c r="N275" s="1777"/>
      <c r="O275" s="1777"/>
      <c r="P275" s="1777"/>
      <c r="Q275" s="1777"/>
    </row>
    <row r="276" spans="1:19">
      <c r="A276" s="7"/>
      <c r="B276" s="7"/>
      <c r="C276" s="1777"/>
      <c r="D276" s="1777"/>
      <c r="E276" s="1777"/>
      <c r="F276" s="1777"/>
      <c r="G276" s="1777"/>
      <c r="H276" s="1777"/>
      <c r="I276" s="1777"/>
      <c r="J276" s="1777"/>
      <c r="K276" s="1777"/>
      <c r="L276" s="1777"/>
      <c r="M276" s="1777"/>
      <c r="N276" s="1777"/>
      <c r="O276" s="1777"/>
      <c r="P276" s="1777"/>
      <c r="Q276" s="1777"/>
    </row>
    <row r="277" spans="1:19">
      <c r="E277" s="601"/>
      <c r="F277" s="601"/>
      <c r="G277" s="601"/>
      <c r="H277" s="601"/>
      <c r="I277" s="601"/>
      <c r="J277" s="601"/>
      <c r="K277" s="601"/>
      <c r="L277" s="601"/>
      <c r="M277" s="601"/>
      <c r="N277" s="601"/>
      <c r="O277" s="601"/>
      <c r="P277" s="601"/>
      <c r="Q277" s="601"/>
    </row>
    <row r="278" spans="1:19" ht="15.5">
      <c r="A278" s="455" t="s">
        <v>466</v>
      </c>
      <c r="B278" s="455"/>
      <c r="C278" s="455"/>
      <c r="D278" s="455"/>
      <c r="E278" s="456"/>
      <c r="F278" s="19"/>
      <c r="G278" s="19"/>
      <c r="H278" s="208"/>
      <c r="I278" s="19"/>
      <c r="J278" s="19"/>
      <c r="K278" s="19"/>
      <c r="L278" s="19"/>
      <c r="M278" s="19"/>
      <c r="N278" s="19"/>
      <c r="O278" s="19"/>
      <c r="P278" s="19"/>
      <c r="Q278" s="19"/>
      <c r="R278" s="19"/>
      <c r="S278" s="19"/>
    </row>
  </sheetData>
  <mergeCells count="66">
    <mergeCell ref="O65:O66"/>
    <mergeCell ref="I65:I66"/>
    <mergeCell ref="G65:G66"/>
    <mergeCell ref="E65:E66"/>
    <mergeCell ref="C65:C66"/>
    <mergeCell ref="E221:Q221"/>
    <mergeCell ref="C170:C171"/>
    <mergeCell ref="E170:E171"/>
    <mergeCell ref="G170:G171"/>
    <mergeCell ref="I170:I171"/>
    <mergeCell ref="O170:O171"/>
    <mergeCell ref="C62:Q62"/>
    <mergeCell ref="B250:Q252"/>
    <mergeCell ref="B253:Q255"/>
    <mergeCell ref="B256:Q258"/>
    <mergeCell ref="B259:Q260"/>
    <mergeCell ref="C206:C207"/>
    <mergeCell ref="E206:E207"/>
    <mergeCell ref="G206:G207"/>
    <mergeCell ref="I206:I207"/>
    <mergeCell ref="O206:O207"/>
    <mergeCell ref="G119:I120"/>
    <mergeCell ref="C129:Q129"/>
    <mergeCell ref="E203:Q203"/>
    <mergeCell ref="C167:Q167"/>
    <mergeCell ref="C134:C135"/>
    <mergeCell ref="E134:E135"/>
    <mergeCell ref="C264:Q273"/>
    <mergeCell ref="C274:Q276"/>
    <mergeCell ref="C224:C225"/>
    <mergeCell ref="E224:E225"/>
    <mergeCell ref="G224:I225"/>
    <mergeCell ref="E233:Q233"/>
    <mergeCell ref="E235:Q235"/>
    <mergeCell ref="C238:C239"/>
    <mergeCell ref="E238:E239"/>
    <mergeCell ref="G238:I239"/>
    <mergeCell ref="G134:G135"/>
    <mergeCell ref="I134:I135"/>
    <mergeCell ref="O134:O135"/>
    <mergeCell ref="C131:Q131"/>
    <mergeCell ref="C98:Q98"/>
    <mergeCell ref="C101:C102"/>
    <mergeCell ref="E101:E102"/>
    <mergeCell ref="G101:G102"/>
    <mergeCell ref="I101:I102"/>
    <mergeCell ref="O101:O102"/>
    <mergeCell ref="C116:Q116"/>
    <mergeCell ref="C119:C120"/>
    <mergeCell ref="E119:E120"/>
    <mergeCell ref="C44:Q44"/>
    <mergeCell ref="C47:C48"/>
    <mergeCell ref="E47:E48"/>
    <mergeCell ref="G47:G48"/>
    <mergeCell ref="I47:I48"/>
    <mergeCell ref="O47:O48"/>
    <mergeCell ref="C11:C12"/>
    <mergeCell ref="E11:E12"/>
    <mergeCell ref="G11:G12"/>
    <mergeCell ref="I11:I12"/>
    <mergeCell ref="O11:O12"/>
    <mergeCell ref="A1:S1"/>
    <mergeCell ref="A2:S2"/>
    <mergeCell ref="A3:S3"/>
    <mergeCell ref="C6:Q6"/>
    <mergeCell ref="C8:Q8"/>
  </mergeCells>
  <pageMargins left="0.7" right="0.7" top="0.75" bottom="0.75" header="0.3" footer="0.3"/>
  <pageSetup scale="52" orientation="landscape" r:id="rId1"/>
  <rowBreaks count="3" manualBreakCount="3">
    <brk id="60" max="18" man="1"/>
    <brk id="126" max="18" man="1"/>
    <brk id="20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CC475-AA29-4386-9524-C3072CF81C36}">
  <dimension ref="A1:ER411"/>
  <sheetViews>
    <sheetView view="pageBreakPreview" topLeftCell="A166" zoomScale="60" zoomScaleNormal="90" workbookViewId="0">
      <selection activeCell="Q1" sqref="A1:XFD1048576"/>
    </sheetView>
  </sheetViews>
  <sheetFormatPr defaultColWidth="9.1796875" defaultRowHeight="12.5"/>
  <cols>
    <col min="1" max="1" width="9.1796875" style="643" customWidth="1"/>
    <col min="2" max="2" width="9.453125" style="645" customWidth="1"/>
    <col min="3" max="3" width="75.26953125" style="645" customWidth="1"/>
    <col min="4" max="4" width="50.7265625" style="645" bestFit="1" customWidth="1"/>
    <col min="5" max="5" width="25.81640625" style="645" bestFit="1" customWidth="1"/>
    <col min="6" max="6" width="23.453125" style="643" bestFit="1" customWidth="1"/>
    <col min="7" max="7" width="23" style="643" bestFit="1" customWidth="1"/>
    <col min="8" max="9" width="21.453125" style="643" customWidth="1"/>
    <col min="10" max="10" width="25.453125" style="643" bestFit="1" customWidth="1"/>
    <col min="11" max="11" width="5.453125" style="643" customWidth="1"/>
    <col min="12" max="12" width="23" style="643" bestFit="1" customWidth="1"/>
    <col min="13" max="15" width="21.453125" style="643" customWidth="1"/>
    <col min="16" max="16" width="25.1796875" style="643" bestFit="1" customWidth="1"/>
    <col min="17" max="17" width="2.7265625" style="643" customWidth="1"/>
    <col min="18" max="18" width="26.54296875" style="643" customWidth="1"/>
    <col min="19" max="19" width="2.7265625" style="643" customWidth="1"/>
    <col min="20" max="20" width="21.453125" style="643" customWidth="1"/>
    <col min="21" max="21" width="2.7265625" style="643" customWidth="1"/>
    <col min="22" max="22" width="24.26953125" style="643" customWidth="1"/>
    <col min="23" max="23" width="2.7265625" style="643" customWidth="1"/>
    <col min="24" max="24" width="26.54296875" style="643" customWidth="1"/>
    <col min="25" max="25" width="2.7265625" style="643" customWidth="1"/>
    <col min="26" max="26" width="22.7265625" style="645" customWidth="1"/>
    <col min="27" max="27" width="2.7265625" style="643" customWidth="1"/>
    <col min="28" max="28" width="18.7265625" style="645" customWidth="1"/>
    <col min="29" max="29" width="2.7265625" style="643" customWidth="1"/>
    <col min="30" max="30" width="14.453125" style="643" customWidth="1"/>
    <col min="31" max="31" width="2.453125" style="643" customWidth="1"/>
    <col min="32" max="32" width="31.81640625" style="643" bestFit="1" customWidth="1"/>
    <col min="33" max="33" width="2.453125" style="643" customWidth="1"/>
    <col min="34" max="34" width="19.81640625" style="1517" customWidth="1"/>
    <col min="35" max="35" width="2.453125" style="644" customWidth="1"/>
    <col min="36" max="16384" width="9.1796875" style="643"/>
  </cols>
  <sheetData>
    <row r="1" spans="1:148" ht="13">
      <c r="A1" s="508" t="s">
        <v>1436</v>
      </c>
      <c r="B1" s="508"/>
      <c r="C1" s="643"/>
      <c r="D1" s="643"/>
      <c r="E1" s="643"/>
      <c r="X1" s="508"/>
      <c r="Z1" s="643"/>
      <c r="AB1" s="643"/>
    </row>
    <row r="2" spans="1:148" ht="13">
      <c r="A2" s="508" t="s">
        <v>1328</v>
      </c>
      <c r="B2" s="508"/>
      <c r="C2" s="643"/>
      <c r="D2" s="643"/>
      <c r="E2" s="643"/>
      <c r="X2" s="508"/>
      <c r="Z2" s="643"/>
      <c r="AB2" s="643"/>
    </row>
    <row r="3" spans="1:148" ht="13">
      <c r="A3" s="508" t="s">
        <v>1329</v>
      </c>
      <c r="B3" s="508"/>
      <c r="C3" s="643"/>
      <c r="D3" s="643"/>
      <c r="E3" s="643"/>
      <c r="Z3" s="643"/>
      <c r="AB3" s="643"/>
    </row>
    <row r="4" spans="1:148" ht="13">
      <c r="B4" s="508"/>
    </row>
    <row r="5" spans="1:148" s="666" customFormat="1" ht="19">
      <c r="B5" s="1782" t="s">
        <v>1291</v>
      </c>
      <c r="C5" s="1783"/>
      <c r="D5" s="1783"/>
      <c r="E5" s="1783"/>
      <c r="F5" s="1783"/>
      <c r="G5" s="1783"/>
      <c r="H5" s="1783"/>
      <c r="I5" s="1783"/>
      <c r="J5" s="1783"/>
      <c r="K5" s="1783"/>
      <c r="L5" s="1783"/>
      <c r="M5" s="1783"/>
      <c r="N5" s="1783"/>
      <c r="O5" s="1783"/>
      <c r="P5" s="1783"/>
      <c r="Q5" s="1783"/>
      <c r="R5" s="1783"/>
      <c r="S5" s="1783"/>
      <c r="T5" s="1783"/>
      <c r="U5" s="1783"/>
      <c r="V5" s="1783"/>
      <c r="W5" s="1783"/>
      <c r="X5" s="1783"/>
      <c r="Y5" s="1783"/>
      <c r="Z5" s="1783"/>
      <c r="AA5" s="1783"/>
      <c r="AB5" s="1783"/>
      <c r="AC5" s="1783"/>
      <c r="AD5" s="1783"/>
      <c r="AE5" s="1783"/>
      <c r="AF5" s="1783"/>
      <c r="AG5" s="1783"/>
      <c r="AH5" s="1784"/>
      <c r="AI5" s="667"/>
    </row>
    <row r="6" spans="1:148" ht="13">
      <c r="B6" s="508"/>
    </row>
    <row r="7" spans="1:148" s="492" customFormat="1" ht="15.5">
      <c r="B7" s="493"/>
      <c r="C7" s="493"/>
      <c r="D7" s="493"/>
      <c r="E7" s="493"/>
      <c r="F7" s="1785" t="s">
        <v>1330</v>
      </c>
      <c r="G7" s="1786"/>
      <c r="H7" s="1786"/>
      <c r="I7" s="1786"/>
      <c r="J7" s="1787"/>
      <c r="L7" s="1785" t="s">
        <v>1331</v>
      </c>
      <c r="M7" s="1786"/>
      <c r="N7" s="1786"/>
      <c r="O7" s="1786"/>
      <c r="P7" s="1787"/>
      <c r="R7" s="1785" t="s">
        <v>1332</v>
      </c>
      <c r="S7" s="1786"/>
      <c r="T7" s="1786"/>
      <c r="U7" s="1786"/>
      <c r="V7" s="1786"/>
      <c r="W7" s="1786"/>
      <c r="X7" s="1786"/>
      <c r="Y7" s="1786"/>
      <c r="Z7" s="1786"/>
      <c r="AA7" s="1786"/>
      <c r="AB7" s="1786"/>
      <c r="AC7" s="1786"/>
      <c r="AD7" s="1786"/>
      <c r="AE7" s="1786"/>
      <c r="AF7" s="1787"/>
      <c r="AG7" s="494"/>
      <c r="AH7" s="495"/>
      <c r="AI7" s="495"/>
    </row>
    <row r="8" spans="1:148" s="496" customFormat="1" ht="61.5" customHeight="1">
      <c r="B8" s="646" t="s">
        <v>545</v>
      </c>
      <c r="C8" s="647" t="s">
        <v>1333</v>
      </c>
      <c r="D8" s="647" t="s">
        <v>1157</v>
      </c>
      <c r="E8" s="646" t="s">
        <v>1334</v>
      </c>
      <c r="F8" s="646" t="s">
        <v>1335</v>
      </c>
      <c r="G8" s="646" t="s">
        <v>1336</v>
      </c>
      <c r="H8" s="646" t="s">
        <v>1337</v>
      </c>
      <c r="I8" s="646" t="s">
        <v>1338</v>
      </c>
      <c r="J8" s="646" t="s">
        <v>1339</v>
      </c>
      <c r="K8" s="646"/>
      <c r="L8" s="646" t="s">
        <v>1335</v>
      </c>
      <c r="M8" s="646" t="s">
        <v>1340</v>
      </c>
      <c r="N8" s="646" t="s">
        <v>1337</v>
      </c>
      <c r="O8" s="646" t="s">
        <v>1338</v>
      </c>
      <c r="P8" s="646" t="s">
        <v>1339</v>
      </c>
      <c r="Q8" s="646"/>
      <c r="R8" s="646" t="s">
        <v>1341</v>
      </c>
      <c r="S8" s="646"/>
      <c r="T8" s="646" t="s">
        <v>1021</v>
      </c>
      <c r="U8" s="646"/>
      <c r="V8" s="646" t="s">
        <v>1342</v>
      </c>
      <c r="W8" s="646"/>
      <c r="X8" s="646" t="s">
        <v>1343</v>
      </c>
      <c r="Y8" s="646"/>
      <c r="Z8" s="646" t="s">
        <v>1344</v>
      </c>
      <c r="AA8" s="646"/>
      <c r="AB8" s="646" t="s">
        <v>1345</v>
      </c>
      <c r="AC8" s="646"/>
      <c r="AD8" s="646" t="s">
        <v>1475</v>
      </c>
      <c r="AE8" s="646"/>
      <c r="AF8" s="646" t="s">
        <v>1346</v>
      </c>
      <c r="AG8" s="646"/>
      <c r="AH8" s="646" t="s">
        <v>1347</v>
      </c>
      <c r="AI8" s="643"/>
      <c r="AJ8" s="643"/>
      <c r="AK8" s="643"/>
      <c r="AL8" s="643"/>
      <c r="AM8" s="643"/>
      <c r="AN8" s="643"/>
      <c r="AO8" s="643"/>
      <c r="AP8" s="643"/>
      <c r="AQ8" s="643"/>
      <c r="AR8" s="643"/>
      <c r="AS8" s="643"/>
      <c r="AT8" s="643"/>
      <c r="AU8" s="643"/>
      <c r="AV8" s="643"/>
      <c r="AW8" s="643"/>
      <c r="AX8" s="643"/>
      <c r="AY8" s="643"/>
      <c r="AZ8" s="643"/>
      <c r="BA8" s="643"/>
      <c r="BB8" s="643"/>
      <c r="BC8" s="643"/>
      <c r="BD8" s="643"/>
      <c r="BE8" s="643"/>
      <c r="BF8" s="643"/>
      <c r="BG8" s="643"/>
      <c r="BH8" s="643"/>
      <c r="BI8" s="643"/>
      <c r="BJ8" s="643"/>
      <c r="BK8" s="643"/>
      <c r="BL8" s="643"/>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643"/>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3"/>
      <c r="DV8" s="643"/>
      <c r="DW8" s="643"/>
      <c r="DX8" s="643"/>
      <c r="DY8" s="643"/>
      <c r="DZ8" s="643"/>
      <c r="EA8" s="643"/>
      <c r="EB8" s="643"/>
      <c r="EC8" s="643"/>
      <c r="ED8" s="643"/>
      <c r="EE8" s="643"/>
      <c r="EF8" s="643"/>
      <c r="EG8" s="643"/>
      <c r="EH8" s="643"/>
      <c r="EI8" s="643"/>
      <c r="EJ8" s="643"/>
      <c r="EK8" s="643"/>
      <c r="EL8" s="643"/>
      <c r="EM8" s="643"/>
      <c r="EN8" s="643"/>
      <c r="EO8" s="643"/>
      <c r="EP8" s="643"/>
      <c r="EQ8" s="643"/>
      <c r="ER8" s="643"/>
    </row>
    <row r="9" spans="1:148" ht="15" customHeight="1">
      <c r="B9" s="497"/>
      <c r="C9" s="648" t="s">
        <v>164</v>
      </c>
      <c r="D9" s="649" t="s">
        <v>165</v>
      </c>
      <c r="E9" s="649" t="s">
        <v>1065</v>
      </c>
      <c r="F9" s="649" t="s">
        <v>1202</v>
      </c>
      <c r="G9" s="649" t="s">
        <v>1348</v>
      </c>
      <c r="H9" s="649" t="s">
        <v>1204</v>
      </c>
      <c r="I9" s="649" t="s">
        <v>1349</v>
      </c>
      <c r="J9" s="649" t="s">
        <v>1350</v>
      </c>
      <c r="K9" s="498"/>
      <c r="L9" s="649" t="s">
        <v>1207</v>
      </c>
      <c r="M9" s="649" t="s">
        <v>1351</v>
      </c>
      <c r="N9" s="649" t="s">
        <v>1209</v>
      </c>
      <c r="O9" s="649" t="s">
        <v>1352</v>
      </c>
      <c r="P9" s="649" t="s">
        <v>1353</v>
      </c>
      <c r="Q9" s="499"/>
      <c r="R9" s="649" t="s">
        <v>1354</v>
      </c>
      <c r="S9" s="649"/>
      <c r="T9" s="649" t="s">
        <v>1355</v>
      </c>
      <c r="U9" s="649"/>
      <c r="V9" s="649" t="s">
        <v>1356</v>
      </c>
      <c r="W9" s="649"/>
      <c r="X9" s="649" t="s">
        <v>1357</v>
      </c>
      <c r="Y9" s="649"/>
      <c r="Z9" s="649" t="s">
        <v>1358</v>
      </c>
      <c r="AA9" s="649"/>
      <c r="AB9" s="649" t="s">
        <v>1359</v>
      </c>
      <c r="AC9" s="649"/>
      <c r="AD9" s="649" t="s">
        <v>1360</v>
      </c>
      <c r="AE9" s="649"/>
      <c r="AF9" s="649" t="s">
        <v>1361</v>
      </c>
      <c r="AG9" s="649"/>
      <c r="AH9" s="649" t="s">
        <v>1362</v>
      </c>
      <c r="AI9" s="643"/>
    </row>
    <row r="10" spans="1:148" s="496" customFormat="1" ht="15" customHeight="1">
      <c r="B10" s="650"/>
      <c r="C10" s="650"/>
      <c r="D10" s="650"/>
      <c r="E10" s="649"/>
      <c r="F10" s="649"/>
      <c r="G10" s="649"/>
      <c r="H10" s="649"/>
      <c r="I10" s="649"/>
      <c r="J10" s="649"/>
      <c r="K10" s="649"/>
      <c r="L10" s="649"/>
      <c r="M10" s="649"/>
      <c r="N10" s="649"/>
      <c r="O10" s="649"/>
      <c r="P10" s="649"/>
      <c r="Q10" s="649"/>
      <c r="R10" s="649"/>
      <c r="S10" s="649"/>
      <c r="T10" s="649"/>
      <c r="U10" s="649"/>
      <c r="V10" s="649"/>
      <c r="W10" s="649"/>
      <c r="X10" s="649"/>
      <c r="Y10" s="649"/>
      <c r="Z10" s="649"/>
      <c r="AA10" s="649"/>
      <c r="AB10" s="649"/>
      <c r="AC10" s="649"/>
      <c r="AD10" s="649"/>
      <c r="AE10" s="649"/>
      <c r="AF10" s="649"/>
      <c r="AG10" s="649"/>
      <c r="AH10" s="649"/>
      <c r="AI10" s="649"/>
      <c r="AJ10" s="643"/>
      <c r="AK10" s="643"/>
      <c r="AL10" s="643"/>
      <c r="AM10" s="643"/>
      <c r="AN10" s="643"/>
      <c r="AO10" s="643"/>
      <c r="AP10" s="643"/>
      <c r="AQ10" s="643"/>
      <c r="AR10" s="643"/>
      <c r="AS10" s="643"/>
      <c r="AT10" s="643"/>
      <c r="AU10" s="643"/>
      <c r="AV10" s="643"/>
      <c r="AW10" s="643"/>
      <c r="AX10" s="643"/>
      <c r="AY10" s="643"/>
      <c r="AZ10" s="643"/>
      <c r="BA10" s="643"/>
      <c r="BB10" s="643"/>
      <c r="BC10" s="643"/>
      <c r="BD10" s="643"/>
      <c r="BE10" s="643"/>
      <c r="BF10" s="643"/>
      <c r="BG10" s="643"/>
      <c r="BH10" s="643"/>
      <c r="BI10" s="643"/>
      <c r="BJ10" s="643"/>
      <c r="BK10" s="643"/>
      <c r="BL10" s="643"/>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643"/>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3"/>
      <c r="DV10" s="643"/>
      <c r="DW10" s="643"/>
      <c r="DX10" s="643"/>
      <c r="DY10" s="643"/>
      <c r="DZ10" s="643"/>
      <c r="EA10" s="643"/>
      <c r="EB10" s="643"/>
      <c r="EC10" s="643"/>
      <c r="ED10" s="643"/>
      <c r="EE10" s="643"/>
      <c r="EF10" s="643"/>
      <c r="EG10" s="643"/>
      <c r="EH10" s="643"/>
      <c r="EI10" s="643"/>
      <c r="EJ10" s="643"/>
      <c r="EK10" s="643"/>
      <c r="EL10" s="643"/>
      <c r="EM10" s="643"/>
      <c r="EN10" s="643"/>
      <c r="EO10" s="643"/>
      <c r="EP10" s="643"/>
      <c r="EQ10" s="643"/>
      <c r="ER10" s="643"/>
    </row>
    <row r="11" spans="1:148" s="496" customFormat="1" ht="13">
      <c r="B11" s="650"/>
      <c r="C11" s="651" t="s">
        <v>1476</v>
      </c>
      <c r="D11" s="650"/>
      <c r="E11" s="649"/>
      <c r="F11" s="649"/>
      <c r="G11" s="649"/>
      <c r="H11" s="649"/>
      <c r="I11" s="649"/>
      <c r="J11" s="649"/>
      <c r="K11" s="649"/>
      <c r="L11" s="649"/>
      <c r="M11" s="649"/>
      <c r="N11" s="649"/>
      <c r="O11" s="649"/>
      <c r="P11" s="649"/>
      <c r="Q11" s="649"/>
      <c r="R11" s="649"/>
      <c r="S11" s="649"/>
      <c r="T11" s="649"/>
      <c r="U11" s="649"/>
      <c r="V11" s="649"/>
      <c r="W11" s="649"/>
      <c r="X11" s="649"/>
      <c r="Y11" s="649"/>
      <c r="Z11" s="649"/>
      <c r="AA11" s="649"/>
      <c r="AB11" s="649"/>
      <c r="AC11" s="649"/>
      <c r="AD11" s="649"/>
      <c r="AE11" s="649"/>
      <c r="AF11" s="649"/>
      <c r="AG11" s="649"/>
      <c r="AH11" s="649"/>
      <c r="AI11" s="649"/>
      <c r="AJ11" s="643"/>
      <c r="AK11" s="643"/>
      <c r="AL11" s="643"/>
      <c r="AM11" s="643"/>
      <c r="AN11" s="643"/>
      <c r="AO11" s="643"/>
      <c r="AP11" s="643"/>
      <c r="AQ11" s="643"/>
      <c r="AR11" s="643"/>
      <c r="AS11" s="643"/>
      <c r="AT11" s="643"/>
      <c r="AU11" s="643"/>
      <c r="AV11" s="643"/>
      <c r="AW11" s="643"/>
      <c r="AX11" s="643"/>
      <c r="AY11" s="643"/>
      <c r="AZ11" s="643"/>
      <c r="BA11" s="643"/>
      <c r="BB11" s="643"/>
      <c r="BC11" s="643"/>
      <c r="BD11" s="643"/>
      <c r="BE11" s="643"/>
      <c r="BF11" s="643"/>
      <c r="BG11" s="643"/>
      <c r="BH11" s="643"/>
      <c r="BI11" s="643"/>
      <c r="BJ11" s="643"/>
      <c r="BK11" s="643"/>
      <c r="BL11" s="643"/>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3"/>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row>
    <row r="12" spans="1:148">
      <c r="B12" s="352">
        <v>1</v>
      </c>
      <c r="C12" s="470" t="s">
        <v>1629</v>
      </c>
      <c r="D12" s="470" t="s">
        <v>1630</v>
      </c>
      <c r="E12" s="470" t="s">
        <v>1363</v>
      </c>
      <c r="F12" s="635">
        <v>722032.19</v>
      </c>
      <c r="G12" s="634">
        <f t="shared" ref="G12:G43" si="0">F12*0.35</f>
        <v>252711.26649999997</v>
      </c>
      <c r="H12" s="635">
        <v>61372.736149999997</v>
      </c>
      <c r="I12" s="634">
        <f t="shared" ref="I12:I43" si="1">H12*-0.35</f>
        <v>-21480.457652499997</v>
      </c>
      <c r="J12" s="634">
        <f t="shared" ref="J12:J43" si="2">G12+H12+I12</f>
        <v>292603.54499749996</v>
      </c>
      <c r="K12" s="632"/>
      <c r="L12" s="635">
        <f>F12</f>
        <v>722032.19</v>
      </c>
      <c r="M12" s="634">
        <f t="shared" ref="M12:M43" si="3">L12*0.21</f>
        <v>151626.75989999998</v>
      </c>
      <c r="N12" s="635">
        <v>61372.736149999997</v>
      </c>
      <c r="O12" s="634">
        <f t="shared" ref="O12:O43" si="4">N12*-0.21</f>
        <v>-12888.2745915</v>
      </c>
      <c r="P12" s="634">
        <f t="shared" ref="P12:P43" si="5">M12+N12+O12</f>
        <v>200111.22145849996</v>
      </c>
      <c r="R12" s="634">
        <f t="shared" ref="R12:R43" si="6">J12-P12</f>
        <v>92492.323539000005</v>
      </c>
      <c r="S12" s="632"/>
      <c r="T12" s="635">
        <v>0</v>
      </c>
      <c r="U12" s="632"/>
      <c r="V12" s="635">
        <v>0</v>
      </c>
      <c r="W12" s="632"/>
      <c r="X12" s="634">
        <f t="shared" ref="X12:X43" si="7">R12-T12-V12</f>
        <v>92492.323539000005</v>
      </c>
      <c r="Y12" s="632"/>
      <c r="Z12" s="478" t="s">
        <v>240</v>
      </c>
      <c r="AA12" s="631"/>
      <c r="AB12" s="478" t="s">
        <v>1807</v>
      </c>
      <c r="AC12" s="631"/>
      <c r="AD12" s="1727">
        <v>0</v>
      </c>
      <c r="AE12" s="631"/>
      <c r="AF12" s="634">
        <f t="shared" ref="AF12:AF17" si="8">X12*AD12</f>
        <v>0</v>
      </c>
      <c r="AG12" s="636"/>
      <c r="AH12" s="1510">
        <v>190</v>
      </c>
      <c r="AI12" s="352"/>
      <c r="AQ12" s="1718"/>
      <c r="AR12" s="1718"/>
      <c r="AS12" s="1718"/>
      <c r="AT12" s="1718"/>
      <c r="AU12" s="1718"/>
      <c r="BC12" s="1718"/>
      <c r="BD12" s="1718"/>
      <c r="BE12" s="1718"/>
      <c r="BF12" s="1718"/>
      <c r="BG12" s="1718"/>
      <c r="BH12" s="1718"/>
      <c r="BI12" s="1718"/>
      <c r="BJ12" s="1718"/>
      <c r="BK12" s="1718"/>
      <c r="BL12" s="1718"/>
      <c r="BM12" s="1718"/>
      <c r="BN12" s="660"/>
      <c r="BO12" s="660"/>
      <c r="BP12" s="660"/>
      <c r="BQ12" s="660"/>
      <c r="BR12" s="660"/>
      <c r="BS12" s="660"/>
    </row>
    <row r="13" spans="1:148">
      <c r="B13" s="352">
        <v>2</v>
      </c>
      <c r="C13" s="470" t="s">
        <v>1631</v>
      </c>
      <c r="D13" s="470" t="s">
        <v>1630</v>
      </c>
      <c r="E13" s="470" t="s">
        <v>1363</v>
      </c>
      <c r="F13" s="633">
        <v>2128198.2000000002</v>
      </c>
      <c r="G13" s="630">
        <f t="shared" si="0"/>
        <v>744869.37</v>
      </c>
      <c r="H13" s="633">
        <v>180896.84700000004</v>
      </c>
      <c r="I13" s="630">
        <f t="shared" si="1"/>
        <v>-63313.896450000007</v>
      </c>
      <c r="J13" s="630">
        <f t="shared" si="2"/>
        <v>862452.32055000006</v>
      </c>
      <c r="K13" s="652"/>
      <c r="L13" s="633">
        <f t="shared" ref="L13:L43" si="9">F13</f>
        <v>2128198.2000000002</v>
      </c>
      <c r="M13" s="630">
        <f t="shared" si="3"/>
        <v>446921.62200000003</v>
      </c>
      <c r="N13" s="633">
        <v>180896.84700000004</v>
      </c>
      <c r="O13" s="630">
        <f t="shared" si="4"/>
        <v>-37988.337870000003</v>
      </c>
      <c r="P13" s="630">
        <f t="shared" si="5"/>
        <v>589830.13112999999</v>
      </c>
      <c r="Q13" s="630"/>
      <c r="R13" s="630">
        <f t="shared" si="6"/>
        <v>272622.18942000007</v>
      </c>
      <c r="S13" s="652"/>
      <c r="T13" s="633">
        <v>0</v>
      </c>
      <c r="U13" s="652"/>
      <c r="V13" s="633">
        <v>0</v>
      </c>
      <c r="W13" s="652"/>
      <c r="X13" s="630">
        <f t="shared" si="7"/>
        <v>272622.18942000007</v>
      </c>
      <c r="Y13" s="632"/>
      <c r="Z13" s="478" t="s">
        <v>1808</v>
      </c>
      <c r="AA13" s="631"/>
      <c r="AB13" s="478" t="s">
        <v>1807</v>
      </c>
      <c r="AC13" s="631"/>
      <c r="AD13" s="1727">
        <v>0</v>
      </c>
      <c r="AE13" s="631"/>
      <c r="AF13" s="630">
        <f t="shared" si="8"/>
        <v>0</v>
      </c>
      <c r="AG13" s="298"/>
      <c r="AH13" s="1510">
        <v>190</v>
      </c>
      <c r="AI13" s="352"/>
      <c r="AQ13" s="1718"/>
      <c r="AR13" s="1718"/>
      <c r="AS13" s="1718"/>
      <c r="AT13" s="1718"/>
      <c r="AU13" s="1718"/>
      <c r="BC13" s="1718"/>
      <c r="BD13" s="1718"/>
      <c r="BE13" s="1718"/>
      <c r="BF13" s="1718"/>
      <c r="BG13" s="1718"/>
      <c r="BH13" s="1718"/>
      <c r="BI13" s="1718"/>
      <c r="BJ13" s="1718"/>
      <c r="BK13" s="1718"/>
      <c r="BL13" s="1718"/>
      <c r="BM13" s="1718"/>
      <c r="BN13" s="660"/>
      <c r="BO13" s="660"/>
      <c r="BP13" s="660"/>
      <c r="BQ13" s="660"/>
      <c r="BR13" s="660"/>
      <c r="BS13" s="660"/>
    </row>
    <row r="14" spans="1:148">
      <c r="B14" s="352">
        <v>3</v>
      </c>
      <c r="C14" s="470" t="s">
        <v>1632</v>
      </c>
      <c r="D14" s="470" t="s">
        <v>1630</v>
      </c>
      <c r="E14" s="470" t="s">
        <v>1363</v>
      </c>
      <c r="F14" s="633">
        <v>5630317.2699999996</v>
      </c>
      <c r="G14" s="630">
        <f t="shared" si="0"/>
        <v>1970611.0444999996</v>
      </c>
      <c r="H14" s="633">
        <v>478576.96795000002</v>
      </c>
      <c r="I14" s="630">
        <f t="shared" si="1"/>
        <v>-167501.93878249999</v>
      </c>
      <c r="J14" s="630">
        <f t="shared" si="2"/>
        <v>2281686.0736674997</v>
      </c>
      <c r="K14" s="652"/>
      <c r="L14" s="633">
        <f t="shared" si="9"/>
        <v>5630317.2699999996</v>
      </c>
      <c r="M14" s="630">
        <f t="shared" si="3"/>
        <v>1182366.6266999999</v>
      </c>
      <c r="N14" s="633">
        <v>478576.96795000002</v>
      </c>
      <c r="O14" s="630">
        <f t="shared" si="4"/>
        <v>-100501.1632695</v>
      </c>
      <c r="P14" s="630">
        <f t="shared" si="5"/>
        <v>1560442.4313804999</v>
      </c>
      <c r="Q14" s="630"/>
      <c r="R14" s="630">
        <f t="shared" si="6"/>
        <v>721243.64228699985</v>
      </c>
      <c r="S14" s="652"/>
      <c r="T14" s="633">
        <v>0</v>
      </c>
      <c r="U14" s="652"/>
      <c r="V14" s="633">
        <v>0</v>
      </c>
      <c r="W14" s="652"/>
      <c r="X14" s="630">
        <f t="shared" si="7"/>
        <v>721243.64228699985</v>
      </c>
      <c r="Y14" s="632"/>
      <c r="Z14" s="478" t="s">
        <v>1809</v>
      </c>
      <c r="AA14" s="631"/>
      <c r="AB14" s="478" t="s">
        <v>1807</v>
      </c>
      <c r="AC14" s="631"/>
      <c r="AD14" s="1727">
        <v>0</v>
      </c>
      <c r="AE14" s="631"/>
      <c r="AF14" s="630">
        <f t="shared" si="8"/>
        <v>0</v>
      </c>
      <c r="AG14" s="298"/>
      <c r="AH14" s="1510">
        <v>190</v>
      </c>
      <c r="AI14" s="352"/>
      <c r="AQ14" s="1718"/>
      <c r="AR14" s="1718"/>
      <c r="AS14" s="1718"/>
      <c r="AT14" s="1718"/>
      <c r="AU14" s="1718"/>
      <c r="BC14" s="1718"/>
      <c r="BD14" s="1718"/>
      <c r="BE14" s="1718"/>
      <c r="BF14" s="1718"/>
      <c r="BG14" s="1718"/>
      <c r="BH14" s="1718"/>
      <c r="BI14" s="1718"/>
      <c r="BJ14" s="1718"/>
      <c r="BK14" s="1718"/>
      <c r="BL14" s="1718"/>
      <c r="BM14" s="1718"/>
      <c r="BN14" s="660"/>
      <c r="BO14" s="660"/>
      <c r="BP14" s="660"/>
      <c r="BQ14" s="660"/>
      <c r="BR14" s="660"/>
      <c r="BS14" s="660"/>
    </row>
    <row r="15" spans="1:148">
      <c r="B15" s="352">
        <v>4</v>
      </c>
      <c r="C15" s="470" t="s">
        <v>1633</v>
      </c>
      <c r="D15" s="470" t="s">
        <v>1630</v>
      </c>
      <c r="E15" s="470" t="s">
        <v>1363</v>
      </c>
      <c r="F15" s="633">
        <v>6475628.3799999999</v>
      </c>
      <c r="G15" s="630">
        <f t="shared" si="0"/>
        <v>2266469.9329999997</v>
      </c>
      <c r="H15" s="633">
        <v>550428.41230000008</v>
      </c>
      <c r="I15" s="630">
        <f t="shared" si="1"/>
        <v>-192649.94430500001</v>
      </c>
      <c r="J15" s="630">
        <f t="shared" si="2"/>
        <v>2624248.4009949998</v>
      </c>
      <c r="K15" s="652"/>
      <c r="L15" s="633">
        <f t="shared" si="9"/>
        <v>6475628.3799999999</v>
      </c>
      <c r="M15" s="630">
        <f t="shared" si="3"/>
        <v>1359881.9597999998</v>
      </c>
      <c r="N15" s="633">
        <v>550428.41230000008</v>
      </c>
      <c r="O15" s="630">
        <f t="shared" si="4"/>
        <v>-115589.96658300002</v>
      </c>
      <c r="P15" s="630">
        <f t="shared" si="5"/>
        <v>1794720.4055169998</v>
      </c>
      <c r="Q15" s="630"/>
      <c r="R15" s="630">
        <f t="shared" si="6"/>
        <v>829527.99547800003</v>
      </c>
      <c r="S15" s="652"/>
      <c r="T15" s="633">
        <v>0</v>
      </c>
      <c r="U15" s="652"/>
      <c r="V15" s="633">
        <v>0</v>
      </c>
      <c r="W15" s="652"/>
      <c r="X15" s="630">
        <f t="shared" si="7"/>
        <v>829527.99547800003</v>
      </c>
      <c r="Y15" s="632"/>
      <c r="Z15" s="478" t="s">
        <v>1808</v>
      </c>
      <c r="AA15" s="631"/>
      <c r="AB15" s="478" t="s">
        <v>1807</v>
      </c>
      <c r="AC15" s="631"/>
      <c r="AD15" s="1727">
        <v>0</v>
      </c>
      <c r="AE15" s="631"/>
      <c r="AF15" s="630">
        <f t="shared" si="8"/>
        <v>0</v>
      </c>
      <c r="AG15" s="298"/>
      <c r="AH15" s="1510">
        <v>190</v>
      </c>
      <c r="AI15" s="352"/>
      <c r="AQ15" s="1718"/>
      <c r="AR15" s="1718"/>
      <c r="AS15" s="1718"/>
      <c r="AT15" s="1718"/>
      <c r="AU15" s="1718"/>
      <c r="BC15" s="1718"/>
      <c r="BD15" s="1718"/>
      <c r="BE15" s="1718"/>
      <c r="BF15" s="1718"/>
      <c r="BG15" s="1718"/>
      <c r="BH15" s="1718"/>
      <c r="BI15" s="1718"/>
      <c r="BJ15" s="1718"/>
      <c r="BK15" s="1718"/>
      <c r="BL15" s="1718"/>
      <c r="BM15" s="1718"/>
      <c r="BN15" s="660"/>
      <c r="BO15" s="660"/>
      <c r="BP15" s="660"/>
      <c r="BQ15" s="660"/>
      <c r="BR15" s="660"/>
      <c r="BS15" s="660"/>
    </row>
    <row r="16" spans="1:148">
      <c r="B16" s="352">
        <v>5</v>
      </c>
      <c r="C16" s="470" t="s">
        <v>1634</v>
      </c>
      <c r="D16" s="470" t="s">
        <v>1635</v>
      </c>
      <c r="E16" s="470" t="s">
        <v>1363</v>
      </c>
      <c r="F16" s="633">
        <v>2339147.6</v>
      </c>
      <c r="G16" s="630">
        <f t="shared" si="0"/>
        <v>818701.66</v>
      </c>
      <c r="H16" s="633">
        <v>0</v>
      </c>
      <c r="I16" s="630">
        <f t="shared" si="1"/>
        <v>0</v>
      </c>
      <c r="J16" s="630">
        <f t="shared" si="2"/>
        <v>818701.66</v>
      </c>
      <c r="K16" s="652"/>
      <c r="L16" s="633">
        <f t="shared" si="9"/>
        <v>2339147.6</v>
      </c>
      <c r="M16" s="630">
        <f t="shared" si="3"/>
        <v>491220.99599999998</v>
      </c>
      <c r="N16" s="633">
        <v>0</v>
      </c>
      <c r="O16" s="630">
        <f t="shared" si="4"/>
        <v>0</v>
      </c>
      <c r="P16" s="630">
        <f t="shared" si="5"/>
        <v>491220.99599999998</v>
      </c>
      <c r="Q16" s="630"/>
      <c r="R16" s="630">
        <f t="shared" si="6"/>
        <v>327480.66400000005</v>
      </c>
      <c r="S16" s="652"/>
      <c r="T16" s="633">
        <v>327480.66400000005</v>
      </c>
      <c r="U16" s="652"/>
      <c r="V16" s="633">
        <v>0</v>
      </c>
      <c r="W16" s="652"/>
      <c r="X16" s="630">
        <f t="shared" si="7"/>
        <v>0</v>
      </c>
      <c r="Y16" s="632"/>
      <c r="Z16" s="478" t="s">
        <v>240</v>
      </c>
      <c r="AA16" s="631"/>
      <c r="AB16" s="478" t="s">
        <v>1807</v>
      </c>
      <c r="AC16" s="631"/>
      <c r="AD16" s="1727">
        <v>0</v>
      </c>
      <c r="AE16" s="631"/>
      <c r="AF16" s="630">
        <f t="shared" si="8"/>
        <v>0</v>
      </c>
      <c r="AG16" s="298"/>
      <c r="AH16" s="1510">
        <v>190</v>
      </c>
      <c r="AI16" s="352"/>
      <c r="AQ16" s="1718"/>
      <c r="AR16" s="1718"/>
      <c r="AS16" s="1718"/>
      <c r="AT16" s="1718"/>
      <c r="AU16" s="1718"/>
      <c r="BC16" s="1718"/>
      <c r="BD16" s="1718"/>
      <c r="BE16" s="1718"/>
      <c r="BF16" s="1718"/>
      <c r="BG16" s="1718"/>
      <c r="BH16" s="1718"/>
      <c r="BI16" s="1718"/>
      <c r="BJ16" s="1718"/>
      <c r="BK16" s="1718"/>
      <c r="BL16" s="1718"/>
      <c r="BM16" s="1718"/>
      <c r="BN16" s="660"/>
      <c r="BO16" s="660"/>
      <c r="BP16" s="660"/>
      <c r="BQ16" s="660"/>
      <c r="BR16" s="660"/>
      <c r="BS16" s="660"/>
    </row>
    <row r="17" spans="2:71">
      <c r="B17" s="352">
        <v>6</v>
      </c>
      <c r="C17" s="470" t="s">
        <v>1636</v>
      </c>
      <c r="D17" s="470" t="s">
        <v>1635</v>
      </c>
      <c r="E17" s="470" t="s">
        <v>1363</v>
      </c>
      <c r="F17" s="633">
        <v>0</v>
      </c>
      <c r="G17" s="630">
        <f t="shared" si="0"/>
        <v>0</v>
      </c>
      <c r="H17" s="633">
        <v>65496.140920000005</v>
      </c>
      <c r="I17" s="630">
        <f t="shared" si="1"/>
        <v>-22923.649322000001</v>
      </c>
      <c r="J17" s="630">
        <f t="shared" si="2"/>
        <v>42572.491598000008</v>
      </c>
      <c r="K17" s="652"/>
      <c r="L17" s="633">
        <f t="shared" si="9"/>
        <v>0</v>
      </c>
      <c r="M17" s="630">
        <f t="shared" si="3"/>
        <v>0</v>
      </c>
      <c r="N17" s="633">
        <v>65496.140920000005</v>
      </c>
      <c r="O17" s="630">
        <f t="shared" si="4"/>
        <v>-13754.189593200001</v>
      </c>
      <c r="P17" s="630">
        <f t="shared" si="5"/>
        <v>51741.951326800001</v>
      </c>
      <c r="Q17" s="630"/>
      <c r="R17" s="630">
        <f t="shared" si="6"/>
        <v>-9169.4597287999932</v>
      </c>
      <c r="S17" s="652"/>
      <c r="T17" s="633">
        <v>-9169.4597288000023</v>
      </c>
      <c r="U17" s="652"/>
      <c r="V17" s="633">
        <v>0</v>
      </c>
      <c r="W17" s="652"/>
      <c r="X17" s="630">
        <f t="shared" si="7"/>
        <v>9.0949470177292824E-12</v>
      </c>
      <c r="Y17" s="632"/>
      <c r="Z17" s="478" t="s">
        <v>240</v>
      </c>
      <c r="AA17" s="631"/>
      <c r="AB17" s="478" t="s">
        <v>1807</v>
      </c>
      <c r="AC17" s="631"/>
      <c r="AD17" s="1727">
        <v>0</v>
      </c>
      <c r="AE17" s="631"/>
      <c r="AF17" s="630">
        <f t="shared" si="8"/>
        <v>0</v>
      </c>
      <c r="AG17" s="298"/>
      <c r="AH17" s="1510">
        <v>190</v>
      </c>
      <c r="AI17" s="352"/>
      <c r="AQ17" s="1718"/>
      <c r="AR17" s="1718"/>
      <c r="AS17" s="1718"/>
      <c r="AT17" s="1718"/>
      <c r="AU17" s="1718"/>
      <c r="BC17" s="1718"/>
      <c r="BD17" s="1718"/>
      <c r="BE17" s="1718"/>
      <c r="BF17" s="1718"/>
      <c r="BG17" s="1718"/>
      <c r="BH17" s="1718"/>
      <c r="BI17" s="1718"/>
      <c r="BJ17" s="1718"/>
      <c r="BK17" s="1718"/>
      <c r="BL17" s="1718"/>
      <c r="BM17" s="1718"/>
      <c r="BN17" s="660"/>
      <c r="BO17" s="660"/>
      <c r="BP17" s="660"/>
      <c r="BQ17" s="660"/>
      <c r="BR17" s="660"/>
      <c r="BS17" s="660"/>
    </row>
    <row r="18" spans="2:71">
      <c r="B18" s="352">
        <v>7</v>
      </c>
      <c r="C18" s="470" t="s">
        <v>1637</v>
      </c>
      <c r="D18" s="470" t="s">
        <v>1635</v>
      </c>
      <c r="E18" s="470" t="s">
        <v>1363</v>
      </c>
      <c r="F18" s="633">
        <v>0</v>
      </c>
      <c r="G18" s="630">
        <f t="shared" si="0"/>
        <v>0</v>
      </c>
      <c r="H18" s="633">
        <v>133331.42973</v>
      </c>
      <c r="I18" s="630">
        <f t="shared" si="1"/>
        <v>-46666.000405499995</v>
      </c>
      <c r="J18" s="630">
        <f t="shared" si="2"/>
        <v>86665.429324500001</v>
      </c>
      <c r="K18" s="652"/>
      <c r="L18" s="633">
        <f t="shared" si="9"/>
        <v>0</v>
      </c>
      <c r="M18" s="630">
        <f t="shared" si="3"/>
        <v>0</v>
      </c>
      <c r="N18" s="633">
        <v>133331.42973</v>
      </c>
      <c r="O18" s="630">
        <f t="shared" si="4"/>
        <v>-27999.600243299999</v>
      </c>
      <c r="P18" s="630">
        <f t="shared" si="5"/>
        <v>105331.82948670001</v>
      </c>
      <c r="Q18" s="630"/>
      <c r="R18" s="630">
        <f t="shared" si="6"/>
        <v>-18666.400162200007</v>
      </c>
      <c r="S18" s="652"/>
      <c r="T18" s="633">
        <v>-18666.400162200003</v>
      </c>
      <c r="U18" s="652"/>
      <c r="V18" s="633">
        <v>0</v>
      </c>
      <c r="W18" s="652"/>
      <c r="X18" s="630">
        <f t="shared" si="7"/>
        <v>-3.637978807091713E-12</v>
      </c>
      <c r="Y18" s="632"/>
      <c r="Z18" s="478" t="s">
        <v>240</v>
      </c>
      <c r="AA18" s="631"/>
      <c r="AB18" s="478" t="s">
        <v>1807</v>
      </c>
      <c r="AC18" s="631"/>
      <c r="AD18" s="1727">
        <v>0</v>
      </c>
      <c r="AE18" s="631"/>
      <c r="AF18" s="630">
        <v>0</v>
      </c>
      <c r="AG18" s="298"/>
      <c r="AH18" s="1510">
        <v>190</v>
      </c>
      <c r="AI18" s="352"/>
      <c r="AQ18" s="1718"/>
      <c r="AR18" s="1718"/>
      <c r="AS18" s="1718"/>
      <c r="AT18" s="1718"/>
      <c r="AU18" s="1718"/>
      <c r="BC18" s="1718"/>
      <c r="BD18" s="1718"/>
      <c r="BE18" s="1718"/>
      <c r="BF18" s="1718"/>
      <c r="BG18" s="1718"/>
      <c r="BH18" s="1718"/>
      <c r="BI18" s="1718"/>
      <c r="BJ18" s="1718"/>
      <c r="BK18" s="1718"/>
      <c r="BL18" s="1718"/>
      <c r="BM18" s="1718"/>
      <c r="BN18" s="660"/>
      <c r="BO18" s="660"/>
      <c r="BP18" s="660"/>
      <c r="BQ18" s="660"/>
      <c r="BR18" s="660"/>
      <c r="BS18" s="660"/>
    </row>
    <row r="19" spans="2:71">
      <c r="B19" s="352">
        <v>8</v>
      </c>
      <c r="C19" s="470" t="s">
        <v>1638</v>
      </c>
      <c r="D19" s="470" t="s">
        <v>1639</v>
      </c>
      <c r="E19" s="470" t="s">
        <v>1363</v>
      </c>
      <c r="F19" s="633">
        <v>1766350.81</v>
      </c>
      <c r="G19" s="630">
        <f t="shared" si="0"/>
        <v>618222.78350000002</v>
      </c>
      <c r="H19" s="633">
        <v>150139.81885000001</v>
      </c>
      <c r="I19" s="630">
        <f t="shared" si="1"/>
        <v>-52548.936597500004</v>
      </c>
      <c r="J19" s="630">
        <f t="shared" si="2"/>
        <v>715813.66575250006</v>
      </c>
      <c r="K19" s="652"/>
      <c r="L19" s="633">
        <f t="shared" si="9"/>
        <v>1766350.81</v>
      </c>
      <c r="M19" s="630">
        <f t="shared" si="3"/>
        <v>370933.67009999999</v>
      </c>
      <c r="N19" s="633">
        <v>150139.81885000001</v>
      </c>
      <c r="O19" s="630">
        <f t="shared" si="4"/>
        <v>-31529.361958500001</v>
      </c>
      <c r="P19" s="630">
        <f t="shared" si="5"/>
        <v>489544.12699150003</v>
      </c>
      <c r="Q19" s="630"/>
      <c r="R19" s="630">
        <f t="shared" si="6"/>
        <v>226269.53876100003</v>
      </c>
      <c r="S19" s="652"/>
      <c r="T19" s="633">
        <v>0</v>
      </c>
      <c r="U19" s="652"/>
      <c r="V19" s="633">
        <v>0</v>
      </c>
      <c r="W19" s="652"/>
      <c r="X19" s="630">
        <f t="shared" si="7"/>
        <v>226269.53876100003</v>
      </c>
      <c r="Y19" s="632"/>
      <c r="Z19" s="478" t="s">
        <v>240</v>
      </c>
      <c r="AA19" s="631"/>
      <c r="AB19" s="478" t="s">
        <v>1810</v>
      </c>
      <c r="AC19" s="631"/>
      <c r="AD19" s="1727">
        <v>6.0801999999999995E-2</v>
      </c>
      <c r="AE19" s="631"/>
      <c r="AF19" s="630">
        <f t="shared" ref="AF19:AF50" si="10">X19*AD19</f>
        <v>13757.640495746324</v>
      </c>
      <c r="AG19" s="298"/>
      <c r="AH19" s="1510">
        <v>190</v>
      </c>
      <c r="AI19" s="352"/>
      <c r="AQ19" s="1718"/>
      <c r="AR19" s="1718"/>
      <c r="AS19" s="1718"/>
      <c r="AT19" s="1718"/>
      <c r="AU19" s="1718"/>
      <c r="BC19" s="1718"/>
      <c r="BD19" s="1718"/>
      <c r="BE19" s="1718"/>
      <c r="BF19" s="1718"/>
      <c r="BG19" s="1718"/>
      <c r="BH19" s="1718"/>
      <c r="BI19" s="1718"/>
      <c r="BJ19" s="1718"/>
      <c r="BK19" s="1718"/>
      <c r="BL19" s="1718"/>
      <c r="BM19" s="1718"/>
      <c r="BN19" s="660"/>
      <c r="BO19" s="660"/>
      <c r="BP19" s="660"/>
      <c r="BQ19" s="660"/>
      <c r="BR19" s="660"/>
      <c r="BS19" s="660"/>
    </row>
    <row r="20" spans="2:71">
      <c r="B20" s="352">
        <v>9</v>
      </c>
      <c r="C20" s="470" t="s">
        <v>1640</v>
      </c>
      <c r="D20" s="470" t="s">
        <v>1639</v>
      </c>
      <c r="E20" s="470" t="s">
        <v>1363</v>
      </c>
      <c r="F20" s="633">
        <v>230355.28</v>
      </c>
      <c r="G20" s="630">
        <f t="shared" si="0"/>
        <v>80624.347999999998</v>
      </c>
      <c r="H20" s="633">
        <v>19580.198800000002</v>
      </c>
      <c r="I20" s="630">
        <f t="shared" si="1"/>
        <v>-6853.0695800000003</v>
      </c>
      <c r="J20" s="630">
        <f t="shared" si="2"/>
        <v>93351.477220000001</v>
      </c>
      <c r="K20" s="652"/>
      <c r="L20" s="633">
        <f t="shared" si="9"/>
        <v>230355.28</v>
      </c>
      <c r="M20" s="630">
        <f t="shared" si="3"/>
        <v>48374.608799999995</v>
      </c>
      <c r="N20" s="633">
        <v>19580.198800000002</v>
      </c>
      <c r="O20" s="630">
        <f t="shared" si="4"/>
        <v>-4111.8417479999998</v>
      </c>
      <c r="P20" s="630">
        <f t="shared" si="5"/>
        <v>63842.965852000001</v>
      </c>
      <c r="Q20" s="630"/>
      <c r="R20" s="630">
        <f t="shared" si="6"/>
        <v>29508.511367999999</v>
      </c>
      <c r="S20" s="652"/>
      <c r="T20" s="633">
        <v>0</v>
      </c>
      <c r="U20" s="652"/>
      <c r="V20" s="633">
        <v>0</v>
      </c>
      <c r="W20" s="652"/>
      <c r="X20" s="630">
        <f t="shared" si="7"/>
        <v>29508.511367999999</v>
      </c>
      <c r="Y20" s="632"/>
      <c r="Z20" s="478" t="s">
        <v>1811</v>
      </c>
      <c r="AA20" s="631"/>
      <c r="AB20" s="478" t="s">
        <v>1810</v>
      </c>
      <c r="AC20" s="631"/>
      <c r="AD20" s="1727">
        <v>0.31493199999999999</v>
      </c>
      <c r="AE20" s="631"/>
      <c r="AF20" s="630">
        <f t="shared" si="10"/>
        <v>9293.174502146976</v>
      </c>
      <c r="AG20" s="298"/>
      <c r="AH20" s="1510">
        <v>190</v>
      </c>
      <c r="AI20" s="352"/>
      <c r="AQ20" s="1718"/>
      <c r="AR20" s="1718"/>
      <c r="AS20" s="1718"/>
      <c r="AT20" s="1718"/>
      <c r="AU20" s="1718"/>
      <c r="BC20" s="1718"/>
      <c r="BD20" s="1718"/>
      <c r="BE20" s="1718"/>
      <c r="BF20" s="1718"/>
      <c r="BG20" s="1718"/>
      <c r="BH20" s="1718"/>
      <c r="BI20" s="1718"/>
      <c r="BJ20" s="1718"/>
      <c r="BK20" s="1718"/>
      <c r="BL20" s="1718"/>
      <c r="BM20" s="1718"/>
      <c r="BN20" s="660"/>
      <c r="BO20" s="660"/>
      <c r="BP20" s="660"/>
      <c r="BQ20" s="660"/>
      <c r="BR20" s="660"/>
      <c r="BS20" s="660"/>
    </row>
    <row r="21" spans="2:71">
      <c r="B21" s="352">
        <v>10</v>
      </c>
      <c r="C21" s="470" t="s">
        <v>1641</v>
      </c>
      <c r="D21" s="470" t="s">
        <v>1642</v>
      </c>
      <c r="E21" s="470" t="s">
        <v>1363</v>
      </c>
      <c r="F21" s="633">
        <v>2744836</v>
      </c>
      <c r="G21" s="630">
        <f t="shared" si="0"/>
        <v>960692.6</v>
      </c>
      <c r="H21" s="633">
        <v>233311.06000000003</v>
      </c>
      <c r="I21" s="630">
        <f t="shared" si="1"/>
        <v>-81658.870999999999</v>
      </c>
      <c r="J21" s="630">
        <f t="shared" si="2"/>
        <v>1112344.7889999999</v>
      </c>
      <c r="K21" s="652"/>
      <c r="L21" s="633">
        <f t="shared" si="9"/>
        <v>2744836</v>
      </c>
      <c r="M21" s="630">
        <f t="shared" si="3"/>
        <v>576415.55999999994</v>
      </c>
      <c r="N21" s="633">
        <v>233311.06000000003</v>
      </c>
      <c r="O21" s="630">
        <f t="shared" si="4"/>
        <v>-48995.322600000007</v>
      </c>
      <c r="P21" s="630">
        <f t="shared" si="5"/>
        <v>760731.29740000004</v>
      </c>
      <c r="Q21" s="630"/>
      <c r="R21" s="630">
        <f t="shared" si="6"/>
        <v>351613.49159999983</v>
      </c>
      <c r="S21" s="652"/>
      <c r="T21" s="633">
        <v>351613.49160000001</v>
      </c>
      <c r="U21" s="652"/>
      <c r="V21" s="633">
        <v>0</v>
      </c>
      <c r="W21" s="652"/>
      <c r="X21" s="630">
        <f t="shared" si="7"/>
        <v>-1.7462298274040222E-10</v>
      </c>
      <c r="Y21" s="632"/>
      <c r="Z21" s="478" t="s">
        <v>1811</v>
      </c>
      <c r="AA21" s="631"/>
      <c r="AB21" s="478" t="s">
        <v>1807</v>
      </c>
      <c r="AC21" s="631"/>
      <c r="AD21" s="1727">
        <v>0</v>
      </c>
      <c r="AE21" s="631"/>
      <c r="AF21" s="630">
        <f t="shared" si="10"/>
        <v>0</v>
      </c>
      <c r="AG21" s="298"/>
      <c r="AH21" s="1510">
        <v>190</v>
      </c>
      <c r="AI21" s="352"/>
      <c r="AQ21" s="1718"/>
      <c r="AR21" s="1718"/>
      <c r="AS21" s="1718"/>
      <c r="AT21" s="1718"/>
      <c r="AU21" s="1718"/>
      <c r="BC21" s="1718"/>
      <c r="BD21" s="1718"/>
      <c r="BE21" s="1718"/>
      <c r="BF21" s="1718"/>
      <c r="BG21" s="1718"/>
      <c r="BH21" s="1718"/>
      <c r="BI21" s="1718"/>
      <c r="BJ21" s="1718"/>
      <c r="BK21" s="1718"/>
      <c r="BL21" s="1718"/>
      <c r="BM21" s="1718"/>
      <c r="BN21" s="660"/>
      <c r="BO21" s="660"/>
      <c r="BP21" s="660"/>
      <c r="BQ21" s="660"/>
      <c r="BR21" s="660"/>
      <c r="BS21" s="660"/>
    </row>
    <row r="22" spans="2:71">
      <c r="B22" s="352">
        <v>11</v>
      </c>
      <c r="C22" s="470" t="s">
        <v>1643</v>
      </c>
      <c r="D22" s="470" t="s">
        <v>1644</v>
      </c>
      <c r="E22" s="470" t="s">
        <v>1363</v>
      </c>
      <c r="F22" s="633">
        <v>708000</v>
      </c>
      <c r="G22" s="630">
        <f t="shared" si="0"/>
        <v>247799.99999999997</v>
      </c>
      <c r="H22" s="633">
        <v>60180.000000000007</v>
      </c>
      <c r="I22" s="630">
        <f t="shared" si="1"/>
        <v>-21063</v>
      </c>
      <c r="J22" s="630">
        <f t="shared" si="2"/>
        <v>286917</v>
      </c>
      <c r="K22" s="652"/>
      <c r="L22" s="633">
        <f t="shared" si="9"/>
        <v>708000</v>
      </c>
      <c r="M22" s="630">
        <f t="shared" si="3"/>
        <v>148680</v>
      </c>
      <c r="N22" s="633">
        <v>60180.000000000007</v>
      </c>
      <c r="O22" s="630">
        <f t="shared" si="4"/>
        <v>-12637.800000000001</v>
      </c>
      <c r="P22" s="630">
        <f t="shared" si="5"/>
        <v>196222.2</v>
      </c>
      <c r="Q22" s="630"/>
      <c r="R22" s="630">
        <f t="shared" si="6"/>
        <v>90694.799999999988</v>
      </c>
      <c r="S22" s="652"/>
      <c r="T22" s="633">
        <v>0</v>
      </c>
      <c r="U22" s="652"/>
      <c r="V22" s="633">
        <v>0</v>
      </c>
      <c r="W22" s="652"/>
      <c r="X22" s="630">
        <f t="shared" si="7"/>
        <v>90694.799999999988</v>
      </c>
      <c r="Y22" s="632"/>
      <c r="Z22" s="478" t="s">
        <v>1811</v>
      </c>
      <c r="AA22" s="631"/>
      <c r="AB22" s="478" t="s">
        <v>1810</v>
      </c>
      <c r="AC22" s="631"/>
      <c r="AD22" s="1727">
        <v>0.31493199999999999</v>
      </c>
      <c r="AE22" s="631"/>
      <c r="AF22" s="630">
        <f t="shared" si="10"/>
        <v>28562.694753599997</v>
      </c>
      <c r="AG22" s="298"/>
      <c r="AH22" s="1510">
        <v>190</v>
      </c>
      <c r="AI22" s="352"/>
      <c r="AQ22" s="1718"/>
      <c r="AR22" s="1718"/>
      <c r="AS22" s="1718"/>
      <c r="AT22" s="1718"/>
      <c r="AU22" s="1718"/>
      <c r="BC22" s="1718"/>
      <c r="BD22" s="1718"/>
      <c r="BE22" s="1718"/>
      <c r="BF22" s="1718"/>
      <c r="BG22" s="1718"/>
      <c r="BH22" s="1718"/>
      <c r="BI22" s="1718"/>
      <c r="BJ22" s="1718"/>
      <c r="BK22" s="1718"/>
      <c r="BL22" s="1718"/>
      <c r="BM22" s="1718"/>
      <c r="BN22" s="660"/>
      <c r="BO22" s="660"/>
      <c r="BP22" s="660"/>
      <c r="BQ22" s="660"/>
      <c r="BR22" s="660"/>
      <c r="BS22" s="660"/>
    </row>
    <row r="23" spans="2:71">
      <c r="B23" s="352">
        <v>12</v>
      </c>
      <c r="C23" s="470" t="s">
        <v>1645</v>
      </c>
      <c r="D23" s="470" t="s">
        <v>1644</v>
      </c>
      <c r="E23" s="470" t="s">
        <v>1363</v>
      </c>
      <c r="F23" s="633">
        <v>536932.43000000005</v>
      </c>
      <c r="G23" s="630">
        <f t="shared" si="0"/>
        <v>187926.3505</v>
      </c>
      <c r="H23" s="633">
        <v>45639.256550000006</v>
      </c>
      <c r="I23" s="630">
        <f t="shared" si="1"/>
        <v>-15973.7397925</v>
      </c>
      <c r="J23" s="630">
        <f t="shared" si="2"/>
        <v>217591.86725749998</v>
      </c>
      <c r="K23" s="652"/>
      <c r="L23" s="633">
        <f t="shared" si="9"/>
        <v>536932.43000000005</v>
      </c>
      <c r="M23" s="630">
        <f t="shared" si="3"/>
        <v>112755.81030000001</v>
      </c>
      <c r="N23" s="633">
        <v>45639.256550000006</v>
      </c>
      <c r="O23" s="630">
        <f t="shared" si="4"/>
        <v>-9584.2438755000003</v>
      </c>
      <c r="P23" s="630">
        <f t="shared" si="5"/>
        <v>148810.82297450001</v>
      </c>
      <c r="Q23" s="630"/>
      <c r="R23" s="630">
        <f t="shared" si="6"/>
        <v>68781.044282999967</v>
      </c>
      <c r="S23" s="652"/>
      <c r="T23" s="633">
        <v>0</v>
      </c>
      <c r="U23" s="652"/>
      <c r="V23" s="633">
        <v>0</v>
      </c>
      <c r="W23" s="652"/>
      <c r="X23" s="630">
        <f t="shared" si="7"/>
        <v>68781.044282999967</v>
      </c>
      <c r="Y23" s="632"/>
      <c r="Z23" s="478" t="s">
        <v>1811</v>
      </c>
      <c r="AA23" s="631"/>
      <c r="AB23" s="478" t="s">
        <v>1807</v>
      </c>
      <c r="AC23" s="631"/>
      <c r="AD23" s="1727">
        <v>0</v>
      </c>
      <c r="AE23" s="631"/>
      <c r="AF23" s="630">
        <f t="shared" si="10"/>
        <v>0</v>
      </c>
      <c r="AG23" s="298"/>
      <c r="AH23" s="1510">
        <v>190</v>
      </c>
      <c r="AI23" s="352"/>
      <c r="AQ23" s="1718"/>
      <c r="AR23" s="1718"/>
      <c r="AS23" s="1718"/>
      <c r="AT23" s="1718"/>
      <c r="AU23" s="1718"/>
      <c r="BC23" s="1718"/>
      <c r="BD23" s="1718"/>
      <c r="BE23" s="1718"/>
      <c r="BF23" s="1718"/>
      <c r="BG23" s="1718"/>
      <c r="BH23" s="1718"/>
      <c r="BI23" s="1718"/>
      <c r="BJ23" s="1718"/>
      <c r="BK23" s="1718"/>
      <c r="BL23" s="1718"/>
      <c r="BM23" s="1718"/>
      <c r="BN23" s="660"/>
      <c r="BO23" s="660"/>
      <c r="BP23" s="660"/>
      <c r="BQ23" s="660"/>
      <c r="BR23" s="660"/>
      <c r="BS23" s="660"/>
    </row>
    <row r="24" spans="2:71">
      <c r="B24" s="352">
        <v>13</v>
      </c>
      <c r="C24" s="470" t="s">
        <v>1646</v>
      </c>
      <c r="D24" s="470" t="s">
        <v>1644</v>
      </c>
      <c r="E24" s="470" t="s">
        <v>1363</v>
      </c>
      <c r="F24" s="633">
        <v>-708000</v>
      </c>
      <c r="G24" s="630">
        <f t="shared" si="0"/>
        <v>-247799.99999999997</v>
      </c>
      <c r="H24" s="633">
        <v>-60180.000000000007</v>
      </c>
      <c r="I24" s="630">
        <f t="shared" si="1"/>
        <v>21063</v>
      </c>
      <c r="J24" s="630">
        <f t="shared" si="2"/>
        <v>-286917</v>
      </c>
      <c r="K24" s="652"/>
      <c r="L24" s="633">
        <f t="shared" si="9"/>
        <v>-708000</v>
      </c>
      <c r="M24" s="630">
        <f t="shared" si="3"/>
        <v>-148680</v>
      </c>
      <c r="N24" s="633">
        <v>-60180.000000000007</v>
      </c>
      <c r="O24" s="630">
        <f t="shared" si="4"/>
        <v>12637.800000000001</v>
      </c>
      <c r="P24" s="630">
        <f t="shared" si="5"/>
        <v>-196222.2</v>
      </c>
      <c r="Q24" s="630"/>
      <c r="R24" s="630">
        <f t="shared" si="6"/>
        <v>-90694.799999999988</v>
      </c>
      <c r="S24" s="652"/>
      <c r="T24" s="633">
        <v>0</v>
      </c>
      <c r="U24" s="652"/>
      <c r="V24" s="633">
        <v>0</v>
      </c>
      <c r="W24" s="652"/>
      <c r="X24" s="630">
        <f t="shared" si="7"/>
        <v>-90694.799999999988</v>
      </c>
      <c r="Y24" s="632"/>
      <c r="Z24" s="478" t="s">
        <v>1811</v>
      </c>
      <c r="AA24" s="631"/>
      <c r="AB24" s="478" t="s">
        <v>1810</v>
      </c>
      <c r="AC24" s="631"/>
      <c r="AD24" s="1727">
        <v>0.31493199999999999</v>
      </c>
      <c r="AE24" s="631"/>
      <c r="AF24" s="630">
        <f t="shared" si="10"/>
        <v>-28562.694753599997</v>
      </c>
      <c r="AG24" s="298"/>
      <c r="AH24" s="1510">
        <v>190</v>
      </c>
      <c r="AI24" s="352"/>
      <c r="AQ24" s="1718"/>
      <c r="AR24" s="1718"/>
      <c r="AS24" s="1718"/>
      <c r="AT24" s="1718"/>
      <c r="AU24" s="1718"/>
      <c r="BC24" s="1718"/>
      <c r="BD24" s="1718"/>
      <c r="BE24" s="1718"/>
      <c r="BF24" s="1718"/>
      <c r="BG24" s="1718"/>
      <c r="BH24" s="1718"/>
      <c r="BI24" s="1718"/>
      <c r="BJ24" s="1718"/>
      <c r="BK24" s="1718"/>
      <c r="BL24" s="1718"/>
      <c r="BM24" s="1718"/>
      <c r="BN24" s="660"/>
      <c r="BO24" s="660"/>
      <c r="BP24" s="660"/>
      <c r="BQ24" s="660"/>
      <c r="BR24" s="660"/>
      <c r="BS24" s="660"/>
    </row>
    <row r="25" spans="2:71">
      <c r="B25" s="352">
        <v>14</v>
      </c>
      <c r="C25" s="470" t="s">
        <v>1647</v>
      </c>
      <c r="D25" s="470" t="s">
        <v>1644</v>
      </c>
      <c r="E25" s="470" t="s">
        <v>1363</v>
      </c>
      <c r="F25" s="633">
        <v>1306782.04</v>
      </c>
      <c r="G25" s="630">
        <f t="shared" si="0"/>
        <v>457373.71399999998</v>
      </c>
      <c r="H25" s="633">
        <v>111076.47340000002</v>
      </c>
      <c r="I25" s="630">
        <f t="shared" si="1"/>
        <v>-38876.76569</v>
      </c>
      <c r="J25" s="630">
        <f t="shared" si="2"/>
        <v>529573.42170999991</v>
      </c>
      <c r="K25" s="652"/>
      <c r="L25" s="633">
        <f t="shared" si="9"/>
        <v>1306782.04</v>
      </c>
      <c r="M25" s="630">
        <f t="shared" si="3"/>
        <v>274424.22840000002</v>
      </c>
      <c r="N25" s="633">
        <v>111076.47340000002</v>
      </c>
      <c r="O25" s="630">
        <f t="shared" si="4"/>
        <v>-23326.059414000003</v>
      </c>
      <c r="P25" s="630">
        <f t="shared" si="5"/>
        <v>362174.64238600002</v>
      </c>
      <c r="Q25" s="630"/>
      <c r="R25" s="630">
        <f t="shared" si="6"/>
        <v>167398.77932399989</v>
      </c>
      <c r="S25" s="652"/>
      <c r="T25" s="633">
        <v>0</v>
      </c>
      <c r="U25" s="652"/>
      <c r="V25" s="633">
        <v>0</v>
      </c>
      <c r="W25" s="652"/>
      <c r="X25" s="630">
        <f t="shared" si="7"/>
        <v>167398.77932399989</v>
      </c>
      <c r="Y25" s="632"/>
      <c r="Z25" s="478" t="s">
        <v>1811</v>
      </c>
      <c r="AA25" s="631"/>
      <c r="AB25" s="478" t="s">
        <v>1810</v>
      </c>
      <c r="AC25" s="631"/>
      <c r="AD25" s="1727">
        <v>0.31493199999999999</v>
      </c>
      <c r="AE25" s="631"/>
      <c r="AF25" s="630">
        <f t="shared" si="10"/>
        <v>52719.232370065933</v>
      </c>
      <c r="AG25" s="298"/>
      <c r="AH25" s="1510">
        <v>190</v>
      </c>
      <c r="AI25" s="352"/>
      <c r="AQ25" s="1718"/>
      <c r="AR25" s="1718"/>
      <c r="AS25" s="1718"/>
      <c r="AT25" s="1718"/>
      <c r="AU25" s="1718"/>
      <c r="BC25" s="1718"/>
      <c r="BD25" s="1718"/>
      <c r="BE25" s="1718"/>
      <c r="BF25" s="1718"/>
      <c r="BG25" s="1718"/>
      <c r="BH25" s="1718"/>
      <c r="BI25" s="1718"/>
      <c r="BJ25" s="1718"/>
      <c r="BK25" s="1718"/>
      <c r="BL25" s="1718"/>
      <c r="BM25" s="1718"/>
      <c r="BN25" s="660"/>
      <c r="BO25" s="660"/>
      <c r="BP25" s="660"/>
      <c r="BQ25" s="660"/>
      <c r="BR25" s="660"/>
      <c r="BS25" s="660"/>
    </row>
    <row r="26" spans="2:71">
      <c r="B26" s="352">
        <v>15</v>
      </c>
      <c r="C26" s="470" t="s">
        <v>1648</v>
      </c>
      <c r="D26" s="470" t="s">
        <v>1649</v>
      </c>
      <c r="E26" s="470" t="s">
        <v>1363</v>
      </c>
      <c r="F26" s="633">
        <v>4808008</v>
      </c>
      <c r="G26" s="630">
        <f t="shared" si="0"/>
        <v>1682802.7999999998</v>
      </c>
      <c r="H26" s="633">
        <v>408680.68000000005</v>
      </c>
      <c r="I26" s="630">
        <f t="shared" si="1"/>
        <v>-143038.23800000001</v>
      </c>
      <c r="J26" s="630">
        <f t="shared" si="2"/>
        <v>1948445.2420000001</v>
      </c>
      <c r="K26" s="652"/>
      <c r="L26" s="633">
        <f t="shared" si="9"/>
        <v>4808008</v>
      </c>
      <c r="M26" s="630">
        <f t="shared" si="3"/>
        <v>1009681.6799999999</v>
      </c>
      <c r="N26" s="633">
        <v>408680.68000000005</v>
      </c>
      <c r="O26" s="630">
        <f t="shared" si="4"/>
        <v>-85822.942800000004</v>
      </c>
      <c r="P26" s="630">
        <f t="shared" si="5"/>
        <v>1332539.4171999998</v>
      </c>
      <c r="Q26" s="630"/>
      <c r="R26" s="630">
        <f t="shared" si="6"/>
        <v>615905.82480000029</v>
      </c>
      <c r="S26" s="652"/>
      <c r="T26" s="633">
        <v>615905.82480000006</v>
      </c>
      <c r="U26" s="652"/>
      <c r="V26" s="633">
        <v>0</v>
      </c>
      <c r="W26" s="652"/>
      <c r="X26" s="630">
        <f t="shared" si="7"/>
        <v>2.3283064365386963E-10</v>
      </c>
      <c r="Y26" s="632"/>
      <c r="Z26" s="478" t="s">
        <v>1811</v>
      </c>
      <c r="AA26" s="631"/>
      <c r="AB26" s="478" t="s">
        <v>1807</v>
      </c>
      <c r="AC26" s="631"/>
      <c r="AD26" s="1727">
        <v>0</v>
      </c>
      <c r="AE26" s="631"/>
      <c r="AF26" s="630">
        <f t="shared" si="10"/>
        <v>0</v>
      </c>
      <c r="AG26" s="298"/>
      <c r="AH26" s="1510">
        <v>190</v>
      </c>
      <c r="AI26" s="352"/>
      <c r="AQ26" s="1718"/>
      <c r="AR26" s="1718"/>
      <c r="AS26" s="1718"/>
      <c r="AT26" s="1718"/>
      <c r="AU26" s="1718"/>
      <c r="BC26" s="1718"/>
      <c r="BD26" s="1718"/>
      <c r="BE26" s="1718"/>
      <c r="BF26" s="1718"/>
      <c r="BG26" s="1718"/>
      <c r="BH26" s="1718"/>
      <c r="BI26" s="1718"/>
      <c r="BJ26" s="1718"/>
      <c r="BK26" s="1718"/>
      <c r="BL26" s="1718"/>
      <c r="BM26" s="1718"/>
      <c r="BN26" s="660"/>
      <c r="BO26" s="660"/>
      <c r="BP26" s="660"/>
      <c r="BQ26" s="660"/>
      <c r="BR26" s="660"/>
      <c r="BS26" s="660"/>
    </row>
    <row r="27" spans="2:71">
      <c r="B27" s="352">
        <v>16</v>
      </c>
      <c r="C27" s="470" t="s">
        <v>1650</v>
      </c>
      <c r="D27" s="470" t="s">
        <v>1649</v>
      </c>
      <c r="E27" s="470" t="s">
        <v>1363</v>
      </c>
      <c r="F27" s="633">
        <v>1459149.89</v>
      </c>
      <c r="G27" s="630">
        <f t="shared" si="0"/>
        <v>510702.46149999992</v>
      </c>
      <c r="H27" s="633">
        <v>124027.74065000001</v>
      </c>
      <c r="I27" s="630">
        <f t="shared" si="1"/>
        <v>-43409.709227500003</v>
      </c>
      <c r="J27" s="630">
        <f t="shared" si="2"/>
        <v>591320.49292249989</v>
      </c>
      <c r="K27" s="652"/>
      <c r="L27" s="633">
        <f t="shared" si="9"/>
        <v>1459149.89</v>
      </c>
      <c r="M27" s="630">
        <f t="shared" si="3"/>
        <v>306421.47689999995</v>
      </c>
      <c r="N27" s="633">
        <v>124027.74065000001</v>
      </c>
      <c r="O27" s="630">
        <f t="shared" si="4"/>
        <v>-26045.8255365</v>
      </c>
      <c r="P27" s="630">
        <f t="shared" si="5"/>
        <v>404403.39201349992</v>
      </c>
      <c r="Q27" s="630"/>
      <c r="R27" s="630">
        <f t="shared" si="6"/>
        <v>186917.10090899997</v>
      </c>
      <c r="S27" s="652"/>
      <c r="T27" s="633">
        <v>186917.100909</v>
      </c>
      <c r="U27" s="652"/>
      <c r="V27" s="633">
        <v>0</v>
      </c>
      <c r="W27" s="652"/>
      <c r="X27" s="630">
        <f t="shared" si="7"/>
        <v>-2.9103830456733704E-11</v>
      </c>
      <c r="Y27" s="632"/>
      <c r="Z27" s="478" t="s">
        <v>1811</v>
      </c>
      <c r="AA27" s="631"/>
      <c r="AB27" s="478" t="s">
        <v>1807</v>
      </c>
      <c r="AC27" s="631"/>
      <c r="AD27" s="1727">
        <v>0</v>
      </c>
      <c r="AE27" s="631"/>
      <c r="AF27" s="630">
        <f t="shared" si="10"/>
        <v>0</v>
      </c>
      <c r="AG27" s="298"/>
      <c r="AH27" s="1510">
        <v>190</v>
      </c>
      <c r="AI27" s="352"/>
      <c r="AQ27" s="1718"/>
      <c r="AR27" s="1718"/>
      <c r="AS27" s="1718"/>
      <c r="AT27" s="1718"/>
      <c r="AU27" s="1718"/>
      <c r="BC27" s="1718"/>
      <c r="BD27" s="1718"/>
      <c r="BE27" s="1718"/>
      <c r="BF27" s="1718"/>
      <c r="BG27" s="1718"/>
      <c r="BH27" s="1718"/>
      <c r="BI27" s="1718"/>
      <c r="BJ27" s="1718"/>
      <c r="BK27" s="1718"/>
      <c r="BL27" s="1718"/>
      <c r="BM27" s="1718"/>
      <c r="BN27" s="660"/>
      <c r="BO27" s="660"/>
      <c r="BP27" s="660"/>
      <c r="BQ27" s="660"/>
      <c r="BR27" s="660"/>
      <c r="BS27" s="660"/>
    </row>
    <row r="28" spans="2:71">
      <c r="B28" s="352">
        <v>17</v>
      </c>
      <c r="C28" s="470" t="s">
        <v>1651</v>
      </c>
      <c r="D28" s="470" t="s">
        <v>1649</v>
      </c>
      <c r="E28" s="470" t="s">
        <v>1363</v>
      </c>
      <c r="F28" s="633">
        <v>-1359144</v>
      </c>
      <c r="G28" s="630">
        <f t="shared" si="0"/>
        <v>-475700.39999999997</v>
      </c>
      <c r="H28" s="633">
        <v>-115527.24</v>
      </c>
      <c r="I28" s="630">
        <f t="shared" si="1"/>
        <v>40434.534</v>
      </c>
      <c r="J28" s="630">
        <f t="shared" si="2"/>
        <v>-550793.10600000003</v>
      </c>
      <c r="K28" s="652"/>
      <c r="L28" s="633">
        <f t="shared" si="9"/>
        <v>-1359144</v>
      </c>
      <c r="M28" s="630">
        <f t="shared" si="3"/>
        <v>-285420.24</v>
      </c>
      <c r="N28" s="633">
        <v>-115527.24</v>
      </c>
      <c r="O28" s="630">
        <f t="shared" si="4"/>
        <v>24260.720400000002</v>
      </c>
      <c r="P28" s="630">
        <f t="shared" si="5"/>
        <v>-376686.75959999999</v>
      </c>
      <c r="Q28" s="630"/>
      <c r="R28" s="630">
        <f t="shared" si="6"/>
        <v>-174106.34640000004</v>
      </c>
      <c r="S28" s="652"/>
      <c r="T28" s="633">
        <v>-174106.34640000001</v>
      </c>
      <c r="U28" s="652"/>
      <c r="V28" s="633">
        <v>0</v>
      </c>
      <c r="W28" s="652"/>
      <c r="X28" s="630">
        <f t="shared" si="7"/>
        <v>-2.9103830456733704E-11</v>
      </c>
      <c r="Y28" s="632"/>
      <c r="Z28" s="478" t="s">
        <v>1811</v>
      </c>
      <c r="AA28" s="631"/>
      <c r="AB28" s="478" t="s">
        <v>1807</v>
      </c>
      <c r="AC28" s="631"/>
      <c r="AD28" s="1727">
        <v>0</v>
      </c>
      <c r="AE28" s="631"/>
      <c r="AF28" s="630">
        <f t="shared" si="10"/>
        <v>0</v>
      </c>
      <c r="AG28" s="298"/>
      <c r="AH28" s="1510">
        <v>190</v>
      </c>
      <c r="AI28" s="352"/>
      <c r="AQ28" s="1718"/>
      <c r="AR28" s="1718"/>
      <c r="AS28" s="1718"/>
      <c r="AT28" s="1718"/>
      <c r="AU28" s="1718"/>
      <c r="BC28" s="1718"/>
      <c r="BD28" s="1718"/>
      <c r="BE28" s="1718"/>
      <c r="BF28" s="1718"/>
      <c r="BG28" s="1718"/>
      <c r="BH28" s="1718"/>
      <c r="BI28" s="1718"/>
      <c r="BJ28" s="1718"/>
      <c r="BK28" s="1718"/>
      <c r="BL28" s="1718"/>
      <c r="BM28" s="1718"/>
      <c r="BN28" s="660"/>
      <c r="BO28" s="660"/>
      <c r="BP28" s="660"/>
      <c r="BQ28" s="660"/>
      <c r="BR28" s="660"/>
      <c r="BS28" s="660"/>
    </row>
    <row r="29" spans="2:71">
      <c r="B29" s="352">
        <v>18</v>
      </c>
      <c r="C29" s="470" t="s">
        <v>1652</v>
      </c>
      <c r="D29" s="470" t="s">
        <v>1649</v>
      </c>
      <c r="E29" s="470" t="s">
        <v>1363</v>
      </c>
      <c r="F29" s="633">
        <v>-4808008</v>
      </c>
      <c r="G29" s="630">
        <f t="shared" si="0"/>
        <v>-1682802.7999999998</v>
      </c>
      <c r="H29" s="633">
        <v>-408680.68000000005</v>
      </c>
      <c r="I29" s="630">
        <f t="shared" si="1"/>
        <v>143038.23800000001</v>
      </c>
      <c r="J29" s="630">
        <f t="shared" si="2"/>
        <v>-1948445.2420000001</v>
      </c>
      <c r="K29" s="652"/>
      <c r="L29" s="633">
        <f t="shared" si="9"/>
        <v>-4808008</v>
      </c>
      <c r="M29" s="630">
        <f t="shared" si="3"/>
        <v>-1009681.6799999999</v>
      </c>
      <c r="N29" s="633">
        <v>-408680.68000000005</v>
      </c>
      <c r="O29" s="630">
        <f t="shared" si="4"/>
        <v>85822.942800000004</v>
      </c>
      <c r="P29" s="630">
        <f t="shared" si="5"/>
        <v>-1332539.4171999998</v>
      </c>
      <c r="Q29" s="630"/>
      <c r="R29" s="630">
        <f t="shared" si="6"/>
        <v>-615905.82480000029</v>
      </c>
      <c r="S29" s="652"/>
      <c r="T29" s="633">
        <v>-615905.82480000006</v>
      </c>
      <c r="U29" s="652"/>
      <c r="V29" s="633">
        <v>0</v>
      </c>
      <c r="W29" s="652"/>
      <c r="X29" s="630">
        <f t="shared" si="7"/>
        <v>-2.3283064365386963E-10</v>
      </c>
      <c r="Y29" s="632"/>
      <c r="Z29" s="478" t="s">
        <v>1811</v>
      </c>
      <c r="AA29" s="631"/>
      <c r="AB29" s="478" t="s">
        <v>1807</v>
      </c>
      <c r="AC29" s="631"/>
      <c r="AD29" s="1727">
        <v>0</v>
      </c>
      <c r="AE29" s="631"/>
      <c r="AF29" s="630">
        <f t="shared" si="10"/>
        <v>0</v>
      </c>
      <c r="AG29" s="298"/>
      <c r="AH29" s="1510">
        <v>190</v>
      </c>
      <c r="AI29" s="352"/>
      <c r="AQ29" s="1718"/>
      <c r="AR29" s="1718"/>
      <c r="AS29" s="1718"/>
      <c r="AT29" s="1718"/>
      <c r="AU29" s="1718"/>
      <c r="BC29" s="1718"/>
      <c r="BD29" s="1718"/>
      <c r="BE29" s="1718"/>
      <c r="BF29" s="1718"/>
      <c r="BG29" s="1718"/>
      <c r="BH29" s="1718"/>
      <c r="BI29" s="1718"/>
      <c r="BJ29" s="1718"/>
      <c r="BK29" s="1718"/>
      <c r="BL29" s="1718"/>
      <c r="BM29" s="1718"/>
      <c r="BN29" s="660"/>
      <c r="BO29" s="660"/>
      <c r="BP29" s="660"/>
      <c r="BQ29" s="660"/>
      <c r="BR29" s="660"/>
      <c r="BS29" s="660"/>
    </row>
    <row r="30" spans="2:71">
      <c r="B30" s="352">
        <v>19</v>
      </c>
      <c r="C30" s="470" t="s">
        <v>1653</v>
      </c>
      <c r="D30" s="470" t="s">
        <v>1649</v>
      </c>
      <c r="E30" s="470" t="s">
        <v>1363</v>
      </c>
      <c r="F30" s="633">
        <v>7685079.3799999999</v>
      </c>
      <c r="G30" s="630">
        <f t="shared" si="0"/>
        <v>2689777.7829999998</v>
      </c>
      <c r="H30" s="633">
        <v>653231.74730000005</v>
      </c>
      <c r="I30" s="630">
        <f t="shared" si="1"/>
        <v>-228631.11155500001</v>
      </c>
      <c r="J30" s="630">
        <f t="shared" si="2"/>
        <v>3114378.4187449999</v>
      </c>
      <c r="K30" s="652"/>
      <c r="L30" s="633">
        <f t="shared" si="9"/>
        <v>7685079.3799999999</v>
      </c>
      <c r="M30" s="630">
        <f t="shared" si="3"/>
        <v>1613866.6698</v>
      </c>
      <c r="N30" s="633">
        <v>653231.74730000005</v>
      </c>
      <c r="O30" s="630">
        <f t="shared" si="4"/>
        <v>-137178.666933</v>
      </c>
      <c r="P30" s="630">
        <f t="shared" si="5"/>
        <v>2129919.7501670001</v>
      </c>
      <c r="Q30" s="630"/>
      <c r="R30" s="630">
        <f t="shared" si="6"/>
        <v>984458.66857799981</v>
      </c>
      <c r="S30" s="652"/>
      <c r="T30" s="633">
        <v>984458.66857800004</v>
      </c>
      <c r="U30" s="652"/>
      <c r="V30" s="633">
        <v>0</v>
      </c>
      <c r="W30" s="652"/>
      <c r="X30" s="630">
        <f t="shared" si="7"/>
        <v>-2.3283064365386963E-10</v>
      </c>
      <c r="Y30" s="632"/>
      <c r="Z30" s="478" t="s">
        <v>1811</v>
      </c>
      <c r="AA30" s="631"/>
      <c r="AB30" s="478" t="s">
        <v>1807</v>
      </c>
      <c r="AC30" s="631"/>
      <c r="AD30" s="1727">
        <v>0</v>
      </c>
      <c r="AE30" s="631"/>
      <c r="AF30" s="630">
        <f t="shared" si="10"/>
        <v>0</v>
      </c>
      <c r="AG30" s="298"/>
      <c r="AH30" s="1510">
        <v>190</v>
      </c>
      <c r="AI30" s="352"/>
      <c r="AQ30" s="1718"/>
      <c r="AR30" s="1718"/>
      <c r="AS30" s="1718"/>
      <c r="AT30" s="1718"/>
      <c r="AU30" s="1718"/>
      <c r="BC30" s="1718"/>
      <c r="BD30" s="1718"/>
      <c r="BE30" s="1718"/>
      <c r="BF30" s="1718"/>
      <c r="BG30" s="1718"/>
      <c r="BH30" s="1718"/>
      <c r="BI30" s="1718"/>
      <c r="BJ30" s="1718"/>
      <c r="BK30" s="1718"/>
      <c r="BL30" s="1718"/>
      <c r="BM30" s="1718"/>
      <c r="BN30" s="660"/>
      <c r="BO30" s="660"/>
      <c r="BP30" s="660"/>
      <c r="BQ30" s="660"/>
      <c r="BR30" s="660"/>
      <c r="BS30" s="660"/>
    </row>
    <row r="31" spans="2:71">
      <c r="B31" s="352">
        <v>20</v>
      </c>
      <c r="C31" s="470" t="s">
        <v>1654</v>
      </c>
      <c r="D31" s="470" t="s">
        <v>1655</v>
      </c>
      <c r="E31" s="470" t="s">
        <v>1363</v>
      </c>
      <c r="F31" s="633">
        <v>14820536.34</v>
      </c>
      <c r="G31" s="630">
        <f t="shared" si="0"/>
        <v>5187187.7189999996</v>
      </c>
      <c r="H31" s="633">
        <v>1259745.5889000001</v>
      </c>
      <c r="I31" s="630">
        <f t="shared" si="1"/>
        <v>-440910.95611500001</v>
      </c>
      <c r="J31" s="630">
        <f t="shared" si="2"/>
        <v>6006022.3517849995</v>
      </c>
      <c r="K31" s="652"/>
      <c r="L31" s="633">
        <f t="shared" si="9"/>
        <v>14820536.34</v>
      </c>
      <c r="M31" s="630">
        <f t="shared" si="3"/>
        <v>3112312.6313999998</v>
      </c>
      <c r="N31" s="633">
        <v>1259745.5889000001</v>
      </c>
      <c r="O31" s="630">
        <f t="shared" si="4"/>
        <v>-264546.573669</v>
      </c>
      <c r="P31" s="630">
        <f t="shared" si="5"/>
        <v>4107511.6466310001</v>
      </c>
      <c r="Q31" s="630"/>
      <c r="R31" s="630">
        <f t="shared" si="6"/>
        <v>1898510.7051539994</v>
      </c>
      <c r="S31" s="652"/>
      <c r="T31" s="633">
        <v>0</v>
      </c>
      <c r="U31" s="652"/>
      <c r="V31" s="633">
        <v>0</v>
      </c>
      <c r="W31" s="652"/>
      <c r="X31" s="630">
        <f t="shared" si="7"/>
        <v>1898510.7051539994</v>
      </c>
      <c r="Y31" s="632"/>
      <c r="Z31" s="478" t="s">
        <v>240</v>
      </c>
      <c r="AA31" s="631"/>
      <c r="AB31" s="478" t="s">
        <v>1810</v>
      </c>
      <c r="AC31" s="631"/>
      <c r="AD31" s="1727">
        <v>6.0801999999999995E-2</v>
      </c>
      <c r="AE31" s="631"/>
      <c r="AF31" s="630">
        <f t="shared" si="10"/>
        <v>115433.24789477346</v>
      </c>
      <c r="AG31" s="298"/>
      <c r="AH31" s="1510">
        <v>190</v>
      </c>
      <c r="AI31" s="352"/>
      <c r="AQ31" s="1718"/>
      <c r="AR31" s="1718"/>
      <c r="AS31" s="1718"/>
      <c r="AT31" s="1718"/>
      <c r="AU31" s="1718"/>
      <c r="BC31" s="1718"/>
      <c r="BD31" s="1718"/>
      <c r="BE31" s="1718"/>
      <c r="BF31" s="1718"/>
      <c r="BG31" s="1718"/>
      <c r="BH31" s="1718"/>
      <c r="BI31" s="1718"/>
      <c r="BJ31" s="1718"/>
      <c r="BK31" s="1718"/>
      <c r="BL31" s="1718"/>
      <c r="BM31" s="1718"/>
      <c r="BN31" s="660"/>
      <c r="BO31" s="660"/>
      <c r="BP31" s="660"/>
      <c r="BQ31" s="660"/>
      <c r="BR31" s="660"/>
      <c r="BS31" s="660"/>
    </row>
    <row r="32" spans="2:71">
      <c r="B32" s="352">
        <v>21</v>
      </c>
      <c r="C32" s="470" t="s">
        <v>1656</v>
      </c>
      <c r="D32" s="470" t="s">
        <v>1657</v>
      </c>
      <c r="E32" s="470" t="s">
        <v>1363</v>
      </c>
      <c r="F32" s="633">
        <v>-0.34000000008381903</v>
      </c>
      <c r="G32" s="630">
        <f t="shared" si="0"/>
        <v>-0.11900000002933665</v>
      </c>
      <c r="H32" s="633">
        <v>-2.8900000007124619E-2</v>
      </c>
      <c r="I32" s="630">
        <f t="shared" si="1"/>
        <v>1.0115000002493615E-2</v>
      </c>
      <c r="J32" s="630">
        <f t="shared" si="2"/>
        <v>-0.13778500003396765</v>
      </c>
      <c r="K32" s="652"/>
      <c r="L32" s="633">
        <f t="shared" si="9"/>
        <v>-0.34000000008381903</v>
      </c>
      <c r="M32" s="630">
        <f t="shared" si="3"/>
        <v>-7.1400000017601994E-2</v>
      </c>
      <c r="N32" s="633">
        <v>-2.8900000007124619E-2</v>
      </c>
      <c r="O32" s="630">
        <f t="shared" si="4"/>
        <v>6.0690000014961701E-3</v>
      </c>
      <c r="P32" s="630">
        <f t="shared" si="5"/>
        <v>-9.4231000023230441E-2</v>
      </c>
      <c r="Q32" s="630"/>
      <c r="R32" s="630">
        <f t="shared" si="6"/>
        <v>-4.3554000010737212E-2</v>
      </c>
      <c r="S32" s="652"/>
      <c r="T32" s="633">
        <v>0</v>
      </c>
      <c r="U32" s="652"/>
      <c r="V32" s="633">
        <v>0</v>
      </c>
      <c r="W32" s="652"/>
      <c r="X32" s="630">
        <f t="shared" si="7"/>
        <v>-4.3554000010737212E-2</v>
      </c>
      <c r="Y32" s="632"/>
      <c r="Z32" s="478" t="s">
        <v>1811</v>
      </c>
      <c r="AA32" s="631"/>
      <c r="AB32" s="478" t="s">
        <v>1810</v>
      </c>
      <c r="AC32" s="631"/>
      <c r="AD32" s="1727">
        <v>0.31493199999999999</v>
      </c>
      <c r="AE32" s="631"/>
      <c r="AF32" s="630">
        <f t="shared" si="10"/>
        <v>-1.3716548331381492E-2</v>
      </c>
      <c r="AG32" s="298"/>
      <c r="AH32" s="1510">
        <v>190</v>
      </c>
      <c r="AI32" s="352"/>
      <c r="AQ32" s="1718"/>
      <c r="AR32" s="1718"/>
      <c r="AS32" s="1718"/>
      <c r="AT32" s="1718"/>
      <c r="AU32" s="1718"/>
      <c r="BC32" s="1718"/>
      <c r="BD32" s="1718"/>
      <c r="BE32" s="1718"/>
      <c r="BF32" s="1718"/>
      <c r="BG32" s="1718"/>
      <c r="BH32" s="1718"/>
      <c r="BI32" s="1718"/>
      <c r="BJ32" s="1718"/>
      <c r="BK32" s="1718"/>
      <c r="BL32" s="1718"/>
      <c r="BM32" s="1718"/>
      <c r="BN32" s="660"/>
      <c r="BO32" s="660"/>
      <c r="BP32" s="660"/>
      <c r="BQ32" s="660"/>
      <c r="BR32" s="660"/>
      <c r="BS32" s="660"/>
    </row>
    <row r="33" spans="2:71">
      <c r="B33" s="352">
        <v>22</v>
      </c>
      <c r="C33" s="470" t="s">
        <v>1658</v>
      </c>
      <c r="D33" s="470" t="s">
        <v>1657</v>
      </c>
      <c r="E33" s="470" t="s">
        <v>1363</v>
      </c>
      <c r="F33" s="633">
        <v>7104.89</v>
      </c>
      <c r="G33" s="630">
        <f t="shared" si="0"/>
        <v>2486.7114999999999</v>
      </c>
      <c r="H33" s="633">
        <v>603.91565000000003</v>
      </c>
      <c r="I33" s="630">
        <f t="shared" si="1"/>
        <v>-211.37047749999999</v>
      </c>
      <c r="J33" s="630">
        <f t="shared" si="2"/>
        <v>2879.2566724999997</v>
      </c>
      <c r="K33" s="652"/>
      <c r="L33" s="633">
        <f t="shared" si="9"/>
        <v>7104.89</v>
      </c>
      <c r="M33" s="630">
        <f t="shared" si="3"/>
        <v>1492.0269000000001</v>
      </c>
      <c r="N33" s="633">
        <v>603.91565000000003</v>
      </c>
      <c r="O33" s="630">
        <f t="shared" si="4"/>
        <v>-126.8222865</v>
      </c>
      <c r="P33" s="630">
        <f t="shared" si="5"/>
        <v>1969.1202635000002</v>
      </c>
      <c r="Q33" s="630"/>
      <c r="R33" s="630">
        <f t="shared" si="6"/>
        <v>910.1364089999995</v>
      </c>
      <c r="S33" s="652"/>
      <c r="T33" s="633">
        <v>0</v>
      </c>
      <c r="U33" s="652"/>
      <c r="V33" s="633">
        <v>0</v>
      </c>
      <c r="W33" s="652"/>
      <c r="X33" s="630">
        <f t="shared" si="7"/>
        <v>910.1364089999995</v>
      </c>
      <c r="Y33" s="632"/>
      <c r="Z33" s="478" t="s">
        <v>1809</v>
      </c>
      <c r="AA33" s="631"/>
      <c r="AB33" s="478" t="s">
        <v>1807</v>
      </c>
      <c r="AC33" s="631"/>
      <c r="AD33" s="1727">
        <v>0</v>
      </c>
      <c r="AE33" s="631"/>
      <c r="AF33" s="630">
        <f t="shared" si="10"/>
        <v>0</v>
      </c>
      <c r="AG33" s="298"/>
      <c r="AH33" s="1510">
        <v>190</v>
      </c>
      <c r="AI33" s="352"/>
      <c r="AQ33" s="1718"/>
      <c r="AR33" s="1718"/>
      <c r="AS33" s="1718"/>
      <c r="AT33" s="1718"/>
      <c r="AU33" s="1718"/>
      <c r="BC33" s="1718"/>
      <c r="BD33" s="1718"/>
      <c r="BE33" s="1718"/>
      <c r="BF33" s="1718"/>
      <c r="BG33" s="1718"/>
      <c r="BH33" s="1718"/>
      <c r="BI33" s="1718"/>
      <c r="BJ33" s="1718"/>
      <c r="BK33" s="1718"/>
      <c r="BL33" s="1718"/>
      <c r="BM33" s="1718"/>
      <c r="BN33" s="660"/>
      <c r="BO33" s="660"/>
      <c r="BP33" s="660"/>
      <c r="BQ33" s="660"/>
      <c r="BR33" s="660"/>
      <c r="BS33" s="660"/>
    </row>
    <row r="34" spans="2:71">
      <c r="B34" s="352">
        <v>23</v>
      </c>
      <c r="C34" s="470" t="s">
        <v>1659</v>
      </c>
      <c r="D34" s="470" t="s">
        <v>1657</v>
      </c>
      <c r="E34" s="470" t="s">
        <v>1363</v>
      </c>
      <c r="F34" s="633">
        <v>1359144</v>
      </c>
      <c r="G34" s="630">
        <f t="shared" si="0"/>
        <v>475700.39999999997</v>
      </c>
      <c r="H34" s="633">
        <v>115527.24</v>
      </c>
      <c r="I34" s="630">
        <f t="shared" si="1"/>
        <v>-40434.534</v>
      </c>
      <c r="J34" s="630">
        <f t="shared" si="2"/>
        <v>550793.10600000003</v>
      </c>
      <c r="K34" s="652"/>
      <c r="L34" s="633">
        <f t="shared" si="9"/>
        <v>1359144</v>
      </c>
      <c r="M34" s="630">
        <f t="shared" si="3"/>
        <v>285420.24</v>
      </c>
      <c r="N34" s="633">
        <v>115527.24</v>
      </c>
      <c r="O34" s="630">
        <f t="shared" si="4"/>
        <v>-24260.720400000002</v>
      </c>
      <c r="P34" s="630">
        <f t="shared" si="5"/>
        <v>376686.75959999999</v>
      </c>
      <c r="Q34" s="630"/>
      <c r="R34" s="630">
        <f t="shared" si="6"/>
        <v>174106.34640000004</v>
      </c>
      <c r="S34" s="652"/>
      <c r="T34" s="633">
        <v>0</v>
      </c>
      <c r="U34" s="652"/>
      <c r="V34" s="633">
        <v>0</v>
      </c>
      <c r="W34" s="652"/>
      <c r="X34" s="630">
        <f t="shared" si="7"/>
        <v>174106.34640000004</v>
      </c>
      <c r="Y34" s="632"/>
      <c r="Z34" s="478" t="s">
        <v>1811</v>
      </c>
      <c r="AA34" s="631"/>
      <c r="AB34" s="478" t="s">
        <v>1810</v>
      </c>
      <c r="AC34" s="631"/>
      <c r="AD34" s="1728">
        <v>0.36620000000000003</v>
      </c>
      <c r="AE34" s="631"/>
      <c r="AF34" s="630">
        <f t="shared" si="10"/>
        <v>63757.74405168002</v>
      </c>
      <c r="AG34" s="298"/>
      <c r="AH34" s="1510">
        <v>190</v>
      </c>
      <c r="AI34" s="352"/>
      <c r="AQ34" s="1718"/>
      <c r="AR34" s="1718"/>
      <c r="AS34" s="1718"/>
      <c r="AT34" s="1718"/>
      <c r="AU34" s="1718"/>
      <c r="BC34" s="1718"/>
      <c r="BD34" s="1718"/>
      <c r="BE34" s="1718"/>
      <c r="BF34" s="1718"/>
      <c r="BG34" s="1718"/>
      <c r="BH34" s="1718"/>
      <c r="BI34" s="1718"/>
      <c r="BJ34" s="1718"/>
      <c r="BK34" s="1718"/>
      <c r="BL34" s="1718"/>
      <c r="BM34" s="1718"/>
      <c r="BN34" s="660"/>
      <c r="BO34" s="660"/>
      <c r="BP34" s="660"/>
      <c r="BQ34" s="660"/>
      <c r="BR34" s="660"/>
      <c r="BS34" s="660"/>
    </row>
    <row r="35" spans="2:71">
      <c r="B35" s="352">
        <v>24</v>
      </c>
      <c r="C35" s="470" t="s">
        <v>1660</v>
      </c>
      <c r="D35" s="470" t="s">
        <v>1657</v>
      </c>
      <c r="E35" s="470" t="s">
        <v>1363</v>
      </c>
      <c r="F35" s="633">
        <v>2834390.52</v>
      </c>
      <c r="G35" s="630">
        <f t="shared" si="0"/>
        <v>992036.68199999991</v>
      </c>
      <c r="H35" s="633">
        <v>240923.19420000003</v>
      </c>
      <c r="I35" s="630">
        <f t="shared" si="1"/>
        <v>-84323.117970000007</v>
      </c>
      <c r="J35" s="630">
        <f t="shared" si="2"/>
        <v>1148636.7582299998</v>
      </c>
      <c r="K35" s="652"/>
      <c r="L35" s="633">
        <f t="shared" si="9"/>
        <v>2834390.52</v>
      </c>
      <c r="M35" s="630">
        <f t="shared" si="3"/>
        <v>595222.00919999997</v>
      </c>
      <c r="N35" s="633">
        <v>240923.19420000003</v>
      </c>
      <c r="O35" s="630">
        <f t="shared" si="4"/>
        <v>-50593.870782000005</v>
      </c>
      <c r="P35" s="630">
        <f t="shared" si="5"/>
        <v>785551.33261799999</v>
      </c>
      <c r="Q35" s="630"/>
      <c r="R35" s="630">
        <f t="shared" si="6"/>
        <v>363085.42561199982</v>
      </c>
      <c r="S35" s="652"/>
      <c r="T35" s="633">
        <v>0</v>
      </c>
      <c r="U35" s="652"/>
      <c r="V35" s="633">
        <v>0</v>
      </c>
      <c r="W35" s="652"/>
      <c r="X35" s="630">
        <f t="shared" si="7"/>
        <v>363085.42561199982</v>
      </c>
      <c r="Y35" s="632"/>
      <c r="Z35" s="478" t="s">
        <v>1811</v>
      </c>
      <c r="AA35" s="631"/>
      <c r="AB35" s="478" t="s">
        <v>1810</v>
      </c>
      <c r="AC35" s="631"/>
      <c r="AD35" s="1728">
        <v>0.36620000000000003</v>
      </c>
      <c r="AE35" s="631"/>
      <c r="AF35" s="630">
        <f t="shared" si="10"/>
        <v>132961.88285911435</v>
      </c>
      <c r="AG35" s="298"/>
      <c r="AH35" s="1510">
        <v>190</v>
      </c>
      <c r="AI35" s="352"/>
      <c r="AQ35" s="1718"/>
      <c r="AR35" s="1718"/>
      <c r="AS35" s="1718"/>
      <c r="AT35" s="1718"/>
      <c r="AU35" s="1718"/>
      <c r="BC35" s="1718"/>
      <c r="BD35" s="1718"/>
      <c r="BE35" s="1718"/>
      <c r="BF35" s="1718"/>
      <c r="BG35" s="1718"/>
      <c r="BH35" s="1718"/>
      <c r="BI35" s="1718"/>
      <c r="BJ35" s="1718"/>
      <c r="BK35" s="1718"/>
      <c r="BL35" s="1718"/>
      <c r="BM35" s="1718"/>
      <c r="BN35" s="660"/>
      <c r="BO35" s="660"/>
      <c r="BP35" s="660"/>
      <c r="BQ35" s="660"/>
      <c r="BR35" s="660"/>
      <c r="BS35" s="660"/>
    </row>
    <row r="36" spans="2:71">
      <c r="B36" s="352">
        <v>25</v>
      </c>
      <c r="C36" s="470" t="s">
        <v>1661</v>
      </c>
      <c r="D36" s="470" t="s">
        <v>1657</v>
      </c>
      <c r="E36" s="470" t="s">
        <v>1363</v>
      </c>
      <c r="F36" s="633">
        <v>836174.79</v>
      </c>
      <c r="G36" s="630">
        <f t="shared" si="0"/>
        <v>292661.1765</v>
      </c>
      <c r="H36" s="633">
        <v>71074.857150000011</v>
      </c>
      <c r="I36" s="630">
        <f t="shared" si="1"/>
        <v>-24876.200002500002</v>
      </c>
      <c r="J36" s="630">
        <f t="shared" si="2"/>
        <v>338859.83364750003</v>
      </c>
      <c r="K36" s="652"/>
      <c r="L36" s="633">
        <f t="shared" si="9"/>
        <v>836174.79</v>
      </c>
      <c r="M36" s="630">
        <f t="shared" si="3"/>
        <v>175596.7059</v>
      </c>
      <c r="N36" s="633">
        <v>71074.857150000011</v>
      </c>
      <c r="O36" s="630">
        <f t="shared" si="4"/>
        <v>-14925.720001500002</v>
      </c>
      <c r="P36" s="630">
        <f t="shared" si="5"/>
        <v>231745.84304849998</v>
      </c>
      <c r="Q36" s="630"/>
      <c r="R36" s="630">
        <f t="shared" si="6"/>
        <v>107113.99059900004</v>
      </c>
      <c r="S36" s="652"/>
      <c r="T36" s="633">
        <v>0</v>
      </c>
      <c r="U36" s="652"/>
      <c r="V36" s="633">
        <v>0</v>
      </c>
      <c r="W36" s="652"/>
      <c r="X36" s="630">
        <f t="shared" si="7"/>
        <v>107113.99059900004</v>
      </c>
      <c r="Y36" s="632"/>
      <c r="Z36" s="478" t="s">
        <v>1811</v>
      </c>
      <c r="AA36" s="631"/>
      <c r="AB36" s="478" t="s">
        <v>1810</v>
      </c>
      <c r="AC36" s="631"/>
      <c r="AD36" s="1728">
        <v>0.36620000000000003</v>
      </c>
      <c r="AE36" s="631"/>
      <c r="AF36" s="630">
        <f t="shared" si="10"/>
        <v>39225.143357353816</v>
      </c>
      <c r="AG36" s="298"/>
      <c r="AH36" s="1510">
        <v>190</v>
      </c>
      <c r="AI36" s="352"/>
      <c r="AQ36" s="1718"/>
      <c r="AR36" s="1718"/>
      <c r="AS36" s="1718"/>
      <c r="AT36" s="1718"/>
      <c r="AU36" s="1718"/>
      <c r="BC36" s="1718"/>
      <c r="BD36" s="1718"/>
      <c r="BE36" s="1718"/>
      <c r="BF36" s="1718"/>
      <c r="BG36" s="1718"/>
      <c r="BH36" s="1718"/>
      <c r="BI36" s="1718"/>
      <c r="BJ36" s="1718"/>
      <c r="BK36" s="1718"/>
      <c r="BL36" s="1718"/>
      <c r="BM36" s="1718"/>
      <c r="BN36" s="660"/>
      <c r="BO36" s="660"/>
      <c r="BP36" s="660"/>
      <c r="BQ36" s="660"/>
      <c r="BR36" s="660"/>
      <c r="BS36" s="660"/>
    </row>
    <row r="37" spans="2:71">
      <c r="B37" s="352">
        <v>26</v>
      </c>
      <c r="C37" s="470" t="s">
        <v>1662</v>
      </c>
      <c r="D37" s="470" t="s">
        <v>1657</v>
      </c>
      <c r="E37" s="470" t="s">
        <v>1363</v>
      </c>
      <c r="F37" s="633">
        <v>230640.52</v>
      </c>
      <c r="G37" s="630">
        <f t="shared" si="0"/>
        <v>80724.181999999986</v>
      </c>
      <c r="H37" s="633">
        <v>19604.444200000002</v>
      </c>
      <c r="I37" s="630">
        <f t="shared" si="1"/>
        <v>-6861.5554700000002</v>
      </c>
      <c r="J37" s="630">
        <f t="shared" si="2"/>
        <v>93467.070729999978</v>
      </c>
      <c r="K37" s="652"/>
      <c r="L37" s="633">
        <f t="shared" si="9"/>
        <v>230640.52</v>
      </c>
      <c r="M37" s="630">
        <f t="shared" si="3"/>
        <v>48434.509199999993</v>
      </c>
      <c r="N37" s="633">
        <v>19604.444200000002</v>
      </c>
      <c r="O37" s="630">
        <f t="shared" si="4"/>
        <v>-4116.933282</v>
      </c>
      <c r="P37" s="630">
        <f t="shared" si="5"/>
        <v>63922.020118</v>
      </c>
      <c r="Q37" s="630"/>
      <c r="R37" s="630">
        <f t="shared" si="6"/>
        <v>29545.050611999977</v>
      </c>
      <c r="S37" s="652"/>
      <c r="T37" s="633">
        <v>0</v>
      </c>
      <c r="U37" s="652"/>
      <c r="V37" s="633">
        <v>0</v>
      </c>
      <c r="W37" s="652"/>
      <c r="X37" s="630">
        <f t="shared" si="7"/>
        <v>29545.050611999977</v>
      </c>
      <c r="Y37" s="632"/>
      <c r="Z37" s="478" t="s">
        <v>1809</v>
      </c>
      <c r="AA37" s="631"/>
      <c r="AB37" s="478" t="s">
        <v>1807</v>
      </c>
      <c r="AC37" s="631"/>
      <c r="AD37" s="1727">
        <v>0</v>
      </c>
      <c r="AE37" s="631"/>
      <c r="AF37" s="630">
        <f t="shared" si="10"/>
        <v>0</v>
      </c>
      <c r="AG37" s="298"/>
      <c r="AH37" s="1510">
        <v>190</v>
      </c>
      <c r="AI37" s="352"/>
      <c r="AQ37" s="1718"/>
      <c r="AR37" s="1718"/>
      <c r="AS37" s="1718"/>
      <c r="AT37" s="1718"/>
      <c r="AU37" s="1718"/>
      <c r="BC37" s="1718"/>
      <c r="BD37" s="1718"/>
      <c r="BE37" s="1718"/>
      <c r="BF37" s="1718"/>
      <c r="BG37" s="1718"/>
      <c r="BH37" s="1718"/>
      <c r="BI37" s="1718"/>
      <c r="BJ37" s="1718"/>
      <c r="BK37" s="1718"/>
      <c r="BL37" s="1718"/>
      <c r="BM37" s="1718"/>
      <c r="BN37" s="660"/>
      <c r="BO37" s="660"/>
      <c r="BP37" s="660"/>
      <c r="BQ37" s="660"/>
      <c r="BR37" s="660"/>
      <c r="BS37" s="660"/>
    </row>
    <row r="38" spans="2:71">
      <c r="B38" s="352">
        <v>27</v>
      </c>
      <c r="C38" s="470" t="s">
        <v>1663</v>
      </c>
      <c r="D38" s="470" t="s">
        <v>1657</v>
      </c>
      <c r="E38" s="470" t="s">
        <v>1363</v>
      </c>
      <c r="F38" s="633">
        <v>-495791.52</v>
      </c>
      <c r="G38" s="630">
        <f t="shared" si="0"/>
        <v>-173527.03200000001</v>
      </c>
      <c r="H38" s="633">
        <v>-42142.279200000004</v>
      </c>
      <c r="I38" s="630">
        <f t="shared" si="1"/>
        <v>14749.79772</v>
      </c>
      <c r="J38" s="630">
        <f t="shared" si="2"/>
        <v>-200919.51347999999</v>
      </c>
      <c r="K38" s="652"/>
      <c r="L38" s="633">
        <f t="shared" si="9"/>
        <v>-495791.52</v>
      </c>
      <c r="M38" s="630">
        <f t="shared" si="3"/>
        <v>-104116.21920000001</v>
      </c>
      <c r="N38" s="633">
        <v>-42142.279200000004</v>
      </c>
      <c r="O38" s="630">
        <f t="shared" si="4"/>
        <v>8849.8786319999999</v>
      </c>
      <c r="P38" s="630">
        <f t="shared" si="5"/>
        <v>-137408.619768</v>
      </c>
      <c r="Q38" s="630"/>
      <c r="R38" s="630">
        <f t="shared" si="6"/>
        <v>-63510.89371199999</v>
      </c>
      <c r="S38" s="652"/>
      <c r="T38" s="633">
        <v>0</v>
      </c>
      <c r="U38" s="652"/>
      <c r="V38" s="633">
        <v>0</v>
      </c>
      <c r="W38" s="652"/>
      <c r="X38" s="630">
        <f t="shared" si="7"/>
        <v>-63510.89371199999</v>
      </c>
      <c r="Y38" s="632"/>
      <c r="Z38" s="478" t="s">
        <v>240</v>
      </c>
      <c r="AA38" s="631"/>
      <c r="AB38" s="478" t="s">
        <v>1810</v>
      </c>
      <c r="AC38" s="631"/>
      <c r="AD38" s="1727">
        <v>6.0801999999999995E-2</v>
      </c>
      <c r="AE38" s="631"/>
      <c r="AF38" s="630">
        <f t="shared" si="10"/>
        <v>-3861.5893594770232</v>
      </c>
      <c r="AG38" s="298"/>
      <c r="AH38" s="1510">
        <v>190</v>
      </c>
      <c r="AI38" s="352"/>
      <c r="AQ38" s="1718"/>
      <c r="AR38" s="1718"/>
      <c r="AS38" s="1718"/>
      <c r="AT38" s="1718"/>
      <c r="AU38" s="1718"/>
      <c r="BC38" s="1718"/>
      <c r="BD38" s="1718"/>
      <c r="BE38" s="1718"/>
      <c r="BF38" s="1718"/>
      <c r="BG38" s="1718"/>
      <c r="BH38" s="1718"/>
      <c r="BI38" s="1718"/>
      <c r="BJ38" s="1718"/>
      <c r="BK38" s="1718"/>
      <c r="BL38" s="1718"/>
      <c r="BM38" s="1718"/>
      <c r="BN38" s="660"/>
      <c r="BO38" s="660"/>
      <c r="BP38" s="660"/>
      <c r="BQ38" s="660"/>
      <c r="BR38" s="660"/>
      <c r="BS38" s="660"/>
    </row>
    <row r="39" spans="2:71">
      <c r="B39" s="352">
        <v>28</v>
      </c>
      <c r="C39" s="470" t="s">
        <v>1664</v>
      </c>
      <c r="D39" s="470" t="s">
        <v>1657</v>
      </c>
      <c r="E39" s="470" t="s">
        <v>1363</v>
      </c>
      <c r="F39" s="633">
        <v>2412767.84</v>
      </c>
      <c r="G39" s="630">
        <f t="shared" si="0"/>
        <v>844468.74399999995</v>
      </c>
      <c r="H39" s="633">
        <v>205085.26639999999</v>
      </c>
      <c r="I39" s="630">
        <f t="shared" si="1"/>
        <v>-71779.843239999987</v>
      </c>
      <c r="J39" s="630">
        <f t="shared" si="2"/>
        <v>977774.16716000007</v>
      </c>
      <c r="K39" s="652"/>
      <c r="L39" s="633">
        <f t="shared" si="9"/>
        <v>2412767.84</v>
      </c>
      <c r="M39" s="630">
        <f t="shared" si="3"/>
        <v>506681.24639999995</v>
      </c>
      <c r="N39" s="633">
        <v>205085.26639999999</v>
      </c>
      <c r="O39" s="630">
        <f t="shared" si="4"/>
        <v>-43067.905943999998</v>
      </c>
      <c r="P39" s="630">
        <f t="shared" si="5"/>
        <v>668698.60685599991</v>
      </c>
      <c r="Q39" s="630"/>
      <c r="R39" s="630">
        <f t="shared" si="6"/>
        <v>309075.56030400016</v>
      </c>
      <c r="S39" s="652"/>
      <c r="T39" s="633">
        <v>0</v>
      </c>
      <c r="U39" s="652"/>
      <c r="V39" s="633">
        <v>0</v>
      </c>
      <c r="W39" s="652"/>
      <c r="X39" s="630">
        <f t="shared" si="7"/>
        <v>309075.56030400016</v>
      </c>
      <c r="Y39" s="632"/>
      <c r="Z39" s="478" t="s">
        <v>240</v>
      </c>
      <c r="AA39" s="631"/>
      <c r="AB39" s="478" t="s">
        <v>1810</v>
      </c>
      <c r="AC39" s="631"/>
      <c r="AD39" s="1727">
        <v>6.0801999999999995E-2</v>
      </c>
      <c r="AE39" s="631"/>
      <c r="AF39" s="630">
        <f t="shared" si="10"/>
        <v>18792.412217603814</v>
      </c>
      <c r="AG39" s="298"/>
      <c r="AH39" s="1510">
        <v>190</v>
      </c>
      <c r="AI39" s="352"/>
      <c r="AQ39" s="1718"/>
      <c r="AR39" s="1718"/>
      <c r="AS39" s="1718"/>
      <c r="AT39" s="1718"/>
      <c r="AU39" s="1718"/>
      <c r="BC39" s="1718"/>
      <c r="BD39" s="1718"/>
      <c r="BE39" s="1718"/>
      <c r="BF39" s="1718"/>
      <c r="BG39" s="1718"/>
      <c r="BH39" s="1718"/>
      <c r="BI39" s="1718"/>
      <c r="BJ39" s="1718"/>
      <c r="BK39" s="1718"/>
      <c r="BL39" s="1718"/>
      <c r="BM39" s="1718"/>
      <c r="BN39" s="660"/>
      <c r="BO39" s="660"/>
      <c r="BP39" s="660"/>
      <c r="BQ39" s="660"/>
      <c r="BR39" s="660"/>
      <c r="BS39" s="660"/>
    </row>
    <row r="40" spans="2:71">
      <c r="B40" s="352">
        <v>29</v>
      </c>
      <c r="C40" s="470" t="s">
        <v>1665</v>
      </c>
      <c r="D40" s="470" t="s">
        <v>1666</v>
      </c>
      <c r="E40" s="470" t="s">
        <v>1363</v>
      </c>
      <c r="F40" s="633">
        <v>361399.45999999996</v>
      </c>
      <c r="G40" s="630">
        <f t="shared" si="0"/>
        <v>126489.81099999997</v>
      </c>
      <c r="H40" s="633">
        <v>30718.954099999999</v>
      </c>
      <c r="I40" s="630">
        <f t="shared" si="1"/>
        <v>-10751.633935</v>
      </c>
      <c r="J40" s="630">
        <f t="shared" si="2"/>
        <v>146457.13116499997</v>
      </c>
      <c r="K40" s="652"/>
      <c r="L40" s="633">
        <f t="shared" si="9"/>
        <v>361399.45999999996</v>
      </c>
      <c r="M40" s="630">
        <f t="shared" si="3"/>
        <v>75893.886599999983</v>
      </c>
      <c r="N40" s="633">
        <v>30718.954099999999</v>
      </c>
      <c r="O40" s="630">
        <f t="shared" si="4"/>
        <v>-6450.9803609999999</v>
      </c>
      <c r="P40" s="630">
        <f t="shared" si="5"/>
        <v>100161.86033899999</v>
      </c>
      <c r="Q40" s="630"/>
      <c r="R40" s="630">
        <f t="shared" si="6"/>
        <v>46295.270825999978</v>
      </c>
      <c r="S40" s="652"/>
      <c r="T40" s="633">
        <v>0</v>
      </c>
      <c r="U40" s="652"/>
      <c r="V40" s="633">
        <v>0</v>
      </c>
      <c r="W40" s="652"/>
      <c r="X40" s="630">
        <f t="shared" si="7"/>
        <v>46295.270825999978</v>
      </c>
      <c r="Y40" s="632"/>
      <c r="Z40" s="478" t="s">
        <v>240</v>
      </c>
      <c r="AA40" s="631"/>
      <c r="AB40" s="478" t="s">
        <v>1810</v>
      </c>
      <c r="AC40" s="631"/>
      <c r="AD40" s="1727">
        <v>6.0801999999999995E-2</v>
      </c>
      <c r="AE40" s="631"/>
      <c r="AF40" s="630">
        <f t="shared" si="10"/>
        <v>2814.8450567624504</v>
      </c>
      <c r="AG40" s="298"/>
      <c r="AH40" s="1510">
        <v>190</v>
      </c>
      <c r="AI40" s="352"/>
      <c r="AQ40" s="1718"/>
      <c r="AR40" s="1718"/>
      <c r="AS40" s="1718"/>
      <c r="AT40" s="1718"/>
      <c r="AU40" s="1718"/>
      <c r="BC40" s="1718"/>
      <c r="BD40" s="1718"/>
      <c r="BE40" s="1718"/>
      <c r="BF40" s="1718"/>
      <c r="BG40" s="1718"/>
      <c r="BH40" s="1718"/>
      <c r="BI40" s="1718"/>
      <c r="BJ40" s="1718"/>
      <c r="BK40" s="1718"/>
      <c r="BL40" s="1718"/>
      <c r="BM40" s="1718"/>
      <c r="BN40" s="660"/>
      <c r="BO40" s="660"/>
      <c r="BP40" s="660"/>
      <c r="BQ40" s="660"/>
      <c r="BR40" s="660"/>
      <c r="BS40" s="660"/>
    </row>
    <row r="41" spans="2:71">
      <c r="B41" s="352">
        <v>30</v>
      </c>
      <c r="C41" s="470" t="s">
        <v>1667</v>
      </c>
      <c r="D41" s="470" t="s">
        <v>1666</v>
      </c>
      <c r="E41" s="470" t="s">
        <v>1363</v>
      </c>
      <c r="F41" s="633">
        <v>811805.13</v>
      </c>
      <c r="G41" s="630">
        <f t="shared" si="0"/>
        <v>284131.79550000001</v>
      </c>
      <c r="H41" s="633">
        <v>69003.436050000004</v>
      </c>
      <c r="I41" s="630">
        <f t="shared" si="1"/>
        <v>-24151.202617499999</v>
      </c>
      <c r="J41" s="630">
        <f t="shared" si="2"/>
        <v>328984.02893250005</v>
      </c>
      <c r="K41" s="652"/>
      <c r="L41" s="633">
        <f t="shared" si="9"/>
        <v>811805.13</v>
      </c>
      <c r="M41" s="630">
        <f t="shared" si="3"/>
        <v>170479.0773</v>
      </c>
      <c r="N41" s="633">
        <v>69003.436050000004</v>
      </c>
      <c r="O41" s="630">
        <f t="shared" si="4"/>
        <v>-14490.7215705</v>
      </c>
      <c r="P41" s="630">
        <f t="shared" si="5"/>
        <v>224991.79177950002</v>
      </c>
      <c r="Q41" s="630"/>
      <c r="R41" s="630">
        <f t="shared" si="6"/>
        <v>103992.23715300002</v>
      </c>
      <c r="S41" s="652"/>
      <c r="T41" s="633">
        <v>0</v>
      </c>
      <c r="U41" s="652"/>
      <c r="V41" s="633">
        <v>0</v>
      </c>
      <c r="W41" s="652"/>
      <c r="X41" s="630">
        <f t="shared" si="7"/>
        <v>103992.23715300002</v>
      </c>
      <c r="Y41" s="632"/>
      <c r="Z41" s="478" t="s">
        <v>240</v>
      </c>
      <c r="AA41" s="631"/>
      <c r="AB41" s="478" t="s">
        <v>1810</v>
      </c>
      <c r="AC41" s="631"/>
      <c r="AD41" s="1727">
        <v>6.0801999999999995E-2</v>
      </c>
      <c r="AE41" s="631"/>
      <c r="AF41" s="630">
        <f t="shared" si="10"/>
        <v>6322.936003376707</v>
      </c>
      <c r="AG41" s="298"/>
      <c r="AH41" s="1510">
        <v>190</v>
      </c>
      <c r="AI41" s="352"/>
      <c r="AQ41" s="1718"/>
      <c r="AR41" s="1718"/>
      <c r="AS41" s="1718"/>
      <c r="AT41" s="1718"/>
      <c r="AU41" s="1718"/>
      <c r="BC41" s="1718"/>
      <c r="BD41" s="1718"/>
      <c r="BE41" s="1718"/>
      <c r="BF41" s="1718"/>
      <c r="BG41" s="1718"/>
      <c r="BH41" s="1718"/>
      <c r="BI41" s="1718"/>
      <c r="BJ41" s="1718"/>
      <c r="BK41" s="1718"/>
      <c r="BL41" s="1718"/>
      <c r="BM41" s="1718"/>
      <c r="BN41" s="660"/>
      <c r="BO41" s="660"/>
      <c r="BP41" s="660"/>
      <c r="BQ41" s="660"/>
      <c r="BR41" s="660"/>
      <c r="BS41" s="660"/>
    </row>
    <row r="42" spans="2:71">
      <c r="B42" s="352">
        <v>31</v>
      </c>
      <c r="C42" s="470" t="s">
        <v>1668</v>
      </c>
      <c r="D42" s="470" t="s">
        <v>1666</v>
      </c>
      <c r="E42" s="470" t="s">
        <v>1363</v>
      </c>
      <c r="F42" s="633">
        <v>1160661.8700000001</v>
      </c>
      <c r="G42" s="630">
        <f t="shared" si="0"/>
        <v>406231.6545</v>
      </c>
      <c r="H42" s="633">
        <v>98656.258950000018</v>
      </c>
      <c r="I42" s="630">
        <f t="shared" si="1"/>
        <v>-34529.690632500002</v>
      </c>
      <c r="J42" s="630">
        <f t="shared" si="2"/>
        <v>470358.22281750001</v>
      </c>
      <c r="K42" s="652"/>
      <c r="L42" s="633">
        <f t="shared" si="9"/>
        <v>1160661.8700000001</v>
      </c>
      <c r="M42" s="630">
        <f t="shared" si="3"/>
        <v>243738.9927</v>
      </c>
      <c r="N42" s="633">
        <v>98656.258950000018</v>
      </c>
      <c r="O42" s="630">
        <f t="shared" si="4"/>
        <v>-20717.814379500003</v>
      </c>
      <c r="P42" s="630">
        <f t="shared" si="5"/>
        <v>321677.4372705</v>
      </c>
      <c r="Q42" s="630"/>
      <c r="R42" s="630">
        <f t="shared" si="6"/>
        <v>148680.78554700001</v>
      </c>
      <c r="S42" s="652"/>
      <c r="T42" s="633">
        <v>0</v>
      </c>
      <c r="U42" s="652"/>
      <c r="V42" s="633">
        <v>0</v>
      </c>
      <c r="W42" s="652"/>
      <c r="X42" s="630">
        <f t="shared" si="7"/>
        <v>148680.78554700001</v>
      </c>
      <c r="Y42" s="632"/>
      <c r="Z42" s="478" t="s">
        <v>240</v>
      </c>
      <c r="AA42" s="631"/>
      <c r="AB42" s="478" t="s">
        <v>1810</v>
      </c>
      <c r="AC42" s="631"/>
      <c r="AD42" s="1727">
        <v>6.0801999999999995E-2</v>
      </c>
      <c r="AE42" s="631"/>
      <c r="AF42" s="630">
        <f t="shared" si="10"/>
        <v>9040.0891228286928</v>
      </c>
      <c r="AG42" s="298"/>
      <c r="AH42" s="1510">
        <v>190</v>
      </c>
      <c r="AI42" s="352"/>
      <c r="AQ42" s="1718"/>
      <c r="AR42" s="1718"/>
      <c r="AS42" s="1718"/>
      <c r="AT42" s="1718"/>
      <c r="AU42" s="1718"/>
      <c r="BC42" s="1718"/>
      <c r="BD42" s="1718"/>
      <c r="BE42" s="1718"/>
      <c r="BF42" s="1718"/>
      <c r="BG42" s="1718"/>
      <c r="BH42" s="1718"/>
      <c r="BI42" s="1718"/>
      <c r="BJ42" s="1718"/>
      <c r="BK42" s="1718"/>
      <c r="BL42" s="1718"/>
      <c r="BM42" s="1718"/>
      <c r="BN42" s="660"/>
      <c r="BO42" s="660"/>
      <c r="BP42" s="660"/>
      <c r="BQ42" s="660"/>
      <c r="BR42" s="660"/>
      <c r="BS42" s="660"/>
    </row>
    <row r="43" spans="2:71">
      <c r="B43" s="352">
        <v>32</v>
      </c>
      <c r="C43" s="470" t="s">
        <v>1669</v>
      </c>
      <c r="D43" s="470" t="s">
        <v>1666</v>
      </c>
      <c r="E43" s="470" t="s">
        <v>1363</v>
      </c>
      <c r="F43" s="633">
        <v>495791.52</v>
      </c>
      <c r="G43" s="630">
        <f t="shared" si="0"/>
        <v>173527.03200000001</v>
      </c>
      <c r="H43" s="633">
        <v>42142.279200000004</v>
      </c>
      <c r="I43" s="630">
        <f t="shared" si="1"/>
        <v>-14749.79772</v>
      </c>
      <c r="J43" s="630">
        <f t="shared" si="2"/>
        <v>200919.51347999999</v>
      </c>
      <c r="K43" s="652"/>
      <c r="L43" s="633">
        <f t="shared" si="9"/>
        <v>495791.52</v>
      </c>
      <c r="M43" s="630">
        <f t="shared" si="3"/>
        <v>104116.21920000001</v>
      </c>
      <c r="N43" s="633">
        <v>42142.279200000004</v>
      </c>
      <c r="O43" s="630">
        <f t="shared" si="4"/>
        <v>-8849.8786319999999</v>
      </c>
      <c r="P43" s="630">
        <f t="shared" si="5"/>
        <v>137408.619768</v>
      </c>
      <c r="Q43" s="630"/>
      <c r="R43" s="630">
        <f t="shared" si="6"/>
        <v>63510.89371199999</v>
      </c>
      <c r="S43" s="652"/>
      <c r="T43" s="633">
        <v>0</v>
      </c>
      <c r="U43" s="652"/>
      <c r="V43" s="633">
        <v>0</v>
      </c>
      <c r="W43" s="652"/>
      <c r="X43" s="630">
        <f t="shared" si="7"/>
        <v>63510.89371199999</v>
      </c>
      <c r="Y43" s="632"/>
      <c r="Z43" s="478" t="s">
        <v>240</v>
      </c>
      <c r="AA43" s="631"/>
      <c r="AB43" s="478" t="s">
        <v>1810</v>
      </c>
      <c r="AC43" s="631"/>
      <c r="AD43" s="1727">
        <v>6.0801999999999995E-2</v>
      </c>
      <c r="AE43" s="631"/>
      <c r="AF43" s="630">
        <f t="shared" si="10"/>
        <v>3861.5893594770232</v>
      </c>
      <c r="AG43" s="298"/>
      <c r="AH43" s="1510">
        <v>190</v>
      </c>
      <c r="AI43" s="352"/>
      <c r="AQ43" s="1718"/>
      <c r="AR43" s="1718"/>
      <c r="AS43" s="1718"/>
      <c r="AT43" s="1718"/>
      <c r="AU43" s="1718"/>
      <c r="BC43" s="1718"/>
      <c r="BD43" s="1718"/>
      <c r="BE43" s="1718"/>
      <c r="BF43" s="1718"/>
      <c r="BG43" s="1718"/>
      <c r="BH43" s="1718"/>
      <c r="BI43" s="1718"/>
      <c r="BJ43" s="1718"/>
      <c r="BK43" s="1718"/>
      <c r="BL43" s="1718"/>
      <c r="BM43" s="1718"/>
      <c r="BN43" s="660"/>
      <c r="BO43" s="660"/>
      <c r="BP43" s="660"/>
      <c r="BQ43" s="660"/>
      <c r="BR43" s="660"/>
      <c r="BS43" s="660"/>
    </row>
    <row r="44" spans="2:71">
      <c r="B44" s="352">
        <v>33</v>
      </c>
      <c r="C44" s="470" t="s">
        <v>1670</v>
      </c>
      <c r="D44" s="470" t="s">
        <v>1666</v>
      </c>
      <c r="E44" s="470" t="s">
        <v>1363</v>
      </c>
      <c r="F44" s="633">
        <v>5033420.2300000004</v>
      </c>
      <c r="G44" s="630">
        <f t="shared" ref="G44:G75" si="11">F44*0.35</f>
        <v>1761697.0805000002</v>
      </c>
      <c r="H44" s="633">
        <v>427840.7195500001</v>
      </c>
      <c r="I44" s="630">
        <f t="shared" ref="I44:I75" si="12">H44*-0.35</f>
        <v>-149744.25184250003</v>
      </c>
      <c r="J44" s="630">
        <f t="shared" ref="J44:J75" si="13">G44+H44+I44</f>
        <v>2039793.5482075003</v>
      </c>
      <c r="K44" s="652"/>
      <c r="L44" s="633">
        <f t="shared" ref="L44:L75" si="14">F44</f>
        <v>5033420.2300000004</v>
      </c>
      <c r="M44" s="630">
        <f t="shared" ref="M44:M75" si="15">L44*0.21</f>
        <v>1057018.2483000001</v>
      </c>
      <c r="N44" s="633">
        <v>427840.7195500001</v>
      </c>
      <c r="O44" s="630">
        <f t="shared" ref="O44:O75" si="16">N44*-0.21</f>
        <v>-89846.55110550001</v>
      </c>
      <c r="P44" s="630">
        <f t="shared" ref="P44:P75" si="17">M44+N44+O44</f>
        <v>1395012.4167445002</v>
      </c>
      <c r="Q44" s="630"/>
      <c r="R44" s="630">
        <f t="shared" ref="R44:R75" si="18">J44-P44</f>
        <v>644781.13146300009</v>
      </c>
      <c r="S44" s="652"/>
      <c r="T44" s="633">
        <v>0</v>
      </c>
      <c r="U44" s="652"/>
      <c r="V44" s="633">
        <v>0</v>
      </c>
      <c r="W44" s="652"/>
      <c r="X44" s="630">
        <f t="shared" ref="X44:X75" si="19">R44-T44-V44</f>
        <v>644781.13146300009</v>
      </c>
      <c r="Y44" s="632"/>
      <c r="Z44" s="478" t="s">
        <v>240</v>
      </c>
      <c r="AA44" s="631"/>
      <c r="AB44" s="478" t="s">
        <v>1810</v>
      </c>
      <c r="AC44" s="631"/>
      <c r="AD44" s="1727">
        <v>6.0801999999999995E-2</v>
      </c>
      <c r="AE44" s="631"/>
      <c r="AF44" s="630">
        <f t="shared" si="10"/>
        <v>39203.982355213331</v>
      </c>
      <c r="AG44" s="298"/>
      <c r="AH44" s="1510">
        <v>190</v>
      </c>
      <c r="AI44" s="352"/>
      <c r="AQ44" s="1718"/>
      <c r="AR44" s="1718"/>
      <c r="AS44" s="1718"/>
      <c r="AT44" s="1718"/>
      <c r="AU44" s="1718"/>
      <c r="BC44" s="1718"/>
      <c r="BD44" s="1718"/>
      <c r="BE44" s="1718"/>
      <c r="BF44" s="1718"/>
      <c r="BG44" s="1718"/>
      <c r="BH44" s="1718"/>
      <c r="BI44" s="1718"/>
      <c r="BJ44" s="1718"/>
      <c r="BK44" s="1718"/>
      <c r="BL44" s="1718"/>
      <c r="BM44" s="1718"/>
      <c r="BN44" s="660"/>
      <c r="BO44" s="660"/>
      <c r="BP44" s="660"/>
      <c r="BQ44" s="660"/>
      <c r="BR44" s="660"/>
      <c r="BS44" s="660"/>
    </row>
    <row r="45" spans="2:71">
      <c r="B45" s="352">
        <v>34</v>
      </c>
      <c r="C45" s="470" t="s">
        <v>1671</v>
      </c>
      <c r="D45" s="470" t="s">
        <v>1666</v>
      </c>
      <c r="E45" s="470" t="s">
        <v>1363</v>
      </c>
      <c r="F45" s="633">
        <v>3215738.26</v>
      </c>
      <c r="G45" s="630">
        <f t="shared" si="11"/>
        <v>1125508.3909999998</v>
      </c>
      <c r="H45" s="633">
        <v>273337.75209999998</v>
      </c>
      <c r="I45" s="630">
        <f t="shared" si="12"/>
        <v>-95668.213234999988</v>
      </c>
      <c r="J45" s="630">
        <f t="shared" si="13"/>
        <v>1303177.9298649998</v>
      </c>
      <c r="K45" s="652"/>
      <c r="L45" s="633">
        <f t="shared" si="14"/>
        <v>3215738.26</v>
      </c>
      <c r="M45" s="630">
        <f t="shared" si="15"/>
        <v>675305.0345999999</v>
      </c>
      <c r="N45" s="633">
        <v>273337.75209999998</v>
      </c>
      <c r="O45" s="630">
        <f t="shared" si="16"/>
        <v>-57400.927940999994</v>
      </c>
      <c r="P45" s="630">
        <f t="shared" si="17"/>
        <v>891241.85875899985</v>
      </c>
      <c r="Q45" s="630"/>
      <c r="R45" s="630">
        <f t="shared" si="18"/>
        <v>411936.07110599999</v>
      </c>
      <c r="S45" s="652"/>
      <c r="T45" s="633">
        <v>0</v>
      </c>
      <c r="U45" s="652"/>
      <c r="V45" s="633">
        <v>0</v>
      </c>
      <c r="W45" s="652"/>
      <c r="X45" s="630">
        <f t="shared" si="19"/>
        <v>411936.07110599999</v>
      </c>
      <c r="Y45" s="632"/>
      <c r="Z45" s="478" t="s">
        <v>240</v>
      </c>
      <c r="AA45" s="631"/>
      <c r="AB45" s="478" t="s">
        <v>1810</v>
      </c>
      <c r="AC45" s="631"/>
      <c r="AD45" s="1727">
        <v>6.0801999999999995E-2</v>
      </c>
      <c r="AE45" s="631"/>
      <c r="AF45" s="630">
        <f t="shared" si="10"/>
        <v>25046.53699538701</v>
      </c>
      <c r="AG45" s="298"/>
      <c r="AH45" s="1510">
        <v>190</v>
      </c>
      <c r="AI45" s="352"/>
      <c r="AQ45" s="1718"/>
      <c r="AR45" s="1718"/>
      <c r="AS45" s="1718"/>
      <c r="AT45" s="1718"/>
      <c r="AU45" s="1718"/>
      <c r="BC45" s="1718"/>
      <c r="BD45" s="1718"/>
      <c r="BE45" s="1718"/>
      <c r="BF45" s="1718"/>
      <c r="BG45" s="1718"/>
      <c r="BH45" s="1718"/>
      <c r="BI45" s="1718"/>
      <c r="BJ45" s="1718"/>
      <c r="BK45" s="1718"/>
      <c r="BL45" s="1718"/>
      <c r="BM45" s="1718"/>
      <c r="BN45" s="660"/>
      <c r="BO45" s="660"/>
      <c r="BP45" s="660"/>
      <c r="BQ45" s="660"/>
      <c r="BR45" s="660"/>
      <c r="BS45" s="660"/>
    </row>
    <row r="46" spans="2:71">
      <c r="B46" s="352">
        <v>35</v>
      </c>
      <c r="C46" s="470" t="s">
        <v>1672</v>
      </c>
      <c r="D46" s="470" t="s">
        <v>1666</v>
      </c>
      <c r="E46" s="470" t="s">
        <v>1363</v>
      </c>
      <c r="F46" s="633">
        <v>5116572.3</v>
      </c>
      <c r="G46" s="630">
        <f t="shared" si="11"/>
        <v>1790800.3049999999</v>
      </c>
      <c r="H46" s="633">
        <v>434908.64550000004</v>
      </c>
      <c r="I46" s="630">
        <f t="shared" si="12"/>
        <v>-152218.02592499999</v>
      </c>
      <c r="J46" s="630">
        <f t="shared" si="13"/>
        <v>2073490.9245749998</v>
      </c>
      <c r="K46" s="652"/>
      <c r="L46" s="633">
        <f t="shared" si="14"/>
        <v>5116572.3</v>
      </c>
      <c r="M46" s="630">
        <f t="shared" si="15"/>
        <v>1074480.183</v>
      </c>
      <c r="N46" s="633">
        <v>434908.64550000004</v>
      </c>
      <c r="O46" s="630">
        <f t="shared" si="16"/>
        <v>-91330.815555000008</v>
      </c>
      <c r="P46" s="630">
        <f t="shared" si="17"/>
        <v>1418058.0129450001</v>
      </c>
      <c r="Q46" s="630"/>
      <c r="R46" s="630">
        <f t="shared" si="18"/>
        <v>655432.91162999975</v>
      </c>
      <c r="S46" s="652"/>
      <c r="T46" s="633">
        <v>0</v>
      </c>
      <c r="U46" s="652"/>
      <c r="V46" s="633">
        <v>0</v>
      </c>
      <c r="W46" s="652"/>
      <c r="X46" s="630">
        <f t="shared" si="19"/>
        <v>655432.91162999975</v>
      </c>
      <c r="Y46" s="632"/>
      <c r="Z46" s="478" t="s">
        <v>240</v>
      </c>
      <c r="AA46" s="631"/>
      <c r="AB46" s="478" t="s">
        <v>1810</v>
      </c>
      <c r="AC46" s="631"/>
      <c r="AD46" s="1727">
        <v>6.0801999999999995E-2</v>
      </c>
      <c r="AE46" s="631"/>
      <c r="AF46" s="630">
        <f t="shared" si="10"/>
        <v>39851.631892927238</v>
      </c>
      <c r="AG46" s="298"/>
      <c r="AH46" s="1510">
        <v>190</v>
      </c>
      <c r="AI46" s="352"/>
      <c r="AQ46" s="1718"/>
      <c r="AR46" s="1718"/>
      <c r="AS46" s="1718"/>
      <c r="AT46" s="1718"/>
      <c r="AU46" s="1718"/>
      <c r="BC46" s="1718"/>
      <c r="BD46" s="1718"/>
      <c r="BE46" s="1718"/>
      <c r="BF46" s="1718"/>
      <c r="BG46" s="1718"/>
      <c r="BH46" s="1718"/>
      <c r="BI46" s="1718"/>
      <c r="BJ46" s="1718"/>
      <c r="BK46" s="1718"/>
      <c r="BL46" s="1718"/>
      <c r="BM46" s="1718"/>
      <c r="BN46" s="660"/>
      <c r="BO46" s="660"/>
      <c r="BP46" s="660"/>
      <c r="BQ46" s="660"/>
      <c r="BR46" s="660"/>
      <c r="BS46" s="660"/>
    </row>
    <row r="47" spans="2:71">
      <c r="B47" s="352">
        <v>36</v>
      </c>
      <c r="C47" s="470" t="s">
        <v>1673</v>
      </c>
      <c r="D47" s="470" t="s">
        <v>1666</v>
      </c>
      <c r="E47" s="470" t="s">
        <v>1363</v>
      </c>
      <c r="F47" s="633">
        <v>36000</v>
      </c>
      <c r="G47" s="630">
        <f t="shared" si="11"/>
        <v>12600</v>
      </c>
      <c r="H47" s="633">
        <v>3060</v>
      </c>
      <c r="I47" s="630">
        <f t="shared" si="12"/>
        <v>-1071</v>
      </c>
      <c r="J47" s="630">
        <f t="shared" si="13"/>
        <v>14589</v>
      </c>
      <c r="K47" s="652"/>
      <c r="L47" s="633">
        <f t="shared" si="14"/>
        <v>36000</v>
      </c>
      <c r="M47" s="630">
        <f t="shared" si="15"/>
        <v>7560</v>
      </c>
      <c r="N47" s="633">
        <v>3060</v>
      </c>
      <c r="O47" s="630">
        <f t="shared" si="16"/>
        <v>-642.6</v>
      </c>
      <c r="P47" s="630">
        <f t="shared" si="17"/>
        <v>9977.4</v>
      </c>
      <c r="Q47" s="630"/>
      <c r="R47" s="630">
        <f t="shared" si="18"/>
        <v>4611.6000000000004</v>
      </c>
      <c r="S47" s="652"/>
      <c r="T47" s="633">
        <v>0</v>
      </c>
      <c r="U47" s="652"/>
      <c r="V47" s="633">
        <v>0</v>
      </c>
      <c r="W47" s="652"/>
      <c r="X47" s="630">
        <f t="shared" si="19"/>
        <v>4611.6000000000004</v>
      </c>
      <c r="Y47" s="632"/>
      <c r="Z47" s="478" t="s">
        <v>240</v>
      </c>
      <c r="AA47" s="631"/>
      <c r="AB47" s="478" t="s">
        <v>1810</v>
      </c>
      <c r="AC47" s="631"/>
      <c r="AD47" s="1727">
        <v>6.0801999999999995E-2</v>
      </c>
      <c r="AE47" s="631"/>
      <c r="AF47" s="630">
        <f t="shared" si="10"/>
        <v>280.39450319999997</v>
      </c>
      <c r="AG47" s="298"/>
      <c r="AH47" s="1510">
        <v>190</v>
      </c>
      <c r="AI47" s="352"/>
      <c r="AQ47" s="1718"/>
      <c r="AR47" s="1718"/>
      <c r="AS47" s="1718"/>
      <c r="AT47" s="1718"/>
      <c r="AU47" s="1718"/>
      <c r="BC47" s="1718"/>
      <c r="BD47" s="1718"/>
      <c r="BE47" s="1718"/>
      <c r="BF47" s="1718"/>
      <c r="BG47" s="1718"/>
      <c r="BH47" s="1718"/>
      <c r="BI47" s="1718"/>
      <c r="BJ47" s="1718"/>
      <c r="BK47" s="1718"/>
      <c r="BL47" s="1718"/>
      <c r="BM47" s="1718"/>
      <c r="BN47" s="660"/>
      <c r="BO47" s="660"/>
      <c r="BP47" s="660"/>
      <c r="BQ47" s="660"/>
      <c r="BR47" s="660"/>
      <c r="BS47" s="660"/>
    </row>
    <row r="48" spans="2:71">
      <c r="B48" s="352">
        <v>37</v>
      </c>
      <c r="C48" s="470" t="s">
        <v>1674</v>
      </c>
      <c r="D48" s="470" t="s">
        <v>1666</v>
      </c>
      <c r="E48" s="470" t="s">
        <v>1363</v>
      </c>
      <c r="F48" s="633">
        <v>-3429544.69</v>
      </c>
      <c r="G48" s="630">
        <f t="shared" si="11"/>
        <v>-1200340.6414999999</v>
      </c>
      <c r="H48" s="633">
        <v>-291511.29865000001</v>
      </c>
      <c r="I48" s="630">
        <f t="shared" si="12"/>
        <v>102028.9545275</v>
      </c>
      <c r="J48" s="630">
        <f t="shared" si="13"/>
        <v>-1389822.9856224998</v>
      </c>
      <c r="K48" s="652"/>
      <c r="L48" s="633">
        <f t="shared" si="14"/>
        <v>-3429544.69</v>
      </c>
      <c r="M48" s="630">
        <f t="shared" si="15"/>
        <v>-720204.38489999995</v>
      </c>
      <c r="N48" s="633">
        <v>-291511.29865000001</v>
      </c>
      <c r="O48" s="630">
        <f t="shared" si="16"/>
        <v>61217.372716500002</v>
      </c>
      <c r="P48" s="630">
        <f t="shared" si="17"/>
        <v>-950498.3108335</v>
      </c>
      <c r="Q48" s="630"/>
      <c r="R48" s="630">
        <f t="shared" si="18"/>
        <v>-439324.67478899984</v>
      </c>
      <c r="S48" s="652"/>
      <c r="T48" s="633">
        <v>-439324.67478900007</v>
      </c>
      <c r="U48" s="652"/>
      <c r="V48" s="633">
        <v>0</v>
      </c>
      <c r="W48" s="652"/>
      <c r="X48" s="630">
        <f t="shared" si="19"/>
        <v>2.3283064365386963E-10</v>
      </c>
      <c r="Y48" s="632"/>
      <c r="Z48" s="478" t="s">
        <v>240</v>
      </c>
      <c r="AA48" s="631"/>
      <c r="AB48" s="478" t="s">
        <v>1807</v>
      </c>
      <c r="AC48" s="631"/>
      <c r="AD48" s="1727">
        <v>0</v>
      </c>
      <c r="AE48" s="631"/>
      <c r="AF48" s="630">
        <f t="shared" si="10"/>
        <v>0</v>
      </c>
      <c r="AG48" s="298"/>
      <c r="AH48" s="1510">
        <v>190</v>
      </c>
      <c r="AI48" s="352"/>
      <c r="AQ48" s="1718"/>
      <c r="AR48" s="1718"/>
      <c r="AS48" s="1718"/>
      <c r="AT48" s="1718"/>
      <c r="AU48" s="1718"/>
      <c r="BC48" s="1718"/>
      <c r="BD48" s="1718"/>
      <c r="BE48" s="1718"/>
      <c r="BF48" s="1718"/>
      <c r="BG48" s="1718"/>
      <c r="BH48" s="1718"/>
      <c r="BI48" s="1718"/>
      <c r="BJ48" s="1718"/>
      <c r="BK48" s="1718"/>
      <c r="BL48" s="1718"/>
      <c r="BM48" s="1718"/>
      <c r="BN48" s="660"/>
      <c r="BO48" s="660"/>
      <c r="BP48" s="660"/>
      <c r="BQ48" s="660"/>
      <c r="BR48" s="660"/>
      <c r="BS48" s="660"/>
    </row>
    <row r="49" spans="2:71">
      <c r="B49" s="352">
        <v>38</v>
      </c>
      <c r="C49" s="470" t="s">
        <v>1675</v>
      </c>
      <c r="D49" s="470" t="s">
        <v>1666</v>
      </c>
      <c r="E49" s="470" t="s">
        <v>1363</v>
      </c>
      <c r="F49" s="633">
        <v>-1160661.8700000001</v>
      </c>
      <c r="G49" s="630">
        <f t="shared" si="11"/>
        <v>-406231.6545</v>
      </c>
      <c r="H49" s="633">
        <v>-98656.258950000018</v>
      </c>
      <c r="I49" s="630">
        <f t="shared" si="12"/>
        <v>34529.690632500002</v>
      </c>
      <c r="J49" s="630">
        <f t="shared" si="13"/>
        <v>-470358.22281750001</v>
      </c>
      <c r="K49" s="652"/>
      <c r="L49" s="633">
        <f t="shared" si="14"/>
        <v>-1160661.8700000001</v>
      </c>
      <c r="M49" s="630">
        <f t="shared" si="15"/>
        <v>-243738.9927</v>
      </c>
      <c r="N49" s="633">
        <v>-98656.258950000018</v>
      </c>
      <c r="O49" s="630">
        <f t="shared" si="16"/>
        <v>20717.814379500003</v>
      </c>
      <c r="P49" s="630">
        <f t="shared" si="17"/>
        <v>-321677.4372705</v>
      </c>
      <c r="Q49" s="630"/>
      <c r="R49" s="630">
        <f t="shared" si="18"/>
        <v>-148680.78554700001</v>
      </c>
      <c r="S49" s="652"/>
      <c r="T49" s="633">
        <v>0</v>
      </c>
      <c r="U49" s="652"/>
      <c r="V49" s="633">
        <v>0</v>
      </c>
      <c r="W49" s="652"/>
      <c r="X49" s="630">
        <f t="shared" si="19"/>
        <v>-148680.78554700001</v>
      </c>
      <c r="Y49" s="632"/>
      <c r="Z49" s="478" t="s">
        <v>240</v>
      </c>
      <c r="AA49" s="631"/>
      <c r="AB49" s="478" t="s">
        <v>1810</v>
      </c>
      <c r="AC49" s="631"/>
      <c r="AD49" s="1727">
        <v>6.0801999999999995E-2</v>
      </c>
      <c r="AE49" s="631"/>
      <c r="AF49" s="630">
        <f t="shared" si="10"/>
        <v>-9040.0891228286928</v>
      </c>
      <c r="AG49" s="298"/>
      <c r="AH49" s="1510">
        <v>190</v>
      </c>
      <c r="AI49" s="352"/>
      <c r="AQ49" s="1718"/>
      <c r="AR49" s="1718"/>
      <c r="AS49" s="1718"/>
      <c r="AT49" s="1718"/>
      <c r="AU49" s="1718"/>
      <c r="BC49" s="1718"/>
      <c r="BD49" s="1718"/>
      <c r="BE49" s="1718"/>
      <c r="BF49" s="1718"/>
      <c r="BG49" s="1718"/>
      <c r="BH49" s="1718"/>
      <c r="BI49" s="1718"/>
      <c r="BJ49" s="1718"/>
      <c r="BK49" s="1718"/>
      <c r="BL49" s="1718"/>
      <c r="BM49" s="1718"/>
      <c r="BN49" s="660"/>
      <c r="BO49" s="660"/>
      <c r="BP49" s="660"/>
      <c r="BQ49" s="660"/>
      <c r="BR49" s="660"/>
      <c r="BS49" s="660"/>
    </row>
    <row r="50" spans="2:71">
      <c r="B50" s="352">
        <v>39</v>
      </c>
      <c r="C50" s="470" t="s">
        <v>1676</v>
      </c>
      <c r="D50" s="470" t="s">
        <v>1666</v>
      </c>
      <c r="E50" s="470" t="s">
        <v>1363</v>
      </c>
      <c r="F50" s="633">
        <v>4143767.54</v>
      </c>
      <c r="G50" s="630">
        <f t="shared" si="11"/>
        <v>1450318.639</v>
      </c>
      <c r="H50" s="633">
        <v>352220.24090000003</v>
      </c>
      <c r="I50" s="630">
        <f t="shared" si="12"/>
        <v>-123277.084315</v>
      </c>
      <c r="J50" s="630">
        <f t="shared" si="13"/>
        <v>1679261.795585</v>
      </c>
      <c r="K50" s="652"/>
      <c r="L50" s="633">
        <f t="shared" si="14"/>
        <v>4143767.54</v>
      </c>
      <c r="M50" s="630">
        <f t="shared" si="15"/>
        <v>870191.18339999998</v>
      </c>
      <c r="N50" s="633">
        <v>352220.24090000003</v>
      </c>
      <c r="O50" s="630">
        <f t="shared" si="16"/>
        <v>-73966.250589000003</v>
      </c>
      <c r="P50" s="630">
        <f t="shared" si="17"/>
        <v>1148445.173711</v>
      </c>
      <c r="Q50" s="630"/>
      <c r="R50" s="630">
        <f t="shared" si="18"/>
        <v>530816.62187399995</v>
      </c>
      <c r="S50" s="652"/>
      <c r="T50" s="633">
        <v>0</v>
      </c>
      <c r="U50" s="652"/>
      <c r="V50" s="633">
        <v>0</v>
      </c>
      <c r="W50" s="652"/>
      <c r="X50" s="630">
        <f t="shared" si="19"/>
        <v>530816.62187399995</v>
      </c>
      <c r="Y50" s="632"/>
      <c r="Z50" s="478" t="s">
        <v>240</v>
      </c>
      <c r="AA50" s="631"/>
      <c r="AB50" s="478" t="s">
        <v>1810</v>
      </c>
      <c r="AC50" s="631"/>
      <c r="AD50" s="1727">
        <v>6.0801999999999995E-2</v>
      </c>
      <c r="AE50" s="631"/>
      <c r="AF50" s="630">
        <f t="shared" si="10"/>
        <v>32274.712243182941</v>
      </c>
      <c r="AG50" s="298"/>
      <c r="AH50" s="1510">
        <v>190</v>
      </c>
      <c r="AI50" s="352"/>
      <c r="AQ50" s="1718"/>
      <c r="AR50" s="1718"/>
      <c r="AS50" s="1718"/>
      <c r="AT50" s="1718"/>
      <c r="AU50" s="1718"/>
      <c r="BC50" s="1718"/>
      <c r="BD50" s="1718"/>
      <c r="BE50" s="1718"/>
      <c r="BF50" s="1718"/>
      <c r="BG50" s="1718"/>
      <c r="BH50" s="1718"/>
      <c r="BI50" s="1718"/>
      <c r="BJ50" s="1718"/>
      <c r="BK50" s="1718"/>
      <c r="BL50" s="1718"/>
      <c r="BM50" s="1718"/>
      <c r="BN50" s="660"/>
      <c r="BO50" s="660"/>
      <c r="BP50" s="660"/>
      <c r="BQ50" s="660"/>
      <c r="BR50" s="660"/>
      <c r="BS50" s="660"/>
    </row>
    <row r="51" spans="2:71">
      <c r="B51" s="352">
        <v>40</v>
      </c>
      <c r="C51" s="470" t="s">
        <v>1677</v>
      </c>
      <c r="D51" s="470" t="s">
        <v>1666</v>
      </c>
      <c r="E51" s="470" t="s">
        <v>1363</v>
      </c>
      <c r="F51" s="633">
        <v>3429544.69</v>
      </c>
      <c r="G51" s="630">
        <f t="shared" si="11"/>
        <v>1200340.6414999999</v>
      </c>
      <c r="H51" s="633">
        <v>291511.29865000001</v>
      </c>
      <c r="I51" s="630">
        <f t="shared" si="12"/>
        <v>-102028.9545275</v>
      </c>
      <c r="J51" s="630">
        <f t="shared" si="13"/>
        <v>1389822.9856224998</v>
      </c>
      <c r="K51" s="652"/>
      <c r="L51" s="633">
        <f t="shared" si="14"/>
        <v>3429544.69</v>
      </c>
      <c r="M51" s="630">
        <f t="shared" si="15"/>
        <v>720204.38489999995</v>
      </c>
      <c r="N51" s="633">
        <v>291511.29865000001</v>
      </c>
      <c r="O51" s="630">
        <f t="shared" si="16"/>
        <v>-61217.372716500002</v>
      </c>
      <c r="P51" s="630">
        <f t="shared" si="17"/>
        <v>950498.3108335</v>
      </c>
      <c r="Q51" s="630"/>
      <c r="R51" s="630">
        <f t="shared" si="18"/>
        <v>439324.67478899984</v>
      </c>
      <c r="S51" s="652"/>
      <c r="T51" s="633">
        <v>439324.67478900007</v>
      </c>
      <c r="U51" s="652"/>
      <c r="V51" s="633">
        <v>0</v>
      </c>
      <c r="W51" s="652"/>
      <c r="X51" s="630">
        <f t="shared" si="19"/>
        <v>-2.3283064365386963E-10</v>
      </c>
      <c r="Y51" s="632"/>
      <c r="Z51" s="478" t="s">
        <v>240</v>
      </c>
      <c r="AA51" s="631"/>
      <c r="AB51" s="478" t="s">
        <v>1807</v>
      </c>
      <c r="AC51" s="631"/>
      <c r="AD51" s="1727">
        <v>0</v>
      </c>
      <c r="AE51" s="631"/>
      <c r="AF51" s="630">
        <f t="shared" ref="AF51:AF82" si="20">X51*AD51</f>
        <v>0</v>
      </c>
      <c r="AG51" s="298"/>
      <c r="AH51" s="1510">
        <v>190</v>
      </c>
      <c r="AI51" s="352"/>
      <c r="AQ51" s="1718"/>
      <c r="AR51" s="1718"/>
      <c r="AS51" s="1718"/>
      <c r="AT51" s="1718"/>
      <c r="AU51" s="1718"/>
      <c r="BC51" s="1718"/>
      <c r="BD51" s="1718"/>
      <c r="BE51" s="1718"/>
      <c r="BF51" s="1718"/>
      <c r="BG51" s="1718"/>
      <c r="BH51" s="1718"/>
      <c r="BI51" s="1718"/>
      <c r="BJ51" s="1718"/>
      <c r="BK51" s="1718"/>
      <c r="BL51" s="1718"/>
      <c r="BM51" s="1718"/>
      <c r="BN51" s="660"/>
      <c r="BO51" s="660"/>
      <c r="BP51" s="660"/>
      <c r="BQ51" s="660"/>
      <c r="BR51" s="660"/>
      <c r="BS51" s="660"/>
    </row>
    <row r="52" spans="2:71">
      <c r="B52" s="352">
        <v>41</v>
      </c>
      <c r="C52" s="470" t="s">
        <v>1678</v>
      </c>
      <c r="D52" s="470" t="s">
        <v>1666</v>
      </c>
      <c r="E52" s="470" t="s">
        <v>1363</v>
      </c>
      <c r="F52" s="633">
        <v>-36000</v>
      </c>
      <c r="G52" s="630">
        <f t="shared" si="11"/>
        <v>-12600</v>
      </c>
      <c r="H52" s="633">
        <v>-3060</v>
      </c>
      <c r="I52" s="630">
        <f t="shared" si="12"/>
        <v>1071</v>
      </c>
      <c r="J52" s="630">
        <f t="shared" si="13"/>
        <v>-14589</v>
      </c>
      <c r="K52" s="652"/>
      <c r="L52" s="633">
        <f t="shared" si="14"/>
        <v>-36000</v>
      </c>
      <c r="M52" s="630">
        <f t="shared" si="15"/>
        <v>-7560</v>
      </c>
      <c r="N52" s="633">
        <v>-3060</v>
      </c>
      <c r="O52" s="630">
        <f t="shared" si="16"/>
        <v>642.6</v>
      </c>
      <c r="P52" s="630">
        <f t="shared" si="17"/>
        <v>-9977.4</v>
      </c>
      <c r="Q52" s="630"/>
      <c r="R52" s="630">
        <f t="shared" si="18"/>
        <v>-4611.6000000000004</v>
      </c>
      <c r="S52" s="652"/>
      <c r="T52" s="633">
        <v>0</v>
      </c>
      <c r="U52" s="652"/>
      <c r="V52" s="633">
        <v>0</v>
      </c>
      <c r="W52" s="652"/>
      <c r="X52" s="630">
        <f t="shared" si="19"/>
        <v>-4611.6000000000004</v>
      </c>
      <c r="Y52" s="632"/>
      <c r="Z52" s="478" t="s">
        <v>240</v>
      </c>
      <c r="AA52" s="631"/>
      <c r="AB52" s="478" t="s">
        <v>1810</v>
      </c>
      <c r="AC52" s="631"/>
      <c r="AD52" s="1727">
        <v>6.0801999999999995E-2</v>
      </c>
      <c r="AE52" s="631"/>
      <c r="AF52" s="630">
        <f t="shared" si="20"/>
        <v>-280.39450319999997</v>
      </c>
      <c r="AG52" s="298"/>
      <c r="AH52" s="1510">
        <v>190</v>
      </c>
      <c r="AI52" s="352"/>
      <c r="AQ52" s="1718"/>
      <c r="AR52" s="1718"/>
      <c r="AS52" s="1718"/>
      <c r="AT52" s="1718"/>
      <c r="AU52" s="1718"/>
      <c r="BC52" s="1718"/>
      <c r="BD52" s="1718"/>
      <c r="BE52" s="1718"/>
      <c r="BF52" s="1718"/>
      <c r="BG52" s="1718"/>
      <c r="BH52" s="1718"/>
      <c r="BI52" s="1718"/>
      <c r="BJ52" s="1718"/>
      <c r="BK52" s="1718"/>
      <c r="BL52" s="1718"/>
      <c r="BM52" s="1718"/>
      <c r="BN52" s="660"/>
      <c r="BO52" s="660"/>
      <c r="BP52" s="660"/>
      <c r="BQ52" s="660"/>
      <c r="BR52" s="660"/>
      <c r="BS52" s="660"/>
    </row>
    <row r="53" spans="2:71">
      <c r="B53" s="352">
        <v>42</v>
      </c>
      <c r="C53" s="470" t="s">
        <v>1679</v>
      </c>
      <c r="D53" s="470" t="s">
        <v>1666</v>
      </c>
      <c r="E53" s="470" t="s">
        <v>1363</v>
      </c>
      <c r="F53" s="633">
        <v>929613.35</v>
      </c>
      <c r="G53" s="630">
        <f t="shared" si="11"/>
        <v>325364.67249999999</v>
      </c>
      <c r="H53" s="633">
        <v>79017.134749999997</v>
      </c>
      <c r="I53" s="630">
        <f t="shared" si="12"/>
        <v>-27655.997162499996</v>
      </c>
      <c r="J53" s="630">
        <f t="shared" si="13"/>
        <v>376725.81008749997</v>
      </c>
      <c r="K53" s="652"/>
      <c r="L53" s="633">
        <f t="shared" si="14"/>
        <v>929613.35</v>
      </c>
      <c r="M53" s="630">
        <f t="shared" si="15"/>
        <v>195218.80349999998</v>
      </c>
      <c r="N53" s="633">
        <v>79017.134749999997</v>
      </c>
      <c r="O53" s="630">
        <f t="shared" si="16"/>
        <v>-16593.598297500001</v>
      </c>
      <c r="P53" s="630">
        <f t="shared" si="17"/>
        <v>257642.33995250001</v>
      </c>
      <c r="Q53" s="630"/>
      <c r="R53" s="630">
        <f t="shared" si="18"/>
        <v>119083.47013499995</v>
      </c>
      <c r="S53" s="652"/>
      <c r="T53" s="633">
        <v>0</v>
      </c>
      <c r="U53" s="652"/>
      <c r="V53" s="633">
        <v>0</v>
      </c>
      <c r="W53" s="652"/>
      <c r="X53" s="630">
        <f t="shared" si="19"/>
        <v>119083.47013499995</v>
      </c>
      <c r="Y53" s="632"/>
      <c r="Z53" s="478" t="s">
        <v>240</v>
      </c>
      <c r="AA53" s="631"/>
      <c r="AB53" s="478" t="s">
        <v>1810</v>
      </c>
      <c r="AC53" s="631"/>
      <c r="AD53" s="1727">
        <v>6.0801999999999995E-2</v>
      </c>
      <c r="AE53" s="631"/>
      <c r="AF53" s="630">
        <f t="shared" si="20"/>
        <v>7240.5131511482668</v>
      </c>
      <c r="AG53" s="298"/>
      <c r="AH53" s="1510">
        <v>190</v>
      </c>
      <c r="AI53" s="352"/>
      <c r="AQ53" s="1718"/>
      <c r="AR53" s="1718"/>
      <c r="AS53" s="1718"/>
      <c r="AT53" s="1718"/>
      <c r="AU53" s="1718"/>
      <c r="BC53" s="1718"/>
      <c r="BD53" s="1718"/>
      <c r="BE53" s="1718"/>
      <c r="BF53" s="1718"/>
      <c r="BG53" s="1718"/>
      <c r="BH53" s="1718"/>
      <c r="BI53" s="1718"/>
      <c r="BJ53" s="1718"/>
      <c r="BK53" s="1718"/>
      <c r="BL53" s="1718"/>
      <c r="BM53" s="1718"/>
      <c r="BN53" s="660"/>
      <c r="BO53" s="660"/>
      <c r="BP53" s="660"/>
      <c r="BQ53" s="660"/>
      <c r="BR53" s="660"/>
      <c r="BS53" s="660"/>
    </row>
    <row r="54" spans="2:71">
      <c r="B54" s="352">
        <v>43</v>
      </c>
      <c r="C54" s="470" t="s">
        <v>1680</v>
      </c>
      <c r="D54" s="470" t="s">
        <v>1666</v>
      </c>
      <c r="E54" s="470" t="s">
        <v>1363</v>
      </c>
      <c r="F54" s="633">
        <v>285774.13</v>
      </c>
      <c r="G54" s="630">
        <f t="shared" si="11"/>
        <v>100020.9455</v>
      </c>
      <c r="H54" s="633">
        <v>24290.801050000002</v>
      </c>
      <c r="I54" s="630">
        <f t="shared" si="12"/>
        <v>-8501.7803674999996</v>
      </c>
      <c r="J54" s="630">
        <f t="shared" si="13"/>
        <v>115809.96618250001</v>
      </c>
      <c r="K54" s="652"/>
      <c r="L54" s="633">
        <f t="shared" si="14"/>
        <v>285774.13</v>
      </c>
      <c r="M54" s="630">
        <f t="shared" si="15"/>
        <v>60012.567299999995</v>
      </c>
      <c r="N54" s="633">
        <v>24290.801050000002</v>
      </c>
      <c r="O54" s="630">
        <f t="shared" si="16"/>
        <v>-5101.0682205000003</v>
      </c>
      <c r="P54" s="630">
        <f t="shared" si="17"/>
        <v>79202.300129499999</v>
      </c>
      <c r="Q54" s="630"/>
      <c r="R54" s="630">
        <f t="shared" si="18"/>
        <v>36607.666053000008</v>
      </c>
      <c r="S54" s="652"/>
      <c r="T54" s="633">
        <v>0</v>
      </c>
      <c r="U54" s="652"/>
      <c r="V54" s="633">
        <v>0</v>
      </c>
      <c r="W54" s="652"/>
      <c r="X54" s="630">
        <f t="shared" si="19"/>
        <v>36607.666053000008</v>
      </c>
      <c r="Y54" s="632"/>
      <c r="Z54" s="478" t="s">
        <v>240</v>
      </c>
      <c r="AA54" s="631"/>
      <c r="AB54" s="478" t="s">
        <v>1810</v>
      </c>
      <c r="AC54" s="631"/>
      <c r="AD54" s="1727">
        <v>6.0801999999999995E-2</v>
      </c>
      <c r="AE54" s="631"/>
      <c r="AF54" s="630">
        <f t="shared" si="20"/>
        <v>2225.8193113545062</v>
      </c>
      <c r="AG54" s="298"/>
      <c r="AH54" s="1510">
        <v>190</v>
      </c>
      <c r="AI54" s="352"/>
      <c r="AQ54" s="1718"/>
      <c r="AR54" s="1718"/>
      <c r="AS54" s="1718"/>
      <c r="AT54" s="1718"/>
      <c r="AU54" s="1718"/>
      <c r="BC54" s="1718"/>
      <c r="BD54" s="1718"/>
      <c r="BE54" s="1718"/>
      <c r="BF54" s="1718"/>
      <c r="BG54" s="1718"/>
      <c r="BH54" s="1718"/>
      <c r="BI54" s="1718"/>
      <c r="BJ54" s="1718"/>
      <c r="BK54" s="1718"/>
      <c r="BL54" s="1718"/>
      <c r="BM54" s="1718"/>
      <c r="BN54" s="660"/>
      <c r="BO54" s="660"/>
      <c r="BP54" s="660"/>
      <c r="BQ54" s="660"/>
      <c r="BR54" s="660"/>
      <c r="BS54" s="660"/>
    </row>
    <row r="55" spans="2:71">
      <c r="B55" s="352">
        <v>44</v>
      </c>
      <c r="C55" s="470" t="s">
        <v>1681</v>
      </c>
      <c r="D55" s="470" t="s">
        <v>1666</v>
      </c>
      <c r="E55" s="470" t="s">
        <v>1363</v>
      </c>
      <c r="F55" s="633">
        <v>-190331</v>
      </c>
      <c r="G55" s="630">
        <f t="shared" si="11"/>
        <v>-66615.849999999991</v>
      </c>
      <c r="H55" s="633">
        <v>-16178.135000000002</v>
      </c>
      <c r="I55" s="630">
        <f t="shared" si="12"/>
        <v>5662.3472500000007</v>
      </c>
      <c r="J55" s="630">
        <f t="shared" si="13"/>
        <v>-77131.63774999998</v>
      </c>
      <c r="K55" s="652"/>
      <c r="L55" s="633">
        <f t="shared" si="14"/>
        <v>-190331</v>
      </c>
      <c r="M55" s="630">
        <f t="shared" si="15"/>
        <v>-39969.51</v>
      </c>
      <c r="N55" s="633">
        <v>-16178.135000000002</v>
      </c>
      <c r="O55" s="630">
        <f t="shared" si="16"/>
        <v>3397.4083500000002</v>
      </c>
      <c r="P55" s="630">
        <f t="shared" si="17"/>
        <v>-52750.236650000006</v>
      </c>
      <c r="Q55" s="630"/>
      <c r="R55" s="630">
        <f t="shared" si="18"/>
        <v>-24381.401099999974</v>
      </c>
      <c r="S55" s="652"/>
      <c r="T55" s="633"/>
      <c r="U55" s="652"/>
      <c r="V55" s="633">
        <v>0</v>
      </c>
      <c r="W55" s="652"/>
      <c r="X55" s="630">
        <f t="shared" si="19"/>
        <v>-24381.401099999974</v>
      </c>
      <c r="Y55" s="632"/>
      <c r="Z55" s="478" t="s">
        <v>240</v>
      </c>
      <c r="AA55" s="631"/>
      <c r="AB55" s="478" t="s">
        <v>1810</v>
      </c>
      <c r="AC55" s="631"/>
      <c r="AD55" s="1727">
        <v>6.0801999999999995E-2</v>
      </c>
      <c r="AE55" s="631"/>
      <c r="AF55" s="630">
        <f t="shared" si="20"/>
        <v>-1482.4379496821982</v>
      </c>
      <c r="AG55" s="298"/>
      <c r="AH55" s="1510">
        <v>190</v>
      </c>
      <c r="AI55" s="352"/>
      <c r="AQ55" s="1718"/>
      <c r="AR55" s="1718"/>
      <c r="AS55" s="1718"/>
      <c r="AT55" s="1718"/>
      <c r="AU55" s="1718"/>
      <c r="BC55" s="1718"/>
      <c r="BD55" s="1718"/>
      <c r="BE55" s="1718"/>
      <c r="BF55" s="1718"/>
      <c r="BG55" s="1718"/>
      <c r="BH55" s="1718"/>
      <c r="BI55" s="1718"/>
      <c r="BJ55" s="1718"/>
      <c r="BK55" s="1718"/>
      <c r="BL55" s="1718"/>
      <c r="BM55" s="1718"/>
      <c r="BN55" s="660"/>
      <c r="BO55" s="660"/>
      <c r="BP55" s="660"/>
      <c r="BQ55" s="660"/>
      <c r="BR55" s="660"/>
      <c r="BS55" s="660"/>
    </row>
    <row r="56" spans="2:71">
      <c r="B56" s="352">
        <v>45</v>
      </c>
      <c r="C56" s="470" t="s">
        <v>1682</v>
      </c>
      <c r="D56" s="470" t="s">
        <v>1683</v>
      </c>
      <c r="E56" s="470" t="s">
        <v>1363</v>
      </c>
      <c r="F56" s="633">
        <v>766348.2</v>
      </c>
      <c r="G56" s="630">
        <f t="shared" si="11"/>
        <v>268221.87</v>
      </c>
      <c r="H56" s="633">
        <v>65139.597000000002</v>
      </c>
      <c r="I56" s="630">
        <f t="shared" si="12"/>
        <v>-22798.858949999998</v>
      </c>
      <c r="J56" s="630">
        <f t="shared" si="13"/>
        <v>310562.60804999998</v>
      </c>
      <c r="K56" s="652"/>
      <c r="L56" s="633">
        <f t="shared" si="14"/>
        <v>766348.2</v>
      </c>
      <c r="M56" s="630">
        <f t="shared" si="15"/>
        <v>160933.12199999997</v>
      </c>
      <c r="N56" s="633">
        <v>65139.597000000002</v>
      </c>
      <c r="O56" s="630">
        <f t="shared" si="16"/>
        <v>-13679.31537</v>
      </c>
      <c r="P56" s="630">
        <f t="shared" si="17"/>
        <v>212393.40362999999</v>
      </c>
      <c r="Q56" s="630"/>
      <c r="R56" s="630">
        <f t="shared" si="18"/>
        <v>98169.204419999995</v>
      </c>
      <c r="S56" s="652"/>
      <c r="T56" s="633">
        <v>0</v>
      </c>
      <c r="U56" s="652"/>
      <c r="V56" s="633">
        <v>0</v>
      </c>
      <c r="W56" s="652"/>
      <c r="X56" s="630">
        <f t="shared" si="19"/>
        <v>98169.204419999995</v>
      </c>
      <c r="Y56" s="632"/>
      <c r="Z56" s="478" t="s">
        <v>1809</v>
      </c>
      <c r="AA56" s="631"/>
      <c r="AB56" s="478" t="s">
        <v>1807</v>
      </c>
      <c r="AC56" s="631"/>
      <c r="AD56" s="1727">
        <v>0</v>
      </c>
      <c r="AE56" s="631"/>
      <c r="AF56" s="630">
        <f t="shared" si="20"/>
        <v>0</v>
      </c>
      <c r="AG56" s="298"/>
      <c r="AH56" s="1510">
        <v>190</v>
      </c>
      <c r="AI56" s="352"/>
      <c r="AQ56" s="1718"/>
      <c r="AR56" s="1718"/>
      <c r="AS56" s="1718"/>
      <c r="AT56" s="1718"/>
      <c r="AU56" s="1718"/>
      <c r="BC56" s="1718"/>
      <c r="BD56" s="1718"/>
      <c r="BE56" s="1718"/>
      <c r="BF56" s="1718"/>
      <c r="BG56" s="1718"/>
      <c r="BH56" s="1718"/>
      <c r="BI56" s="1718"/>
      <c r="BJ56" s="1718"/>
      <c r="BK56" s="1718"/>
      <c r="BL56" s="1718"/>
      <c r="BM56" s="1718"/>
      <c r="BN56" s="660"/>
      <c r="BO56" s="660"/>
      <c r="BP56" s="660"/>
      <c r="BQ56" s="660"/>
      <c r="BR56" s="660"/>
      <c r="BS56" s="660"/>
    </row>
    <row r="57" spans="2:71">
      <c r="B57" s="352">
        <v>46</v>
      </c>
      <c r="C57" s="470" t="s">
        <v>1684</v>
      </c>
      <c r="D57" s="470" t="s">
        <v>1685</v>
      </c>
      <c r="E57" s="470" t="s">
        <v>1363</v>
      </c>
      <c r="F57" s="633">
        <v>1219791.8899999999</v>
      </c>
      <c r="G57" s="630">
        <f t="shared" si="11"/>
        <v>426927.16149999993</v>
      </c>
      <c r="H57" s="633">
        <v>103682.31065</v>
      </c>
      <c r="I57" s="630">
        <f t="shared" si="12"/>
        <v>-36288.8087275</v>
      </c>
      <c r="J57" s="630">
        <f t="shared" si="13"/>
        <v>494320.6634224999</v>
      </c>
      <c r="K57" s="652"/>
      <c r="L57" s="633">
        <f t="shared" si="14"/>
        <v>1219791.8899999999</v>
      </c>
      <c r="M57" s="630">
        <f t="shared" si="15"/>
        <v>256156.29689999996</v>
      </c>
      <c r="N57" s="633">
        <v>103682.31065</v>
      </c>
      <c r="O57" s="630">
        <f t="shared" si="16"/>
        <v>-21773.2852365</v>
      </c>
      <c r="P57" s="630">
        <f t="shared" si="17"/>
        <v>338065.32231349999</v>
      </c>
      <c r="Q57" s="630"/>
      <c r="R57" s="630">
        <f t="shared" si="18"/>
        <v>156255.34110899991</v>
      </c>
      <c r="S57" s="652"/>
      <c r="T57" s="633">
        <v>0</v>
      </c>
      <c r="U57" s="652"/>
      <c r="V57" s="633">
        <v>0</v>
      </c>
      <c r="W57" s="652"/>
      <c r="X57" s="630">
        <f t="shared" si="19"/>
        <v>156255.34110899991</v>
      </c>
      <c r="Y57" s="632"/>
      <c r="Z57" s="478" t="s">
        <v>1809</v>
      </c>
      <c r="AA57" s="631"/>
      <c r="AB57" s="478" t="s">
        <v>1807</v>
      </c>
      <c r="AC57" s="631"/>
      <c r="AD57" s="1727">
        <v>0</v>
      </c>
      <c r="AE57" s="631"/>
      <c r="AF57" s="630">
        <f t="shared" si="20"/>
        <v>0</v>
      </c>
      <c r="AG57" s="298"/>
      <c r="AH57" s="1510">
        <v>190</v>
      </c>
      <c r="AI57" s="352"/>
      <c r="AQ57" s="1718"/>
      <c r="AR57" s="1718"/>
      <c r="AS57" s="1718"/>
      <c r="AT57" s="1718"/>
      <c r="AU57" s="1718"/>
      <c r="BC57" s="1718"/>
      <c r="BD57" s="1718"/>
      <c r="BE57" s="1718"/>
      <c r="BF57" s="1718"/>
      <c r="BG57" s="1718"/>
      <c r="BH57" s="1718"/>
      <c r="BI57" s="1718"/>
      <c r="BJ57" s="1718"/>
      <c r="BK57" s="1718"/>
      <c r="BL57" s="1718"/>
      <c r="BM57" s="1718"/>
      <c r="BN57" s="660"/>
      <c r="BO57" s="660"/>
      <c r="BP57" s="660"/>
      <c r="BQ57" s="660"/>
      <c r="BR57" s="660"/>
      <c r="BS57" s="660"/>
    </row>
    <row r="58" spans="2:71">
      <c r="B58" s="352">
        <v>47</v>
      </c>
      <c r="C58" s="470" t="s">
        <v>1686</v>
      </c>
      <c r="D58" s="470" t="s">
        <v>1685</v>
      </c>
      <c r="E58" s="470" t="s">
        <v>1363</v>
      </c>
      <c r="F58" s="633">
        <v>-11250</v>
      </c>
      <c r="G58" s="630">
        <f t="shared" si="11"/>
        <v>-3937.4999999999995</v>
      </c>
      <c r="H58" s="633">
        <v>-956.25000000000011</v>
      </c>
      <c r="I58" s="630">
        <f t="shared" si="12"/>
        <v>334.6875</v>
      </c>
      <c r="J58" s="630">
        <f t="shared" si="13"/>
        <v>-4559.0625</v>
      </c>
      <c r="K58" s="652"/>
      <c r="L58" s="633">
        <f t="shared" si="14"/>
        <v>-11250</v>
      </c>
      <c r="M58" s="630">
        <f t="shared" si="15"/>
        <v>-2362.5</v>
      </c>
      <c r="N58" s="633">
        <v>-956.25000000000011</v>
      </c>
      <c r="O58" s="630">
        <f t="shared" si="16"/>
        <v>200.81250000000003</v>
      </c>
      <c r="P58" s="630">
        <f t="shared" si="17"/>
        <v>-3117.9375</v>
      </c>
      <c r="Q58" s="630"/>
      <c r="R58" s="630">
        <f t="shared" si="18"/>
        <v>-1441.125</v>
      </c>
      <c r="S58" s="652"/>
      <c r="T58" s="633">
        <v>0</v>
      </c>
      <c r="U58" s="652"/>
      <c r="V58" s="633">
        <v>0</v>
      </c>
      <c r="W58" s="652"/>
      <c r="X58" s="630">
        <f t="shared" si="19"/>
        <v>-1441.125</v>
      </c>
      <c r="Y58" s="632"/>
      <c r="Z58" s="478" t="s">
        <v>1809</v>
      </c>
      <c r="AA58" s="631"/>
      <c r="AB58" s="478" t="s">
        <v>1807</v>
      </c>
      <c r="AC58" s="631"/>
      <c r="AD58" s="1727">
        <v>0</v>
      </c>
      <c r="AE58" s="631"/>
      <c r="AF58" s="630">
        <f t="shared" si="20"/>
        <v>0</v>
      </c>
      <c r="AG58" s="298"/>
      <c r="AH58" s="1510">
        <v>190</v>
      </c>
      <c r="AI58" s="352"/>
      <c r="AQ58" s="1718"/>
      <c r="AR58" s="1718"/>
      <c r="AS58" s="1718"/>
      <c r="AT58" s="1718"/>
      <c r="AU58" s="1718"/>
      <c r="BC58" s="1718"/>
      <c r="BD58" s="1718"/>
      <c r="BE58" s="1718"/>
      <c r="BF58" s="1718"/>
      <c r="BG58" s="1718"/>
      <c r="BH58" s="1718"/>
      <c r="BI58" s="1718"/>
      <c r="BJ58" s="1718"/>
      <c r="BK58" s="1718"/>
      <c r="BL58" s="1718"/>
      <c r="BM58" s="1718"/>
      <c r="BN58" s="660"/>
      <c r="BO58" s="660"/>
      <c r="BP58" s="660"/>
      <c r="BQ58" s="660"/>
      <c r="BR58" s="660"/>
      <c r="BS58" s="660"/>
    </row>
    <row r="59" spans="2:71">
      <c r="B59" s="352">
        <v>48</v>
      </c>
      <c r="C59" s="470" t="s">
        <v>1687</v>
      </c>
      <c r="D59" s="470" t="s">
        <v>1685</v>
      </c>
      <c r="E59" s="470" t="s">
        <v>1363</v>
      </c>
      <c r="F59" s="633">
        <v>3429544.69</v>
      </c>
      <c r="G59" s="630">
        <f t="shared" si="11"/>
        <v>1200340.6414999999</v>
      </c>
      <c r="H59" s="633">
        <v>291511.29865000001</v>
      </c>
      <c r="I59" s="630">
        <f t="shared" si="12"/>
        <v>-102028.9545275</v>
      </c>
      <c r="J59" s="630">
        <f t="shared" si="13"/>
        <v>1389822.9856224998</v>
      </c>
      <c r="K59" s="652"/>
      <c r="L59" s="633">
        <f t="shared" si="14"/>
        <v>3429544.69</v>
      </c>
      <c r="M59" s="630">
        <f t="shared" si="15"/>
        <v>720204.38489999995</v>
      </c>
      <c r="N59" s="633">
        <v>291511.29865000001</v>
      </c>
      <c r="O59" s="630">
        <f t="shared" si="16"/>
        <v>-61217.372716500002</v>
      </c>
      <c r="P59" s="630">
        <f t="shared" si="17"/>
        <v>950498.3108335</v>
      </c>
      <c r="Q59" s="630"/>
      <c r="R59" s="630">
        <f t="shared" si="18"/>
        <v>439324.67478899984</v>
      </c>
      <c r="S59" s="652"/>
      <c r="T59" s="633">
        <v>412612.85591247928</v>
      </c>
      <c r="U59" s="652"/>
      <c r="V59" s="633">
        <v>0</v>
      </c>
      <c r="W59" s="652"/>
      <c r="X59" s="630">
        <f t="shared" si="19"/>
        <v>26711.818876520556</v>
      </c>
      <c r="Y59" s="632"/>
      <c r="Z59" s="478" t="s">
        <v>240</v>
      </c>
      <c r="AA59" s="631"/>
      <c r="AB59" s="478" t="s">
        <v>1810</v>
      </c>
      <c r="AC59" s="631"/>
      <c r="AD59" s="1727">
        <v>1</v>
      </c>
      <c r="AE59" s="631"/>
      <c r="AF59" s="630">
        <f t="shared" si="20"/>
        <v>26711.818876520556</v>
      </c>
      <c r="AG59" s="298"/>
      <c r="AH59" s="1510">
        <v>190</v>
      </c>
      <c r="AI59" s="352"/>
      <c r="AQ59" s="1718"/>
      <c r="AR59" s="1718"/>
      <c r="AS59" s="1718"/>
      <c r="AT59" s="1718"/>
      <c r="AU59" s="1718"/>
      <c r="BC59" s="1718"/>
      <c r="BD59" s="1718"/>
      <c r="BE59" s="1718"/>
      <c r="BF59" s="1718"/>
      <c r="BG59" s="1718"/>
      <c r="BH59" s="1718"/>
      <c r="BI59" s="1718"/>
      <c r="BJ59" s="1718"/>
      <c r="BK59" s="1718"/>
      <c r="BL59" s="1718"/>
      <c r="BM59" s="1718"/>
      <c r="BN59" s="660"/>
      <c r="BO59" s="660"/>
      <c r="BP59" s="660"/>
      <c r="BQ59" s="660"/>
      <c r="BR59" s="660"/>
      <c r="BS59" s="660"/>
    </row>
    <row r="60" spans="2:71">
      <c r="B60" s="352">
        <v>49</v>
      </c>
      <c r="C60" s="470" t="s">
        <v>1688</v>
      </c>
      <c r="D60" s="470" t="s">
        <v>1685</v>
      </c>
      <c r="E60" s="470" t="s">
        <v>1363</v>
      </c>
      <c r="F60" s="633">
        <v>-409534.83</v>
      </c>
      <c r="G60" s="630">
        <f t="shared" si="11"/>
        <v>-143337.1905</v>
      </c>
      <c r="H60" s="633">
        <v>-34810.460550000003</v>
      </c>
      <c r="I60" s="630">
        <f t="shared" si="12"/>
        <v>12183.6611925</v>
      </c>
      <c r="J60" s="630">
        <f t="shared" si="13"/>
        <v>-165963.98985749998</v>
      </c>
      <c r="K60" s="652"/>
      <c r="L60" s="633">
        <f t="shared" si="14"/>
        <v>-409534.83</v>
      </c>
      <c r="M60" s="630">
        <f t="shared" si="15"/>
        <v>-86002.314299999998</v>
      </c>
      <c r="N60" s="633">
        <v>-34810.460550000003</v>
      </c>
      <c r="O60" s="630">
        <f t="shared" si="16"/>
        <v>7310.1967155000002</v>
      </c>
      <c r="P60" s="630">
        <f t="shared" si="17"/>
        <v>-113502.5781345</v>
      </c>
      <c r="Q60" s="630"/>
      <c r="R60" s="630">
        <f t="shared" si="18"/>
        <v>-52461.411722999983</v>
      </c>
      <c r="S60" s="652"/>
      <c r="T60" s="633">
        <v>0</v>
      </c>
      <c r="U60" s="652"/>
      <c r="V60" s="633">
        <v>0</v>
      </c>
      <c r="W60" s="652"/>
      <c r="X60" s="630">
        <f t="shared" si="19"/>
        <v>-52461.411722999983</v>
      </c>
      <c r="Y60" s="632"/>
      <c r="Z60" s="478" t="s">
        <v>240</v>
      </c>
      <c r="AA60" s="631"/>
      <c r="AB60" s="478" t="s">
        <v>1810</v>
      </c>
      <c r="AC60" s="631"/>
      <c r="AD60" s="1727">
        <v>0</v>
      </c>
      <c r="AE60" s="631"/>
      <c r="AF60" s="630">
        <f t="shared" si="20"/>
        <v>0</v>
      </c>
      <c r="AG60" s="298"/>
      <c r="AH60" s="1510">
        <v>190</v>
      </c>
      <c r="AI60" s="352"/>
      <c r="AQ60" s="1718"/>
      <c r="AR60" s="1718"/>
      <c r="AS60" s="1718"/>
      <c r="AT60" s="1718"/>
      <c r="AU60" s="1718"/>
      <c r="BC60" s="1718"/>
      <c r="BD60" s="1718"/>
      <c r="BE60" s="1718"/>
      <c r="BF60" s="1718"/>
      <c r="BG60" s="1718"/>
      <c r="BH60" s="1718"/>
      <c r="BI60" s="1718"/>
      <c r="BJ60" s="1718"/>
      <c r="BK60" s="1718"/>
      <c r="BL60" s="1718"/>
      <c r="BM60" s="1718"/>
      <c r="BN60" s="660"/>
      <c r="BO60" s="660"/>
      <c r="BP60" s="660"/>
      <c r="BQ60" s="660"/>
      <c r="BR60" s="660"/>
      <c r="BS60" s="660"/>
    </row>
    <row r="61" spans="2:71">
      <c r="B61" s="352">
        <v>50</v>
      </c>
      <c r="C61" s="470" t="s">
        <v>1689</v>
      </c>
      <c r="D61" s="470" t="s">
        <v>1685</v>
      </c>
      <c r="E61" s="470" t="s">
        <v>1363</v>
      </c>
      <c r="F61" s="633">
        <v>-3118670.24</v>
      </c>
      <c r="G61" s="630">
        <f t="shared" si="11"/>
        <v>-1091534.584</v>
      </c>
      <c r="H61" s="633">
        <v>-265086.97040000005</v>
      </c>
      <c r="I61" s="630">
        <f t="shared" si="12"/>
        <v>92780.439640000011</v>
      </c>
      <c r="J61" s="630">
        <f t="shared" si="13"/>
        <v>-1263841.11476</v>
      </c>
      <c r="K61" s="652"/>
      <c r="L61" s="633">
        <f t="shared" si="14"/>
        <v>-3118670.24</v>
      </c>
      <c r="M61" s="630">
        <f t="shared" si="15"/>
        <v>-654920.75040000002</v>
      </c>
      <c r="N61" s="633">
        <v>-265086.97040000005</v>
      </c>
      <c r="O61" s="630">
        <f t="shared" si="16"/>
        <v>55668.26378400001</v>
      </c>
      <c r="P61" s="630">
        <f t="shared" si="17"/>
        <v>-864339.45701600006</v>
      </c>
      <c r="Q61" s="630"/>
      <c r="R61" s="630">
        <f t="shared" si="18"/>
        <v>-399501.65774399997</v>
      </c>
      <c r="S61" s="652"/>
      <c r="T61" s="633">
        <v>0</v>
      </c>
      <c r="U61" s="652"/>
      <c r="V61" s="633">
        <v>0</v>
      </c>
      <c r="W61" s="652"/>
      <c r="X61" s="630">
        <f t="shared" si="19"/>
        <v>-399501.65774399997</v>
      </c>
      <c r="Y61" s="632"/>
      <c r="Z61" s="478" t="s">
        <v>240</v>
      </c>
      <c r="AA61" s="631"/>
      <c r="AB61" s="478" t="s">
        <v>1810</v>
      </c>
      <c r="AC61" s="631"/>
      <c r="AD61" s="1727">
        <v>0</v>
      </c>
      <c r="AE61" s="631"/>
      <c r="AF61" s="630">
        <f t="shared" si="20"/>
        <v>0</v>
      </c>
      <c r="AG61" s="298"/>
      <c r="AH61" s="1510">
        <v>190</v>
      </c>
      <c r="AI61" s="352"/>
      <c r="AQ61" s="1718"/>
      <c r="AR61" s="1718"/>
      <c r="AS61" s="1718"/>
      <c r="AT61" s="1718"/>
      <c r="AU61" s="1718"/>
      <c r="BC61" s="1718"/>
      <c r="BD61" s="1718"/>
      <c r="BE61" s="1718"/>
      <c r="BF61" s="1718"/>
      <c r="BG61" s="1718"/>
      <c r="BH61" s="1718"/>
      <c r="BI61" s="1718"/>
      <c r="BJ61" s="1718"/>
      <c r="BK61" s="1718"/>
      <c r="BL61" s="1718"/>
      <c r="BM61" s="1718"/>
      <c r="BN61" s="660"/>
      <c r="BO61" s="660"/>
      <c r="BP61" s="660"/>
      <c r="BQ61" s="660"/>
      <c r="BR61" s="660"/>
      <c r="BS61" s="660"/>
    </row>
    <row r="62" spans="2:71">
      <c r="B62" s="352">
        <v>51</v>
      </c>
      <c r="C62" s="470" t="s">
        <v>1690</v>
      </c>
      <c r="D62" s="470" t="s">
        <v>1685</v>
      </c>
      <c r="E62" s="470" t="s">
        <v>1363</v>
      </c>
      <c r="F62" s="633">
        <v>754792.02</v>
      </c>
      <c r="G62" s="630">
        <f t="shared" si="11"/>
        <v>264177.20699999999</v>
      </c>
      <c r="H62" s="633">
        <v>64157.321700000008</v>
      </c>
      <c r="I62" s="630">
        <f t="shared" si="12"/>
        <v>-22455.062595000003</v>
      </c>
      <c r="J62" s="630">
        <f t="shared" si="13"/>
        <v>305879.466105</v>
      </c>
      <c r="K62" s="652"/>
      <c r="L62" s="633">
        <f t="shared" si="14"/>
        <v>754792.02</v>
      </c>
      <c r="M62" s="630">
        <f t="shared" si="15"/>
        <v>158506.3242</v>
      </c>
      <c r="N62" s="633">
        <v>64157.321700000008</v>
      </c>
      <c r="O62" s="630">
        <f t="shared" si="16"/>
        <v>-13473.037557000001</v>
      </c>
      <c r="P62" s="630">
        <f t="shared" si="17"/>
        <v>209190.608343</v>
      </c>
      <c r="Q62" s="630"/>
      <c r="R62" s="630">
        <f t="shared" si="18"/>
        <v>96688.857762</v>
      </c>
      <c r="S62" s="652"/>
      <c r="T62" s="633">
        <v>0</v>
      </c>
      <c r="U62" s="652"/>
      <c r="V62" s="633">
        <v>0</v>
      </c>
      <c r="W62" s="652"/>
      <c r="X62" s="630">
        <f t="shared" si="19"/>
        <v>96688.857762</v>
      </c>
      <c r="Y62" s="632"/>
      <c r="Z62" s="478" t="s">
        <v>1811</v>
      </c>
      <c r="AA62" s="631"/>
      <c r="AB62" s="478" t="s">
        <v>1810</v>
      </c>
      <c r="AC62" s="631"/>
      <c r="AD62" s="1727">
        <v>0</v>
      </c>
      <c r="AE62" s="631"/>
      <c r="AF62" s="630">
        <f t="shared" si="20"/>
        <v>0</v>
      </c>
      <c r="AG62" s="298"/>
      <c r="AH62" s="1510">
        <v>190</v>
      </c>
      <c r="AI62" s="352"/>
      <c r="AQ62" s="1718"/>
      <c r="AR62" s="1718"/>
      <c r="AS62" s="1718"/>
      <c r="AT62" s="1718"/>
      <c r="AU62" s="1718"/>
      <c r="BC62" s="1718"/>
      <c r="BD62" s="1718"/>
      <c r="BE62" s="1718"/>
      <c r="BF62" s="1718"/>
      <c r="BG62" s="1718"/>
      <c r="BH62" s="1718"/>
      <c r="BI62" s="1718"/>
      <c r="BJ62" s="1718"/>
      <c r="BK62" s="1718"/>
      <c r="BL62" s="1718"/>
      <c r="BM62" s="1718"/>
      <c r="BN62" s="660"/>
      <c r="BO62" s="660"/>
      <c r="BP62" s="660"/>
      <c r="BQ62" s="660"/>
      <c r="BR62" s="660"/>
      <c r="BS62" s="660"/>
    </row>
    <row r="63" spans="2:71">
      <c r="B63" s="352">
        <v>52</v>
      </c>
      <c r="C63" s="470" t="s">
        <v>1691</v>
      </c>
      <c r="D63" s="470" t="s">
        <v>1685</v>
      </c>
      <c r="E63" s="470" t="s">
        <v>1363</v>
      </c>
      <c r="F63" s="633">
        <v>1066.97</v>
      </c>
      <c r="G63" s="630">
        <f t="shared" si="11"/>
        <v>373.43950000000001</v>
      </c>
      <c r="H63" s="633">
        <v>90.692450000000008</v>
      </c>
      <c r="I63" s="630">
        <f t="shared" si="12"/>
        <v>-31.742357500000001</v>
      </c>
      <c r="J63" s="630">
        <f t="shared" si="13"/>
        <v>432.38959249999999</v>
      </c>
      <c r="K63" s="652"/>
      <c r="L63" s="633">
        <f t="shared" si="14"/>
        <v>1066.97</v>
      </c>
      <c r="M63" s="630">
        <f t="shared" si="15"/>
        <v>224.06370000000001</v>
      </c>
      <c r="N63" s="633">
        <v>90.692450000000008</v>
      </c>
      <c r="O63" s="630">
        <f t="shared" si="16"/>
        <v>-19.0454145</v>
      </c>
      <c r="P63" s="630">
        <f t="shared" si="17"/>
        <v>295.71073550000006</v>
      </c>
      <c r="Q63" s="630"/>
      <c r="R63" s="630">
        <f t="shared" si="18"/>
        <v>136.67885699999994</v>
      </c>
      <c r="S63" s="652"/>
      <c r="T63" s="633">
        <v>0</v>
      </c>
      <c r="U63" s="652"/>
      <c r="V63" s="633">
        <v>0</v>
      </c>
      <c r="W63" s="652"/>
      <c r="X63" s="630">
        <f t="shared" si="19"/>
        <v>136.67885699999994</v>
      </c>
      <c r="Y63" s="632"/>
      <c r="Z63" s="478" t="s">
        <v>1811</v>
      </c>
      <c r="AA63" s="631"/>
      <c r="AB63" s="478" t="s">
        <v>1810</v>
      </c>
      <c r="AC63" s="631"/>
      <c r="AD63" s="1727">
        <v>0</v>
      </c>
      <c r="AE63" s="631"/>
      <c r="AF63" s="630">
        <f t="shared" si="20"/>
        <v>0</v>
      </c>
      <c r="AG63" s="298"/>
      <c r="AH63" s="1510">
        <v>190</v>
      </c>
      <c r="AI63" s="352"/>
      <c r="AQ63" s="1718"/>
      <c r="AR63" s="1718"/>
      <c r="AS63" s="1718"/>
      <c r="AT63" s="1718"/>
      <c r="AU63" s="1718"/>
      <c r="BC63" s="1718"/>
      <c r="BD63" s="1718"/>
      <c r="BE63" s="1718"/>
      <c r="BF63" s="1718"/>
      <c r="BG63" s="1718"/>
      <c r="BH63" s="1718"/>
      <c r="BI63" s="1718"/>
      <c r="BJ63" s="1718"/>
      <c r="BK63" s="1718"/>
      <c r="BL63" s="1718"/>
      <c r="BM63" s="1718"/>
      <c r="BN63" s="660"/>
      <c r="BO63" s="660"/>
      <c r="BP63" s="660"/>
      <c r="BQ63" s="660"/>
      <c r="BR63" s="660"/>
      <c r="BS63" s="660"/>
    </row>
    <row r="64" spans="2:71">
      <c r="B64" s="352">
        <v>53</v>
      </c>
      <c r="C64" s="470" t="s">
        <v>1692</v>
      </c>
      <c r="D64" s="470" t="s">
        <v>1685</v>
      </c>
      <c r="E64" s="470" t="s">
        <v>1363</v>
      </c>
      <c r="F64" s="633">
        <v>-1467110.09</v>
      </c>
      <c r="G64" s="630">
        <f t="shared" si="11"/>
        <v>-513488.53149999998</v>
      </c>
      <c r="H64" s="633">
        <v>-124704.35765000002</v>
      </c>
      <c r="I64" s="630">
        <f t="shared" si="12"/>
        <v>43646.525177500007</v>
      </c>
      <c r="J64" s="630">
        <f t="shared" si="13"/>
        <v>-594546.36397249997</v>
      </c>
      <c r="K64" s="652"/>
      <c r="L64" s="633">
        <f t="shared" si="14"/>
        <v>-1467110.09</v>
      </c>
      <c r="M64" s="630">
        <f t="shared" si="15"/>
        <v>-308093.1189</v>
      </c>
      <c r="N64" s="633">
        <v>-124704.35765000002</v>
      </c>
      <c r="O64" s="630">
        <f t="shared" si="16"/>
        <v>26187.915106500004</v>
      </c>
      <c r="P64" s="630">
        <f t="shared" si="17"/>
        <v>-406609.56144349999</v>
      </c>
      <c r="Q64" s="630"/>
      <c r="R64" s="630">
        <f t="shared" si="18"/>
        <v>-187936.80252899998</v>
      </c>
      <c r="S64" s="652"/>
      <c r="T64" s="633">
        <v>0</v>
      </c>
      <c r="U64" s="652"/>
      <c r="V64" s="633">
        <v>0</v>
      </c>
      <c r="W64" s="652"/>
      <c r="X64" s="630">
        <f t="shared" si="19"/>
        <v>-187936.80252899998</v>
      </c>
      <c r="Y64" s="632"/>
      <c r="Z64" s="478" t="s">
        <v>240</v>
      </c>
      <c r="AA64" s="631"/>
      <c r="AB64" s="478" t="s">
        <v>1810</v>
      </c>
      <c r="AC64" s="631"/>
      <c r="AD64" s="1727">
        <v>0</v>
      </c>
      <c r="AE64" s="631"/>
      <c r="AF64" s="630">
        <f t="shared" si="20"/>
        <v>0</v>
      </c>
      <c r="AG64" s="298"/>
      <c r="AH64" s="1510">
        <v>190</v>
      </c>
      <c r="AI64" s="352"/>
      <c r="AQ64" s="1718"/>
      <c r="AR64" s="1718"/>
      <c r="AS64" s="1718"/>
      <c r="AT64" s="1718"/>
      <c r="AU64" s="1718"/>
      <c r="BC64" s="1718"/>
      <c r="BD64" s="1718"/>
      <c r="BE64" s="1718"/>
      <c r="BF64" s="1718"/>
      <c r="BG64" s="1718"/>
      <c r="BH64" s="1718"/>
      <c r="BI64" s="1718"/>
      <c r="BJ64" s="1718"/>
      <c r="BK64" s="1718"/>
      <c r="BL64" s="1718"/>
      <c r="BM64" s="1718"/>
      <c r="BN64" s="660"/>
      <c r="BO64" s="660"/>
      <c r="BP64" s="660"/>
      <c r="BQ64" s="660"/>
      <c r="BR64" s="660"/>
      <c r="BS64" s="660"/>
    </row>
    <row r="65" spans="2:71">
      <c r="B65" s="352">
        <v>54</v>
      </c>
      <c r="C65" s="470" t="s">
        <v>1693</v>
      </c>
      <c r="D65" s="470" t="s">
        <v>1685</v>
      </c>
      <c r="E65" s="470" t="s">
        <v>1363</v>
      </c>
      <c r="F65" s="633">
        <v>486300.12</v>
      </c>
      <c r="G65" s="630">
        <f t="shared" si="11"/>
        <v>170205.04199999999</v>
      </c>
      <c r="H65" s="633">
        <v>41335.510200000004</v>
      </c>
      <c r="I65" s="630">
        <f t="shared" si="12"/>
        <v>-14467.42857</v>
      </c>
      <c r="J65" s="630">
        <f t="shared" si="13"/>
        <v>197073.12362999999</v>
      </c>
      <c r="K65" s="652"/>
      <c r="L65" s="633">
        <f t="shared" si="14"/>
        <v>486300.12</v>
      </c>
      <c r="M65" s="630">
        <f t="shared" si="15"/>
        <v>102123.02519999999</v>
      </c>
      <c r="N65" s="633">
        <v>41335.510200000004</v>
      </c>
      <c r="O65" s="630">
        <f t="shared" si="16"/>
        <v>-8680.4571420000011</v>
      </c>
      <c r="P65" s="630">
        <f t="shared" si="17"/>
        <v>134778.07825799999</v>
      </c>
      <c r="Q65" s="630"/>
      <c r="R65" s="630">
        <f t="shared" si="18"/>
        <v>62295.045371999993</v>
      </c>
      <c r="S65" s="652"/>
      <c r="T65" s="633">
        <v>0</v>
      </c>
      <c r="U65" s="652"/>
      <c r="V65" s="633">
        <v>0</v>
      </c>
      <c r="W65" s="652"/>
      <c r="X65" s="630">
        <f t="shared" si="19"/>
        <v>62295.045371999993</v>
      </c>
      <c r="Y65" s="632"/>
      <c r="Z65" s="478" t="s">
        <v>240</v>
      </c>
      <c r="AA65" s="631"/>
      <c r="AB65" s="478" t="s">
        <v>1810</v>
      </c>
      <c r="AC65" s="631"/>
      <c r="AD65" s="1727">
        <v>6.0801999999999995E-2</v>
      </c>
      <c r="AE65" s="631"/>
      <c r="AF65" s="630">
        <f t="shared" si="20"/>
        <v>3787.6633487083432</v>
      </c>
      <c r="AG65" s="298"/>
      <c r="AH65" s="1510">
        <v>190</v>
      </c>
      <c r="AI65" s="352"/>
      <c r="AQ65" s="1718"/>
      <c r="AR65" s="1718"/>
      <c r="AS65" s="1718"/>
      <c r="AT65" s="1718"/>
      <c r="AU65" s="1718"/>
      <c r="BC65" s="1718"/>
      <c r="BD65" s="1718"/>
      <c r="BE65" s="1718"/>
      <c r="BF65" s="1718"/>
      <c r="BG65" s="1718"/>
      <c r="BH65" s="1718"/>
      <c r="BI65" s="1718"/>
      <c r="BJ65" s="1718"/>
      <c r="BK65" s="1718"/>
      <c r="BL65" s="1718"/>
      <c r="BM65" s="1718"/>
      <c r="BN65" s="660"/>
      <c r="BO65" s="660"/>
      <c r="BP65" s="660"/>
      <c r="BQ65" s="660"/>
      <c r="BR65" s="660"/>
      <c r="BS65" s="660"/>
    </row>
    <row r="66" spans="2:71">
      <c r="B66" s="352">
        <v>55</v>
      </c>
      <c r="C66" s="470" t="s">
        <v>1694</v>
      </c>
      <c r="D66" s="470" t="s">
        <v>1685</v>
      </c>
      <c r="E66" s="470" t="s">
        <v>1363</v>
      </c>
      <c r="F66" s="633">
        <v>-766348.2</v>
      </c>
      <c r="G66" s="630">
        <f t="shared" si="11"/>
        <v>-268221.87</v>
      </c>
      <c r="H66" s="633">
        <v>-65139.597000000002</v>
      </c>
      <c r="I66" s="630">
        <f t="shared" si="12"/>
        <v>22798.858949999998</v>
      </c>
      <c r="J66" s="630">
        <f t="shared" si="13"/>
        <v>-310562.60804999998</v>
      </c>
      <c r="K66" s="652"/>
      <c r="L66" s="633">
        <f t="shared" si="14"/>
        <v>-766348.2</v>
      </c>
      <c r="M66" s="630">
        <f t="shared" si="15"/>
        <v>-160933.12199999997</v>
      </c>
      <c r="N66" s="633">
        <v>-65139.597000000002</v>
      </c>
      <c r="O66" s="630">
        <f t="shared" si="16"/>
        <v>13679.31537</v>
      </c>
      <c r="P66" s="630">
        <f t="shared" si="17"/>
        <v>-212393.40362999999</v>
      </c>
      <c r="Q66" s="630"/>
      <c r="R66" s="630">
        <f t="shared" si="18"/>
        <v>-98169.204419999995</v>
      </c>
      <c r="S66" s="652"/>
      <c r="T66" s="633">
        <v>0</v>
      </c>
      <c r="U66" s="652"/>
      <c r="V66" s="633">
        <v>0</v>
      </c>
      <c r="W66" s="652"/>
      <c r="X66" s="630">
        <f t="shared" si="19"/>
        <v>-98169.204419999995</v>
      </c>
      <c r="Y66" s="632"/>
      <c r="Z66" s="478" t="s">
        <v>1811</v>
      </c>
      <c r="AA66" s="631"/>
      <c r="AB66" s="478" t="s">
        <v>1810</v>
      </c>
      <c r="AC66" s="631"/>
      <c r="AD66" s="1727">
        <v>0</v>
      </c>
      <c r="AE66" s="631"/>
      <c r="AF66" s="630">
        <f t="shared" si="20"/>
        <v>0</v>
      </c>
      <c r="AG66" s="298"/>
      <c r="AH66" s="1510">
        <v>190</v>
      </c>
      <c r="AI66" s="352"/>
      <c r="AQ66" s="1718"/>
      <c r="AR66" s="1718"/>
      <c r="AS66" s="1718"/>
      <c r="AT66" s="1718"/>
      <c r="AU66" s="1718"/>
      <c r="BC66" s="1718"/>
      <c r="BD66" s="1718"/>
      <c r="BE66" s="1718"/>
      <c r="BF66" s="1718"/>
      <c r="BG66" s="1718"/>
      <c r="BH66" s="1718"/>
      <c r="BI66" s="1718"/>
      <c r="BJ66" s="1718"/>
      <c r="BK66" s="1718"/>
      <c r="BL66" s="1718"/>
      <c r="BM66" s="1718"/>
      <c r="BN66" s="660"/>
      <c r="BO66" s="660"/>
      <c r="BP66" s="660"/>
      <c r="BQ66" s="660"/>
      <c r="BR66" s="660"/>
      <c r="BS66" s="660"/>
    </row>
    <row r="67" spans="2:71">
      <c r="B67" s="352">
        <v>56</v>
      </c>
      <c r="C67" s="470" t="s">
        <v>1695</v>
      </c>
      <c r="D67" s="470" t="s">
        <v>1685</v>
      </c>
      <c r="E67" s="470" t="s">
        <v>1363</v>
      </c>
      <c r="F67" s="633">
        <v>-1127189</v>
      </c>
      <c r="G67" s="630">
        <f t="shared" si="11"/>
        <v>-394516.14999999997</v>
      </c>
      <c r="H67" s="633">
        <v>-95811.065000000002</v>
      </c>
      <c r="I67" s="630">
        <f t="shared" si="12"/>
        <v>33533.872750000002</v>
      </c>
      <c r="J67" s="630">
        <f t="shared" si="13"/>
        <v>-456793.34224999999</v>
      </c>
      <c r="K67" s="652"/>
      <c r="L67" s="633">
        <f t="shared" si="14"/>
        <v>-1127189</v>
      </c>
      <c r="M67" s="630">
        <f t="shared" si="15"/>
        <v>-236709.69</v>
      </c>
      <c r="N67" s="633">
        <v>-95811.065000000002</v>
      </c>
      <c r="O67" s="630">
        <f t="shared" si="16"/>
        <v>20120.323649999998</v>
      </c>
      <c r="P67" s="630">
        <f t="shared" si="17"/>
        <v>-312400.43135000003</v>
      </c>
      <c r="Q67" s="630"/>
      <c r="R67" s="630">
        <f t="shared" si="18"/>
        <v>-144392.91089999996</v>
      </c>
      <c r="S67" s="652"/>
      <c r="T67" s="633">
        <v>0</v>
      </c>
      <c r="U67" s="652"/>
      <c r="V67" s="633">
        <v>0</v>
      </c>
      <c r="W67" s="652"/>
      <c r="X67" s="630">
        <f t="shared" si="19"/>
        <v>-144392.91089999996</v>
      </c>
      <c r="Y67" s="632"/>
      <c r="Z67" s="478" t="s">
        <v>1811</v>
      </c>
      <c r="AA67" s="631"/>
      <c r="AB67" s="478" t="s">
        <v>1810</v>
      </c>
      <c r="AC67" s="631"/>
      <c r="AD67" s="1728">
        <v>0.36620000000000003</v>
      </c>
      <c r="AE67" s="631"/>
      <c r="AF67" s="630">
        <f t="shared" si="20"/>
        <v>-52876.683971579987</v>
      </c>
      <c r="AG67" s="298"/>
      <c r="AH67" s="1510">
        <v>190</v>
      </c>
      <c r="AI67" s="352"/>
      <c r="AQ67" s="1718"/>
      <c r="AR67" s="1718"/>
      <c r="AS67" s="1718"/>
      <c r="AT67" s="1718"/>
      <c r="AU67" s="1718"/>
      <c r="BC67" s="1718"/>
      <c r="BD67" s="1718"/>
      <c r="BE67" s="1718"/>
      <c r="BF67" s="1718"/>
      <c r="BG67" s="1718"/>
      <c r="BH67" s="1718"/>
      <c r="BI67" s="1718"/>
      <c r="BJ67" s="1718"/>
      <c r="BK67" s="1718"/>
      <c r="BL67" s="1718"/>
      <c r="BM67" s="1718"/>
      <c r="BN67" s="660"/>
      <c r="BO67" s="660"/>
      <c r="BP67" s="660"/>
      <c r="BQ67" s="660"/>
      <c r="BR67" s="660"/>
      <c r="BS67" s="660"/>
    </row>
    <row r="68" spans="2:71">
      <c r="B68" s="352">
        <v>57</v>
      </c>
      <c r="C68" s="470" t="s">
        <v>1696</v>
      </c>
      <c r="D68" s="470" t="s">
        <v>1685</v>
      </c>
      <c r="E68" s="470" t="s">
        <v>1363</v>
      </c>
      <c r="F68" s="633">
        <v>-2834390.52</v>
      </c>
      <c r="G68" s="630">
        <f t="shared" si="11"/>
        <v>-992036.68199999991</v>
      </c>
      <c r="H68" s="633">
        <v>-240923.19420000003</v>
      </c>
      <c r="I68" s="630">
        <f t="shared" si="12"/>
        <v>84323.117970000007</v>
      </c>
      <c r="J68" s="630">
        <f t="shared" si="13"/>
        <v>-1148636.7582299998</v>
      </c>
      <c r="K68" s="652"/>
      <c r="L68" s="633">
        <f t="shared" si="14"/>
        <v>-2834390.52</v>
      </c>
      <c r="M68" s="630">
        <f t="shared" si="15"/>
        <v>-595222.00919999997</v>
      </c>
      <c r="N68" s="633">
        <v>-240923.19420000003</v>
      </c>
      <c r="O68" s="630">
        <f t="shared" si="16"/>
        <v>50593.870782000005</v>
      </c>
      <c r="P68" s="630">
        <f t="shared" si="17"/>
        <v>-785551.33261799999</v>
      </c>
      <c r="Q68" s="630"/>
      <c r="R68" s="630">
        <f t="shared" si="18"/>
        <v>-363085.42561199982</v>
      </c>
      <c r="S68" s="652"/>
      <c r="T68" s="633">
        <v>0</v>
      </c>
      <c r="U68" s="652"/>
      <c r="V68" s="633">
        <v>0</v>
      </c>
      <c r="W68" s="652"/>
      <c r="X68" s="630">
        <f t="shared" si="19"/>
        <v>-363085.42561199982</v>
      </c>
      <c r="Y68" s="632"/>
      <c r="Z68" s="478" t="s">
        <v>1811</v>
      </c>
      <c r="AA68" s="631"/>
      <c r="AB68" s="478" t="s">
        <v>1807</v>
      </c>
      <c r="AC68" s="631"/>
      <c r="AD68" s="1727">
        <v>0</v>
      </c>
      <c r="AE68" s="631"/>
      <c r="AF68" s="630">
        <f t="shared" si="20"/>
        <v>0</v>
      </c>
      <c r="AG68" s="298"/>
      <c r="AH68" s="1510">
        <v>190</v>
      </c>
      <c r="AI68" s="352"/>
      <c r="AQ68" s="1718"/>
      <c r="AR68" s="1718"/>
      <c r="AS68" s="1718"/>
      <c r="AT68" s="1718"/>
      <c r="AU68" s="1718"/>
      <c r="BC68" s="1718"/>
      <c r="BD68" s="1718"/>
      <c r="BE68" s="1718"/>
      <c r="BF68" s="1718"/>
      <c r="BG68" s="1718"/>
      <c r="BH68" s="1718"/>
      <c r="BI68" s="1718"/>
      <c r="BJ68" s="1718"/>
      <c r="BK68" s="1718"/>
      <c r="BL68" s="1718"/>
      <c r="BM68" s="1718"/>
      <c r="BN68" s="660"/>
      <c r="BO68" s="660"/>
      <c r="BP68" s="660"/>
      <c r="BQ68" s="660"/>
      <c r="BR68" s="660"/>
      <c r="BS68" s="660"/>
    </row>
    <row r="69" spans="2:71">
      <c r="B69" s="352">
        <v>58</v>
      </c>
      <c r="C69" s="470" t="s">
        <v>1697</v>
      </c>
      <c r="D69" s="470" t="s">
        <v>1685</v>
      </c>
      <c r="E69" s="470" t="s">
        <v>1363</v>
      </c>
      <c r="F69" s="633">
        <v>-836174.79</v>
      </c>
      <c r="G69" s="630">
        <f t="shared" si="11"/>
        <v>-292661.1765</v>
      </c>
      <c r="H69" s="633">
        <v>-71074.857150000011</v>
      </c>
      <c r="I69" s="630">
        <f t="shared" si="12"/>
        <v>24876.200002500002</v>
      </c>
      <c r="J69" s="630">
        <f t="shared" si="13"/>
        <v>-338859.83364750003</v>
      </c>
      <c r="K69" s="652"/>
      <c r="L69" s="633">
        <f t="shared" si="14"/>
        <v>-836174.79</v>
      </c>
      <c r="M69" s="630">
        <f t="shared" si="15"/>
        <v>-175596.7059</v>
      </c>
      <c r="N69" s="633">
        <v>-71074.857150000011</v>
      </c>
      <c r="O69" s="630">
        <f t="shared" si="16"/>
        <v>14925.720001500002</v>
      </c>
      <c r="P69" s="630">
        <f t="shared" si="17"/>
        <v>-231745.84304849998</v>
      </c>
      <c r="Q69" s="630"/>
      <c r="R69" s="630">
        <f t="shared" si="18"/>
        <v>-107113.99059900004</v>
      </c>
      <c r="S69" s="652"/>
      <c r="T69" s="633">
        <v>0</v>
      </c>
      <c r="U69" s="652"/>
      <c r="V69" s="633">
        <v>0</v>
      </c>
      <c r="W69" s="652"/>
      <c r="X69" s="630">
        <f t="shared" si="19"/>
        <v>-107113.99059900004</v>
      </c>
      <c r="Y69" s="632"/>
      <c r="Z69" s="478" t="s">
        <v>1808</v>
      </c>
      <c r="AA69" s="631"/>
      <c r="AB69" s="478" t="s">
        <v>1807</v>
      </c>
      <c r="AC69" s="631"/>
      <c r="AD69" s="1727">
        <v>0</v>
      </c>
      <c r="AE69" s="631"/>
      <c r="AF69" s="630">
        <f t="shared" si="20"/>
        <v>0</v>
      </c>
      <c r="AG69" s="298"/>
      <c r="AH69" s="1510">
        <v>190</v>
      </c>
      <c r="AI69" s="352"/>
      <c r="AQ69" s="1718"/>
      <c r="AR69" s="1718"/>
      <c r="AS69" s="1718"/>
      <c r="AT69" s="1718"/>
      <c r="AU69" s="1718"/>
      <c r="BC69" s="1718"/>
      <c r="BD69" s="1718"/>
      <c r="BE69" s="1718"/>
      <c r="BF69" s="1718"/>
      <c r="BG69" s="1718"/>
      <c r="BH69" s="1718"/>
      <c r="BI69" s="1718"/>
      <c r="BJ69" s="1718"/>
      <c r="BK69" s="1718"/>
      <c r="BL69" s="1718"/>
      <c r="BM69" s="1718"/>
      <c r="BN69" s="660"/>
      <c r="BO69" s="660"/>
      <c r="BP69" s="660"/>
      <c r="BQ69" s="660"/>
      <c r="BR69" s="660"/>
      <c r="BS69" s="660"/>
    </row>
    <row r="70" spans="2:71">
      <c r="B70" s="352">
        <v>59</v>
      </c>
      <c r="C70" s="470" t="s">
        <v>1698</v>
      </c>
      <c r="D70" s="470" t="s">
        <v>1685</v>
      </c>
      <c r="E70" s="470" t="s">
        <v>1363</v>
      </c>
      <c r="F70" s="633">
        <v>8440143.8499999996</v>
      </c>
      <c r="G70" s="630">
        <f t="shared" si="11"/>
        <v>2954050.3474999997</v>
      </c>
      <c r="H70" s="633">
        <v>717412.22725</v>
      </c>
      <c r="I70" s="630">
        <f t="shared" si="12"/>
        <v>-251094.27953749997</v>
      </c>
      <c r="J70" s="630">
        <f t="shared" si="13"/>
        <v>3420368.2952124998</v>
      </c>
      <c r="K70" s="652"/>
      <c r="L70" s="633">
        <f t="shared" si="14"/>
        <v>8440143.8499999996</v>
      </c>
      <c r="M70" s="630">
        <f t="shared" si="15"/>
        <v>1772430.2084999999</v>
      </c>
      <c r="N70" s="633">
        <v>717412.22725</v>
      </c>
      <c r="O70" s="630">
        <f t="shared" si="16"/>
        <v>-150656.56772249998</v>
      </c>
      <c r="P70" s="630">
        <f t="shared" si="17"/>
        <v>2339185.8680275003</v>
      </c>
      <c r="Q70" s="630"/>
      <c r="R70" s="630">
        <f t="shared" si="18"/>
        <v>1081182.4271849995</v>
      </c>
      <c r="S70" s="652"/>
      <c r="T70" s="633">
        <v>0</v>
      </c>
      <c r="U70" s="652"/>
      <c r="V70" s="633">
        <v>0</v>
      </c>
      <c r="W70" s="652"/>
      <c r="X70" s="630">
        <f t="shared" si="19"/>
        <v>1081182.4271849995</v>
      </c>
      <c r="Y70" s="632"/>
      <c r="Z70" s="478" t="s">
        <v>1808</v>
      </c>
      <c r="AA70" s="631"/>
      <c r="AB70" s="478" t="s">
        <v>1807</v>
      </c>
      <c r="AC70" s="631"/>
      <c r="AD70" s="1727">
        <v>0</v>
      </c>
      <c r="AE70" s="631"/>
      <c r="AF70" s="630">
        <f t="shared" si="20"/>
        <v>0</v>
      </c>
      <c r="AG70" s="298"/>
      <c r="AH70" s="1510">
        <v>190</v>
      </c>
      <c r="AI70" s="352"/>
      <c r="AQ70" s="1718"/>
      <c r="AR70" s="1718"/>
      <c r="AS70" s="1718"/>
      <c r="AT70" s="1718"/>
      <c r="AU70" s="1718"/>
      <c r="BC70" s="1718"/>
      <c r="BD70" s="1718"/>
      <c r="BE70" s="1718"/>
      <c r="BF70" s="1718"/>
      <c r="BG70" s="1718"/>
      <c r="BH70" s="1718"/>
      <c r="BI70" s="1718"/>
      <c r="BJ70" s="1718"/>
      <c r="BK70" s="1718"/>
      <c r="BL70" s="1718"/>
      <c r="BM70" s="1718"/>
      <c r="BN70" s="660"/>
      <c r="BO70" s="660"/>
      <c r="BP70" s="660"/>
      <c r="BQ70" s="660"/>
      <c r="BR70" s="660"/>
      <c r="BS70" s="660"/>
    </row>
    <row r="71" spans="2:71">
      <c r="B71" s="352">
        <v>60</v>
      </c>
      <c r="C71" s="470" t="s">
        <v>1699</v>
      </c>
      <c r="D71" s="470" t="s">
        <v>1685</v>
      </c>
      <c r="E71" s="470" t="s">
        <v>1363</v>
      </c>
      <c r="F71" s="633">
        <v>3421999.71</v>
      </c>
      <c r="G71" s="630">
        <f t="shared" si="11"/>
        <v>1197699.8984999999</v>
      </c>
      <c r="H71" s="633">
        <v>290869.97535000002</v>
      </c>
      <c r="I71" s="630">
        <f t="shared" si="12"/>
        <v>-101804.49137250001</v>
      </c>
      <c r="J71" s="630">
        <f t="shared" si="13"/>
        <v>1386765.3824774998</v>
      </c>
      <c r="K71" s="652"/>
      <c r="L71" s="633">
        <f t="shared" si="14"/>
        <v>3421999.71</v>
      </c>
      <c r="M71" s="630">
        <f t="shared" si="15"/>
        <v>718619.93909999996</v>
      </c>
      <c r="N71" s="633">
        <v>290869.97535000002</v>
      </c>
      <c r="O71" s="630">
        <f t="shared" si="16"/>
        <v>-61082.694823500002</v>
      </c>
      <c r="P71" s="630">
        <f t="shared" si="17"/>
        <v>948407.21962650004</v>
      </c>
      <c r="Q71" s="630"/>
      <c r="R71" s="630">
        <f t="shared" si="18"/>
        <v>438358.16285099974</v>
      </c>
      <c r="S71" s="652"/>
      <c r="T71" s="633">
        <v>0</v>
      </c>
      <c r="U71" s="652"/>
      <c r="V71" s="633">
        <v>0</v>
      </c>
      <c r="W71" s="652"/>
      <c r="X71" s="630">
        <f t="shared" si="19"/>
        <v>438358.16285099974</v>
      </c>
      <c r="Y71" s="632"/>
      <c r="Z71" s="478" t="s">
        <v>1809</v>
      </c>
      <c r="AA71" s="631"/>
      <c r="AB71" s="478" t="s">
        <v>1807</v>
      </c>
      <c r="AC71" s="631"/>
      <c r="AD71" s="1727">
        <v>0</v>
      </c>
      <c r="AE71" s="631"/>
      <c r="AF71" s="630">
        <f t="shared" si="20"/>
        <v>0</v>
      </c>
      <c r="AG71" s="298"/>
      <c r="AH71" s="1510">
        <v>190</v>
      </c>
      <c r="AI71" s="352"/>
      <c r="AQ71" s="1718"/>
      <c r="AR71" s="1718"/>
      <c r="AS71" s="1718"/>
      <c r="AT71" s="1718"/>
      <c r="AU71" s="1718"/>
      <c r="BC71" s="1718"/>
      <c r="BD71" s="1718"/>
      <c r="BE71" s="1718"/>
      <c r="BF71" s="1718"/>
      <c r="BG71" s="1718"/>
      <c r="BH71" s="1718"/>
      <c r="BI71" s="1718"/>
      <c r="BJ71" s="1718"/>
      <c r="BK71" s="1718"/>
      <c r="BL71" s="1718"/>
      <c r="BM71" s="1718"/>
      <c r="BN71" s="660"/>
      <c r="BO71" s="660"/>
      <c r="BP71" s="660"/>
      <c r="BQ71" s="660"/>
      <c r="BR71" s="660"/>
      <c r="BS71" s="660"/>
    </row>
    <row r="72" spans="2:71">
      <c r="B72" s="352">
        <v>61</v>
      </c>
      <c r="C72" s="470" t="s">
        <v>1700</v>
      </c>
      <c r="D72" s="470" t="s">
        <v>1685</v>
      </c>
      <c r="E72" s="470" t="s">
        <v>1363</v>
      </c>
      <c r="F72" s="633">
        <v>7354606.2199999997</v>
      </c>
      <c r="G72" s="630">
        <f t="shared" si="11"/>
        <v>2574112.1769999997</v>
      </c>
      <c r="H72" s="633">
        <v>625141.52870000002</v>
      </c>
      <c r="I72" s="630">
        <f t="shared" si="12"/>
        <v>-218799.535045</v>
      </c>
      <c r="J72" s="630">
        <f t="shared" si="13"/>
        <v>2980454.170655</v>
      </c>
      <c r="K72" s="652"/>
      <c r="L72" s="633">
        <f t="shared" si="14"/>
        <v>7354606.2199999997</v>
      </c>
      <c r="M72" s="630">
        <f t="shared" si="15"/>
        <v>1544467.3062</v>
      </c>
      <c r="N72" s="633">
        <v>625141.52870000002</v>
      </c>
      <c r="O72" s="630">
        <f t="shared" si="16"/>
        <v>-131279.72102699999</v>
      </c>
      <c r="P72" s="630">
        <f t="shared" si="17"/>
        <v>2038329.1138730003</v>
      </c>
      <c r="Q72" s="630"/>
      <c r="R72" s="630">
        <f t="shared" si="18"/>
        <v>942125.05678199977</v>
      </c>
      <c r="S72" s="652"/>
      <c r="T72" s="633">
        <v>0</v>
      </c>
      <c r="U72" s="652"/>
      <c r="V72" s="633">
        <v>0</v>
      </c>
      <c r="W72" s="652"/>
      <c r="X72" s="630">
        <f t="shared" si="19"/>
        <v>942125.05678199977</v>
      </c>
      <c r="Y72" s="632"/>
      <c r="Z72" s="478" t="s">
        <v>1808</v>
      </c>
      <c r="AA72" s="631"/>
      <c r="AB72" s="478" t="s">
        <v>1807</v>
      </c>
      <c r="AC72" s="631"/>
      <c r="AD72" s="1727">
        <v>0</v>
      </c>
      <c r="AE72" s="631"/>
      <c r="AF72" s="630">
        <f t="shared" si="20"/>
        <v>0</v>
      </c>
      <c r="AG72" s="298"/>
      <c r="AH72" s="1510">
        <v>190</v>
      </c>
      <c r="AI72" s="352"/>
      <c r="AQ72" s="1718"/>
      <c r="AR72" s="1718"/>
      <c r="AS72" s="1718"/>
      <c r="AT72" s="1718"/>
      <c r="AU72" s="1718"/>
      <c r="BC72" s="1718"/>
      <c r="BD72" s="1718"/>
      <c r="BE72" s="1718"/>
      <c r="BF72" s="1718"/>
      <c r="BG72" s="1718"/>
      <c r="BH72" s="1718"/>
      <c r="BI72" s="1718"/>
      <c r="BJ72" s="1718"/>
      <c r="BK72" s="1718"/>
      <c r="BL72" s="1718"/>
      <c r="BM72" s="1718"/>
      <c r="BN72" s="660"/>
      <c r="BO72" s="660"/>
      <c r="BP72" s="660"/>
      <c r="BQ72" s="660"/>
      <c r="BR72" s="660"/>
      <c r="BS72" s="660"/>
    </row>
    <row r="73" spans="2:71">
      <c r="B73" s="352">
        <v>62</v>
      </c>
      <c r="C73" s="470" t="s">
        <v>1701</v>
      </c>
      <c r="D73" s="470" t="s">
        <v>1685</v>
      </c>
      <c r="E73" s="470" t="s">
        <v>1363</v>
      </c>
      <c r="F73" s="633">
        <v>1467110.09</v>
      </c>
      <c r="G73" s="630">
        <f t="shared" si="11"/>
        <v>513488.53149999998</v>
      </c>
      <c r="H73" s="633">
        <v>124704.35765000002</v>
      </c>
      <c r="I73" s="630">
        <f t="shared" si="12"/>
        <v>-43646.525177500007</v>
      </c>
      <c r="J73" s="630">
        <f t="shared" si="13"/>
        <v>594546.36397249997</v>
      </c>
      <c r="K73" s="652"/>
      <c r="L73" s="633">
        <f t="shared" si="14"/>
        <v>1467110.09</v>
      </c>
      <c r="M73" s="630">
        <f t="shared" si="15"/>
        <v>308093.1189</v>
      </c>
      <c r="N73" s="633">
        <v>124704.35765000002</v>
      </c>
      <c r="O73" s="630">
        <f t="shared" si="16"/>
        <v>-26187.915106500004</v>
      </c>
      <c r="P73" s="630">
        <f t="shared" si="17"/>
        <v>406609.56144349999</v>
      </c>
      <c r="Q73" s="630"/>
      <c r="R73" s="630">
        <f t="shared" si="18"/>
        <v>187936.80252899998</v>
      </c>
      <c r="S73" s="652"/>
      <c r="T73" s="633">
        <v>0</v>
      </c>
      <c r="U73" s="652"/>
      <c r="V73" s="633">
        <v>0</v>
      </c>
      <c r="W73" s="652"/>
      <c r="X73" s="630">
        <f t="shared" si="19"/>
        <v>187936.80252899998</v>
      </c>
      <c r="Y73" s="632"/>
      <c r="Z73" s="478" t="s">
        <v>240</v>
      </c>
      <c r="AA73" s="631"/>
      <c r="AB73" s="478" t="s">
        <v>1810</v>
      </c>
      <c r="AC73" s="631"/>
      <c r="AD73" s="1727">
        <v>0</v>
      </c>
      <c r="AE73" s="631"/>
      <c r="AF73" s="630">
        <f t="shared" si="20"/>
        <v>0</v>
      </c>
      <c r="AG73" s="298"/>
      <c r="AH73" s="1510">
        <v>190</v>
      </c>
      <c r="AI73" s="352"/>
      <c r="AQ73" s="1718"/>
      <c r="AR73" s="1718"/>
      <c r="AS73" s="1718"/>
      <c r="AT73" s="1718"/>
      <c r="AU73" s="1718"/>
      <c r="BC73" s="1718"/>
      <c r="BD73" s="1718"/>
      <c r="BE73" s="1718"/>
      <c r="BF73" s="1718"/>
      <c r="BG73" s="1718"/>
      <c r="BH73" s="1718"/>
      <c r="BI73" s="1718"/>
      <c r="BJ73" s="1718"/>
      <c r="BK73" s="1718"/>
      <c r="BL73" s="1718"/>
      <c r="BM73" s="1718"/>
      <c r="BN73" s="660"/>
      <c r="BO73" s="660"/>
      <c r="BP73" s="660"/>
      <c r="BQ73" s="660"/>
      <c r="BR73" s="660"/>
      <c r="BS73" s="660"/>
    </row>
    <row r="74" spans="2:71">
      <c r="B74" s="352">
        <v>63</v>
      </c>
      <c r="C74" s="470" t="s">
        <v>1702</v>
      </c>
      <c r="D74" s="470" t="s">
        <v>1685</v>
      </c>
      <c r="E74" s="470" t="s">
        <v>1363</v>
      </c>
      <c r="F74" s="633">
        <v>130121.22</v>
      </c>
      <c r="G74" s="630">
        <f t="shared" si="11"/>
        <v>45542.426999999996</v>
      </c>
      <c r="H74" s="633">
        <v>11060.3037</v>
      </c>
      <c r="I74" s="630">
        <f t="shared" si="12"/>
        <v>-3871.106295</v>
      </c>
      <c r="J74" s="630">
        <f t="shared" si="13"/>
        <v>52731.624405000002</v>
      </c>
      <c r="K74" s="652"/>
      <c r="L74" s="633">
        <f t="shared" si="14"/>
        <v>130121.22</v>
      </c>
      <c r="M74" s="630">
        <f t="shared" si="15"/>
        <v>27325.456200000001</v>
      </c>
      <c r="N74" s="633">
        <v>11060.3037</v>
      </c>
      <c r="O74" s="630">
        <f t="shared" si="16"/>
        <v>-2322.6637770000002</v>
      </c>
      <c r="P74" s="630">
        <f t="shared" si="17"/>
        <v>36063.096123000003</v>
      </c>
      <c r="Q74" s="630"/>
      <c r="R74" s="630">
        <f t="shared" si="18"/>
        <v>16668.528281999999</v>
      </c>
      <c r="S74" s="652"/>
      <c r="T74" s="633">
        <v>0</v>
      </c>
      <c r="U74" s="652"/>
      <c r="V74" s="633">
        <v>0</v>
      </c>
      <c r="W74" s="652"/>
      <c r="X74" s="630">
        <f t="shared" si="19"/>
        <v>16668.528281999999</v>
      </c>
      <c r="Y74" s="632"/>
      <c r="Z74" s="478" t="s">
        <v>240</v>
      </c>
      <c r="AA74" s="631"/>
      <c r="AB74" s="478" t="s">
        <v>1810</v>
      </c>
      <c r="AC74" s="631"/>
      <c r="AD74" s="1727">
        <v>6.0801999999999995E-2</v>
      </c>
      <c r="AE74" s="631"/>
      <c r="AF74" s="630">
        <f t="shared" si="20"/>
        <v>1013.4798566021639</v>
      </c>
      <c r="AG74" s="298"/>
      <c r="AH74" s="1510">
        <v>190</v>
      </c>
      <c r="AI74" s="352"/>
      <c r="AQ74" s="1718"/>
      <c r="AR74" s="1718"/>
      <c r="AS74" s="1718"/>
      <c r="AT74" s="1718"/>
      <c r="AU74" s="1718"/>
      <c r="BC74" s="1718"/>
      <c r="BD74" s="1718"/>
      <c r="BE74" s="1718"/>
      <c r="BF74" s="1718"/>
      <c r="BG74" s="1718"/>
      <c r="BH74" s="1718"/>
      <c r="BI74" s="1718"/>
      <c r="BJ74" s="1718"/>
      <c r="BK74" s="1718"/>
      <c r="BL74" s="1718"/>
      <c r="BM74" s="1718"/>
      <c r="BN74" s="660"/>
      <c r="BO74" s="660"/>
      <c r="BP74" s="660"/>
      <c r="BQ74" s="660"/>
      <c r="BR74" s="660"/>
      <c r="BS74" s="660"/>
    </row>
    <row r="75" spans="2:71">
      <c r="B75" s="352">
        <v>64</v>
      </c>
      <c r="C75" s="470" t="s">
        <v>1703</v>
      </c>
      <c r="D75" s="470" t="s">
        <v>1685</v>
      </c>
      <c r="E75" s="470" t="s">
        <v>1363</v>
      </c>
      <c r="F75" s="633">
        <v>5619720.6799999997</v>
      </c>
      <c r="G75" s="630">
        <f t="shared" si="11"/>
        <v>1966902.2379999997</v>
      </c>
      <c r="H75" s="633">
        <v>477676.25780000002</v>
      </c>
      <c r="I75" s="630">
        <f t="shared" si="12"/>
        <v>-167186.69023000001</v>
      </c>
      <c r="J75" s="630">
        <f t="shared" si="13"/>
        <v>2277391.8055699999</v>
      </c>
      <c r="K75" s="652"/>
      <c r="L75" s="633">
        <f t="shared" si="14"/>
        <v>5619720.6799999997</v>
      </c>
      <c r="M75" s="630">
        <f t="shared" si="15"/>
        <v>1180141.3428</v>
      </c>
      <c r="N75" s="633">
        <v>477676.25780000002</v>
      </c>
      <c r="O75" s="630">
        <f t="shared" si="16"/>
        <v>-100312.014138</v>
      </c>
      <c r="P75" s="630">
        <f t="shared" si="17"/>
        <v>1557505.5864619999</v>
      </c>
      <c r="Q75" s="630"/>
      <c r="R75" s="630">
        <f t="shared" si="18"/>
        <v>719886.21910799993</v>
      </c>
      <c r="S75" s="652"/>
      <c r="T75" s="633">
        <v>719886.21910800005</v>
      </c>
      <c r="U75" s="652"/>
      <c r="V75" s="633">
        <v>0</v>
      </c>
      <c r="W75" s="652"/>
      <c r="X75" s="630">
        <f t="shared" si="19"/>
        <v>-1.1641532182693481E-10</v>
      </c>
      <c r="Y75" s="632"/>
      <c r="Z75" s="478" t="s">
        <v>1811</v>
      </c>
      <c r="AA75" s="631"/>
      <c r="AB75" s="478" t="s">
        <v>1807</v>
      </c>
      <c r="AC75" s="631"/>
      <c r="AD75" s="1727">
        <v>0</v>
      </c>
      <c r="AE75" s="631"/>
      <c r="AF75" s="630">
        <f t="shared" si="20"/>
        <v>0</v>
      </c>
      <c r="AG75" s="298"/>
      <c r="AH75" s="1510">
        <v>190</v>
      </c>
      <c r="AI75" s="352"/>
      <c r="AQ75" s="1718"/>
      <c r="AR75" s="1718"/>
      <c r="AS75" s="1718"/>
      <c r="AT75" s="1718"/>
      <c r="AU75" s="1718"/>
      <c r="BC75" s="1718"/>
      <c r="BD75" s="1718"/>
      <c r="BE75" s="1718"/>
      <c r="BF75" s="1718"/>
      <c r="BG75" s="1718"/>
      <c r="BH75" s="1718"/>
      <c r="BI75" s="1718"/>
      <c r="BJ75" s="1718"/>
      <c r="BK75" s="1718"/>
      <c r="BL75" s="1718"/>
      <c r="BM75" s="1718"/>
      <c r="BN75" s="660"/>
      <c r="BO75" s="660"/>
      <c r="BP75" s="660"/>
      <c r="BQ75" s="660"/>
      <c r="BR75" s="660"/>
      <c r="BS75" s="660"/>
    </row>
    <row r="76" spans="2:71">
      <c r="B76" s="352">
        <v>65</v>
      </c>
      <c r="C76" s="470" t="s">
        <v>1704</v>
      </c>
      <c r="D76" s="470" t="s">
        <v>1685</v>
      </c>
      <c r="E76" s="470" t="s">
        <v>1363</v>
      </c>
      <c r="F76" s="633">
        <v>2834390.52</v>
      </c>
      <c r="G76" s="630">
        <f t="shared" ref="G76:G89" si="21">F76*0.35</f>
        <v>992036.68199999991</v>
      </c>
      <c r="H76" s="633">
        <v>240923.19420000003</v>
      </c>
      <c r="I76" s="630">
        <f t="shared" ref="I76:I89" si="22">H76*-0.35</f>
        <v>-84323.117970000007</v>
      </c>
      <c r="J76" s="630">
        <f t="shared" ref="J76:J89" si="23">G76+H76+I76</f>
        <v>1148636.7582299998</v>
      </c>
      <c r="K76" s="652"/>
      <c r="L76" s="633">
        <f t="shared" ref="L76:L88" si="24">F76</f>
        <v>2834390.52</v>
      </c>
      <c r="M76" s="630">
        <f t="shared" ref="M76:M90" si="25">L76*0.21</f>
        <v>595222.00919999997</v>
      </c>
      <c r="N76" s="633">
        <v>240923.19420000003</v>
      </c>
      <c r="O76" s="630">
        <f t="shared" ref="O76:O90" si="26">N76*-0.21</f>
        <v>-50593.870782000005</v>
      </c>
      <c r="P76" s="630">
        <f t="shared" ref="P76:P90" si="27">M76+N76+O76</f>
        <v>785551.33261799999</v>
      </c>
      <c r="Q76" s="630"/>
      <c r="R76" s="630">
        <f t="shared" ref="R76:R90" si="28">J76-P76</f>
        <v>363085.42561199982</v>
      </c>
      <c r="S76" s="652"/>
      <c r="T76" s="633">
        <v>0</v>
      </c>
      <c r="U76" s="652"/>
      <c r="V76" s="633">
        <v>0</v>
      </c>
      <c r="W76" s="652"/>
      <c r="X76" s="630">
        <f t="shared" ref="X76:X90" si="29">R76-T76-V76</f>
        <v>363085.42561199982</v>
      </c>
      <c r="Y76" s="632"/>
      <c r="Z76" s="478" t="s">
        <v>1811</v>
      </c>
      <c r="AA76" s="631"/>
      <c r="AB76" s="478" t="s">
        <v>1810</v>
      </c>
      <c r="AC76" s="631"/>
      <c r="AD76" s="1728">
        <v>0</v>
      </c>
      <c r="AE76" s="631"/>
      <c r="AF76" s="630">
        <f t="shared" si="20"/>
        <v>0</v>
      </c>
      <c r="AG76" s="298"/>
      <c r="AH76" s="1510">
        <v>190</v>
      </c>
      <c r="AI76" s="352"/>
      <c r="AQ76" s="1718"/>
      <c r="AR76" s="1718"/>
      <c r="AS76" s="1718"/>
      <c r="AT76" s="1718"/>
      <c r="AU76" s="1718"/>
      <c r="BC76" s="1718"/>
      <c r="BD76" s="1718"/>
      <c r="BE76" s="1718"/>
      <c r="BF76" s="1718"/>
      <c r="BG76" s="1718"/>
      <c r="BH76" s="1718"/>
      <c r="BI76" s="1718"/>
      <c r="BJ76" s="1718"/>
      <c r="BK76" s="1718"/>
      <c r="BL76" s="1718"/>
      <c r="BM76" s="1718"/>
      <c r="BN76" s="660"/>
      <c r="BO76" s="660"/>
      <c r="BP76" s="660"/>
      <c r="BQ76" s="660"/>
      <c r="BR76" s="660"/>
      <c r="BS76" s="660"/>
    </row>
    <row r="77" spans="2:71">
      <c r="B77" s="352">
        <v>66</v>
      </c>
      <c r="C77" s="470" t="s">
        <v>1705</v>
      </c>
      <c r="D77" s="470" t="s">
        <v>1685</v>
      </c>
      <c r="E77" s="470" t="s">
        <v>1363</v>
      </c>
      <c r="F77" s="633">
        <v>836174.79</v>
      </c>
      <c r="G77" s="630">
        <f t="shared" si="21"/>
        <v>292661.1765</v>
      </c>
      <c r="H77" s="633">
        <v>71074.857150000011</v>
      </c>
      <c r="I77" s="630">
        <f t="shared" si="22"/>
        <v>-24876.200002500002</v>
      </c>
      <c r="J77" s="630">
        <f t="shared" si="23"/>
        <v>338859.83364750003</v>
      </c>
      <c r="K77" s="652"/>
      <c r="L77" s="633">
        <f t="shared" si="24"/>
        <v>836174.79</v>
      </c>
      <c r="M77" s="630">
        <f t="shared" si="25"/>
        <v>175596.7059</v>
      </c>
      <c r="N77" s="633">
        <v>71074.857150000011</v>
      </c>
      <c r="O77" s="630">
        <f t="shared" si="26"/>
        <v>-14925.720001500002</v>
      </c>
      <c r="P77" s="630">
        <f t="shared" si="27"/>
        <v>231745.84304849998</v>
      </c>
      <c r="Q77" s="630"/>
      <c r="R77" s="630">
        <f t="shared" si="28"/>
        <v>107113.99059900004</v>
      </c>
      <c r="S77" s="652"/>
      <c r="T77" s="633">
        <v>0</v>
      </c>
      <c r="U77" s="652"/>
      <c r="V77" s="633">
        <v>0</v>
      </c>
      <c r="W77" s="652"/>
      <c r="X77" s="630">
        <f t="shared" si="29"/>
        <v>107113.99059900004</v>
      </c>
      <c r="Y77" s="632"/>
      <c r="Z77" s="478" t="s">
        <v>1808</v>
      </c>
      <c r="AA77" s="631"/>
      <c r="AB77" s="478" t="s">
        <v>1807</v>
      </c>
      <c r="AC77" s="631"/>
      <c r="AD77" s="1727">
        <v>0</v>
      </c>
      <c r="AE77" s="631"/>
      <c r="AF77" s="630">
        <f t="shared" si="20"/>
        <v>0</v>
      </c>
      <c r="AG77" s="298"/>
      <c r="AH77" s="1510">
        <v>190</v>
      </c>
      <c r="AI77" s="352"/>
      <c r="AQ77" s="1718"/>
      <c r="AR77" s="1718"/>
      <c r="AS77" s="1718"/>
      <c r="AT77" s="1718"/>
      <c r="AU77" s="1718"/>
      <c r="BC77" s="1718"/>
      <c r="BD77" s="1718"/>
      <c r="BE77" s="1718"/>
      <c r="BF77" s="1718"/>
      <c r="BG77" s="1718"/>
      <c r="BH77" s="1718"/>
      <c r="BI77" s="1718"/>
      <c r="BJ77" s="1718"/>
      <c r="BK77" s="1718"/>
      <c r="BL77" s="1718"/>
      <c r="BM77" s="1718"/>
      <c r="BN77" s="660"/>
      <c r="BO77" s="660"/>
      <c r="BP77" s="660"/>
      <c r="BQ77" s="660"/>
      <c r="BR77" s="660"/>
      <c r="BS77" s="660"/>
    </row>
    <row r="78" spans="2:71">
      <c r="B78" s="352">
        <v>67</v>
      </c>
      <c r="C78" s="470" t="s">
        <v>1706</v>
      </c>
      <c r="D78" s="470" t="s">
        <v>1685</v>
      </c>
      <c r="E78" s="470" t="s">
        <v>1363</v>
      </c>
      <c r="F78" s="633">
        <v>-1721598.04</v>
      </c>
      <c r="G78" s="630">
        <f t="shared" si="21"/>
        <v>-602559.31400000001</v>
      </c>
      <c r="H78" s="633">
        <v>-146335.8334</v>
      </c>
      <c r="I78" s="630">
        <f t="shared" si="22"/>
        <v>51217.541689999998</v>
      </c>
      <c r="J78" s="630">
        <f t="shared" si="23"/>
        <v>-697677.60571000003</v>
      </c>
      <c r="K78" s="652"/>
      <c r="L78" s="633">
        <f t="shared" si="24"/>
        <v>-1721598.04</v>
      </c>
      <c r="M78" s="630">
        <f t="shared" si="25"/>
        <v>-361535.58840000001</v>
      </c>
      <c r="N78" s="633">
        <v>-146335.8334</v>
      </c>
      <c r="O78" s="630">
        <f t="shared" si="26"/>
        <v>30730.525013999999</v>
      </c>
      <c r="P78" s="630">
        <f t="shared" si="27"/>
        <v>-477140.896786</v>
      </c>
      <c r="Q78" s="630"/>
      <c r="R78" s="630">
        <f t="shared" si="28"/>
        <v>-220536.70892400004</v>
      </c>
      <c r="S78" s="652"/>
      <c r="T78" s="633">
        <v>0</v>
      </c>
      <c r="U78" s="652"/>
      <c r="V78" s="633">
        <v>0</v>
      </c>
      <c r="W78" s="652"/>
      <c r="X78" s="630">
        <f t="shared" si="29"/>
        <v>-220536.70892400004</v>
      </c>
      <c r="Y78" s="632"/>
      <c r="Z78" s="478" t="s">
        <v>240</v>
      </c>
      <c r="AA78" s="631"/>
      <c r="AB78" s="478" t="s">
        <v>1810</v>
      </c>
      <c r="AC78" s="631"/>
      <c r="AD78" s="1727">
        <v>6.0801999999999995E-2</v>
      </c>
      <c r="AE78" s="631"/>
      <c r="AF78" s="630">
        <f t="shared" si="20"/>
        <v>-13409.072975997049</v>
      </c>
      <c r="AG78" s="298"/>
      <c r="AH78" s="1510">
        <v>190</v>
      </c>
      <c r="AI78" s="352"/>
      <c r="AQ78" s="1718"/>
      <c r="AR78" s="1718"/>
      <c r="AS78" s="1718"/>
      <c r="AT78" s="1718"/>
      <c r="AU78" s="1718"/>
      <c r="BC78" s="1718"/>
      <c r="BD78" s="1718"/>
      <c r="BE78" s="1718"/>
      <c r="BF78" s="1718"/>
      <c r="BG78" s="1718"/>
      <c r="BH78" s="1718"/>
      <c r="BI78" s="1718"/>
      <c r="BJ78" s="1718"/>
      <c r="BK78" s="1718"/>
      <c r="BL78" s="1718"/>
      <c r="BM78" s="1718"/>
      <c r="BN78" s="660"/>
      <c r="BO78" s="660"/>
      <c r="BP78" s="660"/>
      <c r="BQ78" s="660"/>
      <c r="BR78" s="660"/>
      <c r="BS78" s="660"/>
    </row>
    <row r="79" spans="2:71">
      <c r="B79" s="352">
        <v>68</v>
      </c>
      <c r="C79" s="470" t="s">
        <v>1707</v>
      </c>
      <c r="D79" s="470" t="s">
        <v>1685</v>
      </c>
      <c r="E79" s="470" t="s">
        <v>1363</v>
      </c>
      <c r="F79" s="633">
        <v>20000</v>
      </c>
      <c r="G79" s="630">
        <f t="shared" si="21"/>
        <v>7000</v>
      </c>
      <c r="H79" s="633">
        <v>1700.0000000000002</v>
      </c>
      <c r="I79" s="630">
        <f t="shared" si="22"/>
        <v>-595</v>
      </c>
      <c r="J79" s="630">
        <f t="shared" si="23"/>
        <v>8105</v>
      </c>
      <c r="K79" s="652"/>
      <c r="L79" s="633">
        <f t="shared" si="24"/>
        <v>20000</v>
      </c>
      <c r="M79" s="630">
        <f t="shared" si="25"/>
        <v>4200</v>
      </c>
      <c r="N79" s="633">
        <v>1700.0000000000002</v>
      </c>
      <c r="O79" s="630">
        <f t="shared" si="26"/>
        <v>-357.00000000000006</v>
      </c>
      <c r="P79" s="630">
        <f t="shared" si="27"/>
        <v>5543</v>
      </c>
      <c r="Q79" s="630"/>
      <c r="R79" s="630">
        <f t="shared" si="28"/>
        <v>2562</v>
      </c>
      <c r="S79" s="652"/>
      <c r="T79" s="633">
        <v>0</v>
      </c>
      <c r="U79" s="652"/>
      <c r="V79" s="633">
        <v>0</v>
      </c>
      <c r="W79" s="652"/>
      <c r="X79" s="630">
        <f t="shared" si="29"/>
        <v>2562</v>
      </c>
      <c r="Y79" s="632"/>
      <c r="Z79" s="478" t="s">
        <v>1811</v>
      </c>
      <c r="AA79" s="631"/>
      <c r="AB79" s="478" t="s">
        <v>1810</v>
      </c>
      <c r="AC79" s="631"/>
      <c r="AD79" s="1727">
        <v>0.31493199999999999</v>
      </c>
      <c r="AE79" s="631"/>
      <c r="AF79" s="630">
        <f t="shared" si="20"/>
        <v>806.85578399999997</v>
      </c>
      <c r="AG79" s="298"/>
      <c r="AH79" s="1510">
        <v>190</v>
      </c>
      <c r="AI79" s="352"/>
      <c r="AQ79" s="1718"/>
      <c r="AR79" s="1718"/>
      <c r="AS79" s="1718"/>
      <c r="AT79" s="1718"/>
      <c r="AU79" s="1718"/>
      <c r="BC79" s="1718"/>
      <c r="BD79" s="1718"/>
      <c r="BE79" s="1718"/>
      <c r="BF79" s="1718"/>
      <c r="BG79" s="1718"/>
      <c r="BH79" s="1718"/>
      <c r="BI79" s="1718"/>
      <c r="BJ79" s="1718"/>
      <c r="BK79" s="1718"/>
      <c r="BL79" s="1718"/>
      <c r="BM79" s="1718"/>
      <c r="BN79" s="660"/>
      <c r="BO79" s="660"/>
      <c r="BP79" s="660"/>
      <c r="BQ79" s="660"/>
      <c r="BR79" s="660"/>
      <c r="BS79" s="660"/>
    </row>
    <row r="80" spans="2:71">
      <c r="B80" s="352">
        <v>69</v>
      </c>
      <c r="C80" s="470" t="s">
        <v>1708</v>
      </c>
      <c r="D80" s="470" t="s">
        <v>1685</v>
      </c>
      <c r="E80" s="470" t="s">
        <v>1363</v>
      </c>
      <c r="F80" s="633">
        <v>-7938491.7699999996</v>
      </c>
      <c r="G80" s="630">
        <f t="shared" si="21"/>
        <v>-2778472.1194999996</v>
      </c>
      <c r="H80" s="633">
        <v>-674771.80044999998</v>
      </c>
      <c r="I80" s="630">
        <f t="shared" si="22"/>
        <v>236170.13015749998</v>
      </c>
      <c r="J80" s="630">
        <f t="shared" si="23"/>
        <v>-3217073.7897924995</v>
      </c>
      <c r="K80" s="652"/>
      <c r="L80" s="633">
        <f t="shared" si="24"/>
        <v>-7938491.7699999996</v>
      </c>
      <c r="M80" s="630">
        <f t="shared" si="25"/>
        <v>-1667083.2716999999</v>
      </c>
      <c r="N80" s="633">
        <v>-674771.80044999998</v>
      </c>
      <c r="O80" s="630">
        <f t="shared" si="26"/>
        <v>141702.0780945</v>
      </c>
      <c r="P80" s="630">
        <f t="shared" si="27"/>
        <v>-2200152.9940554998</v>
      </c>
      <c r="Q80" s="630"/>
      <c r="R80" s="630">
        <f t="shared" si="28"/>
        <v>-1016920.7957369997</v>
      </c>
      <c r="S80" s="652"/>
      <c r="T80" s="633">
        <v>0</v>
      </c>
      <c r="U80" s="652"/>
      <c r="V80" s="633">
        <v>0</v>
      </c>
      <c r="W80" s="652"/>
      <c r="X80" s="630">
        <f t="shared" si="29"/>
        <v>-1016920.7957369997</v>
      </c>
      <c r="Y80" s="632"/>
      <c r="Z80" s="478" t="s">
        <v>1808</v>
      </c>
      <c r="AA80" s="631"/>
      <c r="AB80" s="478" t="s">
        <v>1807</v>
      </c>
      <c r="AC80" s="631"/>
      <c r="AD80" s="1727">
        <v>0</v>
      </c>
      <c r="AE80" s="631"/>
      <c r="AF80" s="630">
        <f t="shared" si="20"/>
        <v>0</v>
      </c>
      <c r="AG80" s="298"/>
      <c r="AH80" s="1510">
        <v>190</v>
      </c>
      <c r="AI80" s="352"/>
      <c r="AQ80" s="1718"/>
      <c r="AR80" s="1718"/>
      <c r="AS80" s="1718"/>
      <c r="AT80" s="1718"/>
      <c r="AU80" s="1718"/>
      <c r="BC80" s="1718"/>
      <c r="BD80" s="1718"/>
      <c r="BE80" s="1718"/>
      <c r="BF80" s="1718"/>
      <c r="BG80" s="1718"/>
      <c r="BH80" s="1718"/>
      <c r="BI80" s="1718"/>
      <c r="BJ80" s="1718"/>
      <c r="BK80" s="1718"/>
      <c r="BL80" s="1718"/>
      <c r="BM80" s="1718"/>
      <c r="BN80" s="660"/>
      <c r="BO80" s="660"/>
      <c r="BP80" s="660"/>
      <c r="BQ80" s="660"/>
      <c r="BR80" s="660"/>
      <c r="BS80" s="660"/>
    </row>
    <row r="81" spans="2:71">
      <c r="B81" s="352">
        <v>70</v>
      </c>
      <c r="C81" s="470" t="s">
        <v>1700</v>
      </c>
      <c r="D81" s="470" t="s">
        <v>1685</v>
      </c>
      <c r="E81" s="470" t="s">
        <v>1363</v>
      </c>
      <c r="F81" s="633">
        <v>140894.68</v>
      </c>
      <c r="G81" s="630">
        <f t="shared" si="21"/>
        <v>49313.137999999992</v>
      </c>
      <c r="H81" s="633">
        <v>11976.0478</v>
      </c>
      <c r="I81" s="630">
        <f t="shared" si="22"/>
        <v>-4191.6167299999997</v>
      </c>
      <c r="J81" s="630">
        <f t="shared" si="23"/>
        <v>57097.56906999999</v>
      </c>
      <c r="K81" s="652"/>
      <c r="L81" s="633">
        <f t="shared" si="24"/>
        <v>140894.68</v>
      </c>
      <c r="M81" s="630">
        <f t="shared" si="25"/>
        <v>29587.882799999996</v>
      </c>
      <c r="N81" s="633">
        <v>11976.0478</v>
      </c>
      <c r="O81" s="630">
        <f t="shared" si="26"/>
        <v>-2514.9700379999999</v>
      </c>
      <c r="P81" s="630">
        <f t="shared" si="27"/>
        <v>39048.960561999993</v>
      </c>
      <c r="Q81" s="630"/>
      <c r="R81" s="630">
        <f t="shared" si="28"/>
        <v>18048.608507999998</v>
      </c>
      <c r="S81" s="652"/>
      <c r="T81" s="633">
        <v>0</v>
      </c>
      <c r="U81" s="652"/>
      <c r="V81" s="633">
        <v>0</v>
      </c>
      <c r="W81" s="652"/>
      <c r="X81" s="630">
        <f t="shared" si="29"/>
        <v>18048.608507999998</v>
      </c>
      <c r="Y81" s="632"/>
      <c r="Z81" s="478" t="s">
        <v>1808</v>
      </c>
      <c r="AA81" s="631"/>
      <c r="AB81" s="478" t="s">
        <v>1807</v>
      </c>
      <c r="AC81" s="631"/>
      <c r="AD81" s="1727">
        <v>0</v>
      </c>
      <c r="AE81" s="631"/>
      <c r="AF81" s="630">
        <f t="shared" si="20"/>
        <v>0</v>
      </c>
      <c r="AG81" s="298"/>
      <c r="AH81" s="1510">
        <v>190</v>
      </c>
      <c r="AI81" s="352"/>
      <c r="AQ81" s="1718"/>
      <c r="AR81" s="1718"/>
      <c r="AS81" s="1718"/>
      <c r="AT81" s="1718"/>
      <c r="AU81" s="1718"/>
      <c r="BC81" s="1718"/>
      <c r="BD81" s="1718"/>
      <c r="BE81" s="1718"/>
      <c r="BF81" s="1718"/>
      <c r="BG81" s="1718"/>
      <c r="BH81" s="1718"/>
      <c r="BI81" s="1718"/>
      <c r="BJ81" s="1718"/>
      <c r="BK81" s="1718"/>
      <c r="BL81" s="1718"/>
      <c r="BM81" s="1718"/>
      <c r="BN81" s="660"/>
      <c r="BO81" s="660"/>
      <c r="BP81" s="660"/>
      <c r="BQ81" s="660"/>
      <c r="BR81" s="660"/>
      <c r="BS81" s="660"/>
    </row>
    <row r="82" spans="2:71">
      <c r="B82" s="352">
        <v>71</v>
      </c>
      <c r="C82" s="470" t="s">
        <v>1658</v>
      </c>
      <c r="D82" s="470" t="s">
        <v>1709</v>
      </c>
      <c r="E82" s="470" t="s">
        <v>1363</v>
      </c>
      <c r="F82" s="633">
        <v>10286210.34</v>
      </c>
      <c r="G82" s="630">
        <f t="shared" si="21"/>
        <v>3600173.6189999999</v>
      </c>
      <c r="H82" s="633">
        <v>874327.87890000001</v>
      </c>
      <c r="I82" s="630">
        <f t="shared" si="22"/>
        <v>-306014.75761500001</v>
      </c>
      <c r="J82" s="630">
        <f t="shared" si="23"/>
        <v>4168486.7402849998</v>
      </c>
      <c r="K82" s="652"/>
      <c r="L82" s="633">
        <f t="shared" si="24"/>
        <v>10286210.34</v>
      </c>
      <c r="M82" s="630">
        <f t="shared" si="25"/>
        <v>2160104.1713999999</v>
      </c>
      <c r="N82" s="633">
        <v>874327.87890000001</v>
      </c>
      <c r="O82" s="630">
        <f t="shared" si="26"/>
        <v>-183608.85456899999</v>
      </c>
      <c r="P82" s="630">
        <f t="shared" si="27"/>
        <v>2850823.1957309996</v>
      </c>
      <c r="Q82" s="630"/>
      <c r="R82" s="630">
        <f t="shared" si="28"/>
        <v>1317663.5445540003</v>
      </c>
      <c r="S82" s="652"/>
      <c r="T82" s="633">
        <v>0</v>
      </c>
      <c r="U82" s="652"/>
      <c r="V82" s="633">
        <v>0</v>
      </c>
      <c r="W82" s="652"/>
      <c r="X82" s="630">
        <f t="shared" si="29"/>
        <v>1317663.5445540003</v>
      </c>
      <c r="Y82" s="632"/>
      <c r="Z82" s="478" t="s">
        <v>1808</v>
      </c>
      <c r="AA82" s="631"/>
      <c r="AB82" s="478" t="s">
        <v>1807</v>
      </c>
      <c r="AC82" s="631"/>
      <c r="AD82" s="1727">
        <v>0</v>
      </c>
      <c r="AE82" s="631"/>
      <c r="AF82" s="630">
        <f t="shared" si="20"/>
        <v>0</v>
      </c>
      <c r="AG82" s="298"/>
      <c r="AH82" s="1510">
        <v>190</v>
      </c>
      <c r="AI82" s="352"/>
      <c r="AQ82" s="1718"/>
      <c r="AR82" s="1718"/>
      <c r="AS82" s="1718"/>
      <c r="AT82" s="1718"/>
      <c r="AU82" s="1718"/>
      <c r="BC82" s="1718"/>
      <c r="BD82" s="1718"/>
      <c r="BE82" s="1718"/>
      <c r="BF82" s="1718"/>
      <c r="BG82" s="1718"/>
      <c r="BH82" s="1718"/>
      <c r="BI82" s="1718"/>
      <c r="BJ82" s="1718"/>
      <c r="BK82" s="1718"/>
      <c r="BL82" s="1718"/>
      <c r="BM82" s="1718"/>
      <c r="BN82" s="660"/>
      <c r="BO82" s="660"/>
      <c r="BP82" s="660"/>
      <c r="BQ82" s="660"/>
      <c r="BR82" s="660"/>
      <c r="BS82" s="660"/>
    </row>
    <row r="83" spans="2:71">
      <c r="B83" s="352">
        <v>72</v>
      </c>
      <c r="C83" s="470" t="s">
        <v>1710</v>
      </c>
      <c r="D83" s="470" t="s">
        <v>1711</v>
      </c>
      <c r="E83" s="470" t="s">
        <v>1363</v>
      </c>
      <c r="F83" s="633">
        <v>0</v>
      </c>
      <c r="G83" s="630">
        <f t="shared" si="21"/>
        <v>0</v>
      </c>
      <c r="H83" s="633">
        <v>13829655.55384</v>
      </c>
      <c r="I83" s="630">
        <f t="shared" si="22"/>
        <v>-4840379.4438439999</v>
      </c>
      <c r="J83" s="630">
        <f t="shared" si="23"/>
        <v>8989276.1099960003</v>
      </c>
      <c r="K83" s="652"/>
      <c r="L83" s="633">
        <f t="shared" si="24"/>
        <v>0</v>
      </c>
      <c r="M83" s="630">
        <f t="shared" si="25"/>
        <v>0</v>
      </c>
      <c r="N83" s="633">
        <v>13829655.55384</v>
      </c>
      <c r="O83" s="630">
        <f t="shared" si="26"/>
        <v>-2904227.6663063997</v>
      </c>
      <c r="P83" s="630">
        <f t="shared" si="27"/>
        <v>10925427.887533601</v>
      </c>
      <c r="Q83" s="630"/>
      <c r="R83" s="630">
        <f t="shared" si="28"/>
        <v>-1936151.7775376011</v>
      </c>
      <c r="S83" s="652"/>
      <c r="T83" s="633">
        <v>0</v>
      </c>
      <c r="U83" s="652"/>
      <c r="V83" s="633">
        <v>0</v>
      </c>
      <c r="W83" s="652"/>
      <c r="X83" s="630">
        <f t="shared" si="29"/>
        <v>-1936151.7775376011</v>
      </c>
      <c r="Y83" s="632"/>
      <c r="Z83" s="478" t="s">
        <v>1811</v>
      </c>
      <c r="AA83" s="631"/>
      <c r="AB83" s="478" t="s">
        <v>1810</v>
      </c>
      <c r="AC83" s="631"/>
      <c r="AD83" s="1727">
        <v>0.32958000000000004</v>
      </c>
      <c r="AE83" s="631"/>
      <c r="AF83" s="630">
        <f t="shared" ref="AF83:AF90" si="30">X83*AD83</f>
        <v>-638116.90284084261</v>
      </c>
      <c r="AG83" s="298"/>
      <c r="AH83" s="1510">
        <v>190</v>
      </c>
      <c r="AI83" s="352"/>
      <c r="AQ83" s="1718"/>
      <c r="AR83" s="1718"/>
      <c r="AS83" s="1718"/>
      <c r="AT83" s="1718"/>
      <c r="AU83" s="1718"/>
      <c r="BC83" s="1718"/>
      <c r="BD83" s="1718"/>
      <c r="BE83" s="1718"/>
      <c r="BF83" s="1718"/>
      <c r="BG83" s="1718"/>
      <c r="BH83" s="1718"/>
      <c r="BI83" s="1718"/>
      <c r="BJ83" s="1718"/>
      <c r="BK83" s="1718"/>
      <c r="BL83" s="1718"/>
      <c r="BM83" s="1718"/>
      <c r="BN83" s="660"/>
      <c r="BO83" s="660"/>
      <c r="BP83" s="660"/>
      <c r="BQ83" s="660"/>
      <c r="BR83" s="660"/>
      <c r="BS83" s="660"/>
    </row>
    <row r="84" spans="2:71">
      <c r="B84" s="352">
        <v>73</v>
      </c>
      <c r="C84" s="470" t="s">
        <v>1712</v>
      </c>
      <c r="D84" s="470" t="s">
        <v>1711</v>
      </c>
      <c r="E84" s="470" t="s">
        <v>1363</v>
      </c>
      <c r="F84" s="633">
        <v>0</v>
      </c>
      <c r="G84" s="630">
        <f t="shared" si="21"/>
        <v>0</v>
      </c>
      <c r="H84" s="633">
        <v>47754298.834408969</v>
      </c>
      <c r="I84" s="630">
        <f t="shared" si="22"/>
        <v>-16714004.592043137</v>
      </c>
      <c r="J84" s="630">
        <f t="shared" si="23"/>
        <v>31040294.24236583</v>
      </c>
      <c r="K84" s="652"/>
      <c r="L84" s="633">
        <f t="shared" si="24"/>
        <v>0</v>
      </c>
      <c r="M84" s="630">
        <f t="shared" si="25"/>
        <v>0</v>
      </c>
      <c r="N84" s="633">
        <v>47754298.834408969</v>
      </c>
      <c r="O84" s="630">
        <f t="shared" si="26"/>
        <v>-10028402.755225884</v>
      </c>
      <c r="P84" s="630">
        <f t="shared" si="27"/>
        <v>37725896.079183087</v>
      </c>
      <c r="Q84" s="630"/>
      <c r="R84" s="630">
        <f t="shared" si="28"/>
        <v>-6685601.8368172571</v>
      </c>
      <c r="S84" s="652"/>
      <c r="T84" s="633">
        <v>0</v>
      </c>
      <c r="U84" s="652"/>
      <c r="V84" s="633">
        <v>0</v>
      </c>
      <c r="W84" s="652"/>
      <c r="X84" s="630">
        <f t="shared" si="29"/>
        <v>-6685601.8368172571</v>
      </c>
      <c r="Y84" s="632"/>
      <c r="Z84" s="478" t="s">
        <v>1811</v>
      </c>
      <c r="AA84" s="631"/>
      <c r="AB84" s="478" t="s">
        <v>1810</v>
      </c>
      <c r="AC84" s="631"/>
      <c r="AD84" s="1727">
        <v>0.32958000000000004</v>
      </c>
      <c r="AE84" s="631"/>
      <c r="AF84" s="630">
        <f t="shared" si="30"/>
        <v>-2203440.6533782319</v>
      </c>
      <c r="AG84" s="298"/>
      <c r="AH84" s="1510">
        <v>190</v>
      </c>
      <c r="AI84" s="352"/>
      <c r="AQ84" s="1718"/>
      <c r="AR84" s="1718"/>
      <c r="AS84" s="1718"/>
      <c r="AT84" s="1718"/>
      <c r="AU84" s="1718"/>
      <c r="BC84" s="1718"/>
      <c r="BD84" s="1718"/>
      <c r="BE84" s="1718"/>
      <c r="BF84" s="1718"/>
      <c r="BG84" s="1718"/>
      <c r="BH84" s="1718"/>
      <c r="BI84" s="1718"/>
      <c r="BJ84" s="1718"/>
      <c r="BK84" s="1718"/>
      <c r="BL84" s="1718"/>
      <c r="BM84" s="1718"/>
      <c r="BN84" s="660"/>
      <c r="BO84" s="660"/>
      <c r="BP84" s="660"/>
      <c r="BQ84" s="660"/>
      <c r="BR84" s="660"/>
      <c r="BS84" s="660"/>
    </row>
    <row r="85" spans="2:71">
      <c r="B85" s="352">
        <v>74</v>
      </c>
      <c r="C85" s="470" t="s">
        <v>1713</v>
      </c>
      <c r="D85" s="470" t="s">
        <v>1714</v>
      </c>
      <c r="E85" s="470" t="s">
        <v>1305</v>
      </c>
      <c r="F85" s="633">
        <v>66042515.890802301</v>
      </c>
      <c r="G85" s="630">
        <f t="shared" si="21"/>
        <v>23114880.561780803</v>
      </c>
      <c r="H85" s="633">
        <v>0</v>
      </c>
      <c r="I85" s="630">
        <f t="shared" si="22"/>
        <v>0</v>
      </c>
      <c r="J85" s="630">
        <f t="shared" si="23"/>
        <v>23114880.561780803</v>
      </c>
      <c r="K85" s="652"/>
      <c r="L85" s="633">
        <f t="shared" si="24"/>
        <v>66042515.890802301</v>
      </c>
      <c r="M85" s="630">
        <f t="shared" si="25"/>
        <v>13868928.337068483</v>
      </c>
      <c r="N85" s="633">
        <v>0</v>
      </c>
      <c r="O85" s="630">
        <f t="shared" si="26"/>
        <v>0</v>
      </c>
      <c r="P85" s="630">
        <f t="shared" si="27"/>
        <v>13868928.337068483</v>
      </c>
      <c r="Q85" s="630"/>
      <c r="R85" s="630">
        <f t="shared" si="28"/>
        <v>9245952.2247123197</v>
      </c>
      <c r="S85" s="652"/>
      <c r="T85" s="633">
        <v>0</v>
      </c>
      <c r="U85" s="652"/>
      <c r="V85" s="633">
        <v>0</v>
      </c>
      <c r="W85" s="652"/>
      <c r="X85" s="630">
        <f t="shared" si="29"/>
        <v>9245952.2247123197</v>
      </c>
      <c r="Y85" s="632"/>
      <c r="Z85" s="478" t="s">
        <v>1811</v>
      </c>
      <c r="AA85" s="631"/>
      <c r="AB85" s="478" t="s">
        <v>1810</v>
      </c>
      <c r="AC85" s="631"/>
      <c r="AD85" s="1727">
        <v>0.32958000000000004</v>
      </c>
      <c r="AE85" s="631"/>
      <c r="AF85" s="630">
        <f t="shared" si="30"/>
        <v>3047280.9342206866</v>
      </c>
      <c r="AG85" s="298"/>
      <c r="AH85" s="1510">
        <v>190</v>
      </c>
      <c r="AI85" s="352"/>
      <c r="AQ85" s="1718"/>
      <c r="AR85" s="1718"/>
      <c r="AS85" s="1718"/>
      <c r="AT85" s="1718"/>
      <c r="AU85" s="1718"/>
      <c r="BC85" s="1718"/>
      <c r="BD85" s="1718"/>
      <c r="BE85" s="1718"/>
      <c r="BF85" s="1718"/>
      <c r="BG85" s="1718"/>
      <c r="BH85" s="1718"/>
      <c r="BI85" s="1718"/>
      <c r="BJ85" s="1718"/>
      <c r="BK85" s="1718"/>
      <c r="BL85" s="1718"/>
      <c r="BM85" s="1718"/>
      <c r="BN85" s="660"/>
      <c r="BO85" s="660"/>
      <c r="BP85" s="660"/>
      <c r="BQ85" s="660"/>
      <c r="BR85" s="660"/>
      <c r="BS85" s="660"/>
    </row>
    <row r="86" spans="2:71">
      <c r="B86" s="352">
        <v>75</v>
      </c>
      <c r="C86" s="470" t="s">
        <v>1715</v>
      </c>
      <c r="D86" s="470" t="s">
        <v>1716</v>
      </c>
      <c r="E86" s="470" t="s">
        <v>1594</v>
      </c>
      <c r="F86" s="633">
        <v>-31970270</v>
      </c>
      <c r="G86" s="630">
        <f t="shared" si="21"/>
        <v>-11189594.5</v>
      </c>
      <c r="H86" s="633">
        <v>-2717472.95</v>
      </c>
      <c r="I86" s="630">
        <f t="shared" si="22"/>
        <v>951115.53249999997</v>
      </c>
      <c r="J86" s="630">
        <f t="shared" si="23"/>
        <v>-12955951.917499999</v>
      </c>
      <c r="K86" s="652"/>
      <c r="L86" s="633">
        <f t="shared" si="24"/>
        <v>-31970270</v>
      </c>
      <c r="M86" s="630">
        <f t="shared" si="25"/>
        <v>-6713756.7000000002</v>
      </c>
      <c r="N86" s="633">
        <v>-2717472.95</v>
      </c>
      <c r="O86" s="630">
        <f t="shared" si="26"/>
        <v>570669.31949999998</v>
      </c>
      <c r="P86" s="630">
        <f t="shared" si="27"/>
        <v>-8860560.3305000011</v>
      </c>
      <c r="Q86" s="630"/>
      <c r="R86" s="630">
        <f t="shared" si="28"/>
        <v>-4095391.5869999975</v>
      </c>
      <c r="S86" s="652"/>
      <c r="T86" s="633">
        <v>0</v>
      </c>
      <c r="U86" s="652"/>
      <c r="V86" s="633">
        <f>R86</f>
        <v>-4095391.5869999975</v>
      </c>
      <c r="W86" s="652"/>
      <c r="X86" s="630">
        <f t="shared" si="29"/>
        <v>0</v>
      </c>
      <c r="Y86" s="632"/>
      <c r="Z86" s="478" t="s">
        <v>1811</v>
      </c>
      <c r="AA86" s="631"/>
      <c r="AB86" s="478" t="s">
        <v>1810</v>
      </c>
      <c r="AC86" s="631"/>
      <c r="AD86" s="1727">
        <v>0</v>
      </c>
      <c r="AE86" s="631"/>
      <c r="AF86" s="630">
        <f t="shared" si="30"/>
        <v>0</v>
      </c>
      <c r="AG86" s="298"/>
      <c r="AH86" s="1510">
        <v>190</v>
      </c>
      <c r="AI86" s="352"/>
      <c r="AQ86" s="1718"/>
      <c r="AR86" s="1718"/>
      <c r="AS86" s="1718"/>
      <c r="AT86" s="1718"/>
      <c r="AU86" s="1718"/>
      <c r="BC86" s="1718"/>
      <c r="BD86" s="1718"/>
      <c r="BE86" s="1718"/>
      <c r="BF86" s="1718"/>
      <c r="BG86" s="1718"/>
      <c r="BH86" s="1718"/>
      <c r="BI86" s="1718"/>
      <c r="BJ86" s="1718"/>
      <c r="BK86" s="1718"/>
      <c r="BL86" s="1718"/>
      <c r="BM86" s="1718"/>
      <c r="BN86" s="660"/>
      <c r="BO86" s="660"/>
      <c r="BP86" s="660"/>
      <c r="BQ86" s="660"/>
      <c r="BR86" s="660"/>
      <c r="BS86" s="660"/>
    </row>
    <row r="87" spans="2:71">
      <c r="B87" s="352">
        <v>76</v>
      </c>
      <c r="C87" s="470" t="s">
        <v>1717</v>
      </c>
      <c r="D87" s="470" t="s">
        <v>1716</v>
      </c>
      <c r="E87" s="470" t="s">
        <v>1594</v>
      </c>
      <c r="F87" s="633">
        <v>-3719347</v>
      </c>
      <c r="G87" s="630">
        <f t="shared" si="21"/>
        <v>-1301771.45</v>
      </c>
      <c r="H87" s="633">
        <v>-316144.495</v>
      </c>
      <c r="I87" s="630">
        <f t="shared" si="22"/>
        <v>110650.57324999999</v>
      </c>
      <c r="J87" s="630">
        <f t="shared" si="23"/>
        <v>-1507265.3717499999</v>
      </c>
      <c r="K87" s="652"/>
      <c r="L87" s="633">
        <f t="shared" si="24"/>
        <v>-3719347</v>
      </c>
      <c r="M87" s="630">
        <f t="shared" si="25"/>
        <v>-781062.87</v>
      </c>
      <c r="N87" s="633">
        <v>-316144.495</v>
      </c>
      <c r="O87" s="630">
        <f t="shared" si="26"/>
        <v>66390.343949999995</v>
      </c>
      <c r="P87" s="630">
        <f t="shared" si="27"/>
        <v>-1030817.02105</v>
      </c>
      <c r="Q87" s="630"/>
      <c r="R87" s="630">
        <f t="shared" si="28"/>
        <v>-476448.35069999995</v>
      </c>
      <c r="S87" s="652"/>
      <c r="T87" s="633">
        <v>0</v>
      </c>
      <c r="U87" s="652"/>
      <c r="V87" s="633">
        <f>R87</f>
        <v>-476448.35069999995</v>
      </c>
      <c r="W87" s="652"/>
      <c r="X87" s="630">
        <f t="shared" si="29"/>
        <v>0</v>
      </c>
      <c r="Y87" s="632"/>
      <c r="Z87" s="478" t="s">
        <v>1811</v>
      </c>
      <c r="AA87" s="631"/>
      <c r="AB87" s="478" t="s">
        <v>1810</v>
      </c>
      <c r="AC87" s="631"/>
      <c r="AD87" s="1727">
        <v>0</v>
      </c>
      <c r="AE87" s="631"/>
      <c r="AF87" s="630">
        <f t="shared" si="30"/>
        <v>0</v>
      </c>
      <c r="AG87" s="298"/>
      <c r="AH87" s="1510">
        <v>190</v>
      </c>
      <c r="AI87" s="352"/>
      <c r="AQ87" s="1718"/>
      <c r="AR87" s="1718"/>
      <c r="AS87" s="1718"/>
      <c r="AT87" s="1718"/>
      <c r="AU87" s="1718"/>
      <c r="BC87" s="1718"/>
      <c r="BD87" s="1718"/>
      <c r="BE87" s="1718"/>
      <c r="BF87" s="1718"/>
      <c r="BG87" s="1718"/>
      <c r="BH87" s="1718"/>
      <c r="BI87" s="1718"/>
      <c r="BJ87" s="1718"/>
      <c r="BK87" s="1718"/>
      <c r="BL87" s="1718"/>
      <c r="BM87" s="1718"/>
      <c r="BN87" s="660"/>
      <c r="BO87" s="660"/>
      <c r="BP87" s="660"/>
      <c r="BQ87" s="660"/>
      <c r="BR87" s="660"/>
      <c r="BS87" s="660"/>
    </row>
    <row r="88" spans="2:71">
      <c r="B88" s="352">
        <v>77</v>
      </c>
      <c r="C88" s="470" t="s">
        <v>1718</v>
      </c>
      <c r="D88" s="470" t="s">
        <v>1716</v>
      </c>
      <c r="E88" s="470" t="s">
        <v>1594</v>
      </c>
      <c r="F88" s="633">
        <v>1534386</v>
      </c>
      <c r="G88" s="630">
        <f t="shared" si="21"/>
        <v>537035.1</v>
      </c>
      <c r="H88" s="633">
        <v>130422.81000000001</v>
      </c>
      <c r="I88" s="630">
        <f t="shared" si="22"/>
        <v>-45647.983500000002</v>
      </c>
      <c r="J88" s="630">
        <f t="shared" si="23"/>
        <v>621809.92650000006</v>
      </c>
      <c r="K88" s="652"/>
      <c r="L88" s="633">
        <f t="shared" si="24"/>
        <v>1534386</v>
      </c>
      <c r="M88" s="630">
        <f t="shared" si="25"/>
        <v>322221.06</v>
      </c>
      <c r="N88" s="633">
        <v>130422.81000000001</v>
      </c>
      <c r="O88" s="630">
        <f t="shared" si="26"/>
        <v>-27388.790100000002</v>
      </c>
      <c r="P88" s="630">
        <f t="shared" si="27"/>
        <v>425255.07990000001</v>
      </c>
      <c r="Q88" s="630"/>
      <c r="R88" s="630">
        <f t="shared" si="28"/>
        <v>196554.84660000005</v>
      </c>
      <c r="S88" s="652"/>
      <c r="T88" s="633">
        <v>0</v>
      </c>
      <c r="U88" s="652"/>
      <c r="V88" s="633">
        <f>R88</f>
        <v>196554.84660000005</v>
      </c>
      <c r="W88" s="652"/>
      <c r="X88" s="630">
        <f t="shared" si="29"/>
        <v>0</v>
      </c>
      <c r="Y88" s="632"/>
      <c r="Z88" s="478" t="s">
        <v>1811</v>
      </c>
      <c r="AA88" s="631"/>
      <c r="AB88" s="478" t="s">
        <v>1810</v>
      </c>
      <c r="AC88" s="631"/>
      <c r="AD88" s="1727">
        <v>0</v>
      </c>
      <c r="AE88" s="631"/>
      <c r="AF88" s="630">
        <f t="shared" si="30"/>
        <v>0</v>
      </c>
      <c r="AG88" s="298"/>
      <c r="AH88" s="1510">
        <v>190</v>
      </c>
      <c r="AI88" s="352"/>
      <c r="AQ88" s="1718"/>
      <c r="AR88" s="1718"/>
      <c r="AS88" s="1718"/>
      <c r="AT88" s="1718"/>
      <c r="AU88" s="1718"/>
      <c r="BC88" s="1718"/>
      <c r="BD88" s="1718"/>
      <c r="BE88" s="1718"/>
      <c r="BF88" s="1718"/>
      <c r="BG88" s="1718"/>
      <c r="BH88" s="1718"/>
      <c r="BI88" s="1718"/>
      <c r="BJ88" s="1718"/>
      <c r="BK88" s="1718"/>
      <c r="BL88" s="1718"/>
      <c r="BM88" s="1718"/>
      <c r="BN88" s="660"/>
      <c r="BO88" s="660"/>
      <c r="BP88" s="660"/>
      <c r="BQ88" s="660"/>
      <c r="BR88" s="660"/>
      <c r="BS88" s="660"/>
    </row>
    <row r="89" spans="2:71">
      <c r="B89" s="352">
        <v>78</v>
      </c>
      <c r="C89" s="470" t="s">
        <v>1719</v>
      </c>
      <c r="D89" s="470" t="s">
        <v>1716</v>
      </c>
      <c r="E89" s="470" t="s">
        <v>1594</v>
      </c>
      <c r="F89" s="633">
        <v>335888</v>
      </c>
      <c r="G89" s="630">
        <f t="shared" si="21"/>
        <v>117560.79999999999</v>
      </c>
      <c r="H89" s="633">
        <v>28550.480000000003</v>
      </c>
      <c r="I89" s="630">
        <f t="shared" si="22"/>
        <v>-9992.6679999999997</v>
      </c>
      <c r="J89" s="630">
        <f t="shared" si="23"/>
        <v>136118.61199999999</v>
      </c>
      <c r="K89" s="652"/>
      <c r="L89" s="633">
        <f>F89</f>
        <v>335888</v>
      </c>
      <c r="M89" s="630">
        <f t="shared" si="25"/>
        <v>70536.479999999996</v>
      </c>
      <c r="N89" s="633">
        <v>28550.480000000003</v>
      </c>
      <c r="O89" s="630">
        <f t="shared" si="26"/>
        <v>-5995.6008000000002</v>
      </c>
      <c r="P89" s="630">
        <f t="shared" si="27"/>
        <v>93091.359199999992</v>
      </c>
      <c r="Q89" s="630"/>
      <c r="R89" s="630">
        <f t="shared" si="28"/>
        <v>43027.252800000002</v>
      </c>
      <c r="S89" s="652"/>
      <c r="T89" s="633">
        <v>0</v>
      </c>
      <c r="U89" s="652"/>
      <c r="V89" s="633">
        <f>R89</f>
        <v>43027.252800000002</v>
      </c>
      <c r="W89" s="652"/>
      <c r="X89" s="630">
        <f t="shared" si="29"/>
        <v>0</v>
      </c>
      <c r="Y89" s="632"/>
      <c r="Z89" s="478" t="s">
        <v>1811</v>
      </c>
      <c r="AA89" s="631"/>
      <c r="AB89" s="478" t="s">
        <v>1810</v>
      </c>
      <c r="AC89" s="631"/>
      <c r="AD89" s="1727">
        <v>0</v>
      </c>
      <c r="AE89" s="631"/>
      <c r="AF89" s="630">
        <f t="shared" si="30"/>
        <v>0</v>
      </c>
      <c r="AG89" s="298"/>
      <c r="AH89" s="1510">
        <v>190</v>
      </c>
      <c r="AI89" s="352"/>
      <c r="AQ89" s="1718"/>
      <c r="AR89" s="1718"/>
      <c r="AS89" s="1718"/>
      <c r="AT89" s="1718"/>
      <c r="AU89" s="1718"/>
      <c r="BC89" s="1718"/>
      <c r="BD89" s="1718"/>
      <c r="BE89" s="1718"/>
      <c r="BF89" s="1718"/>
      <c r="BG89" s="1718"/>
      <c r="BH89" s="1718"/>
      <c r="BI89" s="1718"/>
      <c r="BJ89" s="1718"/>
      <c r="BK89" s="1718"/>
      <c r="BL89" s="1718"/>
      <c r="BM89" s="1718"/>
      <c r="BN89" s="660"/>
      <c r="BO89" s="660"/>
      <c r="BP89" s="660"/>
      <c r="BQ89" s="660"/>
      <c r="BR89" s="660"/>
      <c r="BS89" s="660"/>
    </row>
    <row r="90" spans="2:71">
      <c r="B90" s="352">
        <v>79</v>
      </c>
      <c r="C90" s="470" t="s">
        <v>1720</v>
      </c>
      <c r="D90" s="470" t="s">
        <v>1721</v>
      </c>
      <c r="E90" s="470" t="s">
        <v>1594</v>
      </c>
      <c r="F90" s="633"/>
      <c r="G90" s="630"/>
      <c r="H90" s="633"/>
      <c r="I90" s="630"/>
      <c r="J90" s="630"/>
      <c r="K90" s="652"/>
      <c r="L90" s="633">
        <v>543170075.49919415</v>
      </c>
      <c r="M90" s="630">
        <f t="shared" si="25"/>
        <v>114065715.85483077</v>
      </c>
      <c r="N90" s="633">
        <v>46169456.417431504</v>
      </c>
      <c r="O90" s="630">
        <f t="shared" si="26"/>
        <v>-9695585.847660616</v>
      </c>
      <c r="P90" s="630">
        <f t="shared" si="27"/>
        <v>150539586.42460167</v>
      </c>
      <c r="Q90" s="630"/>
      <c r="R90" s="630">
        <f t="shared" si="28"/>
        <v>-150539586.42460167</v>
      </c>
      <c r="S90" s="652"/>
      <c r="T90" s="633">
        <v>0</v>
      </c>
      <c r="U90" s="652"/>
      <c r="V90" s="633">
        <f>R90</f>
        <v>-150539586.42460167</v>
      </c>
      <c r="W90" s="652"/>
      <c r="X90" s="630">
        <f t="shared" si="29"/>
        <v>0</v>
      </c>
      <c r="Y90" s="632"/>
      <c r="Z90" s="478"/>
      <c r="AA90" s="631"/>
      <c r="AB90" s="478"/>
      <c r="AC90" s="631"/>
      <c r="AD90" s="1727">
        <v>0</v>
      </c>
      <c r="AE90" s="631"/>
      <c r="AF90" s="630">
        <f t="shared" si="30"/>
        <v>0</v>
      </c>
      <c r="AG90" s="298"/>
      <c r="AH90" s="1510">
        <v>190</v>
      </c>
      <c r="AI90" s="352"/>
      <c r="AQ90" s="1718"/>
      <c r="AR90" s="1718"/>
      <c r="AS90" s="1718"/>
      <c r="AT90" s="1718"/>
      <c r="AU90" s="1718"/>
      <c r="BC90" s="1718"/>
      <c r="BD90" s="1718"/>
      <c r="BE90" s="1718"/>
      <c r="BF90" s="1718"/>
      <c r="BG90" s="1718"/>
      <c r="BH90" s="1718"/>
      <c r="BI90" s="1718"/>
      <c r="BJ90" s="1718"/>
      <c r="BK90" s="1718"/>
      <c r="BL90" s="1718"/>
      <c r="BM90" s="1718"/>
      <c r="BN90" s="660"/>
      <c r="BO90" s="660"/>
      <c r="BP90" s="660"/>
      <c r="BQ90" s="660"/>
      <c r="BR90" s="660"/>
      <c r="BS90" s="660"/>
    </row>
    <row r="91" spans="2:71" ht="13">
      <c r="B91" s="352">
        <v>80</v>
      </c>
      <c r="C91" s="653" t="s">
        <v>1364</v>
      </c>
      <c r="D91" s="478"/>
      <c r="E91" s="478"/>
      <c r="F91" s="654">
        <f>SUM(F12:F90)</f>
        <v>133075814.83080229</v>
      </c>
      <c r="G91" s="654">
        <f>SUM(G12:G90)</f>
        <v>46576535.190780789</v>
      </c>
      <c r="H91" s="654">
        <f>SUM(H12:H90)</f>
        <v>67281784.822798967</v>
      </c>
      <c r="I91" s="654">
        <f>SUM(I12:I90)</f>
        <v>-23548624.687979642</v>
      </c>
      <c r="J91" s="654">
        <f>SUM(J12:J90)</f>
        <v>90309695.325600132</v>
      </c>
      <c r="K91" s="655"/>
      <c r="L91" s="654">
        <f>SUM(L12:L90)</f>
        <v>676245890.32999647</v>
      </c>
      <c r="M91" s="654">
        <f>SUM(M12:M90)</f>
        <v>142011636.96929926</v>
      </c>
      <c r="N91" s="654">
        <f>SUM(N12:N90)</f>
        <v>113451241.24023047</v>
      </c>
      <c r="O91" s="654">
        <f>SUM(O12:O90)</f>
        <v>-23824760.660448402</v>
      </c>
      <c r="P91" s="654">
        <f>SUM(P12:P90)</f>
        <v>231638117.54908133</v>
      </c>
      <c r="R91" s="654">
        <f>SUM(R12:R90)</f>
        <v>-141328422.22348121</v>
      </c>
      <c r="S91" s="655"/>
      <c r="T91" s="654">
        <f>SUM(T12:T90)</f>
        <v>2781026.7938164794</v>
      </c>
      <c r="U91" s="655"/>
      <c r="V91" s="654">
        <f>SUM(V12:V90)</f>
        <v>-154871844.26290166</v>
      </c>
      <c r="W91" s="655"/>
      <c r="X91" s="654">
        <f>SUM(X12:X90)</f>
        <v>10762395.24560398</v>
      </c>
      <c r="Y91" s="655"/>
      <c r="Z91" s="478"/>
      <c r="AA91" s="656"/>
      <c r="AB91" s="478"/>
      <c r="AC91" s="656"/>
      <c r="AD91" s="657"/>
      <c r="AE91" s="656"/>
      <c r="AF91" s="654">
        <f>SUM(AF12:AF90)</f>
        <v>771196.44201147277</v>
      </c>
      <c r="AG91" s="656"/>
      <c r="AH91" s="1510"/>
      <c r="AI91" s="352"/>
      <c r="AQ91" s="1718"/>
      <c r="AR91" s="1718"/>
      <c r="AS91" s="1718"/>
      <c r="AT91" s="1718"/>
      <c r="AU91" s="1718"/>
      <c r="BC91" s="1718"/>
      <c r="BD91" s="1718"/>
      <c r="BE91" s="1718"/>
      <c r="BF91" s="1718"/>
      <c r="BG91" s="1718"/>
      <c r="BH91" s="1718"/>
      <c r="BI91" s="1718"/>
      <c r="BJ91" s="1718"/>
      <c r="BK91" s="1718"/>
      <c r="BL91" s="1718"/>
      <c r="BM91" s="1718"/>
      <c r="BN91" s="660"/>
      <c r="BO91" s="660"/>
      <c r="BP91" s="660"/>
      <c r="BQ91" s="660"/>
      <c r="BR91" s="660"/>
      <c r="BS91" s="660"/>
    </row>
    <row r="92" spans="2:71" ht="13">
      <c r="B92" s="478"/>
      <c r="C92" s="478"/>
      <c r="D92" s="478"/>
      <c r="E92" s="478"/>
      <c r="F92" s="658"/>
      <c r="G92" s="658"/>
      <c r="H92" s="658"/>
      <c r="I92" s="658"/>
      <c r="J92" s="658"/>
      <c r="K92" s="655"/>
      <c r="L92" s="658"/>
      <c r="M92" s="658"/>
      <c r="N92" s="658"/>
      <c r="O92" s="658"/>
      <c r="P92" s="658"/>
      <c r="R92" s="658"/>
      <c r="S92" s="655"/>
      <c r="T92" s="658"/>
      <c r="U92" s="655"/>
      <c r="V92" s="658"/>
      <c r="W92" s="655"/>
      <c r="X92" s="658"/>
      <c r="Y92" s="655"/>
      <c r="Z92" s="478"/>
      <c r="AA92" s="656"/>
      <c r="AB92" s="478"/>
      <c r="AC92" s="656"/>
      <c r="AD92" s="657"/>
      <c r="AE92" s="656"/>
      <c r="AF92" s="658"/>
      <c r="AG92" s="656"/>
      <c r="AH92" s="1510"/>
      <c r="AI92" s="352"/>
    </row>
    <row r="93" spans="2:71" ht="13">
      <c r="B93" s="478"/>
      <c r="C93" s="478"/>
      <c r="D93" s="478"/>
      <c r="E93" s="478"/>
      <c r="F93" s="658"/>
      <c r="G93" s="658"/>
      <c r="H93" s="658"/>
      <c r="I93" s="658"/>
      <c r="J93" s="658"/>
      <c r="K93" s="655"/>
      <c r="L93" s="658"/>
      <c r="M93" s="658"/>
      <c r="N93" s="658"/>
      <c r="O93" s="658"/>
      <c r="P93" s="658"/>
      <c r="R93" s="658"/>
      <c r="S93" s="655"/>
      <c r="T93" s="658"/>
      <c r="U93" s="655"/>
      <c r="V93" s="658"/>
      <c r="W93" s="655"/>
      <c r="X93" s="658"/>
      <c r="Y93" s="655"/>
      <c r="Z93" s="478"/>
      <c r="AA93" s="656"/>
      <c r="AB93" s="478"/>
      <c r="AC93" s="656"/>
      <c r="AD93" s="657"/>
      <c r="AE93" s="656"/>
      <c r="AF93" s="658"/>
      <c r="AG93" s="656"/>
      <c r="AH93" s="1510"/>
      <c r="AI93" s="352"/>
    </row>
    <row r="94" spans="2:71" ht="13">
      <c r="B94" s="478"/>
      <c r="C94" s="651" t="s">
        <v>1477</v>
      </c>
      <c r="D94" s="478"/>
      <c r="E94" s="478"/>
      <c r="F94" s="658"/>
      <c r="G94" s="658"/>
      <c r="H94" s="658"/>
      <c r="I94" s="658"/>
      <c r="J94" s="658"/>
      <c r="K94" s="655"/>
      <c r="L94" s="658"/>
      <c r="M94" s="658"/>
      <c r="N94" s="658"/>
      <c r="O94" s="658"/>
      <c r="P94" s="658"/>
      <c r="R94" s="658"/>
      <c r="S94" s="655"/>
      <c r="T94" s="658"/>
      <c r="U94" s="655"/>
      <c r="V94" s="658"/>
      <c r="W94" s="655"/>
      <c r="X94" s="658"/>
      <c r="Y94" s="655"/>
      <c r="Z94" s="478"/>
      <c r="AA94" s="656"/>
      <c r="AB94" s="478"/>
      <c r="AC94" s="656"/>
      <c r="AD94" s="657"/>
      <c r="AE94" s="656"/>
      <c r="AF94" s="658"/>
      <c r="AG94" s="656"/>
      <c r="AH94" s="1510"/>
      <c r="AI94" s="352"/>
    </row>
    <row r="95" spans="2:71">
      <c r="B95" s="352">
        <v>81</v>
      </c>
      <c r="C95" s="470" t="s">
        <v>1722</v>
      </c>
      <c r="D95" s="470" t="s">
        <v>1723</v>
      </c>
      <c r="E95" s="470" t="s">
        <v>1305</v>
      </c>
      <c r="F95" s="635">
        <v>-1475410753.9000001</v>
      </c>
      <c r="G95" s="634">
        <f t="shared" ref="G95:G110" si="31">F95*0.35</f>
        <v>-516393763.86500001</v>
      </c>
      <c r="H95" s="635">
        <v>0</v>
      </c>
      <c r="I95" s="634">
        <f t="shared" ref="I95:I110" si="32">H95*-0.35</f>
        <v>0</v>
      </c>
      <c r="J95" s="634">
        <f t="shared" ref="J95:J110" si="33">G95+H95+I95</f>
        <v>-516393763.86500001</v>
      </c>
      <c r="K95" s="632"/>
      <c r="L95" s="635">
        <f t="shared" ref="L95:L110" si="34">F95</f>
        <v>-1475410753.9000001</v>
      </c>
      <c r="M95" s="634">
        <f t="shared" ref="M95:M110" si="35">L95*0.21</f>
        <v>-309836258.31900001</v>
      </c>
      <c r="N95" s="635">
        <v>0</v>
      </c>
      <c r="O95" s="634">
        <f t="shared" ref="O95:O110" si="36">N95*-0.21</f>
        <v>0</v>
      </c>
      <c r="P95" s="634">
        <f t="shared" ref="P95:P110" si="37">M95+N95+O95</f>
        <v>-309836258.31900001</v>
      </c>
      <c r="R95" s="634">
        <f t="shared" ref="R95:R110" si="38">J95-P95</f>
        <v>-206557505.546</v>
      </c>
      <c r="S95" s="632"/>
      <c r="T95" s="635">
        <v>0</v>
      </c>
      <c r="U95" s="632"/>
      <c r="V95" s="635">
        <v>0</v>
      </c>
      <c r="W95" s="632"/>
      <c r="X95" s="634">
        <f t="shared" ref="X95:X110" si="39">R95-T95-V95</f>
        <v>-206557505.546</v>
      </c>
      <c r="Y95" s="632"/>
      <c r="Z95" s="478" t="s">
        <v>1811</v>
      </c>
      <c r="AA95" s="631"/>
      <c r="AB95" s="478" t="s">
        <v>1810</v>
      </c>
      <c r="AC95" s="631"/>
      <c r="AD95" s="1727">
        <v>0.32958000000000004</v>
      </c>
      <c r="AE95" s="631"/>
      <c r="AF95" s="634">
        <f t="shared" ref="AF95:AF100" si="40">X95*AD95</f>
        <v>-68077222.677850693</v>
      </c>
      <c r="AG95" s="298"/>
      <c r="AH95" s="1510">
        <v>282</v>
      </c>
      <c r="AI95" s="352"/>
      <c r="AQ95" s="1718"/>
      <c r="AR95" s="1718"/>
      <c r="AS95" s="1718"/>
      <c r="AT95" s="1718"/>
      <c r="AU95" s="1718"/>
      <c r="BC95" s="1718"/>
      <c r="BD95" s="1718"/>
      <c r="BE95" s="1718"/>
      <c r="BF95" s="1718"/>
      <c r="BG95" s="1718"/>
      <c r="BH95" s="1718"/>
      <c r="BI95" s="1718"/>
      <c r="BJ95" s="1718"/>
      <c r="BK95" s="1718"/>
      <c r="BL95" s="1718"/>
      <c r="BM95" s="1718"/>
      <c r="BN95" s="660"/>
      <c r="BO95" s="660"/>
      <c r="BP95" s="660"/>
      <c r="BQ95" s="660"/>
      <c r="BR95" s="660"/>
      <c r="BS95" s="660"/>
    </row>
    <row r="96" spans="2:71">
      <c r="B96" s="352">
        <v>82</v>
      </c>
      <c r="C96" s="470" t="s">
        <v>1724</v>
      </c>
      <c r="D96" s="470" t="s">
        <v>1725</v>
      </c>
      <c r="E96" s="470" t="s">
        <v>1303</v>
      </c>
      <c r="F96" s="633">
        <v>-1205260066.6600001</v>
      </c>
      <c r="G96" s="630">
        <f t="shared" si="31"/>
        <v>-421841023.33100003</v>
      </c>
      <c r="H96" s="633">
        <v>0</v>
      </c>
      <c r="I96" s="630">
        <f t="shared" si="32"/>
        <v>0</v>
      </c>
      <c r="J96" s="630">
        <f t="shared" si="33"/>
        <v>-421841023.33100003</v>
      </c>
      <c r="K96" s="652"/>
      <c r="L96" s="633">
        <f t="shared" si="34"/>
        <v>-1205260066.6600001</v>
      </c>
      <c r="M96" s="630">
        <f t="shared" si="35"/>
        <v>-253104613.99860001</v>
      </c>
      <c r="N96" s="633">
        <v>0</v>
      </c>
      <c r="O96" s="630">
        <f t="shared" si="36"/>
        <v>0</v>
      </c>
      <c r="P96" s="630">
        <f t="shared" si="37"/>
        <v>-253104613.99860001</v>
      </c>
      <c r="Q96" s="630"/>
      <c r="R96" s="630">
        <f t="shared" si="38"/>
        <v>-168736409.33240002</v>
      </c>
      <c r="S96" s="652"/>
      <c r="T96" s="633">
        <v>0</v>
      </c>
      <c r="U96" s="652"/>
      <c r="V96" s="633">
        <v>-7192463.0836799592</v>
      </c>
      <c r="W96" s="652"/>
      <c r="X96" s="630">
        <f t="shared" si="39"/>
        <v>-161543946.24872005</v>
      </c>
      <c r="Y96" s="632"/>
      <c r="Z96" s="478" t="s">
        <v>1811</v>
      </c>
      <c r="AA96" s="631"/>
      <c r="AB96" s="478" t="s">
        <v>1810</v>
      </c>
      <c r="AC96" s="631"/>
      <c r="AD96" s="1727">
        <v>0.32958000000000004</v>
      </c>
      <c r="AE96" s="631"/>
      <c r="AF96" s="630">
        <f t="shared" si="40"/>
        <v>-53241653.80465316</v>
      </c>
      <c r="AG96" s="298"/>
      <c r="AH96" s="1510">
        <v>282</v>
      </c>
      <c r="AI96" s="352"/>
      <c r="AQ96" s="1718"/>
      <c r="AR96" s="1718"/>
      <c r="AS96" s="1718"/>
      <c r="AT96" s="1718"/>
      <c r="AU96" s="1718"/>
      <c r="BC96" s="1718"/>
      <c r="BD96" s="1718"/>
      <c r="BE96" s="1718"/>
      <c r="BF96" s="1718"/>
      <c r="BG96" s="1718"/>
      <c r="BH96" s="1718"/>
      <c r="BI96" s="1718"/>
      <c r="BJ96" s="1718"/>
      <c r="BK96" s="1718"/>
      <c r="BL96" s="1718"/>
      <c r="BM96" s="1718"/>
      <c r="BN96" s="660"/>
      <c r="BO96" s="660"/>
      <c r="BP96" s="660"/>
      <c r="BQ96" s="660"/>
      <c r="BR96" s="660"/>
      <c r="BS96" s="660"/>
    </row>
    <row r="97" spans="2:71">
      <c r="B97" s="352">
        <v>83</v>
      </c>
      <c r="C97" s="470" t="s">
        <v>1726</v>
      </c>
      <c r="D97" s="470" t="s">
        <v>1725</v>
      </c>
      <c r="E97" s="470" t="s">
        <v>1303</v>
      </c>
      <c r="F97" s="633">
        <v>89655390</v>
      </c>
      <c r="G97" s="630">
        <f t="shared" si="31"/>
        <v>31379386.499999996</v>
      </c>
      <c r="H97" s="633">
        <v>0</v>
      </c>
      <c r="I97" s="630">
        <f t="shared" si="32"/>
        <v>0</v>
      </c>
      <c r="J97" s="630">
        <f t="shared" si="33"/>
        <v>31379386.499999996</v>
      </c>
      <c r="K97" s="652"/>
      <c r="L97" s="633">
        <f t="shared" si="34"/>
        <v>89655390</v>
      </c>
      <c r="M97" s="630">
        <f t="shared" si="35"/>
        <v>18827631.899999999</v>
      </c>
      <c r="N97" s="633">
        <v>0</v>
      </c>
      <c r="O97" s="630">
        <f t="shared" si="36"/>
        <v>0</v>
      </c>
      <c r="P97" s="630">
        <f t="shared" si="37"/>
        <v>18827631.899999999</v>
      </c>
      <c r="Q97" s="630"/>
      <c r="R97" s="630">
        <f t="shared" si="38"/>
        <v>12551754.599999998</v>
      </c>
      <c r="S97" s="652"/>
      <c r="T97" s="633">
        <v>0</v>
      </c>
      <c r="U97" s="652"/>
      <c r="V97" s="633">
        <v>0</v>
      </c>
      <c r="W97" s="652"/>
      <c r="X97" s="630">
        <f t="shared" si="39"/>
        <v>12551754.599999998</v>
      </c>
      <c r="Y97" s="632"/>
      <c r="Z97" s="478" t="s">
        <v>1811</v>
      </c>
      <c r="AA97" s="631"/>
      <c r="AB97" s="478" t="s">
        <v>1807</v>
      </c>
      <c r="AC97" s="631"/>
      <c r="AD97" s="1727">
        <v>0</v>
      </c>
      <c r="AE97" s="631"/>
      <c r="AF97" s="630">
        <f t="shared" si="40"/>
        <v>0</v>
      </c>
      <c r="AG97" s="298"/>
      <c r="AH97" s="1510">
        <v>282</v>
      </c>
      <c r="AI97" s="352"/>
      <c r="AQ97" s="1718"/>
      <c r="AR97" s="1718"/>
      <c r="AS97" s="1718"/>
      <c r="AT97" s="1718"/>
      <c r="AU97" s="1718"/>
      <c r="BC97" s="1718"/>
      <c r="BD97" s="1718"/>
      <c r="BE97" s="1718"/>
      <c r="BF97" s="1718"/>
      <c r="BG97" s="1718"/>
      <c r="BH97" s="1718"/>
      <c r="BI97" s="1718"/>
      <c r="BJ97" s="1718"/>
      <c r="BK97" s="1718"/>
      <c r="BL97" s="1718"/>
      <c r="BM97" s="1718"/>
      <c r="BN97" s="660"/>
      <c r="BO97" s="660"/>
      <c r="BP97" s="660"/>
      <c r="BQ97" s="660"/>
      <c r="BR97" s="660"/>
      <c r="BS97" s="660"/>
    </row>
    <row r="98" spans="2:71">
      <c r="B98" s="352">
        <v>84</v>
      </c>
      <c r="C98" s="470" t="s">
        <v>1727</v>
      </c>
      <c r="D98" s="470" t="s">
        <v>1725</v>
      </c>
      <c r="E98" s="470" t="s">
        <v>1303</v>
      </c>
      <c r="F98" s="633">
        <v>0</v>
      </c>
      <c r="G98" s="630">
        <f t="shared" si="31"/>
        <v>0</v>
      </c>
      <c r="H98" s="633">
        <v>-49092225.367920004</v>
      </c>
      <c r="I98" s="630">
        <f t="shared" si="32"/>
        <v>17182278.878772002</v>
      </c>
      <c r="J98" s="630">
        <f t="shared" si="33"/>
        <v>-31909946.489148002</v>
      </c>
      <c r="K98" s="652"/>
      <c r="L98" s="633">
        <f t="shared" si="34"/>
        <v>0</v>
      </c>
      <c r="M98" s="630">
        <f t="shared" si="35"/>
        <v>0</v>
      </c>
      <c r="N98" s="633">
        <v>-49092225.367920004</v>
      </c>
      <c r="O98" s="630">
        <f t="shared" si="36"/>
        <v>10309367.327263201</v>
      </c>
      <c r="P98" s="630">
        <f t="shared" si="37"/>
        <v>-38782858.040656805</v>
      </c>
      <c r="Q98" s="630"/>
      <c r="R98" s="630">
        <f t="shared" si="38"/>
        <v>6872911.5515088029</v>
      </c>
      <c r="S98" s="652"/>
      <c r="T98" s="633">
        <v>0</v>
      </c>
      <c r="U98" s="652"/>
      <c r="V98" s="633">
        <v>0</v>
      </c>
      <c r="W98" s="652"/>
      <c r="X98" s="630">
        <f t="shared" si="39"/>
        <v>6872911.5515088029</v>
      </c>
      <c r="Y98" s="632"/>
      <c r="Z98" s="478" t="s">
        <v>1811</v>
      </c>
      <c r="AA98" s="631"/>
      <c r="AB98" s="478" t="s">
        <v>1810</v>
      </c>
      <c r="AC98" s="631"/>
      <c r="AD98" s="1727">
        <v>0.32958000000000004</v>
      </c>
      <c r="AE98" s="631"/>
      <c r="AF98" s="630">
        <f t="shared" si="40"/>
        <v>2265174.1891462714</v>
      </c>
      <c r="AG98" s="298"/>
      <c r="AH98" s="1510">
        <v>282</v>
      </c>
      <c r="AI98" s="352"/>
      <c r="AQ98" s="1718"/>
      <c r="AR98" s="1718"/>
      <c r="AS98" s="1718"/>
      <c r="AT98" s="1718"/>
      <c r="AU98" s="1718"/>
      <c r="BC98" s="1718"/>
      <c r="BD98" s="1718"/>
      <c r="BE98" s="1718"/>
      <c r="BF98" s="1718"/>
      <c r="BG98" s="1718"/>
      <c r="BH98" s="1718"/>
      <c r="BI98" s="1718"/>
      <c r="BJ98" s="1718"/>
      <c r="BK98" s="1718"/>
      <c r="BL98" s="1718"/>
      <c r="BM98" s="1718"/>
      <c r="BN98" s="660"/>
      <c r="BO98" s="660"/>
      <c r="BP98" s="660"/>
      <c r="BQ98" s="660"/>
      <c r="BR98" s="660"/>
      <c r="BS98" s="660"/>
    </row>
    <row r="99" spans="2:71">
      <c r="B99" s="352">
        <v>85</v>
      </c>
      <c r="C99" s="470" t="s">
        <v>1728</v>
      </c>
      <c r="D99" s="470" t="s">
        <v>1725</v>
      </c>
      <c r="E99" s="470" t="s">
        <v>1303</v>
      </c>
      <c r="F99" s="633">
        <v>0</v>
      </c>
      <c r="G99" s="630">
        <f t="shared" si="31"/>
        <v>0</v>
      </c>
      <c r="H99" s="633">
        <v>2511377.3160000001</v>
      </c>
      <c r="I99" s="630">
        <f t="shared" si="32"/>
        <v>-878982.06059999997</v>
      </c>
      <c r="J99" s="630">
        <f t="shared" si="33"/>
        <v>1632395.2554000001</v>
      </c>
      <c r="K99" s="652"/>
      <c r="L99" s="633">
        <f t="shared" si="34"/>
        <v>0</v>
      </c>
      <c r="M99" s="630">
        <f t="shared" si="35"/>
        <v>0</v>
      </c>
      <c r="N99" s="633">
        <v>2511377.3160000001</v>
      </c>
      <c r="O99" s="630">
        <f t="shared" si="36"/>
        <v>-527389.23635999998</v>
      </c>
      <c r="P99" s="630">
        <f t="shared" si="37"/>
        <v>1983988.0796400001</v>
      </c>
      <c r="Q99" s="630"/>
      <c r="R99" s="630">
        <f t="shared" si="38"/>
        <v>-351592.82423999999</v>
      </c>
      <c r="S99" s="652"/>
      <c r="T99" s="633">
        <v>0</v>
      </c>
      <c r="U99" s="652"/>
      <c r="V99" s="633">
        <v>0</v>
      </c>
      <c r="W99" s="652"/>
      <c r="X99" s="630">
        <f t="shared" si="39"/>
        <v>-351592.82423999999</v>
      </c>
      <c r="Y99" s="632"/>
      <c r="Z99" s="478" t="s">
        <v>1811</v>
      </c>
      <c r="AA99" s="631"/>
      <c r="AB99" s="478" t="s">
        <v>1807</v>
      </c>
      <c r="AC99" s="631"/>
      <c r="AD99" s="1727">
        <v>0</v>
      </c>
      <c r="AE99" s="631"/>
      <c r="AF99" s="630">
        <f t="shared" si="40"/>
        <v>0</v>
      </c>
      <c r="AG99" s="298"/>
      <c r="AH99" s="1510">
        <v>282</v>
      </c>
      <c r="AI99" s="352"/>
      <c r="AQ99" s="1718"/>
      <c r="AR99" s="1718"/>
      <c r="AS99" s="1718"/>
      <c r="AT99" s="1718"/>
      <c r="AU99" s="1718"/>
      <c r="BC99" s="1718"/>
      <c r="BD99" s="1718"/>
      <c r="BE99" s="1718"/>
      <c r="BF99" s="1718"/>
      <c r="BG99" s="1718"/>
      <c r="BH99" s="1718"/>
      <c r="BI99" s="1718"/>
      <c r="BJ99" s="1718"/>
      <c r="BK99" s="1718"/>
      <c r="BL99" s="1718"/>
      <c r="BM99" s="1718"/>
      <c r="BN99" s="660"/>
      <c r="BO99" s="660"/>
      <c r="BP99" s="660"/>
      <c r="BQ99" s="660"/>
      <c r="BR99" s="660"/>
      <c r="BS99" s="660"/>
    </row>
    <row r="100" spans="2:71">
      <c r="B100" s="352">
        <v>86</v>
      </c>
      <c r="C100" s="470" t="s">
        <v>1729</v>
      </c>
      <c r="D100" s="470" t="s">
        <v>1725</v>
      </c>
      <c r="E100" s="470" t="s">
        <v>1303</v>
      </c>
      <c r="F100" s="633">
        <v>0</v>
      </c>
      <c r="G100" s="630">
        <f t="shared" si="31"/>
        <v>0</v>
      </c>
      <c r="H100" s="633">
        <v>-152798236.77192</v>
      </c>
      <c r="I100" s="630">
        <f t="shared" si="32"/>
        <v>53479382.870171994</v>
      </c>
      <c r="J100" s="630">
        <f t="shared" si="33"/>
        <v>-99318853.901748002</v>
      </c>
      <c r="K100" s="652"/>
      <c r="L100" s="633">
        <f t="shared" si="34"/>
        <v>0</v>
      </c>
      <c r="M100" s="630">
        <f t="shared" si="35"/>
        <v>0</v>
      </c>
      <c r="N100" s="633">
        <v>-152798236.77192</v>
      </c>
      <c r="O100" s="630">
        <f t="shared" si="36"/>
        <v>32087629.722103197</v>
      </c>
      <c r="P100" s="630">
        <f t="shared" si="37"/>
        <v>-120710607.0498168</v>
      </c>
      <c r="Q100" s="630"/>
      <c r="R100" s="630">
        <f t="shared" si="38"/>
        <v>21391753.148068801</v>
      </c>
      <c r="S100" s="652"/>
      <c r="T100" s="633">
        <v>0</v>
      </c>
      <c r="U100" s="652"/>
      <c r="V100" s="633">
        <v>0</v>
      </c>
      <c r="W100" s="652"/>
      <c r="X100" s="630">
        <f t="shared" si="39"/>
        <v>21391753.148068801</v>
      </c>
      <c r="Y100" s="632"/>
      <c r="Z100" s="478" t="s">
        <v>1811</v>
      </c>
      <c r="AA100" s="631"/>
      <c r="AB100" s="478" t="s">
        <v>1810</v>
      </c>
      <c r="AC100" s="631"/>
      <c r="AD100" s="1727">
        <v>0.32958000000000004</v>
      </c>
      <c r="AE100" s="631"/>
      <c r="AF100" s="630">
        <f t="shared" si="40"/>
        <v>7050294.0025405157</v>
      </c>
      <c r="AG100" s="298"/>
      <c r="AH100" s="1510">
        <v>282</v>
      </c>
      <c r="AI100" s="352"/>
      <c r="AQ100" s="1718"/>
      <c r="AR100" s="1718"/>
      <c r="AS100" s="1718"/>
      <c r="AT100" s="1718"/>
      <c r="AU100" s="1718"/>
      <c r="BC100" s="1718"/>
      <c r="BD100" s="1718"/>
      <c r="BE100" s="1718"/>
      <c r="BF100" s="1718"/>
      <c r="BG100" s="1718"/>
      <c r="BH100" s="1718"/>
      <c r="BI100" s="1718"/>
      <c r="BJ100" s="1718"/>
      <c r="BK100" s="1718"/>
      <c r="BL100" s="1718"/>
      <c r="BM100" s="1718"/>
      <c r="BN100" s="660"/>
      <c r="BO100" s="660"/>
      <c r="BP100" s="660"/>
      <c r="BQ100" s="660"/>
      <c r="BR100" s="660"/>
      <c r="BS100" s="660"/>
    </row>
    <row r="101" spans="2:71">
      <c r="B101" s="352">
        <v>87</v>
      </c>
      <c r="C101" s="470" t="s">
        <v>1730</v>
      </c>
      <c r="D101" s="470" t="s">
        <v>1725</v>
      </c>
      <c r="E101" s="470" t="s">
        <v>1303</v>
      </c>
      <c r="F101" s="633">
        <v>0</v>
      </c>
      <c r="G101" s="630">
        <f t="shared" si="31"/>
        <v>0</v>
      </c>
      <c r="H101" s="633">
        <v>5110357.2300000004</v>
      </c>
      <c r="I101" s="630">
        <f t="shared" si="32"/>
        <v>-1788625.0305000001</v>
      </c>
      <c r="J101" s="630">
        <f t="shared" si="33"/>
        <v>3321732.1995000001</v>
      </c>
      <c r="K101" s="652"/>
      <c r="L101" s="633">
        <f t="shared" si="34"/>
        <v>0</v>
      </c>
      <c r="M101" s="630">
        <f t="shared" si="35"/>
        <v>0</v>
      </c>
      <c r="N101" s="633">
        <v>5110357.2300000004</v>
      </c>
      <c r="O101" s="630">
        <f t="shared" si="36"/>
        <v>-1073175.0183000001</v>
      </c>
      <c r="P101" s="630">
        <f t="shared" si="37"/>
        <v>4037182.2117000003</v>
      </c>
      <c r="Q101" s="630"/>
      <c r="R101" s="630">
        <f t="shared" si="38"/>
        <v>-715450.01220000023</v>
      </c>
      <c r="S101" s="652"/>
      <c r="T101" s="633">
        <v>0</v>
      </c>
      <c r="U101" s="652"/>
      <c r="V101" s="633">
        <v>0</v>
      </c>
      <c r="W101" s="652"/>
      <c r="X101" s="630">
        <f t="shared" si="39"/>
        <v>-715450.01220000023</v>
      </c>
      <c r="Y101" s="632"/>
      <c r="Z101" s="478" t="s">
        <v>1811</v>
      </c>
      <c r="AA101" s="631"/>
      <c r="AB101" s="478" t="s">
        <v>1807</v>
      </c>
      <c r="AC101" s="631"/>
      <c r="AD101" s="1727">
        <v>0</v>
      </c>
      <c r="AE101" s="631"/>
      <c r="AF101" s="630">
        <v>0</v>
      </c>
      <c r="AG101" s="298"/>
      <c r="AH101" s="1510">
        <v>282</v>
      </c>
      <c r="AI101" s="352"/>
      <c r="AQ101" s="1718"/>
      <c r="AR101" s="1718"/>
      <c r="AS101" s="1718"/>
      <c r="AT101" s="1718"/>
      <c r="AU101" s="1718"/>
      <c r="BC101" s="1718"/>
      <c r="BD101" s="1718"/>
      <c r="BE101" s="1718"/>
      <c r="BF101" s="1718"/>
      <c r="BG101" s="1718"/>
      <c r="BH101" s="1718"/>
      <c r="BI101" s="1718"/>
      <c r="BJ101" s="1718"/>
      <c r="BK101" s="1718"/>
      <c r="BL101" s="1718"/>
      <c r="BM101" s="1718"/>
      <c r="BN101" s="660"/>
      <c r="BO101" s="660"/>
      <c r="BP101" s="660"/>
      <c r="BQ101" s="660"/>
      <c r="BR101" s="660"/>
      <c r="BS101" s="660"/>
    </row>
    <row r="102" spans="2:71">
      <c r="B102" s="352">
        <v>88</v>
      </c>
      <c r="C102" s="470" t="s">
        <v>1731</v>
      </c>
      <c r="D102" s="470" t="s">
        <v>1725</v>
      </c>
      <c r="E102" s="470" t="s">
        <v>1303</v>
      </c>
      <c r="F102" s="633">
        <v>-56147252.799999997</v>
      </c>
      <c r="G102" s="630">
        <f t="shared" si="31"/>
        <v>-19651538.479999997</v>
      </c>
      <c r="H102" s="633">
        <v>0</v>
      </c>
      <c r="I102" s="630">
        <f t="shared" si="32"/>
        <v>0</v>
      </c>
      <c r="J102" s="630">
        <f t="shared" si="33"/>
        <v>-19651538.479999997</v>
      </c>
      <c r="K102" s="652"/>
      <c r="L102" s="633">
        <f t="shared" si="34"/>
        <v>-56147252.799999997</v>
      </c>
      <c r="M102" s="630">
        <f t="shared" si="35"/>
        <v>-11790923.088</v>
      </c>
      <c r="N102" s="633">
        <v>0</v>
      </c>
      <c r="O102" s="630">
        <f t="shared" si="36"/>
        <v>0</v>
      </c>
      <c r="P102" s="630">
        <f t="shared" si="37"/>
        <v>-11790923.088</v>
      </c>
      <c r="Q102" s="630"/>
      <c r="R102" s="630">
        <f t="shared" si="38"/>
        <v>-7860615.3919999972</v>
      </c>
      <c r="S102" s="652"/>
      <c r="T102" s="633">
        <v>0</v>
      </c>
      <c r="U102" s="652"/>
      <c r="V102" s="633">
        <v>0</v>
      </c>
      <c r="W102" s="652"/>
      <c r="X102" s="630">
        <f t="shared" si="39"/>
        <v>-7860615.3919999972</v>
      </c>
      <c r="Y102" s="632"/>
      <c r="Z102" s="478" t="s">
        <v>1811</v>
      </c>
      <c r="AA102" s="631"/>
      <c r="AB102" s="478" t="s">
        <v>1810</v>
      </c>
      <c r="AC102" s="631"/>
      <c r="AD102" s="1727">
        <v>0.32958000000000004</v>
      </c>
      <c r="AE102" s="631"/>
      <c r="AF102" s="630">
        <f t="shared" ref="AF102:AF110" si="41">X102*AD102</f>
        <v>-2590701.6208953592</v>
      </c>
      <c r="AG102" s="298"/>
      <c r="AH102" s="1510">
        <v>282</v>
      </c>
      <c r="AI102" s="352"/>
      <c r="AQ102" s="1718"/>
      <c r="AR102" s="1718"/>
      <c r="AS102" s="1718"/>
      <c r="AT102" s="1718"/>
      <c r="AU102" s="1718"/>
      <c r="BC102" s="1718"/>
      <c r="BD102" s="1718"/>
      <c r="BE102" s="1718"/>
      <c r="BF102" s="1718"/>
      <c r="BG102" s="1718"/>
      <c r="BH102" s="1718"/>
      <c r="BI102" s="1718"/>
      <c r="BJ102" s="1718"/>
      <c r="BK102" s="1718"/>
      <c r="BL102" s="1718"/>
      <c r="BM102" s="1718"/>
      <c r="BN102" s="660"/>
      <c r="BO102" s="660"/>
      <c r="BP102" s="660"/>
      <c r="BQ102" s="660"/>
      <c r="BR102" s="660"/>
      <c r="BS102" s="660"/>
    </row>
    <row r="103" spans="2:71">
      <c r="B103" s="352">
        <v>89</v>
      </c>
      <c r="C103" s="470" t="s">
        <v>1732</v>
      </c>
      <c r="D103" s="470" t="s">
        <v>1725</v>
      </c>
      <c r="E103" s="470" t="s">
        <v>1303</v>
      </c>
      <c r="F103" s="633">
        <v>0</v>
      </c>
      <c r="G103" s="630">
        <f t="shared" si="31"/>
        <v>0</v>
      </c>
      <c r="H103" s="633">
        <v>-1572123.0784</v>
      </c>
      <c r="I103" s="630">
        <f t="shared" si="32"/>
        <v>550243.07743999991</v>
      </c>
      <c r="J103" s="630">
        <f t="shared" si="33"/>
        <v>-1021880.0009600001</v>
      </c>
      <c r="K103" s="652"/>
      <c r="L103" s="633">
        <f t="shared" si="34"/>
        <v>0</v>
      </c>
      <c r="M103" s="630">
        <f t="shared" si="35"/>
        <v>0</v>
      </c>
      <c r="N103" s="633">
        <v>-1572123.0784</v>
      </c>
      <c r="O103" s="630">
        <f t="shared" si="36"/>
        <v>330145.846464</v>
      </c>
      <c r="P103" s="630">
        <f t="shared" si="37"/>
        <v>-1241977.2319360001</v>
      </c>
      <c r="Q103" s="630"/>
      <c r="R103" s="630">
        <f t="shared" si="38"/>
        <v>220097.23097599996</v>
      </c>
      <c r="S103" s="652"/>
      <c r="T103" s="633">
        <v>0</v>
      </c>
      <c r="U103" s="652"/>
      <c r="V103" s="633">
        <v>0</v>
      </c>
      <c r="W103" s="652"/>
      <c r="X103" s="630">
        <f t="shared" si="39"/>
        <v>220097.23097599996</v>
      </c>
      <c r="Y103" s="632"/>
      <c r="Z103" s="478" t="s">
        <v>1811</v>
      </c>
      <c r="AA103" s="631"/>
      <c r="AB103" s="478" t="s">
        <v>1810</v>
      </c>
      <c r="AC103" s="631"/>
      <c r="AD103" s="1727">
        <v>0.32958000000000004</v>
      </c>
      <c r="AE103" s="631"/>
      <c r="AF103" s="630">
        <f t="shared" si="41"/>
        <v>72539.645385070078</v>
      </c>
      <c r="AG103" s="298"/>
      <c r="AH103" s="1510">
        <v>282</v>
      </c>
      <c r="AI103" s="352"/>
      <c r="AQ103" s="1718"/>
      <c r="AR103" s="1718"/>
      <c r="AS103" s="1718"/>
      <c r="AT103" s="1718"/>
      <c r="AU103" s="1718"/>
      <c r="BC103" s="1718"/>
      <c r="BD103" s="1718"/>
      <c r="BE103" s="1718"/>
      <c r="BF103" s="1718"/>
      <c r="BG103" s="1718"/>
      <c r="BH103" s="1718"/>
      <c r="BI103" s="1718"/>
      <c r="BJ103" s="1718"/>
      <c r="BK103" s="1718"/>
      <c r="BL103" s="1718"/>
      <c r="BM103" s="1718"/>
      <c r="BN103" s="660"/>
      <c r="BO103" s="660"/>
      <c r="BP103" s="660"/>
      <c r="BQ103" s="660"/>
      <c r="BR103" s="660"/>
      <c r="BS103" s="660"/>
    </row>
    <row r="104" spans="2:71">
      <c r="B104" s="352">
        <v>90</v>
      </c>
      <c r="C104" s="470" t="s">
        <v>1733</v>
      </c>
      <c r="D104" s="470" t="s">
        <v>1725</v>
      </c>
      <c r="E104" s="470" t="s">
        <v>1303</v>
      </c>
      <c r="F104" s="633">
        <v>0</v>
      </c>
      <c r="G104" s="630">
        <f t="shared" si="31"/>
        <v>0</v>
      </c>
      <c r="H104" s="633">
        <v>-3200393.4095999999</v>
      </c>
      <c r="I104" s="630">
        <f t="shared" si="32"/>
        <v>1120137.6933599999</v>
      </c>
      <c r="J104" s="630">
        <f t="shared" si="33"/>
        <v>-2080255.71624</v>
      </c>
      <c r="K104" s="652"/>
      <c r="L104" s="633">
        <f t="shared" si="34"/>
        <v>0</v>
      </c>
      <c r="M104" s="630">
        <f t="shared" si="35"/>
        <v>0</v>
      </c>
      <c r="N104" s="633">
        <v>-3200393.4095999999</v>
      </c>
      <c r="O104" s="630">
        <f t="shared" si="36"/>
        <v>672082.61601599993</v>
      </c>
      <c r="P104" s="630">
        <f t="shared" si="37"/>
        <v>-2528310.7935839999</v>
      </c>
      <c r="Q104" s="630"/>
      <c r="R104" s="630">
        <f t="shared" si="38"/>
        <v>448055.07734399987</v>
      </c>
      <c r="S104" s="652"/>
      <c r="T104" s="633">
        <v>0</v>
      </c>
      <c r="U104" s="652"/>
      <c r="V104" s="633">
        <v>0</v>
      </c>
      <c r="W104" s="652"/>
      <c r="X104" s="630">
        <f t="shared" si="39"/>
        <v>448055.07734399987</v>
      </c>
      <c r="Y104" s="632"/>
      <c r="Z104" s="478" t="s">
        <v>1811</v>
      </c>
      <c r="AA104" s="631"/>
      <c r="AB104" s="478" t="s">
        <v>1810</v>
      </c>
      <c r="AC104" s="631"/>
      <c r="AD104" s="1727">
        <v>0.32958000000000004</v>
      </c>
      <c r="AE104" s="631"/>
      <c r="AF104" s="630">
        <f t="shared" si="41"/>
        <v>147669.99239103548</v>
      </c>
      <c r="AG104" s="298"/>
      <c r="AH104" s="1510">
        <v>282</v>
      </c>
      <c r="AI104" s="352"/>
      <c r="AQ104" s="1718"/>
      <c r="AR104" s="1718"/>
      <c r="AS104" s="1718"/>
      <c r="AT104" s="1718"/>
      <c r="AU104" s="1718"/>
      <c r="BC104" s="1718"/>
      <c r="BD104" s="1718"/>
      <c r="BE104" s="1718"/>
      <c r="BF104" s="1718"/>
      <c r="BG104" s="1718"/>
      <c r="BH104" s="1718"/>
      <c r="BI104" s="1718"/>
      <c r="BJ104" s="1718"/>
      <c r="BK104" s="1718"/>
      <c r="BL104" s="1718"/>
      <c r="BM104" s="1718"/>
      <c r="BN104" s="660"/>
      <c r="BO104" s="660"/>
      <c r="BP104" s="660"/>
      <c r="BQ104" s="660"/>
      <c r="BR104" s="660"/>
      <c r="BS104" s="660"/>
    </row>
    <row r="105" spans="2:71">
      <c r="B105" s="352">
        <v>91</v>
      </c>
      <c r="C105" s="470" t="s">
        <v>1734</v>
      </c>
      <c r="D105" s="470" t="s">
        <v>1735</v>
      </c>
      <c r="E105" s="470" t="s">
        <v>1303</v>
      </c>
      <c r="F105" s="633">
        <v>-3458769.33</v>
      </c>
      <c r="G105" s="630">
        <f t="shared" si="31"/>
        <v>-1210569.2655</v>
      </c>
      <c r="H105" s="633">
        <v>0</v>
      </c>
      <c r="I105" s="630">
        <f t="shared" si="32"/>
        <v>0</v>
      </c>
      <c r="J105" s="630">
        <f t="shared" si="33"/>
        <v>-1210569.2655</v>
      </c>
      <c r="K105" s="652"/>
      <c r="L105" s="633">
        <f t="shared" si="34"/>
        <v>-3458769.33</v>
      </c>
      <c r="M105" s="630">
        <f t="shared" si="35"/>
        <v>-726341.55929999996</v>
      </c>
      <c r="N105" s="633">
        <v>0</v>
      </c>
      <c r="O105" s="630">
        <f t="shared" si="36"/>
        <v>0</v>
      </c>
      <c r="P105" s="630">
        <f t="shared" si="37"/>
        <v>-726341.55929999996</v>
      </c>
      <c r="Q105" s="630"/>
      <c r="R105" s="630">
        <f t="shared" si="38"/>
        <v>-484227.70620000002</v>
      </c>
      <c r="S105" s="652"/>
      <c r="T105" s="633">
        <v>0</v>
      </c>
      <c r="U105" s="652"/>
      <c r="V105" s="633">
        <v>0</v>
      </c>
      <c r="W105" s="652"/>
      <c r="X105" s="630">
        <f t="shared" si="39"/>
        <v>-484227.70620000002</v>
      </c>
      <c r="Y105" s="632"/>
      <c r="Z105" s="478" t="s">
        <v>1811</v>
      </c>
      <c r="AA105" s="631"/>
      <c r="AB105" s="478" t="s">
        <v>1810</v>
      </c>
      <c r="AC105" s="631"/>
      <c r="AD105" s="1727">
        <v>0.32958000000000004</v>
      </c>
      <c r="AE105" s="631"/>
      <c r="AF105" s="630">
        <f t="shared" si="41"/>
        <v>-159591.76740939604</v>
      </c>
      <c r="AG105" s="298"/>
      <c r="AH105" s="1510">
        <v>282</v>
      </c>
      <c r="AI105" s="352"/>
      <c r="AQ105" s="1718"/>
      <c r="AR105" s="1718"/>
      <c r="AS105" s="1718"/>
      <c r="AT105" s="1718"/>
      <c r="AU105" s="1718"/>
      <c r="BC105" s="1718"/>
      <c r="BD105" s="1718"/>
      <c r="BE105" s="1718"/>
      <c r="BF105" s="1718"/>
      <c r="BG105" s="1718"/>
      <c r="BH105" s="1718"/>
      <c r="BI105" s="1718"/>
      <c r="BJ105" s="1718"/>
      <c r="BK105" s="1718"/>
      <c r="BL105" s="1718"/>
      <c r="BM105" s="1718"/>
      <c r="BN105" s="660"/>
      <c r="BO105" s="660"/>
      <c r="BP105" s="660"/>
      <c r="BQ105" s="660"/>
      <c r="BR105" s="660"/>
      <c r="BS105" s="660"/>
    </row>
    <row r="106" spans="2:71">
      <c r="B106" s="352">
        <v>92</v>
      </c>
      <c r="C106" s="470" t="s">
        <v>1736</v>
      </c>
      <c r="D106" s="470" t="s">
        <v>1735</v>
      </c>
      <c r="E106" s="470" t="s">
        <v>1303</v>
      </c>
      <c r="F106" s="633">
        <v>14702392</v>
      </c>
      <c r="G106" s="630">
        <f t="shared" si="31"/>
        <v>5145837.1999999993</v>
      </c>
      <c r="H106" s="633">
        <v>0</v>
      </c>
      <c r="I106" s="630">
        <f t="shared" si="32"/>
        <v>0</v>
      </c>
      <c r="J106" s="630">
        <f t="shared" si="33"/>
        <v>5145837.1999999993</v>
      </c>
      <c r="K106" s="652"/>
      <c r="L106" s="633">
        <f t="shared" si="34"/>
        <v>14702392</v>
      </c>
      <c r="M106" s="630">
        <f t="shared" si="35"/>
        <v>3087502.32</v>
      </c>
      <c r="N106" s="633">
        <v>0</v>
      </c>
      <c r="O106" s="630">
        <f t="shared" si="36"/>
        <v>0</v>
      </c>
      <c r="P106" s="630">
        <f t="shared" si="37"/>
        <v>3087502.32</v>
      </c>
      <c r="Q106" s="630"/>
      <c r="R106" s="630">
        <f t="shared" si="38"/>
        <v>2058334.8799999994</v>
      </c>
      <c r="S106" s="652"/>
      <c r="T106" s="633">
        <v>0</v>
      </c>
      <c r="U106" s="652"/>
      <c r="V106" s="633">
        <v>0</v>
      </c>
      <c r="W106" s="652"/>
      <c r="X106" s="630">
        <f t="shared" si="39"/>
        <v>2058334.8799999994</v>
      </c>
      <c r="Y106" s="632"/>
      <c r="Z106" s="478" t="s">
        <v>1811</v>
      </c>
      <c r="AA106" s="631"/>
      <c r="AB106" s="478" t="s">
        <v>1807</v>
      </c>
      <c r="AC106" s="631"/>
      <c r="AD106" s="1727">
        <v>0</v>
      </c>
      <c r="AE106" s="631"/>
      <c r="AF106" s="630">
        <f t="shared" si="41"/>
        <v>0</v>
      </c>
      <c r="AG106" s="298"/>
      <c r="AH106" s="1510">
        <v>282</v>
      </c>
      <c r="AI106" s="352"/>
      <c r="AQ106" s="1718"/>
      <c r="AR106" s="1718"/>
      <c r="AS106" s="1718"/>
      <c r="AT106" s="1718"/>
      <c r="AU106" s="1718"/>
      <c r="BC106" s="1718"/>
      <c r="BD106" s="1718"/>
      <c r="BE106" s="1718"/>
      <c r="BF106" s="1718"/>
      <c r="BG106" s="1718"/>
      <c r="BH106" s="1718"/>
      <c r="BI106" s="1718"/>
      <c r="BJ106" s="1718"/>
      <c r="BK106" s="1718"/>
      <c r="BL106" s="1718"/>
      <c r="BM106" s="1718"/>
      <c r="BN106" s="660"/>
      <c r="BO106" s="660"/>
      <c r="BP106" s="660"/>
      <c r="BQ106" s="660"/>
      <c r="BR106" s="660"/>
      <c r="BS106" s="660"/>
    </row>
    <row r="107" spans="2:71">
      <c r="B107" s="352">
        <v>93</v>
      </c>
      <c r="C107" s="470" t="s">
        <v>1737</v>
      </c>
      <c r="D107" s="470" t="s">
        <v>1735</v>
      </c>
      <c r="E107" s="470" t="s">
        <v>1303</v>
      </c>
      <c r="F107" s="633">
        <v>0</v>
      </c>
      <c r="G107" s="630">
        <f t="shared" si="31"/>
        <v>0</v>
      </c>
      <c r="H107" s="633">
        <v>-96845.541240000006</v>
      </c>
      <c r="I107" s="630">
        <f t="shared" si="32"/>
        <v>33895.939434</v>
      </c>
      <c r="J107" s="630">
        <f t="shared" si="33"/>
        <v>-62949.601806000006</v>
      </c>
      <c r="K107" s="652"/>
      <c r="L107" s="633">
        <f t="shared" si="34"/>
        <v>0</v>
      </c>
      <c r="M107" s="630">
        <f t="shared" si="35"/>
        <v>0</v>
      </c>
      <c r="N107" s="633">
        <v>-96845.541240000006</v>
      </c>
      <c r="O107" s="630">
        <f t="shared" si="36"/>
        <v>20337.563660399999</v>
      </c>
      <c r="P107" s="630">
        <f t="shared" si="37"/>
        <v>-76507.977579600003</v>
      </c>
      <c r="Q107" s="630"/>
      <c r="R107" s="630">
        <f t="shared" si="38"/>
        <v>13558.375773599997</v>
      </c>
      <c r="S107" s="652"/>
      <c r="T107" s="633">
        <v>0</v>
      </c>
      <c r="U107" s="652"/>
      <c r="V107" s="633">
        <v>0</v>
      </c>
      <c r="W107" s="652"/>
      <c r="X107" s="630">
        <f t="shared" si="39"/>
        <v>13558.375773599997</v>
      </c>
      <c r="Y107" s="632"/>
      <c r="Z107" s="478" t="s">
        <v>1811</v>
      </c>
      <c r="AA107" s="631"/>
      <c r="AB107" s="478" t="s">
        <v>1810</v>
      </c>
      <c r="AC107" s="631"/>
      <c r="AD107" s="1727">
        <v>0.32958000000000004</v>
      </c>
      <c r="AE107" s="631"/>
      <c r="AF107" s="630">
        <f t="shared" si="41"/>
        <v>4468.5694874630872</v>
      </c>
      <c r="AG107" s="298"/>
      <c r="AH107" s="1510">
        <v>282</v>
      </c>
      <c r="AI107" s="352"/>
      <c r="AQ107" s="1718"/>
      <c r="AR107" s="1718"/>
      <c r="AS107" s="1718"/>
      <c r="AT107" s="1718"/>
      <c r="AU107" s="1718"/>
      <c r="BC107" s="1718"/>
      <c r="BD107" s="1718"/>
      <c r="BE107" s="1718"/>
      <c r="BF107" s="1718"/>
      <c r="BG107" s="1718"/>
      <c r="BH107" s="1718"/>
      <c r="BI107" s="1718"/>
      <c r="BJ107" s="1718"/>
      <c r="BK107" s="1718"/>
      <c r="BL107" s="1718"/>
      <c r="BM107" s="1718"/>
      <c r="BN107" s="660"/>
      <c r="BO107" s="660"/>
      <c r="BP107" s="660"/>
      <c r="BQ107" s="660"/>
      <c r="BR107" s="660"/>
      <c r="BS107" s="660"/>
    </row>
    <row r="108" spans="2:71">
      <c r="B108" s="352">
        <v>94</v>
      </c>
      <c r="C108" s="470" t="s">
        <v>1738</v>
      </c>
      <c r="D108" s="470" t="s">
        <v>1735</v>
      </c>
      <c r="E108" s="470" t="s">
        <v>1303</v>
      </c>
      <c r="F108" s="633">
        <v>0</v>
      </c>
      <c r="G108" s="630">
        <f t="shared" si="31"/>
        <v>0</v>
      </c>
      <c r="H108" s="633">
        <v>411666.97600000002</v>
      </c>
      <c r="I108" s="630">
        <f t="shared" si="32"/>
        <v>-144083.44159999999</v>
      </c>
      <c r="J108" s="630">
        <f t="shared" si="33"/>
        <v>267583.5344</v>
      </c>
      <c r="K108" s="652"/>
      <c r="L108" s="633">
        <f t="shared" si="34"/>
        <v>0</v>
      </c>
      <c r="M108" s="630">
        <f t="shared" si="35"/>
        <v>0</v>
      </c>
      <c r="N108" s="633">
        <v>411666.97600000002</v>
      </c>
      <c r="O108" s="630">
        <f t="shared" si="36"/>
        <v>-86450.064960000003</v>
      </c>
      <c r="P108" s="630">
        <f t="shared" si="37"/>
        <v>325216.91104000004</v>
      </c>
      <c r="Q108" s="630"/>
      <c r="R108" s="630">
        <f t="shared" si="38"/>
        <v>-57633.376640000031</v>
      </c>
      <c r="S108" s="652"/>
      <c r="T108" s="633">
        <v>0</v>
      </c>
      <c r="U108" s="652"/>
      <c r="V108" s="633">
        <v>0</v>
      </c>
      <c r="W108" s="652"/>
      <c r="X108" s="630">
        <f t="shared" si="39"/>
        <v>-57633.376640000031</v>
      </c>
      <c r="Y108" s="632"/>
      <c r="Z108" s="478" t="s">
        <v>1811</v>
      </c>
      <c r="AA108" s="631"/>
      <c r="AB108" s="478" t="s">
        <v>1807</v>
      </c>
      <c r="AC108" s="631"/>
      <c r="AD108" s="1727">
        <v>0</v>
      </c>
      <c r="AE108" s="631"/>
      <c r="AF108" s="630">
        <f t="shared" si="41"/>
        <v>0</v>
      </c>
      <c r="AG108" s="298"/>
      <c r="AH108" s="1510">
        <v>282</v>
      </c>
      <c r="AI108" s="352"/>
      <c r="AQ108" s="1718"/>
      <c r="AR108" s="1718"/>
      <c r="AS108" s="1718"/>
      <c r="AT108" s="1718"/>
      <c r="AU108" s="1718"/>
      <c r="BC108" s="1718"/>
      <c r="BD108" s="1718"/>
      <c r="BE108" s="1718"/>
      <c r="BF108" s="1718"/>
      <c r="BG108" s="1718"/>
      <c r="BH108" s="1718"/>
      <c r="BI108" s="1718"/>
      <c r="BJ108" s="1718"/>
      <c r="BK108" s="1718"/>
      <c r="BL108" s="1718"/>
      <c r="BM108" s="1718"/>
      <c r="BN108" s="660"/>
      <c r="BO108" s="660"/>
      <c r="BP108" s="660"/>
      <c r="BQ108" s="660"/>
      <c r="BR108" s="660"/>
      <c r="BS108" s="660"/>
    </row>
    <row r="109" spans="2:71">
      <c r="B109" s="352">
        <v>95</v>
      </c>
      <c r="C109" s="470" t="s">
        <v>1739</v>
      </c>
      <c r="D109" s="470" t="s">
        <v>1735</v>
      </c>
      <c r="E109" s="470" t="s">
        <v>1303</v>
      </c>
      <c r="F109" s="633">
        <v>0</v>
      </c>
      <c r="G109" s="630">
        <f t="shared" si="31"/>
        <v>0</v>
      </c>
      <c r="H109" s="633">
        <v>-197149.85181000002</v>
      </c>
      <c r="I109" s="630">
        <f t="shared" si="32"/>
        <v>69002.448133500002</v>
      </c>
      <c r="J109" s="630">
        <f t="shared" si="33"/>
        <v>-128147.40367650002</v>
      </c>
      <c r="K109" s="652"/>
      <c r="L109" s="633">
        <f t="shared" si="34"/>
        <v>0</v>
      </c>
      <c r="M109" s="630">
        <f t="shared" si="35"/>
        <v>0</v>
      </c>
      <c r="N109" s="633">
        <v>-197149.85181000002</v>
      </c>
      <c r="O109" s="630">
        <f t="shared" si="36"/>
        <v>41401.468880100001</v>
      </c>
      <c r="P109" s="630">
        <f t="shared" si="37"/>
        <v>-155748.38292990002</v>
      </c>
      <c r="Q109" s="630"/>
      <c r="R109" s="630">
        <f t="shared" si="38"/>
        <v>27600.979253400001</v>
      </c>
      <c r="S109" s="652"/>
      <c r="T109" s="633">
        <v>0</v>
      </c>
      <c r="U109" s="652"/>
      <c r="V109" s="633">
        <v>0</v>
      </c>
      <c r="W109" s="652"/>
      <c r="X109" s="630">
        <f t="shared" si="39"/>
        <v>27600.979253400001</v>
      </c>
      <c r="Y109" s="632"/>
      <c r="Z109" s="478" t="s">
        <v>1811</v>
      </c>
      <c r="AA109" s="631"/>
      <c r="AB109" s="478" t="s">
        <v>1810</v>
      </c>
      <c r="AC109" s="631"/>
      <c r="AD109" s="1727">
        <v>0.32958000000000004</v>
      </c>
      <c r="AE109" s="631"/>
      <c r="AF109" s="630">
        <f t="shared" si="41"/>
        <v>9096.7307423355742</v>
      </c>
      <c r="AG109" s="298"/>
      <c r="AH109" s="1510">
        <v>282</v>
      </c>
      <c r="AI109" s="352"/>
      <c r="AQ109" s="1718"/>
      <c r="AR109" s="1718"/>
      <c r="AS109" s="1718"/>
      <c r="AT109" s="1718"/>
      <c r="AU109" s="1718"/>
      <c r="BC109" s="1718"/>
      <c r="BD109" s="1718"/>
      <c r="BE109" s="1718"/>
      <c r="BF109" s="1718"/>
      <c r="BG109" s="1718"/>
      <c r="BH109" s="1718"/>
      <c r="BI109" s="1718"/>
      <c r="BJ109" s="1718"/>
      <c r="BK109" s="1718"/>
      <c r="BL109" s="1718"/>
      <c r="BM109" s="1718"/>
      <c r="BN109" s="660"/>
      <c r="BO109" s="660"/>
      <c r="BP109" s="660"/>
      <c r="BQ109" s="660"/>
      <c r="BR109" s="660"/>
      <c r="BS109" s="660"/>
    </row>
    <row r="110" spans="2:71">
      <c r="B110" s="352">
        <v>96</v>
      </c>
      <c r="C110" s="470" t="s">
        <v>1740</v>
      </c>
      <c r="D110" s="470" t="s">
        <v>1735</v>
      </c>
      <c r="E110" s="470" t="s">
        <v>1303</v>
      </c>
      <c r="F110" s="633">
        <v>0</v>
      </c>
      <c r="G110" s="630">
        <f t="shared" si="31"/>
        <v>0</v>
      </c>
      <c r="H110" s="633">
        <v>838036.34400000004</v>
      </c>
      <c r="I110" s="630">
        <f t="shared" si="32"/>
        <v>-293312.72039999999</v>
      </c>
      <c r="J110" s="630">
        <f t="shared" si="33"/>
        <v>544723.62360000005</v>
      </c>
      <c r="K110" s="652"/>
      <c r="L110" s="633">
        <f t="shared" si="34"/>
        <v>0</v>
      </c>
      <c r="M110" s="630">
        <f t="shared" si="35"/>
        <v>0</v>
      </c>
      <c r="N110" s="633">
        <v>838036.34400000004</v>
      </c>
      <c r="O110" s="630">
        <f t="shared" si="36"/>
        <v>-175987.63224000001</v>
      </c>
      <c r="P110" s="630">
        <f t="shared" si="37"/>
        <v>662048.71176000009</v>
      </c>
      <c r="Q110" s="630"/>
      <c r="R110" s="630">
        <f t="shared" si="38"/>
        <v>-117325.08816000004</v>
      </c>
      <c r="S110" s="652"/>
      <c r="T110" s="633">
        <v>0</v>
      </c>
      <c r="U110" s="652"/>
      <c r="V110" s="633">
        <v>0</v>
      </c>
      <c r="W110" s="652"/>
      <c r="X110" s="630">
        <f t="shared" si="39"/>
        <v>-117325.08816000004</v>
      </c>
      <c r="Y110" s="632"/>
      <c r="Z110" s="478" t="s">
        <v>1811</v>
      </c>
      <c r="AA110" s="631"/>
      <c r="AB110" s="478" t="s">
        <v>1807</v>
      </c>
      <c r="AC110" s="631"/>
      <c r="AD110" s="1727">
        <v>0</v>
      </c>
      <c r="AE110" s="631"/>
      <c r="AF110" s="630">
        <f t="shared" si="41"/>
        <v>0</v>
      </c>
      <c r="AG110" s="298"/>
      <c r="AH110" s="1510">
        <v>282</v>
      </c>
      <c r="AI110" s="352"/>
      <c r="AQ110" s="1718"/>
      <c r="AR110" s="1718"/>
      <c r="AS110" s="1718"/>
      <c r="AT110" s="1718"/>
      <c r="AU110" s="1718"/>
      <c r="BC110" s="1718"/>
      <c r="BD110" s="1718"/>
      <c r="BE110" s="1718"/>
      <c r="BF110" s="1718"/>
      <c r="BG110" s="1718"/>
      <c r="BH110" s="1718"/>
      <c r="BI110" s="1718"/>
      <c r="BJ110" s="1718"/>
      <c r="BK110" s="1718"/>
      <c r="BL110" s="1718"/>
      <c r="BM110" s="1718"/>
      <c r="BN110" s="660"/>
      <c r="BO110" s="660"/>
      <c r="BP110" s="660"/>
      <c r="BQ110" s="660"/>
      <c r="BR110" s="660"/>
      <c r="BS110" s="660"/>
    </row>
    <row r="111" spans="2:71" ht="13">
      <c r="B111" s="352">
        <v>97</v>
      </c>
      <c r="C111" s="653" t="s">
        <v>1365</v>
      </c>
      <c r="D111" s="478"/>
      <c r="E111" s="478"/>
      <c r="F111" s="654">
        <f>SUM(F95:F110)</f>
        <v>-2635919060.6900005</v>
      </c>
      <c r="G111" s="654">
        <f>SUM(G95:G110)</f>
        <v>-922571671.24150002</v>
      </c>
      <c r="H111" s="654">
        <f>SUM(H95:H110)</f>
        <v>-198085536.15488997</v>
      </c>
      <c r="I111" s="654">
        <f>SUM(I95:I110)</f>
        <v>69329937.654211506</v>
      </c>
      <c r="J111" s="654">
        <f>SUM(J95:J110)</f>
        <v>-1051327269.7421788</v>
      </c>
      <c r="K111" s="655"/>
      <c r="L111" s="654">
        <f>SUM(L95:L110)</f>
        <v>-2635919060.6900005</v>
      </c>
      <c r="M111" s="654">
        <f>SUM(M95:M110)</f>
        <v>-553543002.74489987</v>
      </c>
      <c r="N111" s="654">
        <f>SUM(N95:N110)</f>
        <v>-198085536.15488997</v>
      </c>
      <c r="O111" s="654">
        <f>SUM(O95:O110)</f>
        <v>41597962.592526905</v>
      </c>
      <c r="P111" s="654">
        <f>SUM(P95:P110)</f>
        <v>-710030576.30726314</v>
      </c>
      <c r="R111" s="654">
        <f>SUM(R95:R110)</f>
        <v>-341296693.43491548</v>
      </c>
      <c r="S111" s="655"/>
      <c r="T111" s="654">
        <f>SUM(T95:T110)</f>
        <v>0</v>
      </c>
      <c r="U111" s="655"/>
      <c r="V111" s="654">
        <f>SUM(V95:V110)</f>
        <v>-7192463.0836799592</v>
      </c>
      <c r="W111" s="655"/>
      <c r="X111" s="654">
        <f>SUM(X95:X110)</f>
        <v>-334104230.35123551</v>
      </c>
      <c r="Y111" s="655"/>
      <c r="Z111" s="478"/>
      <c r="AA111" s="656"/>
      <c r="AB111" s="478"/>
      <c r="AC111" s="656"/>
      <c r="AD111" s="657"/>
      <c r="AE111" s="656"/>
      <c r="AF111" s="654">
        <f>SUM(AF95:AF110)</f>
        <v>-114519926.74111593</v>
      </c>
      <c r="AG111" s="656"/>
      <c r="AH111" s="1510"/>
      <c r="AI111" s="352"/>
      <c r="AQ111" s="1718"/>
      <c r="AR111" s="1718"/>
      <c r="AS111" s="1718"/>
      <c r="AT111" s="1718"/>
      <c r="AU111" s="1718"/>
      <c r="BC111" s="1718"/>
      <c r="BD111" s="1718"/>
      <c r="BE111" s="1718"/>
      <c r="BF111" s="1718"/>
      <c r="BG111" s="1718"/>
      <c r="BH111" s="1718"/>
      <c r="BI111" s="1718"/>
      <c r="BJ111" s="1718"/>
      <c r="BK111" s="1718"/>
      <c r="BL111" s="1718"/>
      <c r="BM111" s="1718"/>
      <c r="BN111" s="660"/>
      <c r="BO111" s="660"/>
      <c r="BP111" s="660"/>
      <c r="BQ111" s="660"/>
      <c r="BR111" s="660"/>
      <c r="BS111" s="660"/>
    </row>
    <row r="112" spans="2:71" ht="13">
      <c r="B112" s="352"/>
      <c r="C112" s="478"/>
      <c r="D112" s="478"/>
      <c r="E112" s="478"/>
      <c r="F112" s="658"/>
      <c r="G112" s="658"/>
      <c r="H112" s="658"/>
      <c r="I112" s="658"/>
      <c r="J112" s="658"/>
      <c r="K112" s="655"/>
      <c r="L112" s="658"/>
      <c r="M112" s="658"/>
      <c r="N112" s="658"/>
      <c r="O112" s="658"/>
      <c r="P112" s="658"/>
      <c r="R112" s="658"/>
      <c r="S112" s="655"/>
      <c r="T112" s="658"/>
      <c r="U112" s="655"/>
      <c r="V112" s="658"/>
      <c r="W112" s="655"/>
      <c r="X112" s="658"/>
      <c r="Y112" s="655"/>
      <c r="Z112" s="478"/>
      <c r="AA112" s="656"/>
      <c r="AB112" s="478"/>
      <c r="AC112" s="656"/>
      <c r="AD112" s="657"/>
      <c r="AE112" s="656"/>
      <c r="AF112" s="658"/>
      <c r="AG112" s="656"/>
      <c r="AH112" s="1510"/>
      <c r="AI112" s="352"/>
    </row>
    <row r="113" spans="2:71" ht="13">
      <c r="B113" s="352"/>
      <c r="C113" s="651" t="s">
        <v>1478</v>
      </c>
      <c r="D113" s="478"/>
      <c r="E113" s="478"/>
      <c r="F113" s="658"/>
      <c r="G113" s="658"/>
      <c r="H113" s="658"/>
      <c r="I113" s="658"/>
      <c r="J113" s="658"/>
      <c r="K113" s="655"/>
      <c r="L113" s="658"/>
      <c r="M113" s="658"/>
      <c r="N113" s="658"/>
      <c r="O113" s="658"/>
      <c r="P113" s="658"/>
      <c r="R113" s="658"/>
      <c r="S113" s="655"/>
      <c r="T113" s="658"/>
      <c r="U113" s="655"/>
      <c r="V113" s="658"/>
      <c r="W113" s="655"/>
      <c r="X113" s="658"/>
      <c r="Y113" s="655"/>
      <c r="Z113" s="478"/>
      <c r="AA113" s="656"/>
      <c r="AB113" s="478"/>
      <c r="AC113" s="656"/>
      <c r="AD113" s="657"/>
      <c r="AE113" s="656"/>
      <c r="AF113" s="658"/>
      <c r="AG113" s="656"/>
      <c r="AH113" s="1510"/>
      <c r="AI113" s="352"/>
    </row>
    <row r="114" spans="2:71">
      <c r="B114" s="352">
        <v>98</v>
      </c>
      <c r="C114" s="470" t="s">
        <v>1741</v>
      </c>
      <c r="D114" s="470" t="s">
        <v>1742</v>
      </c>
      <c r="E114" s="470" t="s">
        <v>1363</v>
      </c>
      <c r="F114" s="635">
        <v>-1551232.3</v>
      </c>
      <c r="G114" s="634">
        <f t="shared" ref="G114:G145" si="42">F114*0.35</f>
        <v>-542931.30499999993</v>
      </c>
      <c r="H114" s="635">
        <v>-131854.74550000002</v>
      </c>
      <c r="I114" s="634">
        <f t="shared" ref="I114:I145" si="43">H114*-0.35</f>
        <v>46149.160925000004</v>
      </c>
      <c r="J114" s="634">
        <f t="shared" ref="J114:J145" si="44">G114+H114+I114</f>
        <v>-628636.88957499992</v>
      </c>
      <c r="K114" s="632"/>
      <c r="L114" s="635">
        <f t="shared" ref="L114:L145" si="45">F114</f>
        <v>-1551232.3</v>
      </c>
      <c r="M114" s="634">
        <f t="shared" ref="M114:M145" si="46">L114*0.21</f>
        <v>-325758.783</v>
      </c>
      <c r="N114" s="635">
        <v>-131854.74550000002</v>
      </c>
      <c r="O114" s="634">
        <f t="shared" ref="O114:O145" si="47">N114*-0.21</f>
        <v>27689.496555000002</v>
      </c>
      <c r="P114" s="634">
        <f t="shared" ref="P114:P145" si="48">M114+N114+O114</f>
        <v>-429924.031945</v>
      </c>
      <c r="R114" s="634">
        <f t="shared" ref="R114:R145" si="49">J114-P114</f>
        <v>-198712.85762999993</v>
      </c>
      <c r="S114" s="632"/>
      <c r="T114" s="635">
        <v>0</v>
      </c>
      <c r="U114" s="632"/>
      <c r="V114" s="635">
        <v>0</v>
      </c>
      <c r="W114" s="632"/>
      <c r="X114" s="634">
        <f t="shared" ref="X114:X145" si="50">R114-T114-V114</f>
        <v>-198712.85762999993</v>
      </c>
      <c r="Y114" s="632"/>
      <c r="Z114" s="478" t="s">
        <v>1809</v>
      </c>
      <c r="AA114" s="631"/>
      <c r="AB114" s="478" t="s">
        <v>1807</v>
      </c>
      <c r="AC114" s="631"/>
      <c r="AD114" s="1727">
        <v>0</v>
      </c>
      <c r="AE114" s="631"/>
      <c r="AF114" s="634">
        <f t="shared" ref="AF114:AF145" si="51">X114*AD114</f>
        <v>0</v>
      </c>
      <c r="AG114" s="298"/>
      <c r="AH114" s="1510">
        <v>283</v>
      </c>
      <c r="AI114" s="352"/>
      <c r="AQ114" s="1718"/>
      <c r="AR114" s="1718"/>
      <c r="AS114" s="1718"/>
      <c r="AT114" s="1718"/>
      <c r="AU114" s="1718"/>
      <c r="BC114" s="1718"/>
      <c r="BD114" s="1718"/>
      <c r="BE114" s="1718"/>
      <c r="BF114" s="1718"/>
      <c r="BG114" s="1718"/>
      <c r="BH114" s="1718"/>
      <c r="BI114" s="1718"/>
      <c r="BJ114" s="1718"/>
      <c r="BK114" s="1718"/>
      <c r="BL114" s="1718"/>
      <c r="BM114" s="1718"/>
      <c r="BN114" s="660"/>
      <c r="BO114" s="660"/>
      <c r="BP114" s="660"/>
      <c r="BQ114" s="660"/>
      <c r="BR114" s="660"/>
      <c r="BS114" s="660"/>
    </row>
    <row r="115" spans="2:71">
      <c r="B115" s="352">
        <v>99</v>
      </c>
      <c r="C115" s="470" t="s">
        <v>1743</v>
      </c>
      <c r="D115" s="470" t="s">
        <v>1742</v>
      </c>
      <c r="E115" s="470" t="s">
        <v>1363</v>
      </c>
      <c r="F115" s="633">
        <v>-458580</v>
      </c>
      <c r="G115" s="630">
        <f t="shared" si="42"/>
        <v>-160503</v>
      </c>
      <c r="H115" s="633">
        <v>-38979.300000000003</v>
      </c>
      <c r="I115" s="630">
        <f t="shared" si="43"/>
        <v>13642.755000000001</v>
      </c>
      <c r="J115" s="630">
        <f t="shared" si="44"/>
        <v>-185839.54499999998</v>
      </c>
      <c r="K115" s="652"/>
      <c r="L115" s="633">
        <f t="shared" si="45"/>
        <v>-458580</v>
      </c>
      <c r="M115" s="630">
        <f t="shared" si="46"/>
        <v>-96301.8</v>
      </c>
      <c r="N115" s="633">
        <v>-38979.300000000003</v>
      </c>
      <c r="O115" s="630">
        <f t="shared" si="47"/>
        <v>8185.6530000000002</v>
      </c>
      <c r="P115" s="630">
        <f t="shared" si="48"/>
        <v>-127095.447</v>
      </c>
      <c r="Q115" s="630"/>
      <c r="R115" s="630">
        <f t="shared" si="49"/>
        <v>-58744.097999999984</v>
      </c>
      <c r="S115" s="652"/>
      <c r="T115" s="633">
        <v>0</v>
      </c>
      <c r="U115" s="652"/>
      <c r="V115" s="633">
        <v>0</v>
      </c>
      <c r="W115" s="652"/>
      <c r="X115" s="630">
        <f t="shared" si="50"/>
        <v>-58744.097999999984</v>
      </c>
      <c r="Y115" s="632"/>
      <c r="Z115" s="478" t="s">
        <v>1808</v>
      </c>
      <c r="AA115" s="631"/>
      <c r="AB115" s="478" t="s">
        <v>1807</v>
      </c>
      <c r="AC115" s="631"/>
      <c r="AD115" s="1727">
        <v>0</v>
      </c>
      <c r="AE115" s="631"/>
      <c r="AF115" s="630">
        <f t="shared" si="51"/>
        <v>0</v>
      </c>
      <c r="AG115" s="298"/>
      <c r="AH115" s="1510">
        <v>283</v>
      </c>
      <c r="AI115" s="352"/>
      <c r="AQ115" s="1718"/>
      <c r="AR115" s="1718"/>
      <c r="AS115" s="1718"/>
      <c r="AT115" s="1718"/>
      <c r="AU115" s="1718"/>
      <c r="BC115" s="1718"/>
      <c r="BD115" s="1718"/>
      <c r="BE115" s="1718"/>
      <c r="BF115" s="1718"/>
      <c r="BG115" s="1718"/>
      <c r="BH115" s="1718"/>
      <c r="BI115" s="1718"/>
      <c r="BJ115" s="1718"/>
      <c r="BK115" s="1718"/>
      <c r="BL115" s="1718"/>
      <c r="BM115" s="1718"/>
      <c r="BN115" s="660"/>
      <c r="BO115" s="660"/>
      <c r="BP115" s="660"/>
      <c r="BQ115" s="660"/>
      <c r="BR115" s="660"/>
      <c r="BS115" s="660"/>
    </row>
    <row r="116" spans="2:71">
      <c r="B116" s="352">
        <v>100</v>
      </c>
      <c r="C116" s="470" t="s">
        <v>1744</v>
      </c>
      <c r="D116" s="470" t="s">
        <v>1745</v>
      </c>
      <c r="E116" s="470" t="s">
        <v>1363</v>
      </c>
      <c r="F116" s="633">
        <v>-4934591.42</v>
      </c>
      <c r="G116" s="630">
        <f t="shared" si="42"/>
        <v>-1727106.997</v>
      </c>
      <c r="H116" s="633">
        <v>-419440.27070000005</v>
      </c>
      <c r="I116" s="630">
        <f t="shared" si="43"/>
        <v>146804.09474500001</v>
      </c>
      <c r="J116" s="630">
        <f t="shared" si="44"/>
        <v>-1999743.1729550003</v>
      </c>
      <c r="K116" s="652"/>
      <c r="L116" s="633">
        <f t="shared" si="45"/>
        <v>-4934591.42</v>
      </c>
      <c r="M116" s="630">
        <f t="shared" si="46"/>
        <v>-1036264.1982</v>
      </c>
      <c r="N116" s="633">
        <v>-419440.27070000005</v>
      </c>
      <c r="O116" s="630">
        <f t="shared" si="47"/>
        <v>88082.456847000009</v>
      </c>
      <c r="P116" s="630">
        <f t="shared" si="48"/>
        <v>-1367622.012053</v>
      </c>
      <c r="Q116" s="630"/>
      <c r="R116" s="630">
        <f t="shared" si="49"/>
        <v>-632121.16090200027</v>
      </c>
      <c r="S116" s="652"/>
      <c r="T116" s="633">
        <v>0</v>
      </c>
      <c r="U116" s="652"/>
      <c r="V116" s="633">
        <v>0</v>
      </c>
      <c r="W116" s="652"/>
      <c r="X116" s="630">
        <f t="shared" si="50"/>
        <v>-632121.16090200027</v>
      </c>
      <c r="Y116" s="632"/>
      <c r="Z116" s="478" t="s">
        <v>1808</v>
      </c>
      <c r="AA116" s="631"/>
      <c r="AB116" s="478" t="s">
        <v>1807</v>
      </c>
      <c r="AC116" s="631"/>
      <c r="AD116" s="1727">
        <v>0</v>
      </c>
      <c r="AE116" s="631"/>
      <c r="AF116" s="630">
        <f t="shared" si="51"/>
        <v>0</v>
      </c>
      <c r="AG116" s="298"/>
      <c r="AH116" s="1510">
        <v>283</v>
      </c>
      <c r="AI116" s="352"/>
      <c r="AQ116" s="1718"/>
      <c r="AR116" s="1718"/>
      <c r="AS116" s="1718"/>
      <c r="AT116" s="1718"/>
      <c r="AU116" s="1718"/>
      <c r="BC116" s="1718"/>
      <c r="BD116" s="1718"/>
      <c r="BE116" s="1718"/>
      <c r="BF116" s="1718"/>
      <c r="BG116" s="1718"/>
      <c r="BH116" s="1718"/>
      <c r="BI116" s="1718"/>
      <c r="BJ116" s="1718"/>
      <c r="BK116" s="1718"/>
      <c r="BL116" s="1718"/>
      <c r="BM116" s="1718"/>
      <c r="BN116" s="660"/>
      <c r="BO116" s="660"/>
      <c r="BP116" s="660"/>
      <c r="BQ116" s="660"/>
      <c r="BR116" s="660"/>
      <c r="BS116" s="660"/>
    </row>
    <row r="117" spans="2:71">
      <c r="B117" s="352">
        <v>101</v>
      </c>
      <c r="C117" s="470" t="s">
        <v>1746</v>
      </c>
      <c r="D117" s="470" t="s">
        <v>1747</v>
      </c>
      <c r="E117" s="470" t="s">
        <v>1363</v>
      </c>
      <c r="F117" s="633">
        <v>-29346</v>
      </c>
      <c r="G117" s="630">
        <f t="shared" si="42"/>
        <v>-10271.099999999999</v>
      </c>
      <c r="H117" s="633">
        <v>-2494.4100000000003</v>
      </c>
      <c r="I117" s="630">
        <f t="shared" si="43"/>
        <v>873.04350000000011</v>
      </c>
      <c r="J117" s="630">
        <f t="shared" si="44"/>
        <v>-11892.466499999999</v>
      </c>
      <c r="K117" s="652"/>
      <c r="L117" s="633">
        <f t="shared" si="45"/>
        <v>-29346</v>
      </c>
      <c r="M117" s="630">
        <f t="shared" si="46"/>
        <v>-6162.66</v>
      </c>
      <c r="N117" s="633">
        <v>-2494.4100000000003</v>
      </c>
      <c r="O117" s="630">
        <f t="shared" si="47"/>
        <v>523.8261</v>
      </c>
      <c r="P117" s="630">
        <f t="shared" si="48"/>
        <v>-8133.2438999999995</v>
      </c>
      <c r="Q117" s="630"/>
      <c r="R117" s="630">
        <f t="shared" si="49"/>
        <v>-3759.2225999999991</v>
      </c>
      <c r="S117" s="652"/>
      <c r="T117" s="633">
        <v>0</v>
      </c>
      <c r="U117" s="652"/>
      <c r="V117" s="633">
        <v>0</v>
      </c>
      <c r="W117" s="652"/>
      <c r="X117" s="630">
        <f t="shared" si="50"/>
        <v>-3759.2225999999991</v>
      </c>
      <c r="Y117" s="632"/>
      <c r="Z117" s="478" t="s">
        <v>1808</v>
      </c>
      <c r="AA117" s="631"/>
      <c r="AB117" s="478" t="s">
        <v>1807</v>
      </c>
      <c r="AC117" s="631"/>
      <c r="AD117" s="1727">
        <v>0</v>
      </c>
      <c r="AE117" s="631"/>
      <c r="AF117" s="630">
        <f t="shared" si="51"/>
        <v>0</v>
      </c>
      <c r="AG117" s="298"/>
      <c r="AH117" s="1510">
        <v>283</v>
      </c>
      <c r="AI117" s="352"/>
      <c r="AQ117" s="1718"/>
      <c r="AR117" s="1718"/>
      <c r="AS117" s="1718"/>
      <c r="AT117" s="1718"/>
      <c r="AU117" s="1718"/>
      <c r="BC117" s="1718"/>
      <c r="BD117" s="1718"/>
      <c r="BE117" s="1718"/>
      <c r="BF117" s="1718"/>
      <c r="BG117" s="1718"/>
      <c r="BH117" s="1718"/>
      <c r="BI117" s="1718"/>
      <c r="BJ117" s="1718"/>
      <c r="BK117" s="1718"/>
      <c r="BL117" s="1718"/>
      <c r="BM117" s="1718"/>
      <c r="BN117" s="660"/>
      <c r="BO117" s="660"/>
      <c r="BP117" s="660"/>
      <c r="BQ117" s="660"/>
      <c r="BR117" s="660"/>
      <c r="BS117" s="660"/>
    </row>
    <row r="118" spans="2:71">
      <c r="B118" s="352">
        <v>102</v>
      </c>
      <c r="C118" s="470" t="s">
        <v>1748</v>
      </c>
      <c r="D118" s="470" t="s">
        <v>1749</v>
      </c>
      <c r="E118" s="470" t="s">
        <v>1363</v>
      </c>
      <c r="F118" s="633">
        <v>462933.59</v>
      </c>
      <c r="G118" s="630">
        <f t="shared" si="42"/>
        <v>162026.75649999999</v>
      </c>
      <c r="H118" s="633">
        <v>39349.355150000003</v>
      </c>
      <c r="I118" s="630">
        <f t="shared" si="43"/>
        <v>-13772.2743025</v>
      </c>
      <c r="J118" s="630">
        <f t="shared" si="44"/>
        <v>187603.83734749997</v>
      </c>
      <c r="K118" s="652"/>
      <c r="L118" s="633">
        <f t="shared" si="45"/>
        <v>462933.59</v>
      </c>
      <c r="M118" s="630">
        <f t="shared" si="46"/>
        <v>97216.053899999999</v>
      </c>
      <c r="N118" s="633">
        <v>39349.355150000003</v>
      </c>
      <c r="O118" s="630">
        <f t="shared" si="47"/>
        <v>-8263.3645815</v>
      </c>
      <c r="P118" s="630">
        <f t="shared" si="48"/>
        <v>128302.04446850001</v>
      </c>
      <c r="Q118" s="630"/>
      <c r="R118" s="630">
        <f t="shared" si="49"/>
        <v>59301.792878999957</v>
      </c>
      <c r="S118" s="652"/>
      <c r="T118" s="633">
        <v>0</v>
      </c>
      <c r="U118" s="652"/>
      <c r="V118" s="633">
        <v>0</v>
      </c>
      <c r="W118" s="652"/>
      <c r="X118" s="630">
        <f t="shared" si="50"/>
        <v>59301.792878999957</v>
      </c>
      <c r="Y118" s="632"/>
      <c r="Z118" s="478" t="s">
        <v>1811</v>
      </c>
      <c r="AA118" s="631"/>
      <c r="AB118" s="478" t="s">
        <v>1810</v>
      </c>
      <c r="AC118" s="631"/>
      <c r="AD118" s="1727">
        <v>0.31493199999999999</v>
      </c>
      <c r="AE118" s="631"/>
      <c r="AF118" s="630">
        <f t="shared" si="51"/>
        <v>18676.032234969214</v>
      </c>
      <c r="AG118" s="298"/>
      <c r="AH118" s="1510">
        <v>283</v>
      </c>
      <c r="AI118" s="352"/>
      <c r="AQ118" s="1718"/>
      <c r="AR118" s="1718"/>
      <c r="AS118" s="1718"/>
      <c r="AT118" s="1718"/>
      <c r="AU118" s="1718"/>
      <c r="BC118" s="1718"/>
      <c r="BD118" s="1718"/>
      <c r="BE118" s="1718"/>
      <c r="BF118" s="1718"/>
      <c r="BG118" s="1718"/>
      <c r="BH118" s="1718"/>
      <c r="BI118" s="1718"/>
      <c r="BJ118" s="1718"/>
      <c r="BK118" s="1718"/>
      <c r="BL118" s="1718"/>
      <c r="BM118" s="1718"/>
      <c r="BN118" s="660"/>
      <c r="BO118" s="660"/>
      <c r="BP118" s="660"/>
      <c r="BQ118" s="660"/>
      <c r="BR118" s="660"/>
      <c r="BS118" s="660"/>
    </row>
    <row r="119" spans="2:71">
      <c r="B119" s="352">
        <v>103</v>
      </c>
      <c r="C119" s="470" t="s">
        <v>1750</v>
      </c>
      <c r="D119" s="470" t="s">
        <v>1751</v>
      </c>
      <c r="E119" s="470" t="s">
        <v>1363</v>
      </c>
      <c r="F119" s="633">
        <v>985653</v>
      </c>
      <c r="G119" s="630">
        <f t="shared" si="42"/>
        <v>344978.55</v>
      </c>
      <c r="H119" s="633">
        <v>83780.505000000005</v>
      </c>
      <c r="I119" s="630">
        <f t="shared" si="43"/>
        <v>-29323.176749999999</v>
      </c>
      <c r="J119" s="630">
        <f t="shared" si="44"/>
        <v>399435.87825000001</v>
      </c>
      <c r="K119" s="652"/>
      <c r="L119" s="633">
        <f t="shared" si="45"/>
        <v>985653</v>
      </c>
      <c r="M119" s="630">
        <f t="shared" si="46"/>
        <v>206987.13</v>
      </c>
      <c r="N119" s="633">
        <v>83780.505000000005</v>
      </c>
      <c r="O119" s="630">
        <f t="shared" si="47"/>
        <v>-17593.906050000001</v>
      </c>
      <c r="P119" s="630">
        <f t="shared" si="48"/>
        <v>273173.72895000002</v>
      </c>
      <c r="Q119" s="630"/>
      <c r="R119" s="630">
        <f t="shared" si="49"/>
        <v>126262.14929999999</v>
      </c>
      <c r="S119" s="652"/>
      <c r="T119" s="633">
        <v>126262.1493</v>
      </c>
      <c r="U119" s="652"/>
      <c r="V119" s="633">
        <v>0</v>
      </c>
      <c r="W119" s="652"/>
      <c r="X119" s="630">
        <f t="shared" si="50"/>
        <v>-1.4551915228366852E-11</v>
      </c>
      <c r="Y119" s="632"/>
      <c r="Z119" s="478" t="s">
        <v>240</v>
      </c>
      <c r="AA119" s="631"/>
      <c r="AB119" s="478" t="s">
        <v>1807</v>
      </c>
      <c r="AC119" s="631"/>
      <c r="AD119" s="1727">
        <v>0</v>
      </c>
      <c r="AE119" s="631"/>
      <c r="AF119" s="630">
        <f t="shared" si="51"/>
        <v>0</v>
      </c>
      <c r="AG119" s="298"/>
      <c r="AH119" s="1510">
        <v>283</v>
      </c>
      <c r="AI119" s="352"/>
      <c r="AQ119" s="1718"/>
      <c r="AR119" s="1718"/>
      <c r="AS119" s="1718"/>
      <c r="AT119" s="1718"/>
      <c r="AU119" s="1718"/>
      <c r="BC119" s="1718"/>
      <c r="BD119" s="1718"/>
      <c r="BE119" s="1718"/>
      <c r="BF119" s="1718"/>
      <c r="BG119" s="1718"/>
      <c r="BH119" s="1718"/>
      <c r="BI119" s="1718"/>
      <c r="BJ119" s="1718"/>
      <c r="BK119" s="1718"/>
      <c r="BL119" s="1718"/>
      <c r="BM119" s="1718"/>
      <c r="BN119" s="660"/>
      <c r="BO119" s="660"/>
      <c r="BP119" s="660"/>
      <c r="BQ119" s="660"/>
      <c r="BR119" s="660"/>
      <c r="BS119" s="660"/>
    </row>
    <row r="120" spans="2:71">
      <c r="B120" s="352">
        <v>104</v>
      </c>
      <c r="C120" s="470" t="s">
        <v>1752</v>
      </c>
      <c r="D120" s="470" t="s">
        <v>1751</v>
      </c>
      <c r="E120" s="470" t="s">
        <v>1363</v>
      </c>
      <c r="F120" s="633">
        <v>187499</v>
      </c>
      <c r="G120" s="630">
        <f t="shared" si="42"/>
        <v>65624.649999999994</v>
      </c>
      <c r="H120" s="633">
        <v>15937.415000000001</v>
      </c>
      <c r="I120" s="630">
        <f t="shared" si="43"/>
        <v>-5578.0952500000003</v>
      </c>
      <c r="J120" s="630">
        <f t="shared" si="44"/>
        <v>75983.969750000004</v>
      </c>
      <c r="K120" s="652"/>
      <c r="L120" s="633">
        <f t="shared" si="45"/>
        <v>187499</v>
      </c>
      <c r="M120" s="630">
        <f t="shared" si="46"/>
        <v>39374.79</v>
      </c>
      <c r="N120" s="633">
        <v>15937.415000000001</v>
      </c>
      <c r="O120" s="630">
        <f t="shared" si="47"/>
        <v>-3346.8571500000003</v>
      </c>
      <c r="P120" s="630">
        <f t="shared" si="48"/>
        <v>51965.347849999998</v>
      </c>
      <c r="Q120" s="630"/>
      <c r="R120" s="630">
        <f t="shared" si="49"/>
        <v>24018.621900000006</v>
      </c>
      <c r="S120" s="652"/>
      <c r="T120" s="633">
        <v>24018.621900000002</v>
      </c>
      <c r="U120" s="652"/>
      <c r="V120" s="633">
        <v>0</v>
      </c>
      <c r="W120" s="652"/>
      <c r="X120" s="630">
        <f t="shared" si="50"/>
        <v>3.637978807091713E-12</v>
      </c>
      <c r="Y120" s="632"/>
      <c r="Z120" s="478" t="s">
        <v>240</v>
      </c>
      <c r="AA120" s="631"/>
      <c r="AB120" s="478" t="s">
        <v>1807</v>
      </c>
      <c r="AC120" s="631"/>
      <c r="AD120" s="1727">
        <v>0</v>
      </c>
      <c r="AE120" s="631"/>
      <c r="AF120" s="630">
        <f t="shared" si="51"/>
        <v>0</v>
      </c>
      <c r="AG120" s="298"/>
      <c r="AH120" s="1510">
        <v>283</v>
      </c>
      <c r="AI120" s="352"/>
      <c r="AQ120" s="1718"/>
      <c r="AR120" s="1718"/>
      <c r="AS120" s="1718"/>
      <c r="AT120" s="1718"/>
      <c r="AU120" s="1718"/>
      <c r="BC120" s="1718"/>
      <c r="BD120" s="1718"/>
      <c r="BE120" s="1718"/>
      <c r="BF120" s="1718"/>
      <c r="BG120" s="1718"/>
      <c r="BH120" s="1718"/>
      <c r="BI120" s="1718"/>
      <c r="BJ120" s="1718"/>
      <c r="BK120" s="1718"/>
      <c r="BL120" s="1718"/>
      <c r="BM120" s="1718"/>
      <c r="BN120" s="660"/>
      <c r="BO120" s="660"/>
      <c r="BP120" s="660"/>
      <c r="BQ120" s="660"/>
      <c r="BR120" s="660"/>
      <c r="BS120" s="660"/>
    </row>
    <row r="121" spans="2:71">
      <c r="B121" s="352">
        <v>105</v>
      </c>
      <c r="C121" s="470" t="s">
        <v>1753</v>
      </c>
      <c r="D121" s="470" t="s">
        <v>1751</v>
      </c>
      <c r="E121" s="470" t="s">
        <v>1363</v>
      </c>
      <c r="F121" s="633">
        <v>3196441.64</v>
      </c>
      <c r="G121" s="630">
        <f t="shared" si="42"/>
        <v>1118754.574</v>
      </c>
      <c r="H121" s="633">
        <v>271697.53940000001</v>
      </c>
      <c r="I121" s="630">
        <f t="shared" si="43"/>
        <v>-95094.138789999997</v>
      </c>
      <c r="J121" s="630">
        <f t="shared" si="44"/>
        <v>1295357.9746100002</v>
      </c>
      <c r="K121" s="652"/>
      <c r="L121" s="633">
        <f t="shared" si="45"/>
        <v>3196441.64</v>
      </c>
      <c r="M121" s="630">
        <f t="shared" si="46"/>
        <v>671252.74439999997</v>
      </c>
      <c r="N121" s="633">
        <v>271697.53940000001</v>
      </c>
      <c r="O121" s="630">
        <f t="shared" si="47"/>
        <v>-57056.483273999998</v>
      </c>
      <c r="P121" s="630">
        <f t="shared" si="48"/>
        <v>885893.80052599998</v>
      </c>
      <c r="Q121" s="630"/>
      <c r="R121" s="630">
        <f t="shared" si="49"/>
        <v>409464.17408400017</v>
      </c>
      <c r="S121" s="652"/>
      <c r="T121" s="633">
        <v>409464.17408400006</v>
      </c>
      <c r="U121" s="652"/>
      <c r="V121" s="633">
        <v>0</v>
      </c>
      <c r="W121" s="652"/>
      <c r="X121" s="630">
        <f t="shared" si="50"/>
        <v>1.1641532182693481E-10</v>
      </c>
      <c r="Y121" s="632"/>
      <c r="Z121" s="478" t="s">
        <v>240</v>
      </c>
      <c r="AA121" s="631"/>
      <c r="AB121" s="478" t="s">
        <v>1807</v>
      </c>
      <c r="AC121" s="631"/>
      <c r="AD121" s="1727">
        <v>0</v>
      </c>
      <c r="AE121" s="631"/>
      <c r="AF121" s="630">
        <f t="shared" si="51"/>
        <v>0</v>
      </c>
      <c r="AG121" s="298"/>
      <c r="AH121" s="1510">
        <v>283</v>
      </c>
      <c r="AI121" s="352"/>
      <c r="AQ121" s="1718"/>
      <c r="AR121" s="1718"/>
      <c r="AS121" s="1718"/>
      <c r="AT121" s="1718"/>
      <c r="AU121" s="1718"/>
      <c r="BC121" s="1718"/>
      <c r="BD121" s="1718"/>
      <c r="BE121" s="1718"/>
      <c r="BF121" s="1718"/>
      <c r="BG121" s="1718"/>
      <c r="BH121" s="1718"/>
      <c r="BI121" s="1718"/>
      <c r="BJ121" s="1718"/>
      <c r="BK121" s="1718"/>
      <c r="BL121" s="1718"/>
      <c r="BM121" s="1718"/>
      <c r="BN121" s="660"/>
      <c r="BO121" s="660"/>
      <c r="BP121" s="660"/>
      <c r="BQ121" s="660"/>
      <c r="BR121" s="660"/>
      <c r="BS121" s="660"/>
    </row>
    <row r="122" spans="2:71">
      <c r="B122" s="352">
        <v>106</v>
      </c>
      <c r="C122" s="470" t="s">
        <v>1754</v>
      </c>
      <c r="D122" s="470" t="s">
        <v>1751</v>
      </c>
      <c r="E122" s="470" t="s">
        <v>1363</v>
      </c>
      <c r="F122" s="633">
        <v>6914606.4699999997</v>
      </c>
      <c r="G122" s="630">
        <f t="shared" si="42"/>
        <v>2420112.2644999996</v>
      </c>
      <c r="H122" s="633">
        <v>587741.54995000002</v>
      </c>
      <c r="I122" s="630">
        <f t="shared" si="43"/>
        <v>-205709.54248249999</v>
      </c>
      <c r="J122" s="630">
        <f t="shared" si="44"/>
        <v>2802144.2719674995</v>
      </c>
      <c r="K122" s="652"/>
      <c r="L122" s="633">
        <f t="shared" si="45"/>
        <v>6914606.4699999997</v>
      </c>
      <c r="M122" s="630">
        <f t="shared" si="46"/>
        <v>1452067.3587</v>
      </c>
      <c r="N122" s="633">
        <v>587741.54995000002</v>
      </c>
      <c r="O122" s="630">
        <f t="shared" si="47"/>
        <v>-123425.72548949999</v>
      </c>
      <c r="P122" s="630">
        <f t="shared" si="48"/>
        <v>1916383.1831605001</v>
      </c>
      <c r="Q122" s="630"/>
      <c r="R122" s="630">
        <f t="shared" si="49"/>
        <v>885761.08880699938</v>
      </c>
      <c r="S122" s="652"/>
      <c r="T122" s="633">
        <v>885761.08880700008</v>
      </c>
      <c r="U122" s="652"/>
      <c r="V122" s="633">
        <v>0</v>
      </c>
      <c r="W122" s="652"/>
      <c r="X122" s="630">
        <f t="shared" si="50"/>
        <v>-6.9849193096160889E-10</v>
      </c>
      <c r="Y122" s="632"/>
      <c r="Z122" s="478" t="s">
        <v>240</v>
      </c>
      <c r="AA122" s="631"/>
      <c r="AB122" s="478" t="s">
        <v>1807</v>
      </c>
      <c r="AC122" s="631"/>
      <c r="AD122" s="1727">
        <v>0</v>
      </c>
      <c r="AE122" s="631"/>
      <c r="AF122" s="630">
        <f t="shared" si="51"/>
        <v>0</v>
      </c>
      <c r="AG122" s="298"/>
      <c r="AH122" s="1510">
        <v>283</v>
      </c>
      <c r="AI122" s="352"/>
      <c r="AQ122" s="1718"/>
      <c r="AR122" s="1718"/>
      <c r="AS122" s="1718"/>
      <c r="AT122" s="1718"/>
      <c r="AU122" s="1718"/>
      <c r="BC122" s="1718"/>
      <c r="BD122" s="1718"/>
      <c r="BE122" s="1718"/>
      <c r="BF122" s="1718"/>
      <c r="BG122" s="1718"/>
      <c r="BH122" s="1718"/>
      <c r="BI122" s="1718"/>
      <c r="BJ122" s="1718"/>
      <c r="BK122" s="1718"/>
      <c r="BL122" s="1718"/>
      <c r="BM122" s="1718"/>
      <c r="BN122" s="660"/>
      <c r="BO122" s="660"/>
      <c r="BP122" s="660"/>
      <c r="BQ122" s="660"/>
      <c r="BR122" s="660"/>
      <c r="BS122" s="660"/>
    </row>
    <row r="123" spans="2:71">
      <c r="B123" s="352">
        <v>107</v>
      </c>
      <c r="C123" s="470" t="s">
        <v>1755</v>
      </c>
      <c r="D123" s="470" t="s">
        <v>1751</v>
      </c>
      <c r="E123" s="470" t="s">
        <v>1363</v>
      </c>
      <c r="F123" s="633">
        <v>1313273.56</v>
      </c>
      <c r="G123" s="630">
        <f t="shared" si="42"/>
        <v>459645.74599999998</v>
      </c>
      <c r="H123" s="633">
        <v>111628.25260000001</v>
      </c>
      <c r="I123" s="630">
        <f t="shared" si="43"/>
        <v>-39069.88841</v>
      </c>
      <c r="J123" s="630">
        <f t="shared" si="44"/>
        <v>532204.11019000004</v>
      </c>
      <c r="K123" s="652"/>
      <c r="L123" s="633">
        <f t="shared" si="45"/>
        <v>1313273.56</v>
      </c>
      <c r="M123" s="630">
        <f t="shared" si="46"/>
        <v>275787.44760000001</v>
      </c>
      <c r="N123" s="633">
        <v>111628.25260000001</v>
      </c>
      <c r="O123" s="630">
        <f t="shared" si="47"/>
        <v>-23441.933046000002</v>
      </c>
      <c r="P123" s="630">
        <f t="shared" si="48"/>
        <v>363973.767154</v>
      </c>
      <c r="Q123" s="630"/>
      <c r="R123" s="630">
        <f t="shared" si="49"/>
        <v>168230.34303600003</v>
      </c>
      <c r="S123" s="652"/>
      <c r="T123" s="633">
        <v>168230.34303600003</v>
      </c>
      <c r="U123" s="652"/>
      <c r="V123" s="633">
        <v>0</v>
      </c>
      <c r="W123" s="652"/>
      <c r="X123" s="630">
        <f t="shared" si="50"/>
        <v>0</v>
      </c>
      <c r="Y123" s="632"/>
      <c r="Z123" s="478" t="s">
        <v>1809</v>
      </c>
      <c r="AA123" s="631"/>
      <c r="AB123" s="478" t="s">
        <v>1807</v>
      </c>
      <c r="AC123" s="631"/>
      <c r="AD123" s="1727">
        <v>0</v>
      </c>
      <c r="AE123" s="631"/>
      <c r="AF123" s="630">
        <f t="shared" si="51"/>
        <v>0</v>
      </c>
      <c r="AG123" s="298"/>
      <c r="AH123" s="1510">
        <v>283</v>
      </c>
      <c r="AI123" s="352"/>
      <c r="AQ123" s="1718"/>
      <c r="AR123" s="1718"/>
      <c r="AS123" s="1718"/>
      <c r="AT123" s="1718"/>
      <c r="AU123" s="1718"/>
      <c r="BC123" s="1718"/>
      <c r="BD123" s="1718"/>
      <c r="BE123" s="1718"/>
      <c r="BF123" s="1718"/>
      <c r="BG123" s="1718"/>
      <c r="BH123" s="1718"/>
      <c r="BI123" s="1718"/>
      <c r="BJ123" s="1718"/>
      <c r="BK123" s="1718"/>
      <c r="BL123" s="1718"/>
      <c r="BM123" s="1718"/>
      <c r="BN123" s="660"/>
      <c r="BO123" s="660"/>
      <c r="BP123" s="660"/>
      <c r="BQ123" s="660"/>
      <c r="BR123" s="660"/>
      <c r="BS123" s="660"/>
    </row>
    <row r="124" spans="2:71">
      <c r="B124" s="352">
        <v>108</v>
      </c>
      <c r="C124" s="470" t="s">
        <v>1756</v>
      </c>
      <c r="D124" s="470" t="s">
        <v>1757</v>
      </c>
      <c r="E124" s="470" t="s">
        <v>1363</v>
      </c>
      <c r="F124" s="633">
        <v>-196896679.87</v>
      </c>
      <c r="G124" s="630">
        <f t="shared" si="42"/>
        <v>-68913837.954500005</v>
      </c>
      <c r="H124" s="633">
        <v>-16736217.788950002</v>
      </c>
      <c r="I124" s="630">
        <f t="shared" si="43"/>
        <v>5857676.2261325</v>
      </c>
      <c r="J124" s="630">
        <f t="shared" si="44"/>
        <v>-79792379.517317504</v>
      </c>
      <c r="K124" s="652"/>
      <c r="L124" s="633">
        <f t="shared" si="45"/>
        <v>-196896679.87</v>
      </c>
      <c r="M124" s="630">
        <f t="shared" si="46"/>
        <v>-41348302.772699997</v>
      </c>
      <c r="N124" s="633">
        <v>-16736217.788950002</v>
      </c>
      <c r="O124" s="630">
        <f t="shared" si="47"/>
        <v>3514605.7356795003</v>
      </c>
      <c r="P124" s="630">
        <f t="shared" si="48"/>
        <v>-54569914.825970501</v>
      </c>
      <c r="Q124" s="630"/>
      <c r="R124" s="630">
        <f t="shared" si="49"/>
        <v>-25222464.691347003</v>
      </c>
      <c r="S124" s="652"/>
      <c r="T124" s="633">
        <v>0</v>
      </c>
      <c r="U124" s="652"/>
      <c r="V124" s="633">
        <v>0</v>
      </c>
      <c r="W124" s="652"/>
      <c r="X124" s="630">
        <f t="shared" si="50"/>
        <v>-25222464.691347003</v>
      </c>
      <c r="Y124" s="632"/>
      <c r="Z124" s="478" t="s">
        <v>240</v>
      </c>
      <c r="AA124" s="631"/>
      <c r="AB124" s="478" t="s">
        <v>1810</v>
      </c>
      <c r="AC124" s="631"/>
      <c r="AD124" s="1727">
        <v>6.0801999999999995E-2</v>
      </c>
      <c r="AE124" s="631"/>
      <c r="AF124" s="630">
        <f t="shared" si="51"/>
        <v>-1533576.2981632804</v>
      </c>
      <c r="AG124" s="298"/>
      <c r="AH124" s="1510">
        <v>283</v>
      </c>
      <c r="AI124" s="352"/>
      <c r="AQ124" s="1718"/>
      <c r="AR124" s="1718"/>
      <c r="AS124" s="1718"/>
      <c r="AT124" s="1718"/>
      <c r="AU124" s="1718"/>
      <c r="BC124" s="1718"/>
      <c r="BD124" s="1718"/>
      <c r="BE124" s="1718"/>
      <c r="BF124" s="1718"/>
      <c r="BG124" s="1718"/>
      <c r="BH124" s="1718"/>
      <c r="BI124" s="1718"/>
      <c r="BJ124" s="1718"/>
      <c r="BK124" s="1718"/>
      <c r="BL124" s="1718"/>
      <c r="BM124" s="1718"/>
      <c r="BN124" s="660"/>
      <c r="BO124" s="660"/>
      <c r="BP124" s="660"/>
      <c r="BQ124" s="660"/>
      <c r="BR124" s="660"/>
      <c r="BS124" s="660"/>
    </row>
    <row r="125" spans="2:71">
      <c r="B125" s="352">
        <v>109</v>
      </c>
      <c r="C125" s="470" t="s">
        <v>1758</v>
      </c>
      <c r="D125" s="470" t="s">
        <v>1759</v>
      </c>
      <c r="E125" s="470" t="s">
        <v>1363</v>
      </c>
      <c r="F125" s="633">
        <v>-22946357.990000002</v>
      </c>
      <c r="G125" s="630">
        <f t="shared" si="42"/>
        <v>-8031225.2965000002</v>
      </c>
      <c r="H125" s="633">
        <v>-1950440.4291500002</v>
      </c>
      <c r="I125" s="630">
        <f t="shared" si="43"/>
        <v>682654.15020250005</v>
      </c>
      <c r="J125" s="630">
        <f t="shared" si="44"/>
        <v>-9299011.5754475016</v>
      </c>
      <c r="K125" s="652"/>
      <c r="L125" s="633">
        <f t="shared" si="45"/>
        <v>-22946357.990000002</v>
      </c>
      <c r="M125" s="630">
        <f t="shared" si="46"/>
        <v>-4818735.1779000005</v>
      </c>
      <c r="N125" s="633">
        <v>-1950440.4291500002</v>
      </c>
      <c r="O125" s="630">
        <f t="shared" si="47"/>
        <v>409592.49012150004</v>
      </c>
      <c r="P125" s="630">
        <f t="shared" si="48"/>
        <v>-6359583.1169285011</v>
      </c>
      <c r="Q125" s="630"/>
      <c r="R125" s="630">
        <f t="shared" si="49"/>
        <v>-2939428.4585190006</v>
      </c>
      <c r="S125" s="652"/>
      <c r="T125" s="633">
        <v>0</v>
      </c>
      <c r="U125" s="652"/>
      <c r="V125" s="633">
        <v>0</v>
      </c>
      <c r="W125" s="652"/>
      <c r="X125" s="630">
        <f t="shared" si="50"/>
        <v>-2939428.4585190006</v>
      </c>
      <c r="Y125" s="632"/>
      <c r="Z125" s="478" t="s">
        <v>1811</v>
      </c>
      <c r="AA125" s="631"/>
      <c r="AB125" s="478" t="s">
        <v>1807</v>
      </c>
      <c r="AC125" s="631"/>
      <c r="AD125" s="1727">
        <v>0</v>
      </c>
      <c r="AE125" s="631"/>
      <c r="AF125" s="630">
        <f t="shared" si="51"/>
        <v>0</v>
      </c>
      <c r="AG125" s="298"/>
      <c r="AH125" s="1510">
        <v>283</v>
      </c>
      <c r="AI125" s="352"/>
      <c r="AQ125" s="1718"/>
      <c r="AR125" s="1718"/>
      <c r="AS125" s="1718"/>
      <c r="AT125" s="1718"/>
      <c r="AU125" s="1718"/>
      <c r="BC125" s="1718"/>
      <c r="BD125" s="1718"/>
      <c r="BE125" s="1718"/>
      <c r="BF125" s="1718"/>
      <c r="BG125" s="1718"/>
      <c r="BH125" s="1718"/>
      <c r="BI125" s="1718"/>
      <c r="BJ125" s="1718"/>
      <c r="BK125" s="1718"/>
      <c r="BL125" s="1718"/>
      <c r="BM125" s="1718"/>
      <c r="BN125" s="660"/>
      <c r="BO125" s="660"/>
      <c r="BP125" s="660"/>
      <c r="BQ125" s="660"/>
      <c r="BR125" s="660"/>
      <c r="BS125" s="660"/>
    </row>
    <row r="126" spans="2:71">
      <c r="B126" s="352">
        <v>110</v>
      </c>
      <c r="C126" s="470" t="s">
        <v>1760</v>
      </c>
      <c r="D126" s="470" t="s">
        <v>1761</v>
      </c>
      <c r="E126" s="470" t="s">
        <v>1363</v>
      </c>
      <c r="F126" s="633">
        <v>-6719421.7000000002</v>
      </c>
      <c r="G126" s="630">
        <f t="shared" si="42"/>
        <v>-2351797.5949999997</v>
      </c>
      <c r="H126" s="633">
        <v>-571150.84450000001</v>
      </c>
      <c r="I126" s="630">
        <f t="shared" si="43"/>
        <v>199902.795575</v>
      </c>
      <c r="J126" s="630">
        <f t="shared" si="44"/>
        <v>-2723045.643925</v>
      </c>
      <c r="K126" s="652"/>
      <c r="L126" s="633">
        <f t="shared" si="45"/>
        <v>-6719421.7000000002</v>
      </c>
      <c r="M126" s="630">
        <f t="shared" si="46"/>
        <v>-1411078.557</v>
      </c>
      <c r="N126" s="633">
        <v>-571150.84450000001</v>
      </c>
      <c r="O126" s="630">
        <f t="shared" si="47"/>
        <v>119941.677345</v>
      </c>
      <c r="P126" s="630">
        <f t="shared" si="48"/>
        <v>-1862287.7241550002</v>
      </c>
      <c r="Q126" s="630"/>
      <c r="R126" s="630">
        <f t="shared" si="49"/>
        <v>-860757.9197699998</v>
      </c>
      <c r="S126" s="652"/>
      <c r="T126" s="633">
        <v>0</v>
      </c>
      <c r="U126" s="652"/>
      <c r="V126" s="633">
        <v>0</v>
      </c>
      <c r="W126" s="652"/>
      <c r="X126" s="630">
        <f t="shared" si="50"/>
        <v>-860757.9197699998</v>
      </c>
      <c r="Y126" s="632"/>
      <c r="Z126" s="478" t="s">
        <v>1808</v>
      </c>
      <c r="AA126" s="631"/>
      <c r="AB126" s="478" t="s">
        <v>1807</v>
      </c>
      <c r="AC126" s="631"/>
      <c r="AD126" s="1727">
        <v>0</v>
      </c>
      <c r="AE126" s="631"/>
      <c r="AF126" s="630">
        <f t="shared" si="51"/>
        <v>0</v>
      </c>
      <c r="AG126" s="298"/>
      <c r="AH126" s="1510">
        <v>283</v>
      </c>
      <c r="AI126" s="352"/>
      <c r="AQ126" s="1718"/>
      <c r="AR126" s="1718"/>
      <c r="AS126" s="1718"/>
      <c r="AT126" s="1718"/>
      <c r="AU126" s="1718"/>
      <c r="BC126" s="1718"/>
      <c r="BD126" s="1718"/>
      <c r="BE126" s="1718"/>
      <c r="BF126" s="1718"/>
      <c r="BG126" s="1718"/>
      <c r="BH126" s="1718"/>
      <c r="BI126" s="1718"/>
      <c r="BJ126" s="1718"/>
      <c r="BK126" s="1718"/>
      <c r="BL126" s="1718"/>
      <c r="BM126" s="1718"/>
      <c r="BN126" s="660"/>
      <c r="BO126" s="660"/>
      <c r="BP126" s="660"/>
      <c r="BQ126" s="660"/>
      <c r="BR126" s="660"/>
      <c r="BS126" s="660"/>
    </row>
    <row r="127" spans="2:71">
      <c r="B127" s="352">
        <v>111</v>
      </c>
      <c r="C127" s="470" t="s">
        <v>1762</v>
      </c>
      <c r="D127" s="470" t="s">
        <v>1761</v>
      </c>
      <c r="E127" s="470" t="s">
        <v>1363</v>
      </c>
      <c r="F127" s="633">
        <v>-510837.07</v>
      </c>
      <c r="G127" s="630">
        <f t="shared" si="42"/>
        <v>-178792.97449999998</v>
      </c>
      <c r="H127" s="633">
        <v>-43421.150950000003</v>
      </c>
      <c r="I127" s="630">
        <f t="shared" si="43"/>
        <v>15197.4028325</v>
      </c>
      <c r="J127" s="630">
        <f t="shared" si="44"/>
        <v>-207016.7226175</v>
      </c>
      <c r="K127" s="652"/>
      <c r="L127" s="633">
        <f t="shared" si="45"/>
        <v>-510837.07</v>
      </c>
      <c r="M127" s="630">
        <f t="shared" si="46"/>
        <v>-107275.7847</v>
      </c>
      <c r="N127" s="633">
        <v>-43421.150950000003</v>
      </c>
      <c r="O127" s="630">
        <f t="shared" si="47"/>
        <v>9118.4416995000011</v>
      </c>
      <c r="P127" s="630">
        <f t="shared" si="48"/>
        <v>-141578.49395050001</v>
      </c>
      <c r="Q127" s="630"/>
      <c r="R127" s="630">
        <f t="shared" si="49"/>
        <v>-65438.228666999988</v>
      </c>
      <c r="S127" s="652"/>
      <c r="T127" s="633">
        <v>0</v>
      </c>
      <c r="U127" s="652"/>
      <c r="V127" s="633">
        <v>0</v>
      </c>
      <c r="W127" s="652"/>
      <c r="X127" s="630">
        <f t="shared" si="50"/>
        <v>-65438.228666999988</v>
      </c>
      <c r="Y127" s="632"/>
      <c r="Z127" s="478" t="s">
        <v>1811</v>
      </c>
      <c r="AA127" s="631"/>
      <c r="AB127" s="478" t="s">
        <v>1810</v>
      </c>
      <c r="AC127" s="631"/>
      <c r="AD127" s="1727">
        <v>0.31493199999999999</v>
      </c>
      <c r="AE127" s="631"/>
      <c r="AF127" s="630">
        <f t="shared" si="51"/>
        <v>-20608.592230555641</v>
      </c>
      <c r="AG127" s="298"/>
      <c r="AH127" s="1510">
        <v>283</v>
      </c>
      <c r="AI127" s="352"/>
      <c r="AQ127" s="1718"/>
      <c r="AR127" s="1718"/>
      <c r="AS127" s="1718"/>
      <c r="AT127" s="1718"/>
      <c r="AU127" s="1718"/>
      <c r="BC127" s="1718"/>
      <c r="BD127" s="1718"/>
      <c r="BE127" s="1718"/>
      <c r="BF127" s="1718"/>
      <c r="BG127" s="1718"/>
      <c r="BH127" s="1718"/>
      <c r="BI127" s="1718"/>
      <c r="BJ127" s="1718"/>
      <c r="BK127" s="1718"/>
      <c r="BL127" s="1718"/>
      <c r="BM127" s="1718"/>
      <c r="BN127" s="660"/>
      <c r="BO127" s="660"/>
      <c r="BP127" s="660"/>
      <c r="BQ127" s="660"/>
      <c r="BR127" s="660"/>
      <c r="BS127" s="660"/>
    </row>
    <row r="128" spans="2:71">
      <c r="B128" s="352">
        <v>112</v>
      </c>
      <c r="C128" s="470" t="s">
        <v>1763</v>
      </c>
      <c r="D128" s="470" t="s">
        <v>1761</v>
      </c>
      <c r="E128" s="470" t="s">
        <v>1363</v>
      </c>
      <c r="F128" s="633">
        <v>-443834.4</v>
      </c>
      <c r="G128" s="630">
        <f t="shared" si="42"/>
        <v>-155342.04</v>
      </c>
      <c r="H128" s="633">
        <v>-37725.924000000006</v>
      </c>
      <c r="I128" s="630">
        <f t="shared" si="43"/>
        <v>13204.073400000001</v>
      </c>
      <c r="J128" s="630">
        <f t="shared" si="44"/>
        <v>-179863.89060000001</v>
      </c>
      <c r="K128" s="652"/>
      <c r="L128" s="633">
        <f t="shared" si="45"/>
        <v>-443834.4</v>
      </c>
      <c r="M128" s="630">
        <f t="shared" si="46"/>
        <v>-93205.224000000002</v>
      </c>
      <c r="N128" s="633">
        <v>-37725.924000000006</v>
      </c>
      <c r="O128" s="630">
        <f t="shared" si="47"/>
        <v>7922.4440400000012</v>
      </c>
      <c r="P128" s="630">
        <f t="shared" si="48"/>
        <v>-123008.70396000001</v>
      </c>
      <c r="Q128" s="630"/>
      <c r="R128" s="630">
        <f t="shared" si="49"/>
        <v>-56855.18664</v>
      </c>
      <c r="S128" s="652"/>
      <c r="T128" s="633">
        <v>0</v>
      </c>
      <c r="U128" s="652"/>
      <c r="V128" s="633">
        <v>0</v>
      </c>
      <c r="W128" s="652"/>
      <c r="X128" s="630">
        <f t="shared" si="50"/>
        <v>-56855.18664</v>
      </c>
      <c r="Y128" s="632"/>
      <c r="Z128" s="478" t="s">
        <v>1811</v>
      </c>
      <c r="AA128" s="631"/>
      <c r="AB128" s="478" t="s">
        <v>1810</v>
      </c>
      <c r="AC128" s="631"/>
      <c r="AD128" s="1727">
        <v>0.31493199999999999</v>
      </c>
      <c r="AE128" s="631"/>
      <c r="AF128" s="630">
        <f t="shared" si="51"/>
        <v>-17905.517638908481</v>
      </c>
      <c r="AG128" s="298"/>
      <c r="AH128" s="1510">
        <v>283</v>
      </c>
      <c r="AI128" s="352"/>
      <c r="AQ128" s="1718"/>
      <c r="AR128" s="1718"/>
      <c r="AS128" s="1718"/>
      <c r="AT128" s="1718"/>
      <c r="AU128" s="1718"/>
      <c r="BC128" s="1718"/>
      <c r="BD128" s="1718"/>
      <c r="BE128" s="1718"/>
      <c r="BF128" s="1718"/>
      <c r="BG128" s="1718"/>
      <c r="BH128" s="1718"/>
      <c r="BI128" s="1718"/>
      <c r="BJ128" s="1718"/>
      <c r="BK128" s="1718"/>
      <c r="BL128" s="1718"/>
      <c r="BM128" s="1718"/>
      <c r="BN128" s="660"/>
      <c r="BO128" s="660"/>
      <c r="BP128" s="660"/>
      <c r="BQ128" s="660"/>
      <c r="BR128" s="660"/>
      <c r="BS128" s="660"/>
    </row>
    <row r="129" spans="2:71">
      <c r="B129" s="352">
        <v>113</v>
      </c>
      <c r="C129" s="470" t="s">
        <v>1764</v>
      </c>
      <c r="D129" s="470" t="s">
        <v>1683</v>
      </c>
      <c r="E129" s="470" t="s">
        <v>1363</v>
      </c>
      <c r="F129" s="633">
        <v>-56498499.810000002</v>
      </c>
      <c r="G129" s="630">
        <f t="shared" si="42"/>
        <v>-19774474.933499999</v>
      </c>
      <c r="H129" s="633">
        <v>-4802372.4838500004</v>
      </c>
      <c r="I129" s="630">
        <f t="shared" si="43"/>
        <v>1680830.3693475001</v>
      </c>
      <c r="J129" s="630">
        <f t="shared" si="44"/>
        <v>-22896017.0480025</v>
      </c>
      <c r="K129" s="652"/>
      <c r="L129" s="633">
        <f t="shared" si="45"/>
        <v>-56498499.810000002</v>
      </c>
      <c r="M129" s="630">
        <f t="shared" si="46"/>
        <v>-11864684.960100001</v>
      </c>
      <c r="N129" s="633">
        <v>-4802372.4838500004</v>
      </c>
      <c r="O129" s="630">
        <f t="shared" si="47"/>
        <v>1008498.2216085</v>
      </c>
      <c r="P129" s="630">
        <f t="shared" si="48"/>
        <v>-15658559.2223415</v>
      </c>
      <c r="Q129" s="630"/>
      <c r="R129" s="630">
        <f t="shared" si="49"/>
        <v>-7237457.8256609999</v>
      </c>
      <c r="S129" s="652"/>
      <c r="T129" s="633">
        <v>0</v>
      </c>
      <c r="U129" s="652"/>
      <c r="V129" s="633">
        <v>0</v>
      </c>
      <c r="W129" s="652"/>
      <c r="X129" s="630">
        <f t="shared" si="50"/>
        <v>-7237457.8256609999</v>
      </c>
      <c r="Y129" s="632"/>
      <c r="Z129" s="478" t="s">
        <v>1809</v>
      </c>
      <c r="AA129" s="631"/>
      <c r="AB129" s="478" t="s">
        <v>1807</v>
      </c>
      <c r="AC129" s="631"/>
      <c r="AD129" s="1727">
        <v>0</v>
      </c>
      <c r="AE129" s="631"/>
      <c r="AF129" s="630">
        <f t="shared" si="51"/>
        <v>0</v>
      </c>
      <c r="AG129" s="298"/>
      <c r="AH129" s="1510">
        <v>283</v>
      </c>
      <c r="AI129" s="352"/>
      <c r="AQ129" s="1718"/>
      <c r="AR129" s="1718"/>
      <c r="AS129" s="1718"/>
      <c r="AT129" s="1718"/>
      <c r="AU129" s="1718"/>
      <c r="BC129" s="1718"/>
      <c r="BD129" s="1718"/>
      <c r="BE129" s="1718"/>
      <c r="BF129" s="1718"/>
      <c r="BG129" s="1718"/>
      <c r="BH129" s="1718"/>
      <c r="BI129" s="1718"/>
      <c r="BJ129" s="1718"/>
      <c r="BK129" s="1718"/>
      <c r="BL129" s="1718"/>
      <c r="BM129" s="1718"/>
      <c r="BN129" s="660"/>
      <c r="BO129" s="660"/>
      <c r="BP129" s="660"/>
      <c r="BQ129" s="660"/>
      <c r="BR129" s="660"/>
      <c r="BS129" s="660"/>
    </row>
    <row r="130" spans="2:71">
      <c r="B130" s="352">
        <v>114</v>
      </c>
      <c r="C130" s="470" t="s">
        <v>1765</v>
      </c>
      <c r="D130" s="470" t="s">
        <v>1766</v>
      </c>
      <c r="E130" s="470" t="s">
        <v>1363</v>
      </c>
      <c r="F130" s="633">
        <v>-7549595</v>
      </c>
      <c r="G130" s="630">
        <f t="shared" si="42"/>
        <v>-2642358.25</v>
      </c>
      <c r="H130" s="633">
        <v>-641715.57500000007</v>
      </c>
      <c r="I130" s="630">
        <f t="shared" si="43"/>
        <v>224600.45125000001</v>
      </c>
      <c r="J130" s="630">
        <f t="shared" si="44"/>
        <v>-3059473.3737500003</v>
      </c>
      <c r="K130" s="652"/>
      <c r="L130" s="633">
        <f t="shared" si="45"/>
        <v>-7549595</v>
      </c>
      <c r="M130" s="630">
        <f t="shared" si="46"/>
        <v>-1585414.95</v>
      </c>
      <c r="N130" s="633">
        <v>-641715.57500000007</v>
      </c>
      <c r="O130" s="630">
        <f t="shared" si="47"/>
        <v>134760.27075</v>
      </c>
      <c r="P130" s="630">
        <f t="shared" si="48"/>
        <v>-2092370.25425</v>
      </c>
      <c r="Q130" s="630"/>
      <c r="R130" s="630">
        <f t="shared" si="49"/>
        <v>-967103.11950000026</v>
      </c>
      <c r="S130" s="652"/>
      <c r="T130" s="633">
        <v>0</v>
      </c>
      <c r="U130" s="652"/>
      <c r="V130" s="633">
        <v>0</v>
      </c>
      <c r="W130" s="652"/>
      <c r="X130" s="630">
        <f t="shared" si="50"/>
        <v>-967103.11950000026</v>
      </c>
      <c r="Y130" s="632"/>
      <c r="Z130" s="478" t="s">
        <v>1016</v>
      </c>
      <c r="AA130" s="631"/>
      <c r="AB130" s="478" t="s">
        <v>1810</v>
      </c>
      <c r="AC130" s="631"/>
      <c r="AD130" s="1727">
        <v>1</v>
      </c>
      <c r="AE130" s="631"/>
      <c r="AF130" s="630">
        <f t="shared" si="51"/>
        <v>-967103.11950000026</v>
      </c>
      <c r="AG130" s="298"/>
      <c r="AH130" s="1510">
        <v>283</v>
      </c>
      <c r="AI130" s="352"/>
      <c r="AQ130" s="1718"/>
      <c r="AR130" s="1718"/>
      <c r="AS130" s="1718"/>
      <c r="AT130" s="1718"/>
      <c r="AU130" s="1718"/>
      <c r="BC130" s="1718"/>
      <c r="BD130" s="1718"/>
      <c r="BE130" s="1718"/>
      <c r="BF130" s="1718"/>
      <c r="BG130" s="1718"/>
      <c r="BH130" s="1718"/>
      <c r="BI130" s="1718"/>
      <c r="BJ130" s="1718"/>
      <c r="BK130" s="1718"/>
      <c r="BL130" s="1718"/>
      <c r="BM130" s="1718"/>
      <c r="BN130" s="660"/>
      <c r="BO130" s="660"/>
      <c r="BP130" s="660"/>
      <c r="BQ130" s="660"/>
      <c r="BR130" s="660"/>
      <c r="BS130" s="660"/>
    </row>
    <row r="131" spans="2:71">
      <c r="B131" s="352">
        <v>115</v>
      </c>
      <c r="C131" s="470" t="s">
        <v>1767</v>
      </c>
      <c r="D131" s="470" t="s">
        <v>1768</v>
      </c>
      <c r="E131" s="470" t="s">
        <v>1363</v>
      </c>
      <c r="F131" s="633">
        <v>-653578.25</v>
      </c>
      <c r="G131" s="630">
        <f t="shared" si="42"/>
        <v>-228752.38749999998</v>
      </c>
      <c r="H131" s="633">
        <v>-55554.151250000003</v>
      </c>
      <c r="I131" s="630">
        <f t="shared" si="43"/>
        <v>19443.952937499998</v>
      </c>
      <c r="J131" s="630">
        <f t="shared" si="44"/>
        <v>-264862.58581249998</v>
      </c>
      <c r="K131" s="652"/>
      <c r="L131" s="633">
        <f t="shared" si="45"/>
        <v>-653578.25</v>
      </c>
      <c r="M131" s="630">
        <f t="shared" si="46"/>
        <v>-137251.4325</v>
      </c>
      <c r="N131" s="633">
        <v>-55554.151250000003</v>
      </c>
      <c r="O131" s="630">
        <f t="shared" si="47"/>
        <v>11666.371762500001</v>
      </c>
      <c r="P131" s="630">
        <f t="shared" si="48"/>
        <v>-181139.21198749999</v>
      </c>
      <c r="Q131" s="630"/>
      <c r="R131" s="630">
        <f t="shared" si="49"/>
        <v>-83723.373824999988</v>
      </c>
      <c r="S131" s="652"/>
      <c r="T131" s="633">
        <v>0</v>
      </c>
      <c r="U131" s="652"/>
      <c r="V131" s="633">
        <v>0</v>
      </c>
      <c r="W131" s="652"/>
      <c r="X131" s="630">
        <f t="shared" si="50"/>
        <v>-83723.373824999988</v>
      </c>
      <c r="Y131" s="632"/>
      <c r="Z131" s="478" t="s">
        <v>1811</v>
      </c>
      <c r="AA131" s="631"/>
      <c r="AB131" s="478" t="s">
        <v>1810</v>
      </c>
      <c r="AC131" s="631"/>
      <c r="AD131" s="1727">
        <v>0</v>
      </c>
      <c r="AE131" s="631"/>
      <c r="AF131" s="630">
        <f t="shared" si="51"/>
        <v>0</v>
      </c>
      <c r="AG131" s="298"/>
      <c r="AH131" s="1510">
        <v>283</v>
      </c>
      <c r="AI131" s="352"/>
      <c r="AQ131" s="1718"/>
      <c r="AR131" s="1718"/>
      <c r="AS131" s="1718"/>
      <c r="AT131" s="1718"/>
      <c r="AU131" s="1718"/>
      <c r="BC131" s="1718"/>
      <c r="BD131" s="1718"/>
      <c r="BE131" s="1718"/>
      <c r="BF131" s="1718"/>
      <c r="BG131" s="1718"/>
      <c r="BH131" s="1718"/>
      <c r="BI131" s="1718"/>
      <c r="BJ131" s="1718"/>
      <c r="BK131" s="1718"/>
      <c r="BL131" s="1718"/>
      <c r="BM131" s="1718"/>
      <c r="BN131" s="660"/>
      <c r="BO131" s="660"/>
      <c r="BP131" s="660"/>
      <c r="BQ131" s="660"/>
      <c r="BR131" s="660"/>
      <c r="BS131" s="660"/>
    </row>
    <row r="132" spans="2:71">
      <c r="B132" s="352">
        <v>116</v>
      </c>
      <c r="C132" s="470" t="s">
        <v>1769</v>
      </c>
      <c r="D132" s="470" t="s">
        <v>1768</v>
      </c>
      <c r="E132" s="470" t="s">
        <v>1363</v>
      </c>
      <c r="F132" s="633">
        <v>-24070683.079999998</v>
      </c>
      <c r="G132" s="630">
        <f t="shared" si="42"/>
        <v>-8424739.0779999997</v>
      </c>
      <c r="H132" s="633">
        <v>-2046008.0618</v>
      </c>
      <c r="I132" s="630">
        <f t="shared" si="43"/>
        <v>716102.82163000002</v>
      </c>
      <c r="J132" s="630">
        <f t="shared" si="44"/>
        <v>-9754644.3181699999</v>
      </c>
      <c r="K132" s="652"/>
      <c r="L132" s="633">
        <f t="shared" si="45"/>
        <v>-24070683.079999998</v>
      </c>
      <c r="M132" s="630">
        <f t="shared" si="46"/>
        <v>-5054843.4467999991</v>
      </c>
      <c r="N132" s="633">
        <v>-2046008.0618</v>
      </c>
      <c r="O132" s="630">
        <f t="shared" si="47"/>
        <v>429661.69297799998</v>
      </c>
      <c r="P132" s="630">
        <f t="shared" si="48"/>
        <v>-6671189.8156219991</v>
      </c>
      <c r="Q132" s="630"/>
      <c r="R132" s="630">
        <f t="shared" si="49"/>
        <v>-3083454.5025480008</v>
      </c>
      <c r="S132" s="652"/>
      <c r="T132" s="633">
        <v>0</v>
      </c>
      <c r="U132" s="652"/>
      <c r="V132" s="633">
        <v>0</v>
      </c>
      <c r="W132" s="652"/>
      <c r="X132" s="630">
        <f t="shared" si="50"/>
        <v>-3083454.5025480008</v>
      </c>
      <c r="Y132" s="632"/>
      <c r="Z132" s="478" t="s">
        <v>1809</v>
      </c>
      <c r="AA132" s="631"/>
      <c r="AB132" s="478" t="s">
        <v>1807</v>
      </c>
      <c r="AC132" s="631"/>
      <c r="AD132" s="1727">
        <v>0</v>
      </c>
      <c r="AE132" s="631"/>
      <c r="AF132" s="630">
        <f t="shared" si="51"/>
        <v>0</v>
      </c>
      <c r="AG132" s="298"/>
      <c r="AH132" s="1510">
        <v>283</v>
      </c>
      <c r="AI132" s="352"/>
      <c r="AQ132" s="1718"/>
      <c r="AR132" s="1718"/>
      <c r="AS132" s="1718"/>
      <c r="AT132" s="1718"/>
      <c r="AU132" s="1718"/>
      <c r="BC132" s="1718"/>
      <c r="BD132" s="1718"/>
      <c r="BE132" s="1718"/>
      <c r="BF132" s="1718"/>
      <c r="BG132" s="1718"/>
      <c r="BH132" s="1718"/>
      <c r="BI132" s="1718"/>
      <c r="BJ132" s="1718"/>
      <c r="BK132" s="1718"/>
      <c r="BL132" s="1718"/>
      <c r="BM132" s="1718"/>
      <c r="BN132" s="660"/>
      <c r="BO132" s="660"/>
      <c r="BP132" s="660"/>
      <c r="BQ132" s="660"/>
      <c r="BR132" s="660"/>
      <c r="BS132" s="660"/>
    </row>
    <row r="133" spans="2:71">
      <c r="B133" s="352">
        <v>117</v>
      </c>
      <c r="C133" s="470" t="s">
        <v>1770</v>
      </c>
      <c r="D133" s="470" t="s">
        <v>1768</v>
      </c>
      <c r="E133" s="470" t="s">
        <v>1363</v>
      </c>
      <c r="F133" s="633">
        <v>-65234695.509999998</v>
      </c>
      <c r="G133" s="630">
        <f t="shared" si="42"/>
        <v>-22832143.428499997</v>
      </c>
      <c r="H133" s="633">
        <v>-5544949.1183500001</v>
      </c>
      <c r="I133" s="630">
        <f t="shared" si="43"/>
        <v>1940732.1914224999</v>
      </c>
      <c r="J133" s="630">
        <f t="shared" si="44"/>
        <v>-26436360.355427496</v>
      </c>
      <c r="K133" s="652"/>
      <c r="L133" s="633">
        <f t="shared" si="45"/>
        <v>-65234695.509999998</v>
      </c>
      <c r="M133" s="630">
        <f t="shared" si="46"/>
        <v>-13699286.0571</v>
      </c>
      <c r="N133" s="633">
        <v>-5544949.1183500001</v>
      </c>
      <c r="O133" s="630">
        <f t="shared" si="47"/>
        <v>1164439.3148534999</v>
      </c>
      <c r="P133" s="630">
        <f t="shared" si="48"/>
        <v>-18079795.8605965</v>
      </c>
      <c r="Q133" s="630"/>
      <c r="R133" s="630">
        <f t="shared" si="49"/>
        <v>-8356564.4948309958</v>
      </c>
      <c r="S133" s="652"/>
      <c r="T133" s="633">
        <v>0</v>
      </c>
      <c r="U133" s="652"/>
      <c r="V133" s="633">
        <v>0</v>
      </c>
      <c r="W133" s="652"/>
      <c r="X133" s="630">
        <f t="shared" si="50"/>
        <v>-8356564.4948309958</v>
      </c>
      <c r="Y133" s="632"/>
      <c r="Z133" s="478" t="s">
        <v>1808</v>
      </c>
      <c r="AA133" s="631"/>
      <c r="AB133" s="478" t="s">
        <v>1807</v>
      </c>
      <c r="AC133" s="631"/>
      <c r="AD133" s="1727">
        <v>0</v>
      </c>
      <c r="AE133" s="631"/>
      <c r="AF133" s="630">
        <f t="shared" si="51"/>
        <v>0</v>
      </c>
      <c r="AG133" s="298"/>
      <c r="AH133" s="1510">
        <v>283</v>
      </c>
      <c r="AI133" s="352"/>
      <c r="AQ133" s="1718"/>
      <c r="AR133" s="1718"/>
      <c r="AS133" s="1718"/>
      <c r="AT133" s="1718"/>
      <c r="AU133" s="1718"/>
      <c r="BC133" s="1718"/>
      <c r="BD133" s="1718"/>
      <c r="BE133" s="1718"/>
      <c r="BF133" s="1718"/>
      <c r="BG133" s="1718"/>
      <c r="BH133" s="1718"/>
      <c r="BI133" s="1718"/>
      <c r="BJ133" s="1718"/>
      <c r="BK133" s="1718"/>
      <c r="BL133" s="1718"/>
      <c r="BM133" s="1718"/>
      <c r="BN133" s="660"/>
      <c r="BO133" s="660"/>
      <c r="BP133" s="660"/>
      <c r="BQ133" s="660"/>
      <c r="BR133" s="660"/>
      <c r="BS133" s="660"/>
    </row>
    <row r="134" spans="2:71">
      <c r="B134" s="352">
        <v>118</v>
      </c>
      <c r="C134" s="470" t="s">
        <v>1771</v>
      </c>
      <c r="D134" s="470" t="s">
        <v>1768</v>
      </c>
      <c r="E134" s="470" t="s">
        <v>1363</v>
      </c>
      <c r="F134" s="633">
        <v>-4171436.91</v>
      </c>
      <c r="G134" s="630">
        <f t="shared" si="42"/>
        <v>-1460002.9184999999</v>
      </c>
      <c r="H134" s="633">
        <v>-354572.13735000003</v>
      </c>
      <c r="I134" s="630">
        <f t="shared" si="43"/>
        <v>124100.24807250001</v>
      </c>
      <c r="J134" s="630">
        <f t="shared" si="44"/>
        <v>-1690474.8077774998</v>
      </c>
      <c r="K134" s="652"/>
      <c r="L134" s="633">
        <f t="shared" si="45"/>
        <v>-4171436.91</v>
      </c>
      <c r="M134" s="630">
        <f t="shared" si="46"/>
        <v>-876001.75109999999</v>
      </c>
      <c r="N134" s="633">
        <v>-354572.13735000003</v>
      </c>
      <c r="O134" s="630">
        <f t="shared" si="47"/>
        <v>74460.148843500006</v>
      </c>
      <c r="P134" s="630">
        <f t="shared" si="48"/>
        <v>-1156113.7396064999</v>
      </c>
      <c r="Q134" s="630"/>
      <c r="R134" s="630">
        <f t="shared" si="49"/>
        <v>-534361.06817099988</v>
      </c>
      <c r="S134" s="652"/>
      <c r="T134" s="633">
        <v>0</v>
      </c>
      <c r="U134" s="652"/>
      <c r="V134" s="633">
        <v>0</v>
      </c>
      <c r="W134" s="652"/>
      <c r="X134" s="630">
        <f t="shared" si="50"/>
        <v>-534361.06817099988</v>
      </c>
      <c r="Y134" s="632"/>
      <c r="Z134" s="478" t="s">
        <v>1809</v>
      </c>
      <c r="AA134" s="631"/>
      <c r="AB134" s="478" t="s">
        <v>1807</v>
      </c>
      <c r="AC134" s="631"/>
      <c r="AD134" s="1727">
        <v>0</v>
      </c>
      <c r="AE134" s="631"/>
      <c r="AF134" s="630">
        <f t="shared" si="51"/>
        <v>0</v>
      </c>
      <c r="AG134" s="298"/>
      <c r="AH134" s="1510">
        <v>283</v>
      </c>
      <c r="AI134" s="352"/>
      <c r="AQ134" s="1718"/>
      <c r="AR134" s="1718"/>
      <c r="AS134" s="1718"/>
      <c r="AT134" s="1718"/>
      <c r="AU134" s="1718"/>
      <c r="BC134" s="1718"/>
      <c r="BD134" s="1718"/>
      <c r="BE134" s="1718"/>
      <c r="BF134" s="1718"/>
      <c r="BG134" s="1718"/>
      <c r="BH134" s="1718"/>
      <c r="BI134" s="1718"/>
      <c r="BJ134" s="1718"/>
      <c r="BK134" s="1718"/>
      <c r="BL134" s="1718"/>
      <c r="BM134" s="1718"/>
      <c r="BN134" s="660"/>
      <c r="BO134" s="660"/>
      <c r="BP134" s="660"/>
      <c r="BQ134" s="660"/>
      <c r="BR134" s="660"/>
      <c r="BS134" s="660"/>
    </row>
    <row r="135" spans="2:71">
      <c r="B135" s="352">
        <v>119</v>
      </c>
      <c r="C135" s="470" t="s">
        <v>1772</v>
      </c>
      <c r="D135" s="470" t="s">
        <v>1768</v>
      </c>
      <c r="E135" s="470" t="s">
        <v>1363</v>
      </c>
      <c r="F135" s="633">
        <v>-2895921.43</v>
      </c>
      <c r="G135" s="630">
        <f t="shared" si="42"/>
        <v>-1013572.5005</v>
      </c>
      <c r="H135" s="633">
        <v>-246153.32155000002</v>
      </c>
      <c r="I135" s="630">
        <f t="shared" si="43"/>
        <v>86153.662542500009</v>
      </c>
      <c r="J135" s="630">
        <f t="shared" si="44"/>
        <v>-1173572.1595075</v>
      </c>
      <c r="K135" s="652"/>
      <c r="L135" s="633">
        <f t="shared" si="45"/>
        <v>-2895921.43</v>
      </c>
      <c r="M135" s="630">
        <f t="shared" si="46"/>
        <v>-608143.50029999996</v>
      </c>
      <c r="N135" s="633">
        <v>-246153.32155000002</v>
      </c>
      <c r="O135" s="630">
        <f t="shared" si="47"/>
        <v>51692.1975255</v>
      </c>
      <c r="P135" s="630">
        <f t="shared" si="48"/>
        <v>-802604.62432449998</v>
      </c>
      <c r="Q135" s="630"/>
      <c r="R135" s="630">
        <f t="shared" si="49"/>
        <v>-370967.53518300003</v>
      </c>
      <c r="S135" s="652"/>
      <c r="T135" s="633">
        <v>0</v>
      </c>
      <c r="U135" s="652"/>
      <c r="V135" s="633">
        <v>0</v>
      </c>
      <c r="W135" s="652"/>
      <c r="X135" s="630">
        <f t="shared" si="50"/>
        <v>-370967.53518300003</v>
      </c>
      <c r="Y135" s="632"/>
      <c r="Z135" s="478" t="s">
        <v>1808</v>
      </c>
      <c r="AA135" s="631"/>
      <c r="AB135" s="478" t="s">
        <v>1807</v>
      </c>
      <c r="AC135" s="631"/>
      <c r="AD135" s="1727">
        <v>0</v>
      </c>
      <c r="AE135" s="631"/>
      <c r="AF135" s="630">
        <f t="shared" si="51"/>
        <v>0</v>
      </c>
      <c r="AG135" s="298"/>
      <c r="AH135" s="1510">
        <v>283</v>
      </c>
      <c r="AI135" s="352"/>
      <c r="AQ135" s="1718"/>
      <c r="AR135" s="1718"/>
      <c r="AS135" s="1718"/>
      <c r="AT135" s="1718"/>
      <c r="AU135" s="1718"/>
      <c r="BC135" s="1718"/>
      <c r="BD135" s="1718"/>
      <c r="BE135" s="1718"/>
      <c r="BF135" s="1718"/>
      <c r="BG135" s="1718"/>
      <c r="BH135" s="1718"/>
      <c r="BI135" s="1718"/>
      <c r="BJ135" s="1718"/>
      <c r="BK135" s="1718"/>
      <c r="BL135" s="1718"/>
      <c r="BM135" s="1718"/>
      <c r="BN135" s="660"/>
      <c r="BO135" s="660"/>
      <c r="BP135" s="660"/>
      <c r="BQ135" s="660"/>
      <c r="BR135" s="660"/>
      <c r="BS135" s="660"/>
    </row>
    <row r="136" spans="2:71">
      <c r="B136" s="352">
        <v>120</v>
      </c>
      <c r="C136" s="470" t="s">
        <v>1773</v>
      </c>
      <c r="D136" s="470" t="s">
        <v>1768</v>
      </c>
      <c r="E136" s="470" t="s">
        <v>1363</v>
      </c>
      <c r="F136" s="633">
        <v>273083.28999999998</v>
      </c>
      <c r="G136" s="630">
        <f t="shared" si="42"/>
        <v>95579.151499999993</v>
      </c>
      <c r="H136" s="633">
        <v>23212.07965</v>
      </c>
      <c r="I136" s="630">
        <f t="shared" si="43"/>
        <v>-8124.2278774999995</v>
      </c>
      <c r="J136" s="630">
        <f t="shared" si="44"/>
        <v>110667.00327249999</v>
      </c>
      <c r="K136" s="652"/>
      <c r="L136" s="633">
        <f t="shared" si="45"/>
        <v>273083.28999999998</v>
      </c>
      <c r="M136" s="630">
        <f t="shared" si="46"/>
        <v>57347.490899999997</v>
      </c>
      <c r="N136" s="633">
        <v>23212.07965</v>
      </c>
      <c r="O136" s="630">
        <f t="shared" si="47"/>
        <v>-4874.5367264999995</v>
      </c>
      <c r="P136" s="630">
        <f t="shared" si="48"/>
        <v>75685.033823500009</v>
      </c>
      <c r="Q136" s="630"/>
      <c r="R136" s="630">
        <f t="shared" si="49"/>
        <v>34981.969448999982</v>
      </c>
      <c r="S136" s="652"/>
      <c r="T136" s="633">
        <v>0</v>
      </c>
      <c r="U136" s="652"/>
      <c r="V136" s="633">
        <v>0</v>
      </c>
      <c r="W136" s="652"/>
      <c r="X136" s="630">
        <f t="shared" si="50"/>
        <v>34981.969448999982</v>
      </c>
      <c r="Y136" s="632"/>
      <c r="Z136" s="478" t="s">
        <v>1811</v>
      </c>
      <c r="AA136" s="631"/>
      <c r="AB136" s="478" t="s">
        <v>1810</v>
      </c>
      <c r="AC136" s="631"/>
      <c r="AD136" s="1728">
        <v>0</v>
      </c>
      <c r="AE136" s="631"/>
      <c r="AF136" s="630">
        <f t="shared" si="51"/>
        <v>0</v>
      </c>
      <c r="AG136" s="298"/>
      <c r="AH136" s="1510">
        <v>283</v>
      </c>
      <c r="AI136" s="352"/>
      <c r="AQ136" s="1718"/>
      <c r="AR136" s="1718"/>
      <c r="AS136" s="1718"/>
      <c r="AT136" s="1718"/>
      <c r="AU136" s="1718"/>
      <c r="BC136" s="1718"/>
      <c r="BD136" s="1718"/>
      <c r="BE136" s="1718"/>
      <c r="BF136" s="1718"/>
      <c r="BG136" s="1718"/>
      <c r="BH136" s="1718"/>
      <c r="BI136" s="1718"/>
      <c r="BJ136" s="1718"/>
      <c r="BK136" s="1718"/>
      <c r="BL136" s="1718"/>
      <c r="BM136" s="1718"/>
      <c r="BN136" s="660"/>
      <c r="BO136" s="660"/>
      <c r="BP136" s="660"/>
      <c r="BQ136" s="660"/>
      <c r="BR136" s="660"/>
      <c r="BS136" s="660"/>
    </row>
    <row r="137" spans="2:71">
      <c r="B137" s="352">
        <v>121</v>
      </c>
      <c r="C137" s="470" t="s">
        <v>1774</v>
      </c>
      <c r="D137" s="470" t="s">
        <v>1768</v>
      </c>
      <c r="E137" s="470" t="s">
        <v>1363</v>
      </c>
      <c r="F137" s="633">
        <v>-8153327.2599999998</v>
      </c>
      <c r="G137" s="630">
        <f t="shared" si="42"/>
        <v>-2853664.5409999997</v>
      </c>
      <c r="H137" s="633">
        <v>-693032.81709999999</v>
      </c>
      <c r="I137" s="630">
        <f t="shared" si="43"/>
        <v>242561.48598499998</v>
      </c>
      <c r="J137" s="630">
        <f t="shared" si="44"/>
        <v>-3304135.8721149997</v>
      </c>
      <c r="K137" s="652"/>
      <c r="L137" s="633">
        <f t="shared" si="45"/>
        <v>-8153327.2599999998</v>
      </c>
      <c r="M137" s="630">
        <f t="shared" si="46"/>
        <v>-1712198.7245999998</v>
      </c>
      <c r="N137" s="633">
        <v>-693032.81709999999</v>
      </c>
      <c r="O137" s="630">
        <f t="shared" si="47"/>
        <v>145536.89159099999</v>
      </c>
      <c r="P137" s="630">
        <f t="shared" si="48"/>
        <v>-2259694.650109</v>
      </c>
      <c r="Q137" s="630"/>
      <c r="R137" s="630">
        <f t="shared" si="49"/>
        <v>-1044441.2220059996</v>
      </c>
      <c r="S137" s="652"/>
      <c r="T137" s="633">
        <v>0</v>
      </c>
      <c r="U137" s="652"/>
      <c r="V137" s="633">
        <v>0</v>
      </c>
      <c r="W137" s="652"/>
      <c r="X137" s="630">
        <f t="shared" si="50"/>
        <v>-1044441.2220059996</v>
      </c>
      <c r="Y137" s="632"/>
      <c r="Z137" s="478" t="s">
        <v>1808</v>
      </c>
      <c r="AA137" s="631"/>
      <c r="AB137" s="478" t="s">
        <v>1807</v>
      </c>
      <c r="AC137" s="631"/>
      <c r="AD137" s="1727">
        <v>0</v>
      </c>
      <c r="AE137" s="631"/>
      <c r="AF137" s="630">
        <f t="shared" si="51"/>
        <v>0</v>
      </c>
      <c r="AG137" s="298"/>
      <c r="AH137" s="1510">
        <v>283</v>
      </c>
      <c r="AI137" s="352"/>
      <c r="AQ137" s="1718"/>
      <c r="AR137" s="1718"/>
      <c r="AS137" s="1718"/>
      <c r="AT137" s="1718"/>
      <c r="AU137" s="1718"/>
      <c r="BC137" s="1718"/>
      <c r="BD137" s="1718"/>
      <c r="BE137" s="1718"/>
      <c r="BF137" s="1718"/>
      <c r="BG137" s="1718"/>
      <c r="BH137" s="1718"/>
      <c r="BI137" s="1718"/>
      <c r="BJ137" s="1718"/>
      <c r="BK137" s="1718"/>
      <c r="BL137" s="1718"/>
      <c r="BM137" s="1718"/>
      <c r="BN137" s="660"/>
      <c r="BO137" s="660"/>
      <c r="BP137" s="660"/>
      <c r="BQ137" s="660"/>
      <c r="BR137" s="660"/>
      <c r="BS137" s="660"/>
    </row>
    <row r="138" spans="2:71">
      <c r="B138" s="352">
        <v>122</v>
      </c>
      <c r="C138" s="470" t="s">
        <v>1775</v>
      </c>
      <c r="D138" s="470" t="s">
        <v>1768</v>
      </c>
      <c r="E138" s="470" t="s">
        <v>1363</v>
      </c>
      <c r="F138" s="633">
        <v>-4564994.5999999996</v>
      </c>
      <c r="G138" s="630">
        <f t="shared" si="42"/>
        <v>-1597748.1099999999</v>
      </c>
      <c r="H138" s="633">
        <v>-388024.54099999997</v>
      </c>
      <c r="I138" s="630">
        <f t="shared" si="43"/>
        <v>135808.58934999999</v>
      </c>
      <c r="J138" s="630">
        <f t="shared" si="44"/>
        <v>-1849964.0616499998</v>
      </c>
      <c r="K138" s="652"/>
      <c r="L138" s="633">
        <f t="shared" si="45"/>
        <v>-4564994.5999999996</v>
      </c>
      <c r="M138" s="630">
        <f t="shared" si="46"/>
        <v>-958648.86599999992</v>
      </c>
      <c r="N138" s="633">
        <v>-388024.54099999997</v>
      </c>
      <c r="O138" s="630">
        <f t="shared" si="47"/>
        <v>81485.153609999994</v>
      </c>
      <c r="P138" s="630">
        <f t="shared" si="48"/>
        <v>-1265188.25339</v>
      </c>
      <c r="Q138" s="630"/>
      <c r="R138" s="630">
        <f t="shared" si="49"/>
        <v>-584775.80825999985</v>
      </c>
      <c r="S138" s="652"/>
      <c r="T138" s="633">
        <v>0</v>
      </c>
      <c r="U138" s="652"/>
      <c r="V138" s="633">
        <v>0</v>
      </c>
      <c r="W138" s="652"/>
      <c r="X138" s="630">
        <f t="shared" si="50"/>
        <v>-584775.80825999985</v>
      </c>
      <c r="Y138" s="632"/>
      <c r="Z138" s="478" t="s">
        <v>1808</v>
      </c>
      <c r="AA138" s="631"/>
      <c r="AB138" s="478" t="s">
        <v>1807</v>
      </c>
      <c r="AC138" s="631"/>
      <c r="AD138" s="1727">
        <v>0</v>
      </c>
      <c r="AE138" s="631"/>
      <c r="AF138" s="630">
        <f t="shared" si="51"/>
        <v>0</v>
      </c>
      <c r="AG138" s="298"/>
      <c r="AH138" s="1510">
        <v>283</v>
      </c>
      <c r="AI138" s="352"/>
      <c r="AQ138" s="1718"/>
      <c r="AR138" s="1718"/>
      <c r="AS138" s="1718"/>
      <c r="AT138" s="1718"/>
      <c r="AU138" s="1718"/>
      <c r="BC138" s="1718"/>
      <c r="BD138" s="1718"/>
      <c r="BE138" s="1718"/>
      <c r="BF138" s="1718"/>
      <c r="BG138" s="1718"/>
      <c r="BH138" s="1718"/>
      <c r="BI138" s="1718"/>
      <c r="BJ138" s="1718"/>
      <c r="BK138" s="1718"/>
      <c r="BL138" s="1718"/>
      <c r="BM138" s="1718"/>
      <c r="BN138" s="660"/>
      <c r="BO138" s="660"/>
      <c r="BP138" s="660"/>
      <c r="BQ138" s="660"/>
      <c r="BR138" s="660"/>
      <c r="BS138" s="660"/>
    </row>
    <row r="139" spans="2:71">
      <c r="B139" s="352">
        <v>123</v>
      </c>
      <c r="C139" s="470" t="s">
        <v>1776</v>
      </c>
      <c r="D139" s="470" t="s">
        <v>1768</v>
      </c>
      <c r="E139" s="470" t="s">
        <v>1363</v>
      </c>
      <c r="F139" s="633">
        <v>-8922463.8499999996</v>
      </c>
      <c r="G139" s="630">
        <f t="shared" si="42"/>
        <v>-3122862.3474999997</v>
      </c>
      <c r="H139" s="633">
        <v>-758409.42725000007</v>
      </c>
      <c r="I139" s="630">
        <f t="shared" si="43"/>
        <v>265443.29953750002</v>
      </c>
      <c r="J139" s="630">
        <f t="shared" si="44"/>
        <v>-3615828.4752125</v>
      </c>
      <c r="K139" s="652"/>
      <c r="L139" s="633">
        <f t="shared" si="45"/>
        <v>-8922463.8499999996</v>
      </c>
      <c r="M139" s="630">
        <f t="shared" si="46"/>
        <v>-1873717.4084999999</v>
      </c>
      <c r="N139" s="633">
        <v>-758409.42725000007</v>
      </c>
      <c r="O139" s="630">
        <f t="shared" si="47"/>
        <v>159265.97972250002</v>
      </c>
      <c r="P139" s="630">
        <f t="shared" si="48"/>
        <v>-2472860.8560275002</v>
      </c>
      <c r="Q139" s="630"/>
      <c r="R139" s="630">
        <f t="shared" si="49"/>
        <v>-1142967.6191849997</v>
      </c>
      <c r="S139" s="652"/>
      <c r="T139" s="633">
        <v>0</v>
      </c>
      <c r="U139" s="652"/>
      <c r="V139" s="633">
        <v>0</v>
      </c>
      <c r="W139" s="652"/>
      <c r="X139" s="630">
        <f t="shared" si="50"/>
        <v>-1142967.6191849997</v>
      </c>
      <c r="Y139" s="632"/>
      <c r="Z139" s="478" t="s">
        <v>1809</v>
      </c>
      <c r="AA139" s="631"/>
      <c r="AB139" s="478" t="s">
        <v>1807</v>
      </c>
      <c r="AC139" s="631"/>
      <c r="AD139" s="1727">
        <v>0</v>
      </c>
      <c r="AE139" s="631"/>
      <c r="AF139" s="630">
        <f t="shared" si="51"/>
        <v>0</v>
      </c>
      <c r="AG139" s="298"/>
      <c r="AH139" s="1510">
        <v>283</v>
      </c>
      <c r="AI139" s="352"/>
      <c r="AQ139" s="1718"/>
      <c r="AR139" s="1718"/>
      <c r="AS139" s="1718"/>
      <c r="AT139" s="1718"/>
      <c r="AU139" s="1718"/>
      <c r="BC139" s="1718"/>
      <c r="BD139" s="1718"/>
      <c r="BE139" s="1718"/>
      <c r="BF139" s="1718"/>
      <c r="BG139" s="1718"/>
      <c r="BH139" s="1718"/>
      <c r="BI139" s="1718"/>
      <c r="BJ139" s="1718"/>
      <c r="BK139" s="1718"/>
      <c r="BL139" s="1718"/>
      <c r="BM139" s="1718"/>
      <c r="BN139" s="660"/>
      <c r="BO139" s="660"/>
      <c r="BP139" s="660"/>
      <c r="BQ139" s="660"/>
      <c r="BR139" s="660"/>
      <c r="BS139" s="660"/>
    </row>
    <row r="140" spans="2:71">
      <c r="B140" s="352">
        <v>124</v>
      </c>
      <c r="C140" s="470" t="s">
        <v>1776</v>
      </c>
      <c r="D140" s="470" t="s">
        <v>1768</v>
      </c>
      <c r="E140" s="470" t="s">
        <v>1363</v>
      </c>
      <c r="F140" s="633">
        <v>-871249.9</v>
      </c>
      <c r="G140" s="630">
        <f t="shared" si="42"/>
        <v>-304937.46499999997</v>
      </c>
      <c r="H140" s="633">
        <v>-74056.241500000004</v>
      </c>
      <c r="I140" s="630">
        <f t="shared" si="43"/>
        <v>25919.684525000001</v>
      </c>
      <c r="J140" s="630">
        <f t="shared" si="44"/>
        <v>-353074.02197499998</v>
      </c>
      <c r="K140" s="652"/>
      <c r="L140" s="633">
        <f t="shared" si="45"/>
        <v>-871249.9</v>
      </c>
      <c r="M140" s="630">
        <f t="shared" si="46"/>
        <v>-182962.47899999999</v>
      </c>
      <c r="N140" s="633">
        <v>-74056.241500000004</v>
      </c>
      <c r="O140" s="630">
        <f t="shared" si="47"/>
        <v>15551.810715</v>
      </c>
      <c r="P140" s="630">
        <f t="shared" si="48"/>
        <v>-241466.909785</v>
      </c>
      <c r="Q140" s="630"/>
      <c r="R140" s="630">
        <f t="shared" si="49"/>
        <v>-111607.11218999999</v>
      </c>
      <c r="S140" s="652"/>
      <c r="T140" s="633">
        <v>0</v>
      </c>
      <c r="U140" s="652"/>
      <c r="V140" s="633">
        <v>0</v>
      </c>
      <c r="W140" s="652"/>
      <c r="X140" s="630">
        <f t="shared" si="50"/>
        <v>-111607.11218999999</v>
      </c>
      <c r="Y140" s="632"/>
      <c r="Z140" s="478" t="s">
        <v>1808</v>
      </c>
      <c r="AA140" s="631"/>
      <c r="AB140" s="478" t="s">
        <v>1807</v>
      </c>
      <c r="AC140" s="631"/>
      <c r="AD140" s="1727">
        <v>0</v>
      </c>
      <c r="AE140" s="631"/>
      <c r="AF140" s="630">
        <f t="shared" si="51"/>
        <v>0</v>
      </c>
      <c r="AG140" s="298"/>
      <c r="AH140" s="1510">
        <v>283</v>
      </c>
      <c r="AI140" s="352"/>
      <c r="AQ140" s="1718"/>
      <c r="AR140" s="1718"/>
      <c r="AS140" s="1718"/>
      <c r="AT140" s="1718"/>
      <c r="AU140" s="1718"/>
      <c r="BC140" s="1718"/>
      <c r="BD140" s="1718"/>
      <c r="BE140" s="1718"/>
      <c r="BF140" s="1718"/>
      <c r="BG140" s="1718"/>
      <c r="BH140" s="1718"/>
      <c r="BI140" s="1718"/>
      <c r="BJ140" s="1718"/>
      <c r="BK140" s="1718"/>
      <c r="BL140" s="1718"/>
      <c r="BM140" s="1718"/>
      <c r="BN140" s="660"/>
      <c r="BO140" s="660"/>
      <c r="BP140" s="660"/>
      <c r="BQ140" s="660"/>
      <c r="BR140" s="660"/>
      <c r="BS140" s="660"/>
    </row>
    <row r="141" spans="2:71">
      <c r="B141" s="352">
        <v>125</v>
      </c>
      <c r="C141" s="470" t="s">
        <v>1777</v>
      </c>
      <c r="D141" s="470" t="s">
        <v>1768</v>
      </c>
      <c r="E141" s="470" t="s">
        <v>1363</v>
      </c>
      <c r="F141" s="633">
        <v>-8185596.8899999997</v>
      </c>
      <c r="G141" s="630">
        <f t="shared" si="42"/>
        <v>-2864958.9114999999</v>
      </c>
      <c r="H141" s="633">
        <v>-695775.73565000005</v>
      </c>
      <c r="I141" s="630">
        <f t="shared" si="43"/>
        <v>243521.50747750001</v>
      </c>
      <c r="J141" s="630">
        <f t="shared" si="44"/>
        <v>-3317213.1396725001</v>
      </c>
      <c r="K141" s="652"/>
      <c r="L141" s="633">
        <f t="shared" si="45"/>
        <v>-8185596.8899999997</v>
      </c>
      <c r="M141" s="630">
        <f t="shared" si="46"/>
        <v>-1718975.3468999998</v>
      </c>
      <c r="N141" s="633">
        <v>-695775.73565000005</v>
      </c>
      <c r="O141" s="630">
        <f t="shared" si="47"/>
        <v>146112.90448650002</v>
      </c>
      <c r="P141" s="630">
        <f t="shared" si="48"/>
        <v>-2268638.1780634997</v>
      </c>
      <c r="Q141" s="630"/>
      <c r="R141" s="630">
        <f t="shared" si="49"/>
        <v>-1048574.9616090003</v>
      </c>
      <c r="S141" s="652"/>
      <c r="T141" s="633">
        <v>0</v>
      </c>
      <c r="U141" s="652"/>
      <c r="V141" s="633">
        <v>0</v>
      </c>
      <c r="W141" s="652"/>
      <c r="X141" s="630">
        <f t="shared" si="50"/>
        <v>-1048574.9616090003</v>
      </c>
      <c r="Y141" s="632"/>
      <c r="Z141" s="478" t="s">
        <v>240</v>
      </c>
      <c r="AA141" s="631"/>
      <c r="AB141" s="478" t="s">
        <v>1810</v>
      </c>
      <c r="AC141" s="631"/>
      <c r="AD141" s="1727">
        <v>6.0801999999999995E-2</v>
      </c>
      <c r="AE141" s="631"/>
      <c r="AF141" s="630">
        <f t="shared" si="51"/>
        <v>-63755.454815750432</v>
      </c>
      <c r="AG141" s="298"/>
      <c r="AH141" s="1510">
        <v>283</v>
      </c>
      <c r="AI141" s="352"/>
      <c r="AQ141" s="1718"/>
      <c r="AR141" s="1718"/>
      <c r="AS141" s="1718"/>
      <c r="AT141" s="1718"/>
      <c r="AU141" s="1718"/>
      <c r="BC141" s="1718"/>
      <c r="BD141" s="1718"/>
      <c r="BE141" s="1718"/>
      <c r="BF141" s="1718"/>
      <c r="BG141" s="1718"/>
      <c r="BH141" s="1718"/>
      <c r="BI141" s="1718"/>
      <c r="BJ141" s="1718"/>
      <c r="BK141" s="1718"/>
      <c r="BL141" s="1718"/>
      <c r="BM141" s="1718"/>
      <c r="BN141" s="660"/>
      <c r="BO141" s="660"/>
      <c r="BP141" s="660"/>
      <c r="BQ141" s="660"/>
      <c r="BR141" s="660"/>
      <c r="BS141" s="660"/>
    </row>
    <row r="142" spans="2:71">
      <c r="B142" s="352">
        <v>126</v>
      </c>
      <c r="C142" s="470" t="s">
        <v>1778</v>
      </c>
      <c r="D142" s="470" t="s">
        <v>1768</v>
      </c>
      <c r="E142" s="470" t="s">
        <v>1363</v>
      </c>
      <c r="F142" s="633">
        <v>-8413844.8900000006</v>
      </c>
      <c r="G142" s="630">
        <f t="shared" si="42"/>
        <v>-2944845.7115000002</v>
      </c>
      <c r="H142" s="633">
        <v>-715176.81565000012</v>
      </c>
      <c r="I142" s="630">
        <f t="shared" si="43"/>
        <v>250311.88547750004</v>
      </c>
      <c r="J142" s="630">
        <f t="shared" si="44"/>
        <v>-3409710.6416725004</v>
      </c>
      <c r="K142" s="652"/>
      <c r="L142" s="633">
        <f t="shared" si="45"/>
        <v>-8413844.8900000006</v>
      </c>
      <c r="M142" s="630">
        <f t="shared" si="46"/>
        <v>-1766907.4269000001</v>
      </c>
      <c r="N142" s="633">
        <v>-715176.81565000012</v>
      </c>
      <c r="O142" s="630">
        <f t="shared" si="47"/>
        <v>150187.13128650002</v>
      </c>
      <c r="P142" s="630">
        <f t="shared" si="48"/>
        <v>-2331897.1112635001</v>
      </c>
      <c r="Q142" s="630"/>
      <c r="R142" s="630">
        <f t="shared" si="49"/>
        <v>-1077813.5304090003</v>
      </c>
      <c r="S142" s="652"/>
      <c r="T142" s="633">
        <v>0</v>
      </c>
      <c r="U142" s="652"/>
      <c r="V142" s="633">
        <v>0</v>
      </c>
      <c r="W142" s="652"/>
      <c r="X142" s="630">
        <f t="shared" si="50"/>
        <v>-1077813.5304090003</v>
      </c>
      <c r="Y142" s="632"/>
      <c r="Z142" s="478" t="s">
        <v>1809</v>
      </c>
      <c r="AA142" s="631"/>
      <c r="AB142" s="478" t="s">
        <v>1807</v>
      </c>
      <c r="AC142" s="631"/>
      <c r="AD142" s="1727">
        <v>0</v>
      </c>
      <c r="AE142" s="631"/>
      <c r="AF142" s="630">
        <f t="shared" si="51"/>
        <v>0</v>
      </c>
      <c r="AG142" s="298"/>
      <c r="AH142" s="1510">
        <v>283</v>
      </c>
      <c r="AI142" s="352"/>
      <c r="AQ142" s="1718"/>
      <c r="AR142" s="1718"/>
      <c r="AS142" s="1718"/>
      <c r="AT142" s="1718"/>
      <c r="AU142" s="1718"/>
      <c r="BC142" s="1718"/>
      <c r="BD142" s="1718"/>
      <c r="BE142" s="1718"/>
      <c r="BF142" s="1718"/>
      <c r="BG142" s="1718"/>
      <c r="BH142" s="1718"/>
      <c r="BI142" s="1718"/>
      <c r="BJ142" s="1718"/>
      <c r="BK142" s="1718"/>
      <c r="BL142" s="1718"/>
      <c r="BM142" s="1718"/>
      <c r="BN142" s="660"/>
      <c r="BO142" s="660"/>
      <c r="BP142" s="660"/>
      <c r="BQ142" s="660"/>
      <c r="BR142" s="660"/>
      <c r="BS142" s="660"/>
    </row>
    <row r="143" spans="2:71">
      <c r="B143" s="352">
        <v>127</v>
      </c>
      <c r="C143" s="470" t="s">
        <v>1779</v>
      </c>
      <c r="D143" s="470" t="s">
        <v>1768</v>
      </c>
      <c r="E143" s="470" t="s">
        <v>1363</v>
      </c>
      <c r="F143" s="633">
        <v>-353648.88</v>
      </c>
      <c r="G143" s="630">
        <f t="shared" si="42"/>
        <v>-123777.10799999999</v>
      </c>
      <c r="H143" s="633">
        <v>-30060.154800000004</v>
      </c>
      <c r="I143" s="630">
        <f t="shared" si="43"/>
        <v>10521.054180000001</v>
      </c>
      <c r="J143" s="630">
        <f t="shared" si="44"/>
        <v>-143316.20861999999</v>
      </c>
      <c r="K143" s="652"/>
      <c r="L143" s="633">
        <f t="shared" si="45"/>
        <v>-353648.88</v>
      </c>
      <c r="M143" s="630">
        <f t="shared" si="46"/>
        <v>-74266.264800000004</v>
      </c>
      <c r="N143" s="633">
        <v>-30060.154800000004</v>
      </c>
      <c r="O143" s="630">
        <f t="shared" si="47"/>
        <v>6312.6325080000006</v>
      </c>
      <c r="P143" s="630">
        <f t="shared" si="48"/>
        <v>-98013.787092000013</v>
      </c>
      <c r="Q143" s="630"/>
      <c r="R143" s="630">
        <f t="shared" si="49"/>
        <v>-45302.421527999977</v>
      </c>
      <c r="S143" s="652"/>
      <c r="T143" s="633">
        <v>0</v>
      </c>
      <c r="U143" s="652"/>
      <c r="V143" s="633">
        <v>0</v>
      </c>
      <c r="W143" s="652"/>
      <c r="X143" s="630">
        <f t="shared" si="50"/>
        <v>-45302.421527999977</v>
      </c>
      <c r="Y143" s="632"/>
      <c r="Z143" s="478" t="s">
        <v>1809</v>
      </c>
      <c r="AA143" s="631"/>
      <c r="AB143" s="478" t="s">
        <v>1807</v>
      </c>
      <c r="AC143" s="631"/>
      <c r="AD143" s="1727">
        <v>0</v>
      </c>
      <c r="AE143" s="631"/>
      <c r="AF143" s="630">
        <f t="shared" si="51"/>
        <v>0</v>
      </c>
      <c r="AG143" s="298"/>
      <c r="AH143" s="1510">
        <v>283</v>
      </c>
      <c r="AI143" s="352"/>
      <c r="AQ143" s="1718"/>
      <c r="AR143" s="1718"/>
      <c r="AS143" s="1718"/>
      <c r="AT143" s="1718"/>
      <c r="AU143" s="1718"/>
      <c r="BC143" s="1718"/>
      <c r="BD143" s="1718"/>
      <c r="BE143" s="1718"/>
      <c r="BF143" s="1718"/>
      <c r="BG143" s="1718"/>
      <c r="BH143" s="1718"/>
      <c r="BI143" s="1718"/>
      <c r="BJ143" s="1718"/>
      <c r="BK143" s="1718"/>
      <c r="BL143" s="1718"/>
      <c r="BM143" s="1718"/>
      <c r="BN143" s="660"/>
      <c r="BO143" s="660"/>
      <c r="BP143" s="660"/>
      <c r="BQ143" s="660"/>
      <c r="BR143" s="660"/>
      <c r="BS143" s="660"/>
    </row>
    <row r="144" spans="2:71">
      <c r="B144" s="352">
        <v>128</v>
      </c>
      <c r="C144" s="470" t="s">
        <v>1780</v>
      </c>
      <c r="D144" s="470" t="s">
        <v>1768</v>
      </c>
      <c r="E144" s="470" t="s">
        <v>1363</v>
      </c>
      <c r="F144" s="633">
        <v>-559450.77</v>
      </c>
      <c r="G144" s="630">
        <f t="shared" si="42"/>
        <v>-195807.76949999999</v>
      </c>
      <c r="H144" s="633">
        <v>-47553.315450000002</v>
      </c>
      <c r="I144" s="630">
        <f t="shared" si="43"/>
        <v>16643.6604075</v>
      </c>
      <c r="J144" s="630">
        <f t="shared" si="44"/>
        <v>-226717.4245425</v>
      </c>
      <c r="K144" s="652"/>
      <c r="L144" s="633">
        <f t="shared" si="45"/>
        <v>-559450.77</v>
      </c>
      <c r="M144" s="630">
        <f t="shared" si="46"/>
        <v>-117484.6617</v>
      </c>
      <c r="N144" s="633">
        <v>-47553.315450000002</v>
      </c>
      <c r="O144" s="630">
        <f t="shared" si="47"/>
        <v>9986.1962445000008</v>
      </c>
      <c r="P144" s="630">
        <f t="shared" si="48"/>
        <v>-155051.7809055</v>
      </c>
      <c r="Q144" s="630"/>
      <c r="R144" s="630">
        <f t="shared" si="49"/>
        <v>-71665.643637000001</v>
      </c>
      <c r="S144" s="652"/>
      <c r="T144" s="633">
        <v>0</v>
      </c>
      <c r="U144" s="652"/>
      <c r="V144" s="633">
        <v>0</v>
      </c>
      <c r="W144" s="652"/>
      <c r="X144" s="630">
        <f t="shared" si="50"/>
        <v>-71665.643637000001</v>
      </c>
      <c r="Y144" s="632"/>
      <c r="Z144" s="478" t="s">
        <v>1808</v>
      </c>
      <c r="AA144" s="631"/>
      <c r="AB144" s="478" t="s">
        <v>1807</v>
      </c>
      <c r="AC144" s="631"/>
      <c r="AD144" s="1727">
        <v>0</v>
      </c>
      <c r="AE144" s="631"/>
      <c r="AF144" s="630">
        <f t="shared" si="51"/>
        <v>0</v>
      </c>
      <c r="AG144" s="298"/>
      <c r="AH144" s="1510">
        <v>283</v>
      </c>
      <c r="AI144" s="352"/>
      <c r="AQ144" s="1718"/>
      <c r="AR144" s="1718"/>
      <c r="AS144" s="1718"/>
      <c r="AT144" s="1718"/>
      <c r="AU144" s="1718"/>
      <c r="BC144" s="1718"/>
      <c r="BD144" s="1718"/>
      <c r="BE144" s="1718"/>
      <c r="BF144" s="1718"/>
      <c r="BG144" s="1718"/>
      <c r="BH144" s="1718"/>
      <c r="BI144" s="1718"/>
      <c r="BJ144" s="1718"/>
      <c r="BK144" s="1718"/>
      <c r="BL144" s="1718"/>
      <c r="BM144" s="1718"/>
      <c r="BN144" s="660"/>
      <c r="BO144" s="660"/>
      <c r="BP144" s="660"/>
      <c r="BQ144" s="660"/>
      <c r="BR144" s="660"/>
      <c r="BS144" s="660"/>
    </row>
    <row r="145" spans="2:71">
      <c r="B145" s="352">
        <v>129</v>
      </c>
      <c r="C145" s="470" t="s">
        <v>1781</v>
      </c>
      <c r="D145" s="470" t="s">
        <v>1768</v>
      </c>
      <c r="E145" s="470" t="s">
        <v>1363</v>
      </c>
      <c r="F145" s="633">
        <v>-13123093.93</v>
      </c>
      <c r="G145" s="630">
        <f t="shared" si="42"/>
        <v>-4593082.8754999992</v>
      </c>
      <c r="H145" s="633">
        <v>-1115462.9840500001</v>
      </c>
      <c r="I145" s="630">
        <f t="shared" si="43"/>
        <v>390412.04441750003</v>
      </c>
      <c r="J145" s="630">
        <f t="shared" si="44"/>
        <v>-5318133.8151324987</v>
      </c>
      <c r="K145" s="652"/>
      <c r="L145" s="633">
        <f t="shared" si="45"/>
        <v>-13123093.93</v>
      </c>
      <c r="M145" s="630">
        <f t="shared" si="46"/>
        <v>-2755849.7253</v>
      </c>
      <c r="N145" s="633">
        <v>-1115462.9840500001</v>
      </c>
      <c r="O145" s="630">
        <f t="shared" si="47"/>
        <v>234247.2266505</v>
      </c>
      <c r="P145" s="630">
        <f t="shared" si="48"/>
        <v>-3637065.4826994999</v>
      </c>
      <c r="Q145" s="630"/>
      <c r="R145" s="630">
        <f t="shared" si="49"/>
        <v>-1681068.3324329988</v>
      </c>
      <c r="S145" s="652"/>
      <c r="T145" s="633">
        <v>0</v>
      </c>
      <c r="U145" s="652"/>
      <c r="V145" s="633">
        <v>0</v>
      </c>
      <c r="W145" s="652"/>
      <c r="X145" s="630">
        <f t="shared" si="50"/>
        <v>-1681068.3324329988</v>
      </c>
      <c r="Y145" s="632"/>
      <c r="Z145" s="478" t="s">
        <v>1809</v>
      </c>
      <c r="AA145" s="631"/>
      <c r="AB145" s="478" t="s">
        <v>1807</v>
      </c>
      <c r="AC145" s="631"/>
      <c r="AD145" s="1727">
        <v>0</v>
      </c>
      <c r="AE145" s="631"/>
      <c r="AF145" s="630">
        <f t="shared" si="51"/>
        <v>0</v>
      </c>
      <c r="AG145" s="298"/>
      <c r="AH145" s="1510">
        <v>283</v>
      </c>
      <c r="AI145" s="352"/>
      <c r="AQ145" s="1718"/>
      <c r="AR145" s="1718"/>
      <c r="AS145" s="1718"/>
      <c r="AT145" s="1718"/>
      <c r="AU145" s="1718"/>
      <c r="BC145" s="1718"/>
      <c r="BD145" s="1718"/>
      <c r="BE145" s="1718"/>
      <c r="BF145" s="1718"/>
      <c r="BG145" s="1718"/>
      <c r="BH145" s="1718"/>
      <c r="BI145" s="1718"/>
      <c r="BJ145" s="1718"/>
      <c r="BK145" s="1718"/>
      <c r="BL145" s="1718"/>
      <c r="BM145" s="1718"/>
      <c r="BN145" s="660"/>
      <c r="BO145" s="660"/>
      <c r="BP145" s="660"/>
      <c r="BQ145" s="660"/>
      <c r="BR145" s="660"/>
      <c r="BS145" s="660"/>
    </row>
    <row r="146" spans="2:71">
      <c r="B146" s="352">
        <v>130</v>
      </c>
      <c r="C146" s="470" t="s">
        <v>1782</v>
      </c>
      <c r="D146" s="470" t="s">
        <v>1768</v>
      </c>
      <c r="E146" s="470" t="s">
        <v>1363</v>
      </c>
      <c r="F146" s="633">
        <v>-454445.5</v>
      </c>
      <c r="G146" s="630">
        <f t="shared" ref="G146:G169" si="52">F146*0.35</f>
        <v>-159055.92499999999</v>
      </c>
      <c r="H146" s="633">
        <v>-38627.8675</v>
      </c>
      <c r="I146" s="630">
        <f t="shared" ref="I146:I169" si="53">H146*-0.35</f>
        <v>13519.753624999999</v>
      </c>
      <c r="J146" s="630">
        <f t="shared" ref="J146:J169" si="54">G146+H146+I146</f>
        <v>-184164.03887499997</v>
      </c>
      <c r="K146" s="652"/>
      <c r="L146" s="633">
        <f t="shared" ref="L146:L168" si="55">F146</f>
        <v>-454445.5</v>
      </c>
      <c r="M146" s="630">
        <f t="shared" ref="M146:M169" si="56">L146*0.21</f>
        <v>-95433.554999999993</v>
      </c>
      <c r="N146" s="633">
        <v>-38627.8675</v>
      </c>
      <c r="O146" s="630">
        <f t="shared" ref="O146:O169" si="57">N146*-0.21</f>
        <v>8111.852175</v>
      </c>
      <c r="P146" s="630">
        <f t="shared" ref="P146:P169" si="58">M146+N146+O146</f>
        <v>-125949.57032499998</v>
      </c>
      <c r="Q146" s="630"/>
      <c r="R146" s="630">
        <f t="shared" ref="R146:R169" si="59">J146-P146</f>
        <v>-58214.468549999991</v>
      </c>
      <c r="S146" s="652"/>
      <c r="T146" s="633">
        <v>0</v>
      </c>
      <c r="U146" s="652"/>
      <c r="V146" s="633">
        <v>0</v>
      </c>
      <c r="W146" s="652"/>
      <c r="X146" s="630">
        <f t="shared" ref="X146:X169" si="60">R146-T146-V146</f>
        <v>-58214.468549999991</v>
      </c>
      <c r="Y146" s="632"/>
      <c r="Z146" s="478" t="s">
        <v>1811</v>
      </c>
      <c r="AA146" s="631"/>
      <c r="AB146" s="478" t="s">
        <v>1810</v>
      </c>
      <c r="AC146" s="631"/>
      <c r="AD146" s="1728">
        <v>0</v>
      </c>
      <c r="AE146" s="631"/>
      <c r="AF146" s="630">
        <f t="shared" ref="AF146:AF169" si="61">X146*AD146</f>
        <v>0</v>
      </c>
      <c r="AG146" s="298"/>
      <c r="AH146" s="1510">
        <v>283</v>
      </c>
      <c r="AI146" s="352"/>
      <c r="AQ146" s="1718"/>
      <c r="AR146" s="1718"/>
      <c r="AS146" s="1718"/>
      <c r="AT146" s="1718"/>
      <c r="AU146" s="1718"/>
      <c r="BC146" s="1718"/>
      <c r="BD146" s="1718"/>
      <c r="BE146" s="1718"/>
      <c r="BF146" s="1718"/>
      <c r="BG146" s="1718"/>
      <c r="BH146" s="1718"/>
      <c r="BI146" s="1718"/>
      <c r="BJ146" s="1718"/>
      <c r="BK146" s="1718"/>
      <c r="BL146" s="1718"/>
      <c r="BM146" s="1718"/>
      <c r="BN146" s="660"/>
      <c r="BO146" s="660"/>
      <c r="BP146" s="660"/>
      <c r="BQ146" s="660"/>
      <c r="BR146" s="660"/>
      <c r="BS146" s="660"/>
    </row>
    <row r="147" spans="2:71">
      <c r="B147" s="352">
        <v>131</v>
      </c>
      <c r="C147" s="470" t="s">
        <v>1783</v>
      </c>
      <c r="D147" s="470" t="s">
        <v>1768</v>
      </c>
      <c r="E147" s="470" t="s">
        <v>1363</v>
      </c>
      <c r="F147" s="633">
        <v>3762977</v>
      </c>
      <c r="G147" s="630">
        <f t="shared" si="52"/>
        <v>1317041.95</v>
      </c>
      <c r="H147" s="633">
        <v>319853.04500000004</v>
      </c>
      <c r="I147" s="630">
        <f t="shared" si="53"/>
        <v>-111948.56575000001</v>
      </c>
      <c r="J147" s="630">
        <f t="shared" si="54"/>
        <v>1524946.42925</v>
      </c>
      <c r="K147" s="652"/>
      <c r="L147" s="633">
        <f t="shared" si="55"/>
        <v>3762977</v>
      </c>
      <c r="M147" s="630">
        <f t="shared" si="56"/>
        <v>790225.16999999993</v>
      </c>
      <c r="N147" s="633">
        <v>319853.04500000004</v>
      </c>
      <c r="O147" s="630">
        <f t="shared" si="57"/>
        <v>-67169.139450000002</v>
      </c>
      <c r="P147" s="630">
        <f t="shared" si="58"/>
        <v>1042909.0755499998</v>
      </c>
      <c r="Q147" s="630"/>
      <c r="R147" s="630">
        <f t="shared" si="59"/>
        <v>482037.35370000021</v>
      </c>
      <c r="S147" s="652"/>
      <c r="T147" s="633">
        <v>0</v>
      </c>
      <c r="U147" s="652"/>
      <c r="V147" s="633">
        <v>0</v>
      </c>
      <c r="W147" s="652"/>
      <c r="X147" s="630">
        <f t="shared" si="60"/>
        <v>482037.35370000021</v>
      </c>
      <c r="Y147" s="632"/>
      <c r="Z147" s="478" t="s">
        <v>1809</v>
      </c>
      <c r="AA147" s="631"/>
      <c r="AB147" s="478" t="s">
        <v>1807</v>
      </c>
      <c r="AC147" s="631"/>
      <c r="AD147" s="1727">
        <v>0</v>
      </c>
      <c r="AE147" s="631"/>
      <c r="AF147" s="630">
        <f t="shared" si="61"/>
        <v>0</v>
      </c>
      <c r="AG147" s="298"/>
      <c r="AH147" s="1510">
        <v>283</v>
      </c>
      <c r="AI147" s="352"/>
      <c r="AQ147" s="1718"/>
      <c r="AR147" s="1718"/>
      <c r="AS147" s="1718"/>
      <c r="AT147" s="1718"/>
      <c r="AU147" s="1718"/>
      <c r="BC147" s="1718"/>
      <c r="BD147" s="1718"/>
      <c r="BE147" s="1718"/>
      <c r="BF147" s="1718"/>
      <c r="BG147" s="1718"/>
      <c r="BH147" s="1718"/>
      <c r="BI147" s="1718"/>
      <c r="BJ147" s="1718"/>
      <c r="BK147" s="1718"/>
      <c r="BL147" s="1718"/>
      <c r="BM147" s="1718"/>
      <c r="BN147" s="660"/>
      <c r="BO147" s="660"/>
      <c r="BP147" s="660"/>
      <c r="BQ147" s="660"/>
      <c r="BR147" s="660"/>
      <c r="BS147" s="660"/>
    </row>
    <row r="148" spans="2:71">
      <c r="B148" s="352">
        <v>132</v>
      </c>
      <c r="C148" s="470" t="s">
        <v>1784</v>
      </c>
      <c r="D148" s="470" t="s">
        <v>1785</v>
      </c>
      <c r="E148" s="470" t="s">
        <v>1363</v>
      </c>
      <c r="F148" s="633">
        <v>-5079637.71</v>
      </c>
      <c r="G148" s="630">
        <f t="shared" si="52"/>
        <v>-1777873.1984999999</v>
      </c>
      <c r="H148" s="633">
        <v>-431769.20535</v>
      </c>
      <c r="I148" s="630">
        <f t="shared" si="53"/>
        <v>151119.2218725</v>
      </c>
      <c r="J148" s="630">
        <f t="shared" si="54"/>
        <v>-2058523.1819775</v>
      </c>
      <c r="K148" s="652"/>
      <c r="L148" s="633">
        <f t="shared" si="55"/>
        <v>-5079637.71</v>
      </c>
      <c r="M148" s="630">
        <f t="shared" si="56"/>
        <v>-1066723.9191000001</v>
      </c>
      <c r="N148" s="633">
        <v>-431769.20535</v>
      </c>
      <c r="O148" s="630">
        <f t="shared" si="57"/>
        <v>90671.53312349999</v>
      </c>
      <c r="P148" s="630">
        <f t="shared" si="58"/>
        <v>-1407821.5913265001</v>
      </c>
      <c r="Q148" s="630"/>
      <c r="R148" s="630">
        <f t="shared" si="59"/>
        <v>-650701.59065099992</v>
      </c>
      <c r="S148" s="652"/>
      <c r="T148" s="633">
        <v>0</v>
      </c>
      <c r="U148" s="652"/>
      <c r="V148" s="633">
        <v>0</v>
      </c>
      <c r="W148" s="652"/>
      <c r="X148" s="630">
        <f t="shared" si="60"/>
        <v>-650701.59065099992</v>
      </c>
      <c r="Y148" s="632"/>
      <c r="Z148" s="478" t="s">
        <v>1809</v>
      </c>
      <c r="AA148" s="631"/>
      <c r="AB148" s="478" t="s">
        <v>1807</v>
      </c>
      <c r="AC148" s="631"/>
      <c r="AD148" s="1727">
        <v>0</v>
      </c>
      <c r="AE148" s="631"/>
      <c r="AF148" s="630">
        <f t="shared" si="61"/>
        <v>0</v>
      </c>
      <c r="AG148" s="298"/>
      <c r="AH148" s="1510">
        <v>283</v>
      </c>
      <c r="AI148" s="352"/>
      <c r="AQ148" s="1718"/>
      <c r="AR148" s="1718"/>
      <c r="AS148" s="1718"/>
      <c r="AT148" s="1718"/>
      <c r="AU148" s="1718"/>
      <c r="BC148" s="1718"/>
      <c r="BD148" s="1718"/>
      <c r="BE148" s="1718"/>
      <c r="BF148" s="1718"/>
      <c r="BG148" s="1718"/>
      <c r="BH148" s="1718"/>
      <c r="BI148" s="1718"/>
      <c r="BJ148" s="1718"/>
      <c r="BK148" s="1718"/>
      <c r="BL148" s="1718"/>
      <c r="BM148" s="1718"/>
      <c r="BN148" s="660"/>
      <c r="BO148" s="660"/>
      <c r="BP148" s="660"/>
      <c r="BQ148" s="660"/>
      <c r="BR148" s="660"/>
      <c r="BS148" s="660"/>
    </row>
    <row r="149" spans="2:71">
      <c r="B149" s="352">
        <v>133</v>
      </c>
      <c r="C149" s="470" t="s">
        <v>1786</v>
      </c>
      <c r="D149" s="470" t="s">
        <v>1685</v>
      </c>
      <c r="E149" s="470" t="s">
        <v>1363</v>
      </c>
      <c r="F149" s="633">
        <v>-34891471.530000001</v>
      </c>
      <c r="G149" s="630">
        <f t="shared" si="52"/>
        <v>-12212015.035499999</v>
      </c>
      <c r="H149" s="633">
        <v>-2965775.0800500005</v>
      </c>
      <c r="I149" s="630">
        <f t="shared" si="53"/>
        <v>1038021.2780175001</v>
      </c>
      <c r="J149" s="630">
        <f t="shared" si="54"/>
        <v>-14139768.8375325</v>
      </c>
      <c r="K149" s="652"/>
      <c r="L149" s="633">
        <f t="shared" si="55"/>
        <v>-34891471.530000001</v>
      </c>
      <c r="M149" s="630">
        <f t="shared" si="56"/>
        <v>-7327209.0213000001</v>
      </c>
      <c r="N149" s="633">
        <v>-2965775.0800500005</v>
      </c>
      <c r="O149" s="630">
        <f t="shared" si="57"/>
        <v>622812.76681050006</v>
      </c>
      <c r="P149" s="630">
        <f t="shared" si="58"/>
        <v>-9670171.3345394991</v>
      </c>
      <c r="Q149" s="630"/>
      <c r="R149" s="630">
        <f t="shared" si="59"/>
        <v>-4469597.5029930007</v>
      </c>
      <c r="S149" s="652"/>
      <c r="T149" s="633">
        <v>0</v>
      </c>
      <c r="U149" s="652"/>
      <c r="V149" s="633">
        <v>0</v>
      </c>
      <c r="W149" s="652"/>
      <c r="X149" s="630">
        <f t="shared" si="60"/>
        <v>-4469597.5029930007</v>
      </c>
      <c r="Y149" s="632"/>
      <c r="Z149" s="478" t="s">
        <v>1811</v>
      </c>
      <c r="AA149" s="631"/>
      <c r="AB149" s="478" t="s">
        <v>1810</v>
      </c>
      <c r="AC149" s="631"/>
      <c r="AD149" s="1727">
        <v>0</v>
      </c>
      <c r="AE149" s="631"/>
      <c r="AF149" s="630">
        <f t="shared" si="61"/>
        <v>0</v>
      </c>
      <c r="AG149" s="298"/>
      <c r="AH149" s="1510">
        <v>283</v>
      </c>
      <c r="AI149" s="352"/>
      <c r="AQ149" s="1718"/>
      <c r="AR149" s="1718"/>
      <c r="AS149" s="1718"/>
      <c r="AT149" s="1718"/>
      <c r="AU149" s="1718"/>
      <c r="BC149" s="1718"/>
      <c r="BD149" s="1718"/>
      <c r="BE149" s="1718"/>
      <c r="BF149" s="1718"/>
      <c r="BG149" s="1718"/>
      <c r="BH149" s="1718"/>
      <c r="BI149" s="1718"/>
      <c r="BJ149" s="1718"/>
      <c r="BK149" s="1718"/>
      <c r="BL149" s="1718"/>
      <c r="BM149" s="1718"/>
      <c r="BN149" s="660"/>
      <c r="BO149" s="660"/>
      <c r="BP149" s="660"/>
      <c r="BQ149" s="660"/>
      <c r="BR149" s="660"/>
      <c r="BS149" s="660"/>
    </row>
    <row r="150" spans="2:71">
      <c r="B150" s="352">
        <v>134</v>
      </c>
      <c r="C150" s="470" t="s">
        <v>1787</v>
      </c>
      <c r="D150" s="470" t="s">
        <v>1685</v>
      </c>
      <c r="E150" s="470" t="s">
        <v>1363</v>
      </c>
      <c r="F150" s="633">
        <v>6566664.9500000002</v>
      </c>
      <c r="G150" s="630">
        <f t="shared" si="52"/>
        <v>2298332.7324999999</v>
      </c>
      <c r="H150" s="633">
        <v>558166.52075000003</v>
      </c>
      <c r="I150" s="630">
        <f t="shared" si="53"/>
        <v>-195358.2822625</v>
      </c>
      <c r="J150" s="630">
        <f t="shared" si="54"/>
        <v>2661140.9709875002</v>
      </c>
      <c r="K150" s="652"/>
      <c r="L150" s="633">
        <f t="shared" si="55"/>
        <v>6566664.9500000002</v>
      </c>
      <c r="M150" s="630">
        <f t="shared" si="56"/>
        <v>1378999.6395</v>
      </c>
      <c r="N150" s="633">
        <v>558166.52075000003</v>
      </c>
      <c r="O150" s="630">
        <f t="shared" si="57"/>
        <v>-117214.9693575</v>
      </c>
      <c r="P150" s="630">
        <f t="shared" si="58"/>
        <v>1819951.1908925001</v>
      </c>
      <c r="Q150" s="630"/>
      <c r="R150" s="630">
        <f t="shared" si="59"/>
        <v>841189.78009500005</v>
      </c>
      <c r="S150" s="652"/>
      <c r="T150" s="633">
        <v>0</v>
      </c>
      <c r="U150" s="652"/>
      <c r="V150" s="633">
        <v>0</v>
      </c>
      <c r="W150" s="652"/>
      <c r="X150" s="630">
        <f t="shared" si="60"/>
        <v>841189.78009500005</v>
      </c>
      <c r="Y150" s="632"/>
      <c r="Z150" s="478" t="s">
        <v>1808</v>
      </c>
      <c r="AA150" s="631"/>
      <c r="AB150" s="478" t="s">
        <v>1807</v>
      </c>
      <c r="AC150" s="631"/>
      <c r="AD150" s="1727">
        <v>0</v>
      </c>
      <c r="AE150" s="631"/>
      <c r="AF150" s="630">
        <f t="shared" si="61"/>
        <v>0</v>
      </c>
      <c r="AG150" s="298"/>
      <c r="AH150" s="1510">
        <v>283</v>
      </c>
      <c r="AI150" s="352"/>
      <c r="AQ150" s="1718"/>
      <c r="AR150" s="1718"/>
      <c r="AS150" s="1718"/>
      <c r="AT150" s="1718"/>
      <c r="AU150" s="1718"/>
      <c r="BC150" s="1718"/>
      <c r="BD150" s="1718"/>
      <c r="BE150" s="1718"/>
      <c r="BF150" s="1718"/>
      <c r="BG150" s="1718"/>
      <c r="BH150" s="1718"/>
      <c r="BI150" s="1718"/>
      <c r="BJ150" s="1718"/>
      <c r="BK150" s="1718"/>
      <c r="BL150" s="1718"/>
      <c r="BM150" s="1718"/>
      <c r="BN150" s="660"/>
      <c r="BO150" s="660"/>
      <c r="BP150" s="660"/>
      <c r="BQ150" s="660"/>
      <c r="BR150" s="660"/>
      <c r="BS150" s="660"/>
    </row>
    <row r="151" spans="2:71">
      <c r="B151" s="352">
        <v>135</v>
      </c>
      <c r="C151" s="470" t="s">
        <v>1788</v>
      </c>
      <c r="D151" s="470" t="s">
        <v>1685</v>
      </c>
      <c r="E151" s="470" t="s">
        <v>1363</v>
      </c>
      <c r="F151" s="633">
        <v>3421999.71</v>
      </c>
      <c r="G151" s="630">
        <f t="shared" si="52"/>
        <v>1197699.8984999999</v>
      </c>
      <c r="H151" s="633">
        <v>290869.97535000002</v>
      </c>
      <c r="I151" s="630">
        <f t="shared" si="53"/>
        <v>-101804.49137250001</v>
      </c>
      <c r="J151" s="630">
        <f t="shared" si="54"/>
        <v>1386765.3824774998</v>
      </c>
      <c r="K151" s="652"/>
      <c r="L151" s="633">
        <f t="shared" si="55"/>
        <v>3421999.71</v>
      </c>
      <c r="M151" s="630">
        <f t="shared" si="56"/>
        <v>718619.93909999996</v>
      </c>
      <c r="N151" s="633">
        <v>290869.97535000002</v>
      </c>
      <c r="O151" s="630">
        <f t="shared" si="57"/>
        <v>-61082.694823500002</v>
      </c>
      <c r="P151" s="630">
        <f t="shared" si="58"/>
        <v>948407.21962650004</v>
      </c>
      <c r="Q151" s="630"/>
      <c r="R151" s="630">
        <f t="shared" si="59"/>
        <v>438358.16285099974</v>
      </c>
      <c r="S151" s="652"/>
      <c r="T151" s="633">
        <v>0</v>
      </c>
      <c r="U151" s="652"/>
      <c r="V151" s="633">
        <v>0</v>
      </c>
      <c r="W151" s="652"/>
      <c r="X151" s="630">
        <f t="shared" si="60"/>
        <v>438358.16285099974</v>
      </c>
      <c r="Y151" s="632"/>
      <c r="Z151" s="478" t="s">
        <v>1809</v>
      </c>
      <c r="AA151" s="631"/>
      <c r="AB151" s="478" t="s">
        <v>1807</v>
      </c>
      <c r="AC151" s="631"/>
      <c r="AD151" s="1727">
        <v>0</v>
      </c>
      <c r="AE151" s="631"/>
      <c r="AF151" s="630">
        <f t="shared" si="61"/>
        <v>0</v>
      </c>
      <c r="AG151" s="298"/>
      <c r="AH151" s="1510">
        <v>283</v>
      </c>
      <c r="AI151" s="352"/>
      <c r="AQ151" s="1718"/>
      <c r="AR151" s="1718"/>
      <c r="AS151" s="1718"/>
      <c r="AT151" s="1718"/>
      <c r="AU151" s="1718"/>
      <c r="BC151" s="1718"/>
      <c r="BD151" s="1718"/>
      <c r="BE151" s="1718"/>
      <c r="BF151" s="1718"/>
      <c r="BG151" s="1718"/>
      <c r="BH151" s="1718"/>
      <c r="BI151" s="1718"/>
      <c r="BJ151" s="1718"/>
      <c r="BK151" s="1718"/>
      <c r="BL151" s="1718"/>
      <c r="BM151" s="1718"/>
      <c r="BN151" s="660"/>
      <c r="BO151" s="660"/>
      <c r="BP151" s="660"/>
      <c r="BQ151" s="660"/>
      <c r="BR151" s="660"/>
      <c r="BS151" s="660"/>
    </row>
    <row r="152" spans="2:71">
      <c r="B152" s="352">
        <v>136</v>
      </c>
      <c r="C152" s="470" t="s">
        <v>1789</v>
      </c>
      <c r="D152" s="470" t="s">
        <v>1685</v>
      </c>
      <c r="E152" s="470" t="s">
        <v>1363</v>
      </c>
      <c r="F152" s="633">
        <v>-22183141.48</v>
      </c>
      <c r="G152" s="630">
        <f t="shared" si="52"/>
        <v>-7764099.5179999992</v>
      </c>
      <c r="H152" s="633">
        <v>-1885567.0258000002</v>
      </c>
      <c r="I152" s="630">
        <f t="shared" si="53"/>
        <v>659948.45903000003</v>
      </c>
      <c r="J152" s="630">
        <f t="shared" si="54"/>
        <v>-8989718.0847699996</v>
      </c>
      <c r="K152" s="652"/>
      <c r="L152" s="633">
        <f t="shared" si="55"/>
        <v>-22183141.48</v>
      </c>
      <c r="M152" s="630">
        <f t="shared" si="56"/>
        <v>-4658459.7107999995</v>
      </c>
      <c r="N152" s="633">
        <v>-1885567.0258000002</v>
      </c>
      <c r="O152" s="630">
        <f t="shared" si="57"/>
        <v>395969.07541800005</v>
      </c>
      <c r="P152" s="630">
        <f t="shared" si="58"/>
        <v>-6148057.6611819994</v>
      </c>
      <c r="Q152" s="630"/>
      <c r="R152" s="630">
        <f t="shared" si="59"/>
        <v>-2841660.4235880002</v>
      </c>
      <c r="S152" s="652"/>
      <c r="T152" s="633">
        <v>0</v>
      </c>
      <c r="U152" s="652"/>
      <c r="V152" s="633">
        <v>0</v>
      </c>
      <c r="W152" s="652"/>
      <c r="X152" s="630">
        <f t="shared" si="60"/>
        <v>-2841660.4235880002</v>
      </c>
      <c r="Y152" s="632"/>
      <c r="Z152" s="478" t="s">
        <v>1811</v>
      </c>
      <c r="AA152" s="631"/>
      <c r="AB152" s="478" t="s">
        <v>1810</v>
      </c>
      <c r="AC152" s="631"/>
      <c r="AD152" s="1727">
        <v>0</v>
      </c>
      <c r="AE152" s="631"/>
      <c r="AF152" s="630">
        <f t="shared" si="61"/>
        <v>0</v>
      </c>
      <c r="AG152" s="298"/>
      <c r="AH152" s="1510">
        <v>283</v>
      </c>
      <c r="AI152" s="352"/>
      <c r="AQ152" s="1718"/>
      <c r="AR152" s="1718"/>
      <c r="AS152" s="1718"/>
      <c r="AT152" s="1718"/>
      <c r="AU152" s="1718"/>
      <c r="BC152" s="1718"/>
      <c r="BD152" s="1718"/>
      <c r="BE152" s="1718"/>
      <c r="BF152" s="1718"/>
      <c r="BG152" s="1718"/>
      <c r="BH152" s="1718"/>
      <c r="BI152" s="1718"/>
      <c r="BJ152" s="1718"/>
      <c r="BK152" s="1718"/>
      <c r="BL152" s="1718"/>
      <c r="BM152" s="1718"/>
      <c r="BN152" s="660"/>
      <c r="BO152" s="660"/>
      <c r="BP152" s="660"/>
      <c r="BQ152" s="660"/>
      <c r="BR152" s="660"/>
      <c r="BS152" s="660"/>
    </row>
    <row r="153" spans="2:71">
      <c r="B153" s="352">
        <v>137</v>
      </c>
      <c r="C153" s="470" t="s">
        <v>1790</v>
      </c>
      <c r="D153" s="470" t="s">
        <v>1685</v>
      </c>
      <c r="E153" s="470" t="s">
        <v>1363</v>
      </c>
      <c r="F153" s="633">
        <v>-265986.48</v>
      </c>
      <c r="G153" s="630">
        <f t="shared" si="52"/>
        <v>-93095.267999999982</v>
      </c>
      <c r="H153" s="633">
        <v>-22608.8508</v>
      </c>
      <c r="I153" s="630">
        <f t="shared" si="53"/>
        <v>7913.0977799999991</v>
      </c>
      <c r="J153" s="630">
        <f t="shared" si="54"/>
        <v>-107791.02101999999</v>
      </c>
      <c r="K153" s="652"/>
      <c r="L153" s="633">
        <f t="shared" si="55"/>
        <v>-265986.48</v>
      </c>
      <c r="M153" s="630">
        <f t="shared" si="56"/>
        <v>-55857.160799999991</v>
      </c>
      <c r="N153" s="633">
        <v>-22608.8508</v>
      </c>
      <c r="O153" s="630">
        <f t="shared" si="57"/>
        <v>4747.8586679999999</v>
      </c>
      <c r="P153" s="630">
        <f t="shared" si="58"/>
        <v>-73718.152931999997</v>
      </c>
      <c r="Q153" s="630"/>
      <c r="R153" s="630">
        <f t="shared" si="59"/>
        <v>-34072.868087999988</v>
      </c>
      <c r="S153" s="652"/>
      <c r="T153" s="633">
        <v>0</v>
      </c>
      <c r="U153" s="652"/>
      <c r="V153" s="633">
        <v>0</v>
      </c>
      <c r="W153" s="652"/>
      <c r="X153" s="630">
        <f t="shared" si="60"/>
        <v>-34072.868087999988</v>
      </c>
      <c r="Y153" s="632"/>
      <c r="Z153" s="478" t="s">
        <v>1811</v>
      </c>
      <c r="AA153" s="631"/>
      <c r="AB153" s="478" t="s">
        <v>1810</v>
      </c>
      <c r="AC153" s="631"/>
      <c r="AD153" s="1727">
        <v>0</v>
      </c>
      <c r="AE153" s="631"/>
      <c r="AF153" s="630">
        <f t="shared" si="61"/>
        <v>0</v>
      </c>
      <c r="AG153" s="298"/>
      <c r="AH153" s="1510">
        <v>283</v>
      </c>
      <c r="AI153" s="352"/>
      <c r="AQ153" s="1718"/>
      <c r="AR153" s="1718"/>
      <c r="AS153" s="1718"/>
      <c r="AT153" s="1718"/>
      <c r="AU153" s="1718"/>
      <c r="BC153" s="1718"/>
      <c r="BD153" s="1718"/>
      <c r="BE153" s="1718"/>
      <c r="BF153" s="1718"/>
      <c r="BG153" s="1718"/>
      <c r="BH153" s="1718"/>
      <c r="BI153" s="1718"/>
      <c r="BJ153" s="1718"/>
      <c r="BK153" s="1718"/>
      <c r="BL153" s="1718"/>
      <c r="BM153" s="1718"/>
      <c r="BN153" s="660"/>
      <c r="BO153" s="660"/>
      <c r="BP153" s="660"/>
      <c r="BQ153" s="660"/>
      <c r="BR153" s="660"/>
      <c r="BS153" s="660"/>
    </row>
    <row r="154" spans="2:71">
      <c r="B154" s="352">
        <v>138</v>
      </c>
      <c r="C154" s="470" t="s">
        <v>1791</v>
      </c>
      <c r="D154" s="470" t="s">
        <v>1685</v>
      </c>
      <c r="E154" s="470" t="s">
        <v>1363</v>
      </c>
      <c r="F154" s="633">
        <v>-85416.6</v>
      </c>
      <c r="G154" s="630">
        <f t="shared" si="52"/>
        <v>-29895.81</v>
      </c>
      <c r="H154" s="633">
        <v>-7260.411000000001</v>
      </c>
      <c r="I154" s="630">
        <f t="shared" si="53"/>
        <v>2541.1438500000004</v>
      </c>
      <c r="J154" s="630">
        <f t="shared" si="54"/>
        <v>-34615.077150000005</v>
      </c>
      <c r="K154" s="652"/>
      <c r="L154" s="633">
        <f t="shared" si="55"/>
        <v>-85416.6</v>
      </c>
      <c r="M154" s="630">
        <f t="shared" si="56"/>
        <v>-17937.486000000001</v>
      </c>
      <c r="N154" s="633">
        <v>-7260.411000000001</v>
      </c>
      <c r="O154" s="630">
        <f t="shared" si="57"/>
        <v>1524.68631</v>
      </c>
      <c r="P154" s="630">
        <f t="shared" si="58"/>
        <v>-23673.21069</v>
      </c>
      <c r="Q154" s="630"/>
      <c r="R154" s="630">
        <f t="shared" si="59"/>
        <v>-10941.866460000005</v>
      </c>
      <c r="S154" s="652"/>
      <c r="T154" s="633">
        <v>0</v>
      </c>
      <c r="U154" s="652"/>
      <c r="V154" s="633">
        <v>0</v>
      </c>
      <c r="W154" s="652"/>
      <c r="X154" s="630">
        <f t="shared" si="60"/>
        <v>-10941.866460000005</v>
      </c>
      <c r="Y154" s="632"/>
      <c r="Z154" s="478" t="s">
        <v>1808</v>
      </c>
      <c r="AA154" s="631"/>
      <c r="AB154" s="478" t="s">
        <v>1807</v>
      </c>
      <c r="AC154" s="631"/>
      <c r="AD154" s="1727">
        <v>0</v>
      </c>
      <c r="AE154" s="631"/>
      <c r="AF154" s="630">
        <f t="shared" si="61"/>
        <v>0</v>
      </c>
      <c r="AG154" s="298"/>
      <c r="AH154" s="1510">
        <v>283</v>
      </c>
      <c r="AI154" s="352"/>
      <c r="AQ154" s="1718"/>
      <c r="AR154" s="1718"/>
      <c r="AS154" s="1718"/>
      <c r="AT154" s="1718"/>
      <c r="AU154" s="1718"/>
      <c r="BC154" s="1718"/>
      <c r="BD154" s="1718"/>
      <c r="BE154" s="1718"/>
      <c r="BF154" s="1718"/>
      <c r="BG154" s="1718"/>
      <c r="BH154" s="1718"/>
      <c r="BI154" s="1718"/>
      <c r="BJ154" s="1718"/>
      <c r="BK154" s="1718"/>
      <c r="BL154" s="1718"/>
      <c r="BM154" s="1718"/>
      <c r="BN154" s="660"/>
      <c r="BO154" s="660"/>
      <c r="BP154" s="660"/>
      <c r="BQ154" s="660"/>
      <c r="BR154" s="660"/>
      <c r="BS154" s="660"/>
    </row>
    <row r="155" spans="2:71">
      <c r="B155" s="352">
        <v>139</v>
      </c>
      <c r="C155" s="470" t="s">
        <v>1792</v>
      </c>
      <c r="D155" s="470" t="s">
        <v>1685</v>
      </c>
      <c r="E155" s="470" t="s">
        <v>1363</v>
      </c>
      <c r="F155" s="633">
        <v>34891471.530000001</v>
      </c>
      <c r="G155" s="630">
        <f t="shared" si="52"/>
        <v>12212015.035499999</v>
      </c>
      <c r="H155" s="633">
        <v>2965775.0800500005</v>
      </c>
      <c r="I155" s="630">
        <f t="shared" si="53"/>
        <v>-1038021.2780175001</v>
      </c>
      <c r="J155" s="630">
        <f t="shared" si="54"/>
        <v>14139768.8375325</v>
      </c>
      <c r="K155" s="652"/>
      <c r="L155" s="633">
        <f t="shared" si="55"/>
        <v>34891471.530000001</v>
      </c>
      <c r="M155" s="630">
        <f t="shared" si="56"/>
        <v>7327209.0213000001</v>
      </c>
      <c r="N155" s="633">
        <v>2965775.0800500005</v>
      </c>
      <c r="O155" s="630">
        <f t="shared" si="57"/>
        <v>-622812.76681050006</v>
      </c>
      <c r="P155" s="630">
        <f t="shared" si="58"/>
        <v>9670171.3345394991</v>
      </c>
      <c r="Q155" s="630"/>
      <c r="R155" s="630">
        <f t="shared" si="59"/>
        <v>4469597.5029930007</v>
      </c>
      <c r="S155" s="652"/>
      <c r="T155" s="633">
        <v>0</v>
      </c>
      <c r="U155" s="652"/>
      <c r="V155" s="633">
        <v>0</v>
      </c>
      <c r="W155" s="652"/>
      <c r="X155" s="630">
        <f t="shared" si="60"/>
        <v>4469597.5029930007</v>
      </c>
      <c r="Y155" s="632"/>
      <c r="Z155" s="478" t="s">
        <v>1811</v>
      </c>
      <c r="AA155" s="631"/>
      <c r="AB155" s="478" t="s">
        <v>1810</v>
      </c>
      <c r="AC155" s="631"/>
      <c r="AD155" s="1727">
        <v>0</v>
      </c>
      <c r="AE155" s="631"/>
      <c r="AF155" s="630">
        <f t="shared" si="61"/>
        <v>0</v>
      </c>
      <c r="AG155" s="298"/>
      <c r="AH155" s="1510">
        <v>283</v>
      </c>
      <c r="AI155" s="352"/>
      <c r="AQ155" s="1718"/>
      <c r="AR155" s="1718"/>
      <c r="AS155" s="1718"/>
      <c r="AT155" s="1718"/>
      <c r="AU155" s="1718"/>
      <c r="BC155" s="1718"/>
      <c r="BD155" s="1718"/>
      <c r="BE155" s="1718"/>
      <c r="BF155" s="1718"/>
      <c r="BG155" s="1718"/>
      <c r="BH155" s="1718"/>
      <c r="BI155" s="1718"/>
      <c r="BJ155" s="1718"/>
      <c r="BK155" s="1718"/>
      <c r="BL155" s="1718"/>
      <c r="BM155" s="1718"/>
      <c r="BN155" s="660"/>
      <c r="BO155" s="660"/>
      <c r="BP155" s="660"/>
      <c r="BQ155" s="660"/>
      <c r="BR155" s="660"/>
      <c r="BS155" s="660"/>
    </row>
    <row r="156" spans="2:71">
      <c r="B156" s="352">
        <v>140</v>
      </c>
      <c r="C156" s="470" t="s">
        <v>1793</v>
      </c>
      <c r="D156" s="470" t="s">
        <v>1685</v>
      </c>
      <c r="E156" s="470" t="s">
        <v>1363</v>
      </c>
      <c r="F156" s="633">
        <v>22949489.68</v>
      </c>
      <c r="G156" s="630">
        <f t="shared" si="52"/>
        <v>8032321.3879999993</v>
      </c>
      <c r="H156" s="633">
        <v>1950706.6228</v>
      </c>
      <c r="I156" s="630">
        <f t="shared" si="53"/>
        <v>-682747.31797999993</v>
      </c>
      <c r="J156" s="630">
        <f t="shared" si="54"/>
        <v>9300280.6928199995</v>
      </c>
      <c r="K156" s="652"/>
      <c r="L156" s="633">
        <f t="shared" si="55"/>
        <v>22949489.68</v>
      </c>
      <c r="M156" s="630">
        <f t="shared" si="56"/>
        <v>4819392.8328</v>
      </c>
      <c r="N156" s="633">
        <v>1950706.6228</v>
      </c>
      <c r="O156" s="630">
        <f t="shared" si="57"/>
        <v>-409648.39078799996</v>
      </c>
      <c r="P156" s="630">
        <f t="shared" si="58"/>
        <v>6360451.0648119999</v>
      </c>
      <c r="Q156" s="630"/>
      <c r="R156" s="630">
        <f t="shared" si="59"/>
        <v>2939829.6280079996</v>
      </c>
      <c r="S156" s="652"/>
      <c r="T156" s="633">
        <v>0</v>
      </c>
      <c r="U156" s="652"/>
      <c r="V156" s="633">
        <v>0</v>
      </c>
      <c r="W156" s="652"/>
      <c r="X156" s="630">
        <f t="shared" si="60"/>
        <v>2939829.6280079996</v>
      </c>
      <c r="Y156" s="632"/>
      <c r="Z156" s="478" t="s">
        <v>1811</v>
      </c>
      <c r="AA156" s="631"/>
      <c r="AB156" s="478" t="s">
        <v>1810</v>
      </c>
      <c r="AC156" s="631"/>
      <c r="AD156" s="1727">
        <v>0</v>
      </c>
      <c r="AE156" s="631"/>
      <c r="AF156" s="630">
        <f t="shared" si="61"/>
        <v>0</v>
      </c>
      <c r="AG156" s="298"/>
      <c r="AH156" s="1510">
        <v>283</v>
      </c>
      <c r="AI156" s="352"/>
      <c r="AQ156" s="1718"/>
      <c r="AR156" s="1718"/>
      <c r="AS156" s="1718"/>
      <c r="AT156" s="1718"/>
      <c r="AU156" s="1718"/>
      <c r="BC156" s="1718"/>
      <c r="BD156" s="1718"/>
      <c r="BE156" s="1718"/>
      <c r="BF156" s="1718"/>
      <c r="BG156" s="1718"/>
      <c r="BH156" s="1718"/>
      <c r="BI156" s="1718"/>
      <c r="BJ156" s="1718"/>
      <c r="BK156" s="1718"/>
      <c r="BL156" s="1718"/>
      <c r="BM156" s="1718"/>
      <c r="BN156" s="660"/>
      <c r="BO156" s="660"/>
      <c r="BP156" s="660"/>
      <c r="BQ156" s="660"/>
      <c r="BR156" s="660"/>
      <c r="BS156" s="660"/>
    </row>
    <row r="157" spans="2:71">
      <c r="B157" s="352">
        <v>141</v>
      </c>
      <c r="C157" s="470" t="s">
        <v>1794</v>
      </c>
      <c r="D157" s="470" t="s">
        <v>1685</v>
      </c>
      <c r="E157" s="470" t="s">
        <v>1363</v>
      </c>
      <c r="F157" s="633">
        <v>392189</v>
      </c>
      <c r="G157" s="630">
        <f t="shared" si="52"/>
        <v>137266.15</v>
      </c>
      <c r="H157" s="633">
        <v>33336.065000000002</v>
      </c>
      <c r="I157" s="630">
        <f t="shared" si="53"/>
        <v>-11667.62275</v>
      </c>
      <c r="J157" s="630">
        <f t="shared" si="54"/>
        <v>158934.59224999999</v>
      </c>
      <c r="K157" s="652"/>
      <c r="L157" s="633">
        <f t="shared" si="55"/>
        <v>392189</v>
      </c>
      <c r="M157" s="630">
        <f t="shared" si="56"/>
        <v>82359.69</v>
      </c>
      <c r="N157" s="633">
        <v>33336.065000000002</v>
      </c>
      <c r="O157" s="630">
        <f t="shared" si="57"/>
        <v>-7000.5736500000003</v>
      </c>
      <c r="P157" s="630">
        <f t="shared" si="58"/>
        <v>108695.18135</v>
      </c>
      <c r="Q157" s="630"/>
      <c r="R157" s="630">
        <f t="shared" si="59"/>
        <v>50239.410899999988</v>
      </c>
      <c r="S157" s="652"/>
      <c r="T157" s="633">
        <v>0</v>
      </c>
      <c r="U157" s="652"/>
      <c r="V157" s="633">
        <v>0</v>
      </c>
      <c r="W157" s="652"/>
      <c r="X157" s="630">
        <f t="shared" si="60"/>
        <v>50239.410899999988</v>
      </c>
      <c r="Y157" s="632"/>
      <c r="Z157" s="478" t="s">
        <v>1808</v>
      </c>
      <c r="AA157" s="631"/>
      <c r="AB157" s="478" t="s">
        <v>1807</v>
      </c>
      <c r="AC157" s="631"/>
      <c r="AD157" s="1727">
        <v>0</v>
      </c>
      <c r="AE157" s="631"/>
      <c r="AF157" s="630">
        <f t="shared" si="61"/>
        <v>0</v>
      </c>
      <c r="AG157" s="298"/>
      <c r="AH157" s="1510">
        <v>283</v>
      </c>
      <c r="AI157" s="352"/>
      <c r="AQ157" s="1718"/>
      <c r="AR157" s="1718"/>
      <c r="AS157" s="1718"/>
      <c r="AT157" s="1718"/>
      <c r="AU157" s="1718"/>
      <c r="BC157" s="1718"/>
      <c r="BD157" s="1718"/>
      <c r="BE157" s="1718"/>
      <c r="BF157" s="1718"/>
      <c r="BG157" s="1718"/>
      <c r="BH157" s="1718"/>
      <c r="BI157" s="1718"/>
      <c r="BJ157" s="1718"/>
      <c r="BK157" s="1718"/>
      <c r="BL157" s="1718"/>
      <c r="BM157" s="1718"/>
      <c r="BN157" s="660"/>
      <c r="BO157" s="660"/>
      <c r="BP157" s="660"/>
      <c r="BQ157" s="660"/>
      <c r="BR157" s="660"/>
      <c r="BS157" s="660"/>
    </row>
    <row r="158" spans="2:71">
      <c r="B158" s="352">
        <v>142</v>
      </c>
      <c r="C158" s="470" t="s">
        <v>1795</v>
      </c>
      <c r="D158" s="470" t="s">
        <v>1685</v>
      </c>
      <c r="E158" s="470" t="s">
        <v>1363</v>
      </c>
      <c r="F158" s="633">
        <v>-45151.92</v>
      </c>
      <c r="G158" s="630">
        <f t="shared" si="52"/>
        <v>-15803.171999999999</v>
      </c>
      <c r="H158" s="633">
        <v>-3837.9132</v>
      </c>
      <c r="I158" s="630">
        <f t="shared" si="53"/>
        <v>1343.2696199999998</v>
      </c>
      <c r="J158" s="630">
        <f t="shared" si="54"/>
        <v>-18297.815579999999</v>
      </c>
      <c r="K158" s="652"/>
      <c r="L158" s="633">
        <f t="shared" si="55"/>
        <v>-45151.92</v>
      </c>
      <c r="M158" s="630">
        <f t="shared" si="56"/>
        <v>-9481.9031999999988</v>
      </c>
      <c r="N158" s="633">
        <v>-3837.9132</v>
      </c>
      <c r="O158" s="630">
        <f t="shared" si="57"/>
        <v>805.961772</v>
      </c>
      <c r="P158" s="630">
        <f t="shared" si="58"/>
        <v>-12513.854627999999</v>
      </c>
      <c r="Q158" s="630"/>
      <c r="R158" s="630">
        <f t="shared" si="59"/>
        <v>-5783.9609519999995</v>
      </c>
      <c r="S158" s="652"/>
      <c r="T158" s="633">
        <v>0</v>
      </c>
      <c r="U158" s="652"/>
      <c r="V158" s="633">
        <v>0</v>
      </c>
      <c r="W158" s="652"/>
      <c r="X158" s="630">
        <f t="shared" si="60"/>
        <v>-5783.9609519999995</v>
      </c>
      <c r="Y158" s="632"/>
      <c r="Z158" s="478" t="s">
        <v>1808</v>
      </c>
      <c r="AA158" s="631"/>
      <c r="AB158" s="478" t="s">
        <v>1807</v>
      </c>
      <c r="AC158" s="631"/>
      <c r="AD158" s="1727">
        <v>0</v>
      </c>
      <c r="AE158" s="631"/>
      <c r="AF158" s="630">
        <f t="shared" si="61"/>
        <v>0</v>
      </c>
      <c r="AG158" s="298"/>
      <c r="AH158" s="1510">
        <v>283</v>
      </c>
      <c r="AI158" s="352"/>
      <c r="AQ158" s="1718"/>
      <c r="AR158" s="1718"/>
      <c r="AS158" s="1718"/>
      <c r="AT158" s="1718"/>
      <c r="AU158" s="1718"/>
      <c r="BC158" s="1718"/>
      <c r="BD158" s="1718"/>
      <c r="BE158" s="1718"/>
      <c r="BF158" s="1718"/>
      <c r="BG158" s="1718"/>
      <c r="BH158" s="1718"/>
      <c r="BI158" s="1718"/>
      <c r="BJ158" s="1718"/>
      <c r="BK158" s="1718"/>
      <c r="BL158" s="1718"/>
      <c r="BM158" s="1718"/>
      <c r="BN158" s="660"/>
      <c r="BO158" s="660"/>
      <c r="BP158" s="660"/>
      <c r="BQ158" s="660"/>
      <c r="BR158" s="660"/>
      <c r="BS158" s="660"/>
    </row>
    <row r="159" spans="2:71">
      <c r="B159" s="352">
        <v>143</v>
      </c>
      <c r="C159" s="470" t="s">
        <v>1796</v>
      </c>
      <c r="D159" s="470" t="s">
        <v>1685</v>
      </c>
      <c r="E159" s="470" t="s">
        <v>1363</v>
      </c>
      <c r="F159" s="633">
        <v>-1069750</v>
      </c>
      <c r="G159" s="630">
        <f t="shared" si="52"/>
        <v>-374412.5</v>
      </c>
      <c r="H159" s="633">
        <v>-90928.75</v>
      </c>
      <c r="I159" s="630">
        <f t="shared" si="53"/>
        <v>31825.062499999996</v>
      </c>
      <c r="J159" s="630">
        <f t="shared" si="54"/>
        <v>-433516.1875</v>
      </c>
      <c r="K159" s="652"/>
      <c r="L159" s="633">
        <f t="shared" si="55"/>
        <v>-1069750</v>
      </c>
      <c r="M159" s="630">
        <f t="shared" si="56"/>
        <v>-224647.5</v>
      </c>
      <c r="N159" s="633">
        <v>-90928.75</v>
      </c>
      <c r="O159" s="630">
        <f t="shared" si="57"/>
        <v>19095.037499999999</v>
      </c>
      <c r="P159" s="630">
        <f t="shared" si="58"/>
        <v>-296481.21250000002</v>
      </c>
      <c r="Q159" s="630"/>
      <c r="R159" s="630">
        <f t="shared" si="59"/>
        <v>-137034.97499999998</v>
      </c>
      <c r="S159" s="652"/>
      <c r="T159" s="633">
        <v>0</v>
      </c>
      <c r="U159" s="652"/>
      <c r="V159" s="633">
        <v>0</v>
      </c>
      <c r="W159" s="652"/>
      <c r="X159" s="630">
        <f t="shared" si="60"/>
        <v>-137034.97499999998</v>
      </c>
      <c r="Y159" s="632"/>
      <c r="Z159" s="478" t="s">
        <v>1808</v>
      </c>
      <c r="AA159" s="631"/>
      <c r="AB159" s="478" t="s">
        <v>1807</v>
      </c>
      <c r="AC159" s="631"/>
      <c r="AD159" s="1727">
        <v>0</v>
      </c>
      <c r="AE159" s="631"/>
      <c r="AF159" s="630">
        <f t="shared" si="61"/>
        <v>0</v>
      </c>
      <c r="AG159" s="298"/>
      <c r="AH159" s="1510">
        <v>283</v>
      </c>
      <c r="AI159" s="352"/>
      <c r="AQ159" s="1718"/>
      <c r="AR159" s="1718"/>
      <c r="AS159" s="1718"/>
      <c r="AT159" s="1718"/>
      <c r="AU159" s="1718"/>
      <c r="BC159" s="1718"/>
      <c r="BD159" s="1718"/>
      <c r="BE159" s="1718"/>
      <c r="BF159" s="1718"/>
      <c r="BG159" s="1718"/>
      <c r="BH159" s="1718"/>
      <c r="BI159" s="1718"/>
      <c r="BJ159" s="1718"/>
      <c r="BK159" s="1718"/>
      <c r="BL159" s="1718"/>
      <c r="BM159" s="1718"/>
      <c r="BN159" s="660"/>
      <c r="BO159" s="660"/>
      <c r="BP159" s="660"/>
      <c r="BQ159" s="660"/>
      <c r="BR159" s="660"/>
      <c r="BS159" s="660"/>
    </row>
    <row r="160" spans="2:71">
      <c r="B160" s="352">
        <v>144</v>
      </c>
      <c r="C160" s="470" t="s">
        <v>1797</v>
      </c>
      <c r="D160" s="470" t="s">
        <v>1685</v>
      </c>
      <c r="E160" s="470" t="s">
        <v>1363</v>
      </c>
      <c r="F160" s="633">
        <v>265986.48</v>
      </c>
      <c r="G160" s="630">
        <f t="shared" si="52"/>
        <v>93095.267999999982</v>
      </c>
      <c r="H160" s="633">
        <v>22608.8508</v>
      </c>
      <c r="I160" s="630">
        <f t="shared" si="53"/>
        <v>-7913.0977799999991</v>
      </c>
      <c r="J160" s="630">
        <f t="shared" si="54"/>
        <v>107791.02101999999</v>
      </c>
      <c r="K160" s="652"/>
      <c r="L160" s="633">
        <f t="shared" si="55"/>
        <v>265986.48</v>
      </c>
      <c r="M160" s="630">
        <f t="shared" si="56"/>
        <v>55857.160799999991</v>
      </c>
      <c r="N160" s="633">
        <v>22608.8508</v>
      </c>
      <c r="O160" s="630">
        <f t="shared" si="57"/>
        <v>-4747.8586679999999</v>
      </c>
      <c r="P160" s="630">
        <f t="shared" si="58"/>
        <v>73718.152931999997</v>
      </c>
      <c r="Q160" s="630"/>
      <c r="R160" s="630">
        <f t="shared" si="59"/>
        <v>34072.868087999988</v>
      </c>
      <c r="S160" s="652"/>
      <c r="T160" s="633">
        <v>0</v>
      </c>
      <c r="U160" s="652"/>
      <c r="V160" s="633">
        <v>0</v>
      </c>
      <c r="W160" s="652"/>
      <c r="X160" s="630">
        <f t="shared" si="60"/>
        <v>34072.868087999988</v>
      </c>
      <c r="Y160" s="632"/>
      <c r="Z160" s="478" t="s">
        <v>1811</v>
      </c>
      <c r="AA160" s="631"/>
      <c r="AB160" s="478" t="s">
        <v>1810</v>
      </c>
      <c r="AC160" s="631"/>
      <c r="AD160" s="1727">
        <v>0</v>
      </c>
      <c r="AE160" s="631"/>
      <c r="AF160" s="630">
        <f t="shared" si="61"/>
        <v>0</v>
      </c>
      <c r="AG160" s="298"/>
      <c r="AH160" s="1510">
        <v>283</v>
      </c>
      <c r="AI160" s="352"/>
      <c r="AQ160" s="1718"/>
      <c r="AR160" s="1718"/>
      <c r="AS160" s="1718"/>
      <c r="AT160" s="1718"/>
      <c r="AU160" s="1718"/>
      <c r="BC160" s="1718"/>
      <c r="BD160" s="1718"/>
      <c r="BE160" s="1718"/>
      <c r="BF160" s="1718"/>
      <c r="BG160" s="1718"/>
      <c r="BH160" s="1718"/>
      <c r="BI160" s="1718"/>
      <c r="BJ160" s="1718"/>
      <c r="BK160" s="1718"/>
      <c r="BL160" s="1718"/>
      <c r="BM160" s="1718"/>
      <c r="BN160" s="660"/>
      <c r="BO160" s="660"/>
      <c r="BP160" s="660"/>
      <c r="BQ160" s="660"/>
      <c r="BR160" s="660"/>
      <c r="BS160" s="660"/>
    </row>
    <row r="161" spans="2:71">
      <c r="B161" s="352">
        <v>145</v>
      </c>
      <c r="C161" s="470" t="s">
        <v>1798</v>
      </c>
      <c r="D161" s="470" t="s">
        <v>1685</v>
      </c>
      <c r="E161" s="470" t="s">
        <v>1363</v>
      </c>
      <c r="F161" s="633">
        <v>85416.6</v>
      </c>
      <c r="G161" s="630">
        <f t="shared" si="52"/>
        <v>29895.81</v>
      </c>
      <c r="H161" s="633">
        <v>7260.411000000001</v>
      </c>
      <c r="I161" s="630">
        <f t="shared" si="53"/>
        <v>-2541.1438500000004</v>
      </c>
      <c r="J161" s="630">
        <f t="shared" si="54"/>
        <v>34615.077150000005</v>
      </c>
      <c r="K161" s="652"/>
      <c r="L161" s="633">
        <f t="shared" si="55"/>
        <v>85416.6</v>
      </c>
      <c r="M161" s="630">
        <f t="shared" si="56"/>
        <v>17937.486000000001</v>
      </c>
      <c r="N161" s="633">
        <v>7260.411000000001</v>
      </c>
      <c r="O161" s="630">
        <f t="shared" si="57"/>
        <v>-1524.68631</v>
      </c>
      <c r="P161" s="630">
        <f t="shared" si="58"/>
        <v>23673.21069</v>
      </c>
      <c r="Q161" s="630"/>
      <c r="R161" s="630">
        <f t="shared" si="59"/>
        <v>10941.866460000005</v>
      </c>
      <c r="S161" s="652"/>
      <c r="T161" s="633">
        <v>0</v>
      </c>
      <c r="U161" s="652"/>
      <c r="V161" s="633">
        <v>0</v>
      </c>
      <c r="W161" s="652"/>
      <c r="X161" s="630">
        <f t="shared" si="60"/>
        <v>10941.866460000005</v>
      </c>
      <c r="Y161" s="632"/>
      <c r="Z161" s="478" t="s">
        <v>1808</v>
      </c>
      <c r="AA161" s="631"/>
      <c r="AB161" s="478" t="s">
        <v>1807</v>
      </c>
      <c r="AC161" s="631"/>
      <c r="AD161" s="1727">
        <v>0</v>
      </c>
      <c r="AE161" s="631"/>
      <c r="AF161" s="630">
        <f t="shared" si="61"/>
        <v>0</v>
      </c>
      <c r="AG161" s="298"/>
      <c r="AH161" s="1510">
        <v>283</v>
      </c>
      <c r="AI161" s="352"/>
      <c r="AQ161" s="1718"/>
      <c r="AR161" s="1718"/>
      <c r="AS161" s="1718"/>
      <c r="AT161" s="1718"/>
      <c r="AU161" s="1718"/>
      <c r="BC161" s="1718"/>
      <c r="BD161" s="1718"/>
      <c r="BE161" s="1718"/>
      <c r="BF161" s="1718"/>
      <c r="BG161" s="1718"/>
      <c r="BH161" s="1718"/>
      <c r="BI161" s="1718"/>
      <c r="BJ161" s="1718"/>
      <c r="BK161" s="1718"/>
      <c r="BL161" s="1718"/>
      <c r="BM161" s="1718"/>
      <c r="BN161" s="660"/>
      <c r="BO161" s="660"/>
      <c r="BP161" s="660"/>
      <c r="BQ161" s="660"/>
      <c r="BR161" s="660"/>
      <c r="BS161" s="660"/>
    </row>
    <row r="162" spans="2:71">
      <c r="B162" s="352">
        <v>146</v>
      </c>
      <c r="C162" s="470" t="s">
        <v>1799</v>
      </c>
      <c r="D162" s="470" t="s">
        <v>1685</v>
      </c>
      <c r="E162" s="470" t="s">
        <v>1363</v>
      </c>
      <c r="F162" s="633">
        <v>-2355125.9300000002</v>
      </c>
      <c r="G162" s="630">
        <f t="shared" si="52"/>
        <v>-824294.07550000004</v>
      </c>
      <c r="H162" s="633">
        <v>-200185.70405000003</v>
      </c>
      <c r="I162" s="630">
        <f t="shared" si="53"/>
        <v>70064.996417500006</v>
      </c>
      <c r="J162" s="630">
        <f t="shared" si="54"/>
        <v>-954414.78313250013</v>
      </c>
      <c r="K162" s="652"/>
      <c r="L162" s="633">
        <f t="shared" si="55"/>
        <v>-2355125.9300000002</v>
      </c>
      <c r="M162" s="630">
        <f t="shared" si="56"/>
        <v>-494576.44530000002</v>
      </c>
      <c r="N162" s="633">
        <v>-200185.70405000003</v>
      </c>
      <c r="O162" s="630">
        <f t="shared" si="57"/>
        <v>42038.997850500004</v>
      </c>
      <c r="P162" s="630">
        <f t="shared" si="58"/>
        <v>-652723.15149950003</v>
      </c>
      <c r="Q162" s="630"/>
      <c r="R162" s="630">
        <f t="shared" si="59"/>
        <v>-301691.6316330001</v>
      </c>
      <c r="S162" s="652"/>
      <c r="T162" s="633">
        <v>0</v>
      </c>
      <c r="U162" s="652"/>
      <c r="V162" s="633">
        <v>0</v>
      </c>
      <c r="W162" s="652"/>
      <c r="X162" s="630">
        <f t="shared" si="60"/>
        <v>-301691.6316330001</v>
      </c>
      <c r="Y162" s="632"/>
      <c r="Z162" s="478" t="s">
        <v>1809</v>
      </c>
      <c r="AA162" s="631"/>
      <c r="AB162" s="478" t="s">
        <v>1807</v>
      </c>
      <c r="AC162" s="631"/>
      <c r="AD162" s="1727">
        <v>0</v>
      </c>
      <c r="AE162" s="631"/>
      <c r="AF162" s="630">
        <f t="shared" si="61"/>
        <v>0</v>
      </c>
      <c r="AG162" s="298"/>
      <c r="AH162" s="1510">
        <v>283</v>
      </c>
      <c r="AI162" s="352"/>
      <c r="AQ162" s="1718"/>
      <c r="AR162" s="1718"/>
      <c r="AS162" s="1718"/>
      <c r="AT162" s="1718"/>
      <c r="AU162" s="1718"/>
      <c r="BC162" s="1718"/>
      <c r="BD162" s="1718"/>
      <c r="BE162" s="1718"/>
      <c r="BF162" s="1718"/>
      <c r="BG162" s="1718"/>
      <c r="BH162" s="1718"/>
      <c r="BI162" s="1718"/>
      <c r="BJ162" s="1718"/>
      <c r="BK162" s="1718"/>
      <c r="BL162" s="1718"/>
      <c r="BM162" s="1718"/>
      <c r="BN162" s="660"/>
      <c r="BO162" s="660"/>
      <c r="BP162" s="660"/>
      <c r="BQ162" s="660"/>
      <c r="BR162" s="660"/>
      <c r="BS162" s="660"/>
    </row>
    <row r="163" spans="2:71">
      <c r="B163" s="352">
        <v>147</v>
      </c>
      <c r="C163" s="470" t="s">
        <v>1800</v>
      </c>
      <c r="D163" s="470" t="s">
        <v>1685</v>
      </c>
      <c r="E163" s="470" t="s">
        <v>1363</v>
      </c>
      <c r="F163" s="633">
        <v>-1043276.76</v>
      </c>
      <c r="G163" s="630">
        <f t="shared" si="52"/>
        <v>-365146.86599999998</v>
      </c>
      <c r="H163" s="633">
        <v>-88678.524600000004</v>
      </c>
      <c r="I163" s="630">
        <f t="shared" si="53"/>
        <v>31037.483609999999</v>
      </c>
      <c r="J163" s="630">
        <f t="shared" si="54"/>
        <v>-422787.90698999999</v>
      </c>
      <c r="K163" s="652"/>
      <c r="L163" s="633">
        <f t="shared" si="55"/>
        <v>-1043276.76</v>
      </c>
      <c r="M163" s="630">
        <f t="shared" si="56"/>
        <v>-219088.11960000001</v>
      </c>
      <c r="N163" s="633">
        <v>-88678.524600000004</v>
      </c>
      <c r="O163" s="630">
        <f t="shared" si="57"/>
        <v>18622.490166</v>
      </c>
      <c r="P163" s="630">
        <f t="shared" si="58"/>
        <v>-289144.15403400001</v>
      </c>
      <c r="Q163" s="630"/>
      <c r="R163" s="630">
        <f t="shared" si="59"/>
        <v>-133643.75295599998</v>
      </c>
      <c r="S163" s="652"/>
      <c r="T163" s="633">
        <v>0</v>
      </c>
      <c r="U163" s="652"/>
      <c r="V163" s="633">
        <v>0</v>
      </c>
      <c r="W163" s="652"/>
      <c r="X163" s="630">
        <f t="shared" si="60"/>
        <v>-133643.75295599998</v>
      </c>
      <c r="Y163" s="632"/>
      <c r="Z163" s="478" t="s">
        <v>1808</v>
      </c>
      <c r="AA163" s="631"/>
      <c r="AB163" s="478" t="s">
        <v>1807</v>
      </c>
      <c r="AC163" s="631"/>
      <c r="AD163" s="1727">
        <v>0</v>
      </c>
      <c r="AE163" s="631"/>
      <c r="AF163" s="630">
        <f t="shared" si="61"/>
        <v>0</v>
      </c>
      <c r="AG163" s="298"/>
      <c r="AH163" s="1510">
        <v>283</v>
      </c>
      <c r="AI163" s="352"/>
      <c r="AQ163" s="1718"/>
      <c r="AR163" s="1718"/>
      <c r="AS163" s="1718"/>
      <c r="AT163" s="1718"/>
      <c r="AU163" s="1718"/>
      <c r="BC163" s="1718"/>
      <c r="BD163" s="1718"/>
      <c r="BE163" s="1718"/>
      <c r="BF163" s="1718"/>
      <c r="BG163" s="1718"/>
      <c r="BH163" s="1718"/>
      <c r="BI163" s="1718"/>
      <c r="BJ163" s="1718"/>
      <c r="BK163" s="1718"/>
      <c r="BL163" s="1718"/>
      <c r="BM163" s="1718"/>
      <c r="BN163" s="660"/>
      <c r="BO163" s="660"/>
      <c r="BP163" s="660"/>
      <c r="BQ163" s="660"/>
      <c r="BR163" s="660"/>
      <c r="BS163" s="660"/>
    </row>
    <row r="164" spans="2:71">
      <c r="B164" s="352">
        <v>148</v>
      </c>
      <c r="C164" s="470" t="s">
        <v>1801</v>
      </c>
      <c r="D164" s="470" t="s">
        <v>1685</v>
      </c>
      <c r="E164" s="470" t="s">
        <v>1363</v>
      </c>
      <c r="F164" s="633">
        <v>-6566664.9500000002</v>
      </c>
      <c r="G164" s="630">
        <f t="shared" si="52"/>
        <v>-2298332.7324999999</v>
      </c>
      <c r="H164" s="633">
        <v>-558166.52075000003</v>
      </c>
      <c r="I164" s="630">
        <f t="shared" si="53"/>
        <v>195358.2822625</v>
      </c>
      <c r="J164" s="630">
        <f t="shared" si="54"/>
        <v>-2661140.9709875002</v>
      </c>
      <c r="K164" s="652"/>
      <c r="L164" s="633">
        <f t="shared" si="55"/>
        <v>-6566664.9500000002</v>
      </c>
      <c r="M164" s="630">
        <f t="shared" si="56"/>
        <v>-1378999.6395</v>
      </c>
      <c r="N164" s="633">
        <v>-558166.52075000003</v>
      </c>
      <c r="O164" s="630">
        <f t="shared" si="57"/>
        <v>117214.9693575</v>
      </c>
      <c r="P164" s="630">
        <f t="shared" si="58"/>
        <v>-1819951.1908925001</v>
      </c>
      <c r="Q164" s="630"/>
      <c r="R164" s="630">
        <f t="shared" si="59"/>
        <v>-841189.78009500005</v>
      </c>
      <c r="S164" s="652"/>
      <c r="T164" s="633">
        <v>0</v>
      </c>
      <c r="U164" s="652"/>
      <c r="V164" s="633">
        <v>0</v>
      </c>
      <c r="W164" s="652"/>
      <c r="X164" s="630">
        <f t="shared" si="60"/>
        <v>-841189.78009500005</v>
      </c>
      <c r="Y164" s="632"/>
      <c r="Z164" s="478" t="s">
        <v>1808</v>
      </c>
      <c r="AA164" s="631"/>
      <c r="AB164" s="478" t="s">
        <v>1807</v>
      </c>
      <c r="AC164" s="631"/>
      <c r="AD164" s="1727">
        <v>0</v>
      </c>
      <c r="AE164" s="631"/>
      <c r="AF164" s="630">
        <f t="shared" si="61"/>
        <v>0</v>
      </c>
      <c r="AG164" s="298"/>
      <c r="AH164" s="1510">
        <v>283</v>
      </c>
      <c r="AI164" s="352"/>
      <c r="AQ164" s="1718"/>
      <c r="AR164" s="1718"/>
      <c r="AS164" s="1718"/>
      <c r="AT164" s="1718"/>
      <c r="AU164" s="1718"/>
      <c r="BC164" s="1718"/>
      <c r="BD164" s="1718"/>
      <c r="BE164" s="1718"/>
      <c r="BF164" s="1718"/>
      <c r="BG164" s="1718"/>
      <c r="BH164" s="1718"/>
      <c r="BI164" s="1718"/>
      <c r="BJ164" s="1718"/>
      <c r="BK164" s="1718"/>
      <c r="BL164" s="1718"/>
      <c r="BM164" s="1718"/>
      <c r="BN164" s="660"/>
      <c r="BO164" s="660"/>
      <c r="BP164" s="660"/>
      <c r="BQ164" s="660"/>
      <c r="BR164" s="660"/>
      <c r="BS164" s="660"/>
    </row>
    <row r="165" spans="2:71">
      <c r="B165" s="352">
        <v>149</v>
      </c>
      <c r="C165" s="470" t="s">
        <v>1802</v>
      </c>
      <c r="D165" s="470" t="s">
        <v>1685</v>
      </c>
      <c r="E165" s="470" t="s">
        <v>1363</v>
      </c>
      <c r="F165" s="633">
        <v>-3421999.71</v>
      </c>
      <c r="G165" s="630">
        <f t="shared" si="52"/>
        <v>-1197699.8984999999</v>
      </c>
      <c r="H165" s="633">
        <v>-290869.97535000002</v>
      </c>
      <c r="I165" s="630">
        <f t="shared" si="53"/>
        <v>101804.49137250001</v>
      </c>
      <c r="J165" s="630">
        <f t="shared" si="54"/>
        <v>-1386765.3824774998</v>
      </c>
      <c r="K165" s="652"/>
      <c r="L165" s="633">
        <f t="shared" si="55"/>
        <v>-3421999.71</v>
      </c>
      <c r="M165" s="630">
        <f t="shared" si="56"/>
        <v>-718619.93909999996</v>
      </c>
      <c r="N165" s="633">
        <v>-290869.97535000002</v>
      </c>
      <c r="O165" s="630">
        <f t="shared" si="57"/>
        <v>61082.694823500002</v>
      </c>
      <c r="P165" s="630">
        <f t="shared" si="58"/>
        <v>-948407.21962650004</v>
      </c>
      <c r="Q165" s="630"/>
      <c r="R165" s="630">
        <f t="shared" si="59"/>
        <v>-438358.16285099974</v>
      </c>
      <c r="S165" s="652"/>
      <c r="T165" s="633">
        <v>0</v>
      </c>
      <c r="U165" s="652"/>
      <c r="V165" s="633">
        <v>0</v>
      </c>
      <c r="W165" s="652"/>
      <c r="X165" s="630">
        <f t="shared" si="60"/>
        <v>-438358.16285099974</v>
      </c>
      <c r="Y165" s="632"/>
      <c r="Z165" s="478" t="s">
        <v>1809</v>
      </c>
      <c r="AA165" s="631"/>
      <c r="AB165" s="478" t="s">
        <v>1807</v>
      </c>
      <c r="AC165" s="631"/>
      <c r="AD165" s="1727">
        <v>0</v>
      </c>
      <c r="AE165" s="631"/>
      <c r="AF165" s="630">
        <f t="shared" si="61"/>
        <v>0</v>
      </c>
      <c r="AG165" s="298"/>
      <c r="AH165" s="1510">
        <v>283</v>
      </c>
      <c r="AI165" s="352"/>
      <c r="AQ165" s="1718"/>
      <c r="AR165" s="1718"/>
      <c r="AS165" s="1718"/>
      <c r="AT165" s="1718"/>
      <c r="AU165" s="1718"/>
      <c r="BC165" s="1718"/>
      <c r="BD165" s="1718"/>
      <c r="BE165" s="1718"/>
      <c r="BF165" s="1718"/>
      <c r="BG165" s="1718"/>
      <c r="BH165" s="1718"/>
      <c r="BI165" s="1718"/>
      <c r="BJ165" s="1718"/>
      <c r="BK165" s="1718"/>
      <c r="BL165" s="1718"/>
      <c r="BM165" s="1718"/>
      <c r="BN165" s="660"/>
      <c r="BO165" s="660"/>
      <c r="BP165" s="660"/>
      <c r="BQ165" s="660"/>
      <c r="BR165" s="660"/>
      <c r="BS165" s="660"/>
    </row>
    <row r="166" spans="2:71">
      <c r="B166" s="352">
        <v>150</v>
      </c>
      <c r="C166" s="470" t="s">
        <v>1803</v>
      </c>
      <c r="D166" s="470" t="s">
        <v>1685</v>
      </c>
      <c r="E166" s="470" t="s">
        <v>1363</v>
      </c>
      <c r="F166" s="633">
        <v>-495686.6</v>
      </c>
      <c r="G166" s="630">
        <f t="shared" si="52"/>
        <v>-173490.30999999997</v>
      </c>
      <c r="H166" s="633">
        <v>-42133.361000000004</v>
      </c>
      <c r="I166" s="630">
        <f t="shared" si="53"/>
        <v>14746.67635</v>
      </c>
      <c r="J166" s="630">
        <f t="shared" si="54"/>
        <v>-200876.99464999998</v>
      </c>
      <c r="K166" s="652"/>
      <c r="L166" s="633">
        <f t="shared" si="55"/>
        <v>-495686.6</v>
      </c>
      <c r="M166" s="630">
        <f t="shared" si="56"/>
        <v>-104094.18599999999</v>
      </c>
      <c r="N166" s="633">
        <v>-42133.361000000004</v>
      </c>
      <c r="O166" s="630">
        <f t="shared" si="57"/>
        <v>8848.0058100000006</v>
      </c>
      <c r="P166" s="630">
        <f t="shared" si="58"/>
        <v>-137379.54118999999</v>
      </c>
      <c r="Q166" s="630"/>
      <c r="R166" s="630">
        <f t="shared" si="59"/>
        <v>-63497.45345999999</v>
      </c>
      <c r="S166" s="652"/>
      <c r="T166" s="633">
        <v>0</v>
      </c>
      <c r="U166" s="652"/>
      <c r="V166" s="633">
        <v>0</v>
      </c>
      <c r="W166" s="652"/>
      <c r="X166" s="630">
        <f t="shared" si="60"/>
        <v>-63497.45345999999</v>
      </c>
      <c r="Y166" s="632"/>
      <c r="Z166" s="478" t="s">
        <v>1808</v>
      </c>
      <c r="AA166" s="631"/>
      <c r="AB166" s="478" t="s">
        <v>1807</v>
      </c>
      <c r="AC166" s="631"/>
      <c r="AD166" s="1727">
        <v>0</v>
      </c>
      <c r="AE166" s="631"/>
      <c r="AF166" s="630">
        <f t="shared" si="61"/>
        <v>0</v>
      </c>
      <c r="AG166" s="298"/>
      <c r="AH166" s="1510">
        <v>283</v>
      </c>
      <c r="AI166" s="352"/>
      <c r="AQ166" s="1718"/>
      <c r="AR166" s="1718"/>
      <c r="AS166" s="1718"/>
      <c r="AT166" s="1718"/>
      <c r="AU166" s="1718"/>
      <c r="BC166" s="1718"/>
      <c r="BD166" s="1718"/>
      <c r="BE166" s="1718"/>
      <c r="BF166" s="1718"/>
      <c r="BG166" s="1718"/>
      <c r="BH166" s="1718"/>
      <c r="BI166" s="1718"/>
      <c r="BJ166" s="1718"/>
      <c r="BK166" s="1718"/>
      <c r="BL166" s="1718"/>
      <c r="BM166" s="1718"/>
      <c r="BN166" s="660"/>
      <c r="BO166" s="660"/>
      <c r="BP166" s="660"/>
      <c r="BQ166" s="660"/>
      <c r="BR166" s="660"/>
      <c r="BS166" s="660"/>
    </row>
    <row r="167" spans="2:71">
      <c r="B167" s="352">
        <v>151</v>
      </c>
      <c r="C167" s="470" t="s">
        <v>1804</v>
      </c>
      <c r="D167" s="470" t="s">
        <v>1685</v>
      </c>
      <c r="E167" s="470" t="s">
        <v>1363</v>
      </c>
      <c r="F167" s="633">
        <v>3834182.64</v>
      </c>
      <c r="G167" s="630">
        <f t="shared" si="52"/>
        <v>1341963.9239999999</v>
      </c>
      <c r="H167" s="633">
        <v>325905.52440000005</v>
      </c>
      <c r="I167" s="630">
        <f t="shared" si="53"/>
        <v>-114066.93354000001</v>
      </c>
      <c r="J167" s="630">
        <f t="shared" si="54"/>
        <v>1553802.5148599998</v>
      </c>
      <c r="K167" s="652"/>
      <c r="L167" s="633">
        <f t="shared" si="55"/>
        <v>3834182.64</v>
      </c>
      <c r="M167" s="630">
        <f t="shared" si="56"/>
        <v>805178.35439999995</v>
      </c>
      <c r="N167" s="633">
        <v>325905.52440000005</v>
      </c>
      <c r="O167" s="630">
        <f t="shared" si="57"/>
        <v>-68440.160124000002</v>
      </c>
      <c r="P167" s="630">
        <f t="shared" si="58"/>
        <v>1062643.7186760001</v>
      </c>
      <c r="Q167" s="630"/>
      <c r="R167" s="630">
        <f t="shared" si="59"/>
        <v>491158.79618399963</v>
      </c>
      <c r="S167" s="652"/>
      <c r="T167" s="633">
        <v>491158.79618400009</v>
      </c>
      <c r="U167" s="652"/>
      <c r="V167" s="633">
        <v>0</v>
      </c>
      <c r="W167" s="652"/>
      <c r="X167" s="630">
        <f t="shared" si="60"/>
        <v>-4.6566128730773926E-10</v>
      </c>
      <c r="Y167" s="632"/>
      <c r="Z167" s="478" t="s">
        <v>1809</v>
      </c>
      <c r="AA167" s="631"/>
      <c r="AB167" s="478" t="s">
        <v>1807</v>
      </c>
      <c r="AC167" s="631"/>
      <c r="AD167" s="1727">
        <v>0</v>
      </c>
      <c r="AE167" s="631"/>
      <c r="AF167" s="630">
        <f t="shared" si="61"/>
        <v>0</v>
      </c>
      <c r="AG167" s="298"/>
      <c r="AH167" s="1510">
        <v>283</v>
      </c>
      <c r="AI167" s="352"/>
      <c r="AQ167" s="1718"/>
      <c r="AR167" s="1718"/>
      <c r="AS167" s="1718"/>
      <c r="AT167" s="1718"/>
      <c r="AU167" s="1718"/>
      <c r="BC167" s="1718"/>
      <c r="BD167" s="1718"/>
      <c r="BE167" s="1718"/>
      <c r="BF167" s="1718"/>
      <c r="BG167" s="1718"/>
      <c r="BH167" s="1718"/>
      <c r="BI167" s="1718"/>
      <c r="BJ167" s="1718"/>
      <c r="BK167" s="1718"/>
      <c r="BL167" s="1718"/>
      <c r="BM167" s="1718"/>
      <c r="BN167" s="660"/>
      <c r="BO167" s="660"/>
      <c r="BP167" s="660"/>
      <c r="BQ167" s="660"/>
      <c r="BR167" s="660"/>
      <c r="BS167" s="660"/>
    </row>
    <row r="168" spans="2:71">
      <c r="B168" s="352">
        <v>152</v>
      </c>
      <c r="C168" s="470" t="s">
        <v>1805</v>
      </c>
      <c r="D168" s="470" t="s">
        <v>1685</v>
      </c>
      <c r="E168" s="470" t="s">
        <v>1363</v>
      </c>
      <c r="F168" s="633">
        <v>2662472.04</v>
      </c>
      <c r="G168" s="630">
        <f t="shared" si="52"/>
        <v>931865.21399999992</v>
      </c>
      <c r="H168" s="633">
        <v>226310.12340000001</v>
      </c>
      <c r="I168" s="630">
        <f t="shared" si="53"/>
        <v>-79208.543189999997</v>
      </c>
      <c r="J168" s="630">
        <f t="shared" si="54"/>
        <v>1078966.79421</v>
      </c>
      <c r="K168" s="652"/>
      <c r="L168" s="633">
        <f t="shared" si="55"/>
        <v>2662472.04</v>
      </c>
      <c r="M168" s="630">
        <f t="shared" si="56"/>
        <v>559119.12840000005</v>
      </c>
      <c r="N168" s="633">
        <v>226310.12340000001</v>
      </c>
      <c r="O168" s="630">
        <f t="shared" si="57"/>
        <v>-47525.125914000004</v>
      </c>
      <c r="P168" s="630">
        <f t="shared" si="58"/>
        <v>737904.12588600011</v>
      </c>
      <c r="Q168" s="630"/>
      <c r="R168" s="630">
        <f t="shared" si="59"/>
        <v>341062.66832399985</v>
      </c>
      <c r="S168" s="652"/>
      <c r="T168" s="633">
        <v>0</v>
      </c>
      <c r="U168" s="652"/>
      <c r="V168" s="633">
        <v>0</v>
      </c>
      <c r="W168" s="652"/>
      <c r="X168" s="630">
        <f t="shared" si="60"/>
        <v>341062.66832399985</v>
      </c>
      <c r="Y168" s="632"/>
      <c r="Z168" s="478" t="s">
        <v>1808</v>
      </c>
      <c r="AA168" s="631"/>
      <c r="AB168" s="478" t="s">
        <v>1807</v>
      </c>
      <c r="AC168" s="631"/>
      <c r="AD168" s="1727">
        <v>0</v>
      </c>
      <c r="AE168" s="631"/>
      <c r="AF168" s="630">
        <f t="shared" si="61"/>
        <v>0</v>
      </c>
      <c r="AG168" s="298"/>
      <c r="AH168" s="1510">
        <v>283</v>
      </c>
      <c r="AI168" s="352"/>
      <c r="AQ168" s="1718"/>
      <c r="AR168" s="1718"/>
      <c r="AS168" s="1718"/>
      <c r="AT168" s="1718"/>
      <c r="AU168" s="1718"/>
      <c r="BC168" s="1718"/>
      <c r="BD168" s="1718"/>
      <c r="BE168" s="1718"/>
      <c r="BF168" s="1718"/>
      <c r="BG168" s="1718"/>
      <c r="BH168" s="1718"/>
      <c r="BI168" s="1718"/>
      <c r="BJ168" s="1718"/>
      <c r="BK168" s="1718"/>
      <c r="BL168" s="1718"/>
      <c r="BM168" s="1718"/>
      <c r="BN168" s="660"/>
      <c r="BO168" s="660"/>
      <c r="BP168" s="660"/>
      <c r="BQ168" s="660"/>
      <c r="BR168" s="660"/>
      <c r="BS168" s="660"/>
    </row>
    <row r="169" spans="2:71">
      <c r="B169" s="352">
        <v>153</v>
      </c>
      <c r="C169" s="470" t="s">
        <v>1806</v>
      </c>
      <c r="D169" s="470" t="s">
        <v>1685</v>
      </c>
      <c r="E169" s="470" t="s">
        <v>1363</v>
      </c>
      <c r="F169" s="633">
        <v>6948.4400000000014</v>
      </c>
      <c r="G169" s="630">
        <f t="shared" si="52"/>
        <v>2431.9540000000002</v>
      </c>
      <c r="H169" s="633">
        <v>0</v>
      </c>
      <c r="I169" s="630">
        <f t="shared" si="53"/>
        <v>0</v>
      </c>
      <c r="J169" s="630">
        <f t="shared" si="54"/>
        <v>2431.9540000000002</v>
      </c>
      <c r="K169" s="652"/>
      <c r="L169" s="633">
        <f>F169</f>
        <v>6948.4400000000014</v>
      </c>
      <c r="M169" s="630">
        <f t="shared" si="56"/>
        <v>1459.1724000000002</v>
      </c>
      <c r="N169" s="633">
        <v>0</v>
      </c>
      <c r="O169" s="630">
        <f t="shared" si="57"/>
        <v>0</v>
      </c>
      <c r="P169" s="630">
        <f t="shared" si="58"/>
        <v>1459.1724000000002</v>
      </c>
      <c r="Q169" s="630"/>
      <c r="R169" s="630">
        <f t="shared" si="59"/>
        <v>972.78160000000003</v>
      </c>
      <c r="S169" s="652"/>
      <c r="T169" s="633"/>
      <c r="U169" s="652"/>
      <c r="V169" s="633">
        <v>0</v>
      </c>
      <c r="W169" s="652"/>
      <c r="X169" s="630">
        <f t="shared" si="60"/>
        <v>972.78160000000003</v>
      </c>
      <c r="Y169" s="632"/>
      <c r="Z169" s="478" t="s">
        <v>1811</v>
      </c>
      <c r="AA169" s="631"/>
      <c r="AB169" s="478" t="s">
        <v>1810</v>
      </c>
      <c r="AC169" s="631"/>
      <c r="AD169" s="1727">
        <v>0.32958000000000004</v>
      </c>
      <c r="AE169" s="631"/>
      <c r="AF169" s="630">
        <f t="shared" si="61"/>
        <v>320.60935972800007</v>
      </c>
      <c r="AG169" s="298"/>
      <c r="AH169" s="1510">
        <v>283</v>
      </c>
      <c r="AI169" s="352"/>
      <c r="AQ169" s="1718"/>
      <c r="AR169" s="1718"/>
      <c r="AS169" s="1718"/>
      <c r="AT169" s="1718"/>
      <c r="AU169" s="1718"/>
      <c r="BC169" s="1718"/>
      <c r="BD169" s="1718"/>
      <c r="BE169" s="1718"/>
      <c r="BF169" s="1718"/>
      <c r="BG169" s="1718"/>
      <c r="BH169" s="1718"/>
      <c r="BI169" s="1718"/>
      <c r="BJ169" s="1718"/>
      <c r="BK169" s="1718"/>
      <c r="BL169" s="1718"/>
      <c r="BM169" s="1718"/>
      <c r="BN169" s="660"/>
      <c r="BO169" s="660"/>
      <c r="BP169" s="660"/>
      <c r="BQ169" s="660"/>
      <c r="BR169" s="660"/>
      <c r="BS169" s="660"/>
    </row>
    <row r="170" spans="2:71" ht="13">
      <c r="B170" s="352">
        <v>154</v>
      </c>
      <c r="C170" s="653" t="s">
        <v>1366</v>
      </c>
      <c r="D170" s="478"/>
      <c r="E170" s="478"/>
      <c r="F170" s="654">
        <f>SUM(F114:F169)</f>
        <v>-434497428.26000005</v>
      </c>
      <c r="G170" s="654">
        <f>SUM(G114:G169)</f>
        <v>-152074099.89100003</v>
      </c>
      <c r="H170" s="654">
        <f>SUM(H114:H169)</f>
        <v>-36932872.01949998</v>
      </c>
      <c r="I170" s="654">
        <f>SUM(I114:I169)</f>
        <v>12926505.206824999</v>
      </c>
      <c r="J170" s="654">
        <f>SUM(J114:J169)</f>
        <v>-176080466.703675</v>
      </c>
      <c r="K170" s="655"/>
      <c r="L170" s="654">
        <f>SUM(L114:L169)</f>
        <v>-434497428.26000005</v>
      </c>
      <c r="M170" s="654">
        <f>SUM(M114:M169)</f>
        <v>-91244459.93460004</v>
      </c>
      <c r="N170" s="654">
        <f>SUM(N114:N169)</f>
        <v>-36932872.01949998</v>
      </c>
      <c r="O170" s="654">
        <f>SUM(O114:O169)</f>
        <v>7755903.1240950013</v>
      </c>
      <c r="P170" s="654">
        <f>SUM(P114:P169)</f>
        <v>-120421428.83000496</v>
      </c>
      <c r="R170" s="654">
        <f>SUM(R114:R169)</f>
        <v>-55659037.873670004</v>
      </c>
      <c r="S170" s="655"/>
      <c r="T170" s="654">
        <f>SUM(T114:T169)</f>
        <v>2104895.1733110002</v>
      </c>
      <c r="U170" s="655"/>
      <c r="V170" s="654">
        <f>SUM(V114:V169)</f>
        <v>0</v>
      </c>
      <c r="W170" s="655"/>
      <c r="X170" s="654">
        <f>SUM(X114:X169)</f>
        <v>-57763933.046981007</v>
      </c>
      <c r="Y170" s="655"/>
      <c r="Z170" s="478"/>
      <c r="AA170" s="656"/>
      <c r="AB170" s="478"/>
      <c r="AC170" s="656"/>
      <c r="AD170" s="656"/>
      <c r="AE170" s="656"/>
      <c r="AF170" s="654">
        <f>SUM(AF114:AF169)</f>
        <v>-2583952.3407537979</v>
      </c>
      <c r="AG170" s="656"/>
      <c r="AH170" s="1510"/>
      <c r="AI170" s="352"/>
      <c r="AQ170" s="1718"/>
      <c r="AR170" s="1718"/>
      <c r="AS170" s="1718"/>
      <c r="AT170" s="1718"/>
      <c r="AU170" s="1718"/>
    </row>
    <row r="171" spans="2:71" ht="13">
      <c r="B171" s="352"/>
      <c r="D171" s="500"/>
      <c r="F171" s="658"/>
      <c r="G171" s="658"/>
      <c r="H171" s="658"/>
      <c r="I171" s="658"/>
      <c r="J171" s="658"/>
      <c r="K171" s="656"/>
      <c r="P171" s="658"/>
      <c r="R171" s="658"/>
      <c r="S171" s="656"/>
      <c r="T171" s="658"/>
      <c r="U171" s="656"/>
      <c r="V171" s="658"/>
      <c r="W171" s="656"/>
      <c r="X171" s="658"/>
      <c r="Y171" s="656"/>
      <c r="AA171" s="656"/>
      <c r="AC171" s="656"/>
      <c r="AD171" s="656"/>
      <c r="AE171" s="656"/>
      <c r="AF171" s="658"/>
      <c r="AG171" s="656"/>
      <c r="AH171" s="501"/>
      <c r="AI171" s="501"/>
    </row>
    <row r="172" spans="2:71" ht="13.5" thickBot="1">
      <c r="B172" s="352">
        <v>155</v>
      </c>
      <c r="C172" s="653" t="s">
        <v>1367</v>
      </c>
      <c r="D172" s="500"/>
      <c r="E172" s="502"/>
      <c r="F172" s="659">
        <f>F91+F111+F170</f>
        <v>-2937340674.1191983</v>
      </c>
      <c r="G172" s="659">
        <f>G91+G111+G170</f>
        <v>-1028069235.9417193</v>
      </c>
      <c r="H172" s="659">
        <f>H91+H111+H170</f>
        <v>-167736623.35159099</v>
      </c>
      <c r="I172" s="659">
        <f>I91+I111+I170</f>
        <v>58707818.173056871</v>
      </c>
      <c r="J172" s="659">
        <f>J91+J111+J170</f>
        <v>-1137098041.1202536</v>
      </c>
      <c r="K172" s="656"/>
      <c r="L172" s="659">
        <f>L91+L111+L170</f>
        <v>-2394170598.6200042</v>
      </c>
      <c r="M172" s="659">
        <f>M91+M111+M170</f>
        <v>-502775825.71020067</v>
      </c>
      <c r="N172" s="659">
        <f>N91+N111+N170</f>
        <v>-121567166.93415949</v>
      </c>
      <c r="O172" s="659">
        <f>O91+O111+O170</f>
        <v>25529105.056173503</v>
      </c>
      <c r="P172" s="659">
        <f>P91+P111+P170</f>
        <v>-598813887.58818674</v>
      </c>
      <c r="R172" s="659">
        <f>R91+R111+R170</f>
        <v>-538284153.5320667</v>
      </c>
      <c r="S172" s="656"/>
      <c r="T172" s="659">
        <f>T91+T111+T170</f>
        <v>4885921.9671274796</v>
      </c>
      <c r="U172" s="656"/>
      <c r="V172" s="659">
        <f>V91+V111+V170</f>
        <v>-162064307.34658164</v>
      </c>
      <c r="W172" s="656"/>
      <c r="X172" s="659">
        <f>X91+X111+X170</f>
        <v>-381105768.15261257</v>
      </c>
      <c r="Y172" s="656"/>
      <c r="Z172" s="502"/>
      <c r="AA172" s="656"/>
      <c r="AB172" s="502"/>
      <c r="AC172" s="656"/>
      <c r="AD172" s="656"/>
      <c r="AE172" s="656"/>
      <c r="AF172" s="659">
        <f>AF91+AF111+AF170</f>
        <v>-116332682.63985825</v>
      </c>
      <c r="AG172" s="656"/>
      <c r="AH172" s="501"/>
      <c r="AI172" s="501"/>
      <c r="AQ172" s="1718"/>
      <c r="AR172" s="1718"/>
      <c r="AS172" s="1718"/>
      <c r="AT172" s="1718"/>
      <c r="AU172" s="1718"/>
    </row>
    <row r="173" spans="2:71" ht="15.75" customHeight="1" thickTop="1">
      <c r="F173" s="658"/>
      <c r="G173" s="658"/>
      <c r="H173" s="658"/>
      <c r="I173" s="658"/>
    </row>
    <row r="174" spans="2:71" ht="15.75" customHeight="1">
      <c r="F174" s="658"/>
      <c r="G174" s="658"/>
      <c r="H174" s="658"/>
      <c r="I174" s="658"/>
    </row>
    <row r="175" spans="2:71">
      <c r="F175" s="658"/>
      <c r="G175" s="658"/>
      <c r="H175" s="658"/>
      <c r="I175" s="658"/>
      <c r="V175" s="503" t="s">
        <v>1305</v>
      </c>
      <c r="X175" s="471">
        <f>SUMIF($E:$E,$V$175,X:X)</f>
        <v>-197311553.32128769</v>
      </c>
      <c r="AF175" s="471">
        <f>SUMIF($E:$E,$V$175,AF:AF)</f>
        <v>-65029941.743630007</v>
      </c>
    </row>
    <row r="176" spans="2:71" ht="15.75" customHeight="1">
      <c r="B176" s="502"/>
      <c r="V176" s="504"/>
      <c r="X176" s="638"/>
      <c r="AF176" s="638"/>
    </row>
    <row r="177" spans="1:35">
      <c r="V177" s="503" t="s">
        <v>1303</v>
      </c>
      <c r="X177" s="638">
        <f>SUMIF($E:$E,$V$177,X:X)</f>
        <v>-127546724.80523546</v>
      </c>
      <c r="AF177" s="638">
        <f>SUMIF($E:$E,$V$177,AF:AF)</f>
        <v>-46442704.063265227</v>
      </c>
    </row>
    <row r="178" spans="1:35" ht="15.75" customHeight="1">
      <c r="V178" s="503" t="s">
        <v>1363</v>
      </c>
      <c r="X178" s="638">
        <f>SUMIF($E:$E,$V$178,X:X)</f>
        <v>-56247490.026089348</v>
      </c>
      <c r="AF178" s="638">
        <f>SUMIF($E:$E,$V$178,AF:AF)</f>
        <v>-4860036.8329630112</v>
      </c>
    </row>
    <row r="179" spans="1:35" ht="5.15" customHeight="1">
      <c r="V179" s="298"/>
      <c r="X179" s="638"/>
      <c r="AF179" s="638"/>
    </row>
    <row r="180" spans="1:35" ht="15.75" customHeight="1">
      <c r="V180" s="505" t="s">
        <v>1368</v>
      </c>
      <c r="X180" s="488">
        <f>SUM(X177:X179)</f>
        <v>-183794214.83132482</v>
      </c>
      <c r="AF180" s="488">
        <f>SUM(AF177:AF179)</f>
        <v>-51302740.896228239</v>
      </c>
    </row>
    <row r="181" spans="1:35">
      <c r="V181" s="504"/>
      <c r="X181" s="638"/>
      <c r="AF181" s="638"/>
    </row>
    <row r="182" spans="1:35" ht="15.75" customHeight="1" thickBot="1">
      <c r="B182" s="506"/>
      <c r="V182" s="505" t="s">
        <v>1369</v>
      </c>
      <c r="X182" s="491">
        <f>X175+X180</f>
        <v>-381105768.15261251</v>
      </c>
      <c r="AF182" s="491">
        <f>AF175+AF180</f>
        <v>-116332682.63985825</v>
      </c>
    </row>
    <row r="183" spans="1:35" ht="15.75" customHeight="1" thickTop="1">
      <c r="B183" s="506"/>
      <c r="V183" s="505"/>
      <c r="X183" s="638"/>
      <c r="AF183" s="638"/>
    </row>
    <row r="184" spans="1:35" ht="15.75" customHeight="1">
      <c r="A184" s="373"/>
      <c r="B184" s="668" t="s">
        <v>1322</v>
      </c>
      <c r="C184" s="373"/>
      <c r="D184" s="373"/>
      <c r="E184" s="373"/>
      <c r="F184" s="373"/>
      <c r="G184" s="373"/>
      <c r="H184" s="373"/>
      <c r="I184" s="373"/>
      <c r="J184" s="373"/>
      <c r="K184" s="373"/>
      <c r="L184" s="373"/>
      <c r="M184" s="373"/>
      <c r="N184" s="373"/>
      <c r="O184" s="373"/>
      <c r="P184" s="373"/>
      <c r="Q184" s="373"/>
      <c r="R184" s="373"/>
      <c r="S184" s="373"/>
      <c r="T184" s="373"/>
      <c r="U184" s="373"/>
      <c r="V184" s="373"/>
      <c r="W184" s="373"/>
      <c r="X184" s="373"/>
      <c r="Y184" s="373"/>
      <c r="Z184" s="373"/>
      <c r="AA184" s="373"/>
      <c r="AB184" s="373"/>
      <c r="AC184" s="373"/>
      <c r="AD184" s="373"/>
      <c r="AE184" s="373"/>
      <c r="AF184" s="373"/>
      <c r="AG184" s="373"/>
      <c r="AH184" s="373"/>
      <c r="AI184" s="373"/>
    </row>
    <row r="185" spans="1:35">
      <c r="B185" s="507"/>
      <c r="C185" s="507"/>
      <c r="D185" s="507"/>
      <c r="Z185" s="643"/>
      <c r="AB185" s="643"/>
      <c r="AH185" s="1518"/>
      <c r="AI185" s="643"/>
    </row>
    <row r="186" spans="1:35" ht="15.75" customHeight="1">
      <c r="B186" s="1781" t="s">
        <v>1370</v>
      </c>
      <c r="C186" s="1781"/>
      <c r="D186" s="1781"/>
      <c r="V186" s="508"/>
      <c r="X186" s="630"/>
      <c r="AF186" s="630"/>
      <c r="AH186" s="1518"/>
      <c r="AI186" s="645"/>
    </row>
    <row r="187" spans="1:35" ht="15.75" customHeight="1">
      <c r="B187" s="1781"/>
      <c r="C187" s="1781"/>
      <c r="D187" s="1781"/>
      <c r="V187" s="508"/>
      <c r="X187" s="630"/>
      <c r="AF187" s="630"/>
      <c r="AH187" s="1518"/>
      <c r="AI187" s="645"/>
    </row>
    <row r="188" spans="1:35" ht="15.75" customHeight="1">
      <c r="B188" s="1781"/>
      <c r="C188" s="1781"/>
      <c r="D188" s="1781"/>
      <c r="V188" s="508"/>
      <c r="X188" s="630"/>
      <c r="AF188" s="630"/>
      <c r="AH188" s="1518"/>
      <c r="AI188" s="645"/>
    </row>
    <row r="189" spans="1:35" ht="15.75" customHeight="1">
      <c r="B189" s="1781"/>
      <c r="C189" s="1781"/>
      <c r="D189" s="1781"/>
      <c r="V189" s="508"/>
      <c r="X189" s="630"/>
      <c r="AF189" s="630"/>
      <c r="AH189" s="1518"/>
      <c r="AI189" s="645"/>
    </row>
    <row r="190" spans="1:35" ht="15.75" customHeight="1">
      <c r="B190" s="1781"/>
      <c r="C190" s="1781"/>
      <c r="D190" s="1781"/>
      <c r="V190" s="508"/>
      <c r="X190" s="630"/>
      <c r="AF190" s="630"/>
      <c r="AH190" s="1518"/>
      <c r="AI190" s="645"/>
    </row>
    <row r="191" spans="1:35" ht="15.75" customHeight="1">
      <c r="B191" s="1781"/>
      <c r="C191" s="1781"/>
      <c r="D191" s="1781"/>
      <c r="V191" s="508"/>
      <c r="X191" s="630"/>
      <c r="AF191" s="630"/>
      <c r="AH191" s="1518"/>
      <c r="AI191" s="645"/>
    </row>
    <row r="192" spans="1:35" ht="15.75" customHeight="1">
      <c r="B192" s="1781"/>
      <c r="C192" s="1781"/>
      <c r="D192" s="1781"/>
      <c r="V192" s="508"/>
      <c r="X192" s="630"/>
      <c r="AF192" s="630"/>
      <c r="AH192" s="1518"/>
      <c r="AI192" s="645"/>
    </row>
    <row r="193" spans="1:35" ht="15.75" customHeight="1">
      <c r="B193" s="1781"/>
      <c r="C193" s="1781"/>
      <c r="D193" s="1781"/>
      <c r="V193" s="508"/>
      <c r="X193" s="630"/>
      <c r="AF193" s="630"/>
      <c r="AH193" s="1518"/>
      <c r="AI193" s="645"/>
    </row>
    <row r="194" spans="1:35" ht="15.75" customHeight="1">
      <c r="B194" s="1781"/>
      <c r="C194" s="1781"/>
      <c r="D194" s="1781"/>
      <c r="V194" s="508"/>
      <c r="X194" s="630"/>
      <c r="AF194" s="630"/>
      <c r="AH194" s="1518"/>
      <c r="AI194" s="645"/>
    </row>
    <row r="195" spans="1:35" ht="15.75" customHeight="1">
      <c r="B195" s="1781"/>
      <c r="C195" s="1781"/>
      <c r="D195" s="1781"/>
      <c r="V195" s="508"/>
      <c r="X195" s="630"/>
      <c r="AF195" s="630"/>
      <c r="AH195" s="1518"/>
      <c r="AI195" s="645"/>
    </row>
    <row r="196" spans="1:35" ht="15.75" customHeight="1">
      <c r="B196" s="1781"/>
      <c r="C196" s="1781"/>
      <c r="D196" s="1781"/>
      <c r="V196" s="508"/>
      <c r="X196" s="630"/>
      <c r="AF196" s="630"/>
      <c r="AH196" s="1518"/>
      <c r="AI196" s="645"/>
    </row>
    <row r="197" spans="1:35" ht="12.75" customHeight="1">
      <c r="B197" s="1777" t="s">
        <v>1371</v>
      </c>
      <c r="C197" s="1777"/>
      <c r="D197" s="1777"/>
      <c r="E197" s="509"/>
      <c r="F197" s="509"/>
      <c r="G197" s="509"/>
      <c r="H197" s="509"/>
      <c r="I197" s="509"/>
      <c r="J197" s="509"/>
      <c r="K197" s="509"/>
      <c r="L197" s="509"/>
      <c r="M197" s="509"/>
      <c r="N197" s="509"/>
      <c r="O197" s="509"/>
      <c r="Z197" s="643"/>
      <c r="AB197" s="643"/>
      <c r="AH197" s="1518"/>
      <c r="AI197" s="643"/>
    </row>
    <row r="198" spans="1:35">
      <c r="B198" s="1777"/>
      <c r="C198" s="1777"/>
      <c r="D198" s="1777"/>
      <c r="E198" s="509"/>
      <c r="F198" s="509"/>
      <c r="G198" s="509"/>
      <c r="H198" s="509"/>
      <c r="I198" s="509"/>
      <c r="J198" s="509"/>
      <c r="K198" s="509"/>
      <c r="L198" s="509"/>
      <c r="M198" s="509"/>
      <c r="N198" s="509"/>
      <c r="O198" s="509"/>
    </row>
    <row r="199" spans="1:35">
      <c r="B199" s="1777"/>
      <c r="C199" s="1777"/>
      <c r="D199" s="1777"/>
      <c r="E199" s="509"/>
      <c r="F199" s="509"/>
      <c r="G199" s="509"/>
      <c r="H199" s="509"/>
      <c r="I199" s="509"/>
      <c r="J199" s="509"/>
      <c r="K199" s="509"/>
      <c r="L199" s="509"/>
      <c r="M199" s="509"/>
      <c r="N199" s="509"/>
      <c r="O199" s="509"/>
    </row>
    <row r="200" spans="1:35" ht="12.75" customHeight="1">
      <c r="B200" s="1777" t="s">
        <v>1372</v>
      </c>
      <c r="C200" s="1777"/>
      <c r="D200" s="1777"/>
      <c r="E200" s="509"/>
      <c r="F200" s="509"/>
      <c r="G200" s="509"/>
      <c r="H200" s="509"/>
      <c r="I200" s="509"/>
      <c r="J200" s="509"/>
      <c r="K200" s="509"/>
      <c r="L200" s="509"/>
      <c r="M200" s="509"/>
      <c r="N200" s="509"/>
      <c r="O200" s="509"/>
    </row>
    <row r="201" spans="1:35">
      <c r="B201" s="1777"/>
      <c r="C201" s="1777"/>
      <c r="D201" s="1777"/>
      <c r="E201" s="509"/>
      <c r="F201" s="509"/>
      <c r="G201" s="509"/>
      <c r="H201" s="509"/>
      <c r="I201" s="509"/>
      <c r="J201" s="509"/>
      <c r="K201" s="509"/>
      <c r="L201" s="509"/>
      <c r="M201" s="509"/>
      <c r="N201" s="509"/>
      <c r="O201" s="509"/>
    </row>
    <row r="202" spans="1:35">
      <c r="B202" s="507"/>
      <c r="C202" s="507"/>
      <c r="D202" s="507"/>
    </row>
    <row r="203" spans="1:35" ht="15.75" customHeight="1">
      <c r="A203" s="373"/>
      <c r="B203" s="668" t="s">
        <v>883</v>
      </c>
      <c r="C203" s="373"/>
      <c r="D203" s="373"/>
      <c r="E203" s="373"/>
      <c r="F203" s="373"/>
      <c r="G203" s="373"/>
      <c r="H203" s="373"/>
      <c r="I203" s="373"/>
      <c r="J203" s="373"/>
      <c r="K203" s="373"/>
      <c r="L203" s="373"/>
      <c r="M203" s="373"/>
      <c r="N203" s="373"/>
      <c r="O203" s="373"/>
      <c r="P203" s="373"/>
      <c r="Q203" s="373"/>
      <c r="R203" s="373"/>
      <c r="S203" s="373"/>
      <c r="T203" s="373"/>
      <c r="U203" s="373"/>
      <c r="V203" s="373"/>
      <c r="W203" s="373"/>
      <c r="X203" s="373"/>
      <c r="Y203" s="373"/>
      <c r="Z203" s="373"/>
      <c r="AA203" s="373"/>
      <c r="AB203" s="373"/>
      <c r="AC203" s="373"/>
      <c r="AD203" s="373"/>
      <c r="AE203" s="373"/>
      <c r="AF203" s="373"/>
      <c r="AG203" s="373"/>
      <c r="AH203" s="373"/>
      <c r="AI203" s="373"/>
    </row>
    <row r="204" spans="1:35">
      <c r="B204" s="507"/>
      <c r="C204" s="507"/>
      <c r="D204" s="507"/>
    </row>
    <row r="205" spans="1:35" ht="15.75" customHeight="1">
      <c r="B205" s="510" t="s">
        <v>9</v>
      </c>
      <c r="C205" s="1780" t="s">
        <v>1373</v>
      </c>
      <c r="D205" s="1780"/>
      <c r="X205" s="660"/>
    </row>
    <row r="206" spans="1:35" ht="15.75" customHeight="1">
      <c r="B206" s="510"/>
      <c r="C206" s="1780"/>
      <c r="D206" s="1780"/>
      <c r="X206" s="660"/>
    </row>
    <row r="207" spans="1:35" ht="15.75" customHeight="1">
      <c r="B207" s="510"/>
      <c r="C207" s="1780"/>
      <c r="D207" s="1780"/>
      <c r="X207" s="660"/>
    </row>
    <row r="208" spans="1:35">
      <c r="B208" s="507"/>
      <c r="C208" s="1780"/>
      <c r="D208" s="1780"/>
    </row>
    <row r="209" spans="1:148" ht="15.75" customHeight="1">
      <c r="B209" s="661" t="s">
        <v>10</v>
      </c>
      <c r="C209" s="1781" t="s">
        <v>1374</v>
      </c>
      <c r="D209" s="1781"/>
    </row>
    <row r="210" spans="1:148">
      <c r="C210" s="1781"/>
      <c r="D210" s="1781"/>
    </row>
    <row r="211" spans="1:148" ht="15.75" customHeight="1">
      <c r="C211" s="645" t="s">
        <v>83</v>
      </c>
    </row>
    <row r="213" spans="1:148" ht="15.75" customHeight="1">
      <c r="A213" s="455" t="s">
        <v>466</v>
      </c>
      <c r="B213" s="662"/>
      <c r="C213" s="663"/>
      <c r="D213" s="664"/>
      <c r="E213" s="664"/>
      <c r="F213" s="665"/>
      <c r="G213" s="664"/>
      <c r="H213" s="664"/>
      <c r="I213" s="664"/>
      <c r="J213" s="664"/>
      <c r="K213" s="664"/>
      <c r="L213" s="664"/>
      <c r="M213" s="664"/>
      <c r="N213" s="664"/>
      <c r="O213" s="664"/>
      <c r="P213" s="664"/>
      <c r="Q213" s="664"/>
      <c r="R213" s="664"/>
      <c r="S213" s="664"/>
      <c r="T213" s="664"/>
      <c r="U213" s="664"/>
      <c r="V213" s="664"/>
      <c r="W213" s="664"/>
      <c r="X213" s="664"/>
      <c r="Y213" s="664"/>
      <c r="Z213" s="664"/>
      <c r="AA213" s="664"/>
      <c r="AB213" s="664"/>
      <c r="AC213" s="664"/>
      <c r="AD213" s="664"/>
      <c r="AE213" s="664"/>
      <c r="AF213" s="664"/>
      <c r="AG213" s="664"/>
      <c r="AH213" s="664"/>
      <c r="AI213" s="664"/>
    </row>
    <row r="215" spans="1:148" ht="15.75" customHeight="1"/>
    <row r="217" spans="1:148" ht="15.75" customHeight="1"/>
    <row r="219" spans="1:148" ht="15.75" customHeight="1"/>
    <row r="221" spans="1:148" s="645" customFormat="1" ht="15.75" customHeight="1">
      <c r="F221" s="643"/>
      <c r="G221" s="643"/>
      <c r="H221" s="643"/>
      <c r="I221" s="643"/>
      <c r="J221" s="643"/>
      <c r="K221" s="643"/>
      <c r="L221" s="643"/>
      <c r="M221" s="643"/>
      <c r="N221" s="643"/>
      <c r="O221" s="643"/>
      <c r="P221" s="643"/>
      <c r="Q221" s="643"/>
      <c r="R221" s="643"/>
      <c r="S221" s="643"/>
      <c r="T221" s="643"/>
      <c r="U221" s="643"/>
      <c r="V221" s="643"/>
      <c r="W221" s="643"/>
      <c r="X221" s="643"/>
      <c r="Y221" s="643"/>
      <c r="AA221" s="643"/>
      <c r="AC221" s="643"/>
      <c r="AD221" s="643"/>
      <c r="AE221" s="643"/>
      <c r="AF221" s="643"/>
      <c r="AG221" s="643"/>
      <c r="AH221" s="1517"/>
      <c r="AI221" s="644"/>
      <c r="AJ221" s="643"/>
      <c r="AK221" s="643"/>
      <c r="AL221" s="643"/>
      <c r="AM221" s="643"/>
      <c r="AN221" s="643"/>
      <c r="AO221" s="643"/>
      <c r="AP221" s="643"/>
      <c r="AQ221" s="643"/>
      <c r="AR221" s="643"/>
      <c r="AS221" s="643"/>
      <c r="AT221" s="643"/>
      <c r="AU221" s="643"/>
      <c r="AV221" s="643"/>
      <c r="AW221" s="643"/>
      <c r="AX221" s="643"/>
      <c r="AY221" s="643"/>
      <c r="AZ221" s="643"/>
      <c r="BA221" s="643"/>
      <c r="BB221" s="643"/>
      <c r="BC221" s="643"/>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3"/>
      <c r="BY221" s="643"/>
      <c r="BZ221" s="643"/>
      <c r="CA221" s="643"/>
      <c r="CB221" s="643"/>
      <c r="CC221" s="643"/>
      <c r="CD221" s="643"/>
      <c r="CE221" s="643"/>
      <c r="CF221" s="643"/>
      <c r="CG221" s="643"/>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3"/>
      <c r="DH221" s="643"/>
      <c r="DI221" s="643"/>
      <c r="DJ221" s="643"/>
      <c r="DK221" s="643"/>
      <c r="DL221" s="643"/>
      <c r="DM221" s="643"/>
      <c r="DN221" s="643"/>
      <c r="DO221" s="643"/>
      <c r="DP221" s="643"/>
      <c r="DQ221" s="643"/>
      <c r="DR221" s="643"/>
      <c r="DS221" s="643"/>
      <c r="DT221" s="643"/>
      <c r="DU221" s="643"/>
      <c r="DV221" s="643"/>
      <c r="DW221" s="643"/>
      <c r="DX221" s="643"/>
      <c r="DY221" s="643"/>
      <c r="DZ221" s="643"/>
      <c r="EA221" s="643"/>
      <c r="EB221" s="643"/>
      <c r="EC221" s="643"/>
      <c r="ED221" s="643"/>
      <c r="EE221" s="643"/>
      <c r="EF221" s="643"/>
      <c r="EG221" s="643"/>
      <c r="EH221" s="643"/>
      <c r="EI221" s="643"/>
      <c r="EJ221" s="643"/>
      <c r="EK221" s="643"/>
      <c r="EL221" s="643"/>
      <c r="EM221" s="643"/>
      <c r="EN221" s="643"/>
      <c r="EO221" s="643"/>
      <c r="EP221" s="643"/>
      <c r="EQ221" s="643"/>
      <c r="ER221" s="643"/>
    </row>
    <row r="223" spans="1:148" s="645" customFormat="1" ht="15.75" customHeight="1">
      <c r="F223" s="643"/>
      <c r="G223" s="643"/>
      <c r="H223" s="643"/>
      <c r="I223" s="643"/>
      <c r="J223" s="643"/>
      <c r="K223" s="643"/>
      <c r="L223" s="643"/>
      <c r="M223" s="643"/>
      <c r="N223" s="643"/>
      <c r="O223" s="643"/>
      <c r="P223" s="643"/>
      <c r="Q223" s="643"/>
      <c r="R223" s="643"/>
      <c r="S223" s="643"/>
      <c r="T223" s="643"/>
      <c r="U223" s="643"/>
      <c r="V223" s="643"/>
      <c r="W223" s="643"/>
      <c r="X223" s="643"/>
      <c r="Y223" s="643"/>
      <c r="AA223" s="643"/>
      <c r="AC223" s="643"/>
      <c r="AD223" s="643"/>
      <c r="AE223" s="643"/>
      <c r="AF223" s="643"/>
      <c r="AG223" s="643"/>
      <c r="AH223" s="1517"/>
      <c r="AI223" s="644"/>
      <c r="AJ223" s="643"/>
      <c r="AK223" s="643"/>
      <c r="AL223" s="643"/>
      <c r="AM223" s="643"/>
      <c r="AN223" s="643"/>
      <c r="AO223" s="643"/>
      <c r="AP223" s="643"/>
      <c r="AQ223" s="643"/>
      <c r="AR223" s="643"/>
      <c r="AS223" s="643"/>
      <c r="AT223" s="643"/>
      <c r="AU223" s="643"/>
      <c r="AV223" s="643"/>
      <c r="AW223" s="643"/>
      <c r="AX223" s="643"/>
      <c r="AY223" s="643"/>
      <c r="AZ223" s="643"/>
      <c r="BA223" s="643"/>
      <c r="BB223" s="643"/>
      <c r="BC223" s="643"/>
      <c r="BD223" s="643"/>
      <c r="BE223" s="643"/>
      <c r="BF223" s="643"/>
      <c r="BG223" s="643"/>
      <c r="BH223" s="643"/>
      <c r="BI223" s="643"/>
      <c r="BJ223" s="643"/>
      <c r="BK223" s="643"/>
      <c r="BL223" s="643"/>
      <c r="BM223" s="643"/>
      <c r="BN223" s="643"/>
      <c r="BO223" s="643"/>
      <c r="BP223" s="643"/>
      <c r="BQ223" s="643"/>
      <c r="BR223" s="643"/>
      <c r="BS223" s="643"/>
      <c r="BT223" s="643"/>
      <c r="BU223" s="643"/>
      <c r="BV223" s="643"/>
      <c r="BW223" s="643"/>
      <c r="BX223" s="643"/>
      <c r="BY223" s="643"/>
      <c r="BZ223" s="643"/>
      <c r="CA223" s="643"/>
      <c r="CB223" s="643"/>
      <c r="CC223" s="643"/>
      <c r="CD223" s="643"/>
      <c r="CE223" s="643"/>
      <c r="CF223" s="643"/>
      <c r="CG223" s="643"/>
      <c r="CH223" s="643"/>
      <c r="CI223" s="643"/>
      <c r="CJ223" s="643"/>
      <c r="CK223" s="643"/>
      <c r="CL223" s="643"/>
      <c r="CM223" s="643"/>
      <c r="CN223" s="643"/>
      <c r="CO223" s="643"/>
      <c r="CP223" s="643"/>
      <c r="CQ223" s="643"/>
      <c r="CR223" s="643"/>
      <c r="CS223" s="643"/>
      <c r="CT223" s="643"/>
      <c r="CU223" s="643"/>
      <c r="CV223" s="643"/>
      <c r="CW223" s="643"/>
      <c r="CX223" s="643"/>
      <c r="CY223" s="643"/>
      <c r="CZ223" s="643"/>
      <c r="DA223" s="643"/>
      <c r="DB223" s="643"/>
      <c r="DC223" s="643"/>
      <c r="DD223" s="643"/>
      <c r="DE223" s="643"/>
      <c r="DF223" s="643"/>
      <c r="DG223" s="643"/>
      <c r="DH223" s="643"/>
      <c r="DI223" s="643"/>
      <c r="DJ223" s="643"/>
      <c r="DK223" s="643"/>
      <c r="DL223" s="643"/>
      <c r="DM223" s="643"/>
      <c r="DN223" s="643"/>
      <c r="DO223" s="643"/>
      <c r="DP223" s="643"/>
      <c r="DQ223" s="643"/>
      <c r="DR223" s="643"/>
      <c r="DS223" s="643"/>
      <c r="DT223" s="643"/>
      <c r="DU223" s="643"/>
      <c r="DV223" s="643"/>
      <c r="DW223" s="643"/>
      <c r="DX223" s="643"/>
      <c r="DY223" s="643"/>
      <c r="DZ223" s="643"/>
      <c r="EA223" s="643"/>
      <c r="EB223" s="643"/>
      <c r="EC223" s="643"/>
      <c r="ED223" s="643"/>
      <c r="EE223" s="643"/>
      <c r="EF223" s="643"/>
      <c r="EG223" s="643"/>
      <c r="EH223" s="643"/>
      <c r="EI223" s="643"/>
      <c r="EJ223" s="643"/>
      <c r="EK223" s="643"/>
      <c r="EL223" s="643"/>
      <c r="EM223" s="643"/>
      <c r="EN223" s="643"/>
      <c r="EO223" s="643"/>
      <c r="EP223" s="643"/>
      <c r="EQ223" s="643"/>
      <c r="ER223" s="643"/>
    </row>
    <row r="225" spans="6:148" s="645" customFormat="1" ht="15.75" customHeight="1">
      <c r="F225" s="643"/>
      <c r="G225" s="643"/>
      <c r="H225" s="643"/>
      <c r="I225" s="643"/>
      <c r="J225" s="643"/>
      <c r="K225" s="643"/>
      <c r="L225" s="643"/>
      <c r="M225" s="643"/>
      <c r="N225" s="643"/>
      <c r="O225" s="643"/>
      <c r="P225" s="643"/>
      <c r="Q225" s="643"/>
      <c r="R225" s="643"/>
      <c r="S225" s="643"/>
      <c r="T225" s="643"/>
      <c r="U225" s="643"/>
      <c r="V225" s="643"/>
      <c r="W225" s="643"/>
      <c r="X225" s="643"/>
      <c r="Y225" s="643"/>
      <c r="AA225" s="643"/>
      <c r="AC225" s="643"/>
      <c r="AD225" s="643"/>
      <c r="AE225" s="643"/>
      <c r="AF225" s="643"/>
      <c r="AG225" s="643"/>
      <c r="AH225" s="1517"/>
      <c r="AI225" s="644"/>
      <c r="AJ225" s="643"/>
      <c r="AK225" s="643"/>
      <c r="AL225" s="643"/>
      <c r="AM225" s="643"/>
      <c r="AN225" s="643"/>
      <c r="AO225" s="643"/>
      <c r="AP225" s="643"/>
      <c r="AQ225" s="643"/>
      <c r="AR225" s="643"/>
      <c r="AS225" s="643"/>
      <c r="AT225" s="643"/>
      <c r="AU225" s="643"/>
      <c r="AV225" s="643"/>
      <c r="AW225" s="643"/>
      <c r="AX225" s="643"/>
      <c r="AY225" s="643"/>
      <c r="AZ225" s="643"/>
      <c r="BA225" s="643"/>
      <c r="BB225" s="643"/>
      <c r="BC225" s="643"/>
      <c r="BD225" s="643"/>
      <c r="BE225" s="643"/>
      <c r="BF225" s="643"/>
      <c r="BG225" s="643"/>
      <c r="BH225" s="643"/>
      <c r="BI225" s="643"/>
      <c r="BJ225" s="643"/>
      <c r="BK225" s="643"/>
      <c r="BL225" s="643"/>
      <c r="BM225" s="643"/>
      <c r="BN225" s="643"/>
      <c r="BO225" s="643"/>
      <c r="BP225" s="643"/>
      <c r="BQ225" s="643"/>
      <c r="BR225" s="643"/>
      <c r="BS225" s="643"/>
      <c r="BT225" s="643"/>
      <c r="BU225" s="643"/>
      <c r="BV225" s="643"/>
      <c r="BW225" s="643"/>
      <c r="BX225" s="643"/>
      <c r="BY225" s="643"/>
      <c r="BZ225" s="643"/>
      <c r="CA225" s="643"/>
      <c r="CB225" s="643"/>
      <c r="CC225" s="643"/>
      <c r="CD225" s="643"/>
      <c r="CE225" s="643"/>
      <c r="CF225" s="643"/>
      <c r="CG225" s="643"/>
      <c r="CH225" s="643"/>
      <c r="CI225" s="643"/>
      <c r="CJ225" s="643"/>
      <c r="CK225" s="643"/>
      <c r="CL225" s="643"/>
      <c r="CM225" s="643"/>
      <c r="CN225" s="643"/>
      <c r="CO225" s="643"/>
      <c r="CP225" s="643"/>
      <c r="CQ225" s="643"/>
      <c r="CR225" s="643"/>
      <c r="CS225" s="643"/>
      <c r="CT225" s="643"/>
      <c r="CU225" s="643"/>
      <c r="CV225" s="643"/>
      <c r="CW225" s="643"/>
      <c r="CX225" s="643"/>
      <c r="CY225" s="643"/>
      <c r="CZ225" s="643"/>
      <c r="DA225" s="643"/>
      <c r="DB225" s="643"/>
      <c r="DC225" s="643"/>
      <c r="DD225" s="643"/>
      <c r="DE225" s="643"/>
      <c r="DF225" s="643"/>
      <c r="DG225" s="643"/>
      <c r="DH225" s="643"/>
      <c r="DI225" s="643"/>
      <c r="DJ225" s="643"/>
      <c r="DK225" s="643"/>
      <c r="DL225" s="643"/>
      <c r="DM225" s="643"/>
      <c r="DN225" s="643"/>
      <c r="DO225" s="643"/>
      <c r="DP225" s="643"/>
      <c r="DQ225" s="643"/>
      <c r="DR225" s="643"/>
      <c r="DS225" s="643"/>
      <c r="DT225" s="643"/>
      <c r="DU225" s="643"/>
      <c r="DV225" s="643"/>
      <c r="DW225" s="643"/>
      <c r="DX225" s="643"/>
      <c r="DY225" s="643"/>
      <c r="DZ225" s="643"/>
      <c r="EA225" s="643"/>
      <c r="EB225" s="643"/>
      <c r="EC225" s="643"/>
      <c r="ED225" s="643"/>
      <c r="EE225" s="643"/>
      <c r="EF225" s="643"/>
      <c r="EG225" s="643"/>
      <c r="EH225" s="643"/>
      <c r="EI225" s="643"/>
      <c r="EJ225" s="643"/>
      <c r="EK225" s="643"/>
      <c r="EL225" s="643"/>
      <c r="EM225" s="643"/>
      <c r="EN225" s="643"/>
      <c r="EO225" s="643"/>
      <c r="EP225" s="643"/>
      <c r="EQ225" s="643"/>
      <c r="ER225" s="643"/>
    </row>
    <row r="227" spans="6:148" s="645" customFormat="1" ht="15.75" customHeight="1">
      <c r="F227" s="643"/>
      <c r="G227" s="643"/>
      <c r="H227" s="643"/>
      <c r="I227" s="643"/>
      <c r="J227" s="643"/>
      <c r="K227" s="643"/>
      <c r="L227" s="643"/>
      <c r="M227" s="643"/>
      <c r="N227" s="643"/>
      <c r="O227" s="643"/>
      <c r="P227" s="643"/>
      <c r="Q227" s="643"/>
      <c r="R227" s="643"/>
      <c r="S227" s="643"/>
      <c r="T227" s="643"/>
      <c r="U227" s="643"/>
      <c r="V227" s="643"/>
      <c r="W227" s="643"/>
      <c r="X227" s="643"/>
      <c r="Y227" s="643"/>
      <c r="AA227" s="643"/>
      <c r="AC227" s="643"/>
      <c r="AD227" s="643"/>
      <c r="AE227" s="643"/>
      <c r="AF227" s="643"/>
      <c r="AG227" s="643"/>
      <c r="AH227" s="1517"/>
      <c r="AI227" s="644"/>
      <c r="AJ227" s="643"/>
      <c r="AK227" s="643"/>
      <c r="AL227" s="643"/>
      <c r="AM227" s="643"/>
      <c r="AN227" s="643"/>
      <c r="AO227" s="643"/>
      <c r="AP227" s="643"/>
      <c r="AQ227" s="643"/>
      <c r="AR227" s="643"/>
      <c r="AS227" s="643"/>
      <c r="AT227" s="643"/>
      <c r="AU227" s="643"/>
      <c r="AV227" s="643"/>
      <c r="AW227" s="643"/>
      <c r="AX227" s="643"/>
      <c r="AY227" s="643"/>
      <c r="AZ227" s="643"/>
      <c r="BA227" s="643"/>
      <c r="BB227" s="643"/>
      <c r="BC227" s="643"/>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3"/>
      <c r="BY227" s="643"/>
      <c r="BZ227" s="643"/>
      <c r="CA227" s="643"/>
      <c r="CB227" s="643"/>
      <c r="CC227" s="643"/>
      <c r="CD227" s="643"/>
      <c r="CE227" s="643"/>
      <c r="CF227" s="643"/>
      <c r="CG227" s="643"/>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3"/>
      <c r="DH227" s="643"/>
      <c r="DI227" s="643"/>
      <c r="DJ227" s="643"/>
      <c r="DK227" s="643"/>
      <c r="DL227" s="643"/>
      <c r="DM227" s="643"/>
      <c r="DN227" s="643"/>
      <c r="DO227" s="643"/>
      <c r="DP227" s="643"/>
      <c r="DQ227" s="643"/>
      <c r="DR227" s="643"/>
      <c r="DS227" s="643"/>
      <c r="DT227" s="643"/>
      <c r="DU227" s="643"/>
      <c r="DV227" s="643"/>
      <c r="DW227" s="643"/>
      <c r="DX227" s="643"/>
      <c r="DY227" s="643"/>
      <c r="DZ227" s="643"/>
      <c r="EA227" s="643"/>
      <c r="EB227" s="643"/>
      <c r="EC227" s="643"/>
      <c r="ED227" s="643"/>
      <c r="EE227" s="643"/>
      <c r="EF227" s="643"/>
      <c r="EG227" s="643"/>
      <c r="EH227" s="643"/>
      <c r="EI227" s="643"/>
      <c r="EJ227" s="643"/>
      <c r="EK227" s="643"/>
      <c r="EL227" s="643"/>
      <c r="EM227" s="643"/>
      <c r="EN227" s="643"/>
      <c r="EO227" s="643"/>
      <c r="EP227" s="643"/>
      <c r="EQ227" s="643"/>
      <c r="ER227" s="643"/>
    </row>
    <row r="229" spans="6:148" s="645" customFormat="1" ht="15.75" customHeight="1">
      <c r="F229" s="643"/>
      <c r="G229" s="643"/>
      <c r="H229" s="643"/>
      <c r="I229" s="643"/>
      <c r="J229" s="643"/>
      <c r="K229" s="643"/>
      <c r="L229" s="643"/>
      <c r="M229" s="643"/>
      <c r="N229" s="643"/>
      <c r="O229" s="643"/>
      <c r="P229" s="643"/>
      <c r="Q229" s="643"/>
      <c r="R229" s="643"/>
      <c r="S229" s="643"/>
      <c r="T229" s="643"/>
      <c r="U229" s="643"/>
      <c r="V229" s="643"/>
      <c r="W229" s="643"/>
      <c r="X229" s="643"/>
      <c r="Y229" s="643"/>
      <c r="AA229" s="643"/>
      <c r="AC229" s="643"/>
      <c r="AD229" s="643"/>
      <c r="AE229" s="643"/>
      <c r="AF229" s="643"/>
      <c r="AG229" s="643"/>
      <c r="AH229" s="1517"/>
      <c r="AI229" s="644"/>
      <c r="AJ229" s="643"/>
      <c r="AK229" s="643"/>
      <c r="AL229" s="643"/>
      <c r="AM229" s="643"/>
      <c r="AN229" s="643"/>
      <c r="AO229" s="643"/>
      <c r="AP229" s="643"/>
      <c r="AQ229" s="643"/>
      <c r="AR229" s="643"/>
      <c r="AS229" s="643"/>
      <c r="AT229" s="643"/>
      <c r="AU229" s="643"/>
      <c r="AV229" s="643"/>
      <c r="AW229" s="643"/>
      <c r="AX229" s="643"/>
      <c r="AY229" s="643"/>
      <c r="AZ229" s="643"/>
      <c r="BA229" s="643"/>
      <c r="BB229" s="643"/>
      <c r="BC229" s="643"/>
      <c r="BD229" s="643"/>
      <c r="BE229" s="643"/>
      <c r="BF229" s="643"/>
      <c r="BG229" s="643"/>
      <c r="BH229" s="643"/>
      <c r="BI229" s="643"/>
      <c r="BJ229" s="643"/>
      <c r="BK229" s="643"/>
      <c r="BL229" s="643"/>
      <c r="BM229" s="643"/>
      <c r="BN229" s="643"/>
      <c r="BO229" s="643"/>
      <c r="BP229" s="643"/>
      <c r="BQ229" s="643"/>
      <c r="BR229" s="643"/>
      <c r="BS229" s="643"/>
      <c r="BT229" s="643"/>
      <c r="BU229" s="643"/>
      <c r="BV229" s="643"/>
      <c r="BW229" s="643"/>
      <c r="BX229" s="643"/>
      <c r="BY229" s="643"/>
      <c r="BZ229" s="643"/>
      <c r="CA229" s="643"/>
      <c r="CB229" s="643"/>
      <c r="CC229" s="643"/>
      <c r="CD229" s="643"/>
      <c r="CE229" s="643"/>
      <c r="CF229" s="643"/>
      <c r="CG229" s="643"/>
      <c r="CH229" s="643"/>
      <c r="CI229" s="643"/>
      <c r="CJ229" s="643"/>
      <c r="CK229" s="643"/>
      <c r="CL229" s="643"/>
      <c r="CM229" s="643"/>
      <c r="CN229" s="643"/>
      <c r="CO229" s="643"/>
      <c r="CP229" s="643"/>
      <c r="CQ229" s="643"/>
      <c r="CR229" s="643"/>
      <c r="CS229" s="643"/>
      <c r="CT229" s="643"/>
      <c r="CU229" s="643"/>
      <c r="CV229" s="643"/>
      <c r="CW229" s="643"/>
      <c r="CX229" s="643"/>
      <c r="CY229" s="643"/>
      <c r="CZ229" s="643"/>
      <c r="DA229" s="643"/>
      <c r="DB229" s="643"/>
      <c r="DC229" s="643"/>
      <c r="DD229" s="643"/>
      <c r="DE229" s="643"/>
      <c r="DF229" s="643"/>
      <c r="DG229" s="643"/>
      <c r="DH229" s="643"/>
      <c r="DI229" s="643"/>
      <c r="DJ229" s="643"/>
      <c r="DK229" s="643"/>
      <c r="DL229" s="643"/>
      <c r="DM229" s="643"/>
      <c r="DN229" s="643"/>
      <c r="DO229" s="643"/>
      <c r="DP229" s="643"/>
      <c r="DQ229" s="643"/>
      <c r="DR229" s="643"/>
      <c r="DS229" s="643"/>
      <c r="DT229" s="643"/>
      <c r="DU229" s="643"/>
      <c r="DV229" s="643"/>
      <c r="DW229" s="643"/>
      <c r="DX229" s="643"/>
      <c r="DY229" s="643"/>
      <c r="DZ229" s="643"/>
      <c r="EA229" s="643"/>
      <c r="EB229" s="643"/>
      <c r="EC229" s="643"/>
      <c r="ED229" s="643"/>
      <c r="EE229" s="643"/>
      <c r="EF229" s="643"/>
      <c r="EG229" s="643"/>
      <c r="EH229" s="643"/>
      <c r="EI229" s="643"/>
      <c r="EJ229" s="643"/>
      <c r="EK229" s="643"/>
      <c r="EL229" s="643"/>
      <c r="EM229" s="643"/>
      <c r="EN229" s="643"/>
      <c r="EO229" s="643"/>
      <c r="EP229" s="643"/>
      <c r="EQ229" s="643"/>
      <c r="ER229" s="643"/>
    </row>
    <row r="231" spans="6:148" s="645" customFormat="1" ht="15.75" customHeight="1">
      <c r="F231" s="643"/>
      <c r="G231" s="643"/>
      <c r="H231" s="643"/>
      <c r="I231" s="643"/>
      <c r="J231" s="643"/>
      <c r="K231" s="643"/>
      <c r="L231" s="643"/>
      <c r="M231" s="643"/>
      <c r="N231" s="643"/>
      <c r="O231" s="643"/>
      <c r="P231" s="643"/>
      <c r="Q231" s="643"/>
      <c r="R231" s="643"/>
      <c r="S231" s="643"/>
      <c r="T231" s="643"/>
      <c r="U231" s="643"/>
      <c r="V231" s="643"/>
      <c r="W231" s="643"/>
      <c r="X231" s="643"/>
      <c r="Y231" s="643"/>
      <c r="AA231" s="643"/>
      <c r="AC231" s="643"/>
      <c r="AD231" s="643"/>
      <c r="AE231" s="643"/>
      <c r="AF231" s="643"/>
      <c r="AG231" s="643"/>
      <c r="AH231" s="1517"/>
      <c r="AI231" s="644"/>
      <c r="AJ231" s="643"/>
      <c r="AK231" s="643"/>
      <c r="AL231" s="643"/>
      <c r="AM231" s="643"/>
      <c r="AN231" s="643"/>
      <c r="AO231" s="643"/>
      <c r="AP231" s="643"/>
      <c r="AQ231" s="643"/>
      <c r="AR231" s="643"/>
      <c r="AS231" s="643"/>
      <c r="AT231" s="643"/>
      <c r="AU231" s="643"/>
      <c r="AV231" s="643"/>
      <c r="AW231" s="643"/>
      <c r="AX231" s="643"/>
      <c r="AY231" s="643"/>
      <c r="AZ231" s="643"/>
      <c r="BA231" s="643"/>
      <c r="BB231" s="643"/>
      <c r="BC231" s="643"/>
      <c r="BD231" s="643"/>
      <c r="BE231" s="643"/>
      <c r="BF231" s="643"/>
      <c r="BG231" s="643"/>
      <c r="BH231" s="643"/>
      <c r="BI231" s="643"/>
      <c r="BJ231" s="643"/>
      <c r="BK231" s="643"/>
      <c r="BL231" s="643"/>
      <c r="BM231" s="643"/>
      <c r="BN231" s="643"/>
      <c r="BO231" s="643"/>
      <c r="BP231" s="643"/>
      <c r="BQ231" s="643"/>
      <c r="BR231" s="643"/>
      <c r="BS231" s="643"/>
      <c r="BT231" s="643"/>
      <c r="BU231" s="643"/>
      <c r="BV231" s="643"/>
      <c r="BW231" s="643"/>
      <c r="BX231" s="643"/>
      <c r="BY231" s="643"/>
      <c r="BZ231" s="643"/>
      <c r="CA231" s="643"/>
      <c r="CB231" s="643"/>
      <c r="CC231" s="643"/>
      <c r="CD231" s="643"/>
      <c r="CE231" s="643"/>
      <c r="CF231" s="643"/>
      <c r="CG231" s="643"/>
      <c r="CH231" s="643"/>
      <c r="CI231" s="643"/>
      <c r="CJ231" s="643"/>
      <c r="CK231" s="643"/>
      <c r="CL231" s="643"/>
      <c r="CM231" s="643"/>
      <c r="CN231" s="643"/>
      <c r="CO231" s="643"/>
      <c r="CP231" s="643"/>
      <c r="CQ231" s="643"/>
      <c r="CR231" s="643"/>
      <c r="CS231" s="643"/>
      <c r="CT231" s="643"/>
      <c r="CU231" s="643"/>
      <c r="CV231" s="643"/>
      <c r="CW231" s="643"/>
      <c r="CX231" s="643"/>
      <c r="CY231" s="643"/>
      <c r="CZ231" s="643"/>
      <c r="DA231" s="643"/>
      <c r="DB231" s="643"/>
      <c r="DC231" s="643"/>
      <c r="DD231" s="643"/>
      <c r="DE231" s="643"/>
      <c r="DF231" s="643"/>
      <c r="DG231" s="643"/>
      <c r="DH231" s="643"/>
      <c r="DI231" s="643"/>
      <c r="DJ231" s="643"/>
      <c r="DK231" s="643"/>
      <c r="DL231" s="643"/>
      <c r="DM231" s="643"/>
      <c r="DN231" s="643"/>
      <c r="DO231" s="643"/>
      <c r="DP231" s="643"/>
      <c r="DQ231" s="643"/>
      <c r="DR231" s="643"/>
      <c r="DS231" s="643"/>
      <c r="DT231" s="643"/>
      <c r="DU231" s="643"/>
      <c r="DV231" s="643"/>
      <c r="DW231" s="643"/>
      <c r="DX231" s="643"/>
      <c r="DY231" s="643"/>
      <c r="DZ231" s="643"/>
      <c r="EA231" s="643"/>
      <c r="EB231" s="643"/>
      <c r="EC231" s="643"/>
      <c r="ED231" s="643"/>
      <c r="EE231" s="643"/>
      <c r="EF231" s="643"/>
      <c r="EG231" s="643"/>
      <c r="EH231" s="643"/>
      <c r="EI231" s="643"/>
      <c r="EJ231" s="643"/>
      <c r="EK231" s="643"/>
      <c r="EL231" s="643"/>
      <c r="EM231" s="643"/>
      <c r="EN231" s="643"/>
      <c r="EO231" s="643"/>
      <c r="EP231" s="643"/>
      <c r="EQ231" s="643"/>
      <c r="ER231" s="643"/>
    </row>
    <row r="233" spans="6:148" s="645" customFormat="1" ht="15.75" customHeight="1">
      <c r="F233" s="643"/>
      <c r="G233" s="643"/>
      <c r="H233" s="643"/>
      <c r="I233" s="643"/>
      <c r="J233" s="643"/>
      <c r="K233" s="643"/>
      <c r="L233" s="643"/>
      <c r="M233" s="643"/>
      <c r="N233" s="643"/>
      <c r="O233" s="643"/>
      <c r="P233" s="643"/>
      <c r="Q233" s="643"/>
      <c r="R233" s="643"/>
      <c r="S233" s="643"/>
      <c r="T233" s="643"/>
      <c r="U233" s="643"/>
      <c r="V233" s="643"/>
      <c r="W233" s="643"/>
      <c r="X233" s="643"/>
      <c r="Y233" s="643"/>
      <c r="AA233" s="643"/>
      <c r="AC233" s="643"/>
      <c r="AD233" s="643"/>
      <c r="AE233" s="643"/>
      <c r="AF233" s="643"/>
      <c r="AG233" s="643"/>
      <c r="AH233" s="1517"/>
      <c r="AI233" s="644"/>
      <c r="AJ233" s="643"/>
      <c r="AK233" s="643"/>
      <c r="AL233" s="643"/>
      <c r="AM233" s="643"/>
      <c r="AN233" s="643"/>
      <c r="AO233" s="643"/>
      <c r="AP233" s="643"/>
      <c r="AQ233" s="643"/>
      <c r="AR233" s="643"/>
      <c r="AS233" s="643"/>
      <c r="AT233" s="643"/>
      <c r="AU233" s="643"/>
      <c r="AV233" s="643"/>
      <c r="AW233" s="643"/>
      <c r="AX233" s="643"/>
      <c r="AY233" s="643"/>
      <c r="AZ233" s="643"/>
      <c r="BA233" s="643"/>
      <c r="BB233" s="643"/>
      <c r="BC233" s="643"/>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3"/>
      <c r="BY233" s="643"/>
      <c r="BZ233" s="643"/>
      <c r="CA233" s="643"/>
      <c r="CB233" s="643"/>
      <c r="CC233" s="643"/>
      <c r="CD233" s="643"/>
      <c r="CE233" s="643"/>
      <c r="CF233" s="643"/>
      <c r="CG233" s="643"/>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3"/>
      <c r="DH233" s="643"/>
      <c r="DI233" s="643"/>
      <c r="DJ233" s="643"/>
      <c r="DK233" s="643"/>
      <c r="DL233" s="643"/>
      <c r="DM233" s="643"/>
      <c r="DN233" s="643"/>
      <c r="DO233" s="643"/>
      <c r="DP233" s="643"/>
      <c r="DQ233" s="643"/>
      <c r="DR233" s="643"/>
      <c r="DS233" s="643"/>
      <c r="DT233" s="643"/>
      <c r="DU233" s="643"/>
      <c r="DV233" s="643"/>
      <c r="DW233" s="643"/>
      <c r="DX233" s="643"/>
      <c r="DY233" s="643"/>
      <c r="DZ233" s="643"/>
      <c r="EA233" s="643"/>
      <c r="EB233" s="643"/>
      <c r="EC233" s="643"/>
      <c r="ED233" s="643"/>
      <c r="EE233" s="643"/>
      <c r="EF233" s="643"/>
      <c r="EG233" s="643"/>
      <c r="EH233" s="643"/>
      <c r="EI233" s="643"/>
      <c r="EJ233" s="643"/>
      <c r="EK233" s="643"/>
      <c r="EL233" s="643"/>
      <c r="EM233" s="643"/>
      <c r="EN233" s="643"/>
      <c r="EO233" s="643"/>
      <c r="EP233" s="643"/>
      <c r="EQ233" s="643"/>
      <c r="ER233" s="643"/>
    </row>
    <row r="235" spans="6:148" s="645" customFormat="1" ht="15.75" customHeight="1">
      <c r="F235" s="643"/>
      <c r="G235" s="643"/>
      <c r="H235" s="643"/>
      <c r="I235" s="643"/>
      <c r="J235" s="643"/>
      <c r="K235" s="643"/>
      <c r="L235" s="643"/>
      <c r="M235" s="643"/>
      <c r="N235" s="643"/>
      <c r="O235" s="643"/>
      <c r="P235" s="643"/>
      <c r="Q235" s="643"/>
      <c r="R235" s="643"/>
      <c r="S235" s="643"/>
      <c r="T235" s="643"/>
      <c r="U235" s="643"/>
      <c r="V235" s="643"/>
      <c r="W235" s="643"/>
      <c r="X235" s="643"/>
      <c r="Y235" s="643"/>
      <c r="AA235" s="643"/>
      <c r="AC235" s="643"/>
      <c r="AD235" s="643"/>
      <c r="AE235" s="643"/>
      <c r="AF235" s="643"/>
      <c r="AG235" s="643"/>
      <c r="AH235" s="1517"/>
      <c r="AI235" s="644"/>
      <c r="AJ235" s="643"/>
      <c r="AK235" s="643"/>
      <c r="AL235" s="643"/>
      <c r="AM235" s="643"/>
      <c r="AN235" s="643"/>
      <c r="AO235" s="643"/>
      <c r="AP235" s="643"/>
      <c r="AQ235" s="643"/>
      <c r="AR235" s="643"/>
      <c r="AS235" s="643"/>
      <c r="AT235" s="643"/>
      <c r="AU235" s="643"/>
      <c r="AV235" s="643"/>
      <c r="AW235" s="643"/>
      <c r="AX235" s="643"/>
      <c r="AY235" s="643"/>
      <c r="AZ235" s="643"/>
      <c r="BA235" s="643"/>
      <c r="BB235" s="643"/>
      <c r="BC235" s="643"/>
      <c r="BD235" s="643"/>
      <c r="BE235" s="643"/>
      <c r="BF235" s="643"/>
      <c r="BG235" s="643"/>
      <c r="BH235" s="643"/>
      <c r="BI235" s="643"/>
      <c r="BJ235" s="643"/>
      <c r="BK235" s="643"/>
      <c r="BL235" s="643"/>
      <c r="BM235" s="643"/>
      <c r="BN235" s="643"/>
      <c r="BO235" s="643"/>
      <c r="BP235" s="643"/>
      <c r="BQ235" s="643"/>
      <c r="BR235" s="643"/>
      <c r="BS235" s="643"/>
      <c r="BT235" s="643"/>
      <c r="BU235" s="643"/>
      <c r="BV235" s="643"/>
      <c r="BW235" s="643"/>
      <c r="BX235" s="643"/>
      <c r="BY235" s="643"/>
      <c r="BZ235" s="643"/>
      <c r="CA235" s="643"/>
      <c r="CB235" s="643"/>
      <c r="CC235" s="643"/>
      <c r="CD235" s="643"/>
      <c r="CE235" s="643"/>
      <c r="CF235" s="643"/>
      <c r="CG235" s="643"/>
      <c r="CH235" s="643"/>
      <c r="CI235" s="643"/>
      <c r="CJ235" s="643"/>
      <c r="CK235" s="643"/>
      <c r="CL235" s="643"/>
      <c r="CM235" s="643"/>
      <c r="CN235" s="643"/>
      <c r="CO235" s="643"/>
      <c r="CP235" s="643"/>
      <c r="CQ235" s="643"/>
      <c r="CR235" s="643"/>
      <c r="CS235" s="643"/>
      <c r="CT235" s="643"/>
      <c r="CU235" s="643"/>
      <c r="CV235" s="643"/>
      <c r="CW235" s="643"/>
      <c r="CX235" s="643"/>
      <c r="CY235" s="643"/>
      <c r="CZ235" s="643"/>
      <c r="DA235" s="643"/>
      <c r="DB235" s="643"/>
      <c r="DC235" s="643"/>
      <c r="DD235" s="643"/>
      <c r="DE235" s="643"/>
      <c r="DF235" s="643"/>
      <c r="DG235" s="643"/>
      <c r="DH235" s="643"/>
      <c r="DI235" s="643"/>
      <c r="DJ235" s="643"/>
      <c r="DK235" s="643"/>
      <c r="DL235" s="643"/>
      <c r="DM235" s="643"/>
      <c r="DN235" s="643"/>
      <c r="DO235" s="643"/>
      <c r="DP235" s="643"/>
      <c r="DQ235" s="643"/>
      <c r="DR235" s="643"/>
      <c r="DS235" s="643"/>
      <c r="DT235" s="643"/>
      <c r="DU235" s="643"/>
      <c r="DV235" s="643"/>
      <c r="DW235" s="643"/>
      <c r="DX235" s="643"/>
      <c r="DY235" s="643"/>
      <c r="DZ235" s="643"/>
      <c r="EA235" s="643"/>
      <c r="EB235" s="643"/>
      <c r="EC235" s="643"/>
      <c r="ED235" s="643"/>
      <c r="EE235" s="643"/>
      <c r="EF235" s="643"/>
      <c r="EG235" s="643"/>
      <c r="EH235" s="643"/>
      <c r="EI235" s="643"/>
      <c r="EJ235" s="643"/>
      <c r="EK235" s="643"/>
      <c r="EL235" s="643"/>
      <c r="EM235" s="643"/>
      <c r="EN235" s="643"/>
      <c r="EO235" s="643"/>
      <c r="EP235" s="643"/>
      <c r="EQ235" s="643"/>
      <c r="ER235" s="643"/>
    </row>
    <row r="237" spans="6:148" s="645" customFormat="1" ht="15.75" customHeight="1">
      <c r="F237" s="643"/>
      <c r="G237" s="643"/>
      <c r="H237" s="643"/>
      <c r="I237" s="643"/>
      <c r="J237" s="643"/>
      <c r="K237" s="643"/>
      <c r="L237" s="643"/>
      <c r="M237" s="643"/>
      <c r="N237" s="643"/>
      <c r="O237" s="643"/>
      <c r="P237" s="643"/>
      <c r="Q237" s="643"/>
      <c r="R237" s="643"/>
      <c r="S237" s="643"/>
      <c r="T237" s="643"/>
      <c r="U237" s="643"/>
      <c r="V237" s="643"/>
      <c r="W237" s="643"/>
      <c r="X237" s="643"/>
      <c r="Y237" s="643"/>
      <c r="AA237" s="643"/>
      <c r="AC237" s="643"/>
      <c r="AD237" s="643"/>
      <c r="AE237" s="643"/>
      <c r="AF237" s="643"/>
      <c r="AG237" s="643"/>
      <c r="AH237" s="1517"/>
      <c r="AI237" s="644"/>
      <c r="AJ237" s="643"/>
      <c r="AK237" s="643"/>
      <c r="AL237" s="643"/>
      <c r="AM237" s="643"/>
      <c r="AN237" s="643"/>
      <c r="AO237" s="643"/>
      <c r="AP237" s="643"/>
      <c r="AQ237" s="643"/>
      <c r="AR237" s="643"/>
      <c r="AS237" s="643"/>
      <c r="AT237" s="643"/>
      <c r="AU237" s="643"/>
      <c r="AV237" s="643"/>
      <c r="AW237" s="643"/>
      <c r="AX237" s="643"/>
      <c r="AY237" s="643"/>
      <c r="AZ237" s="643"/>
      <c r="BA237" s="643"/>
      <c r="BB237" s="643"/>
      <c r="BC237" s="643"/>
      <c r="BD237" s="643"/>
      <c r="BE237" s="643"/>
      <c r="BF237" s="643"/>
      <c r="BG237" s="643"/>
      <c r="BH237" s="643"/>
      <c r="BI237" s="643"/>
      <c r="BJ237" s="643"/>
      <c r="BK237" s="643"/>
      <c r="BL237" s="643"/>
      <c r="BM237" s="643"/>
      <c r="BN237" s="643"/>
      <c r="BO237" s="643"/>
      <c r="BP237" s="643"/>
      <c r="BQ237" s="643"/>
      <c r="BR237" s="643"/>
      <c r="BS237" s="643"/>
      <c r="BT237" s="643"/>
      <c r="BU237" s="643"/>
      <c r="BV237" s="643"/>
      <c r="BW237" s="643"/>
      <c r="BX237" s="643"/>
      <c r="BY237" s="643"/>
      <c r="BZ237" s="643"/>
      <c r="CA237" s="643"/>
      <c r="CB237" s="643"/>
      <c r="CC237" s="643"/>
      <c r="CD237" s="643"/>
      <c r="CE237" s="643"/>
      <c r="CF237" s="643"/>
      <c r="CG237" s="643"/>
      <c r="CH237" s="643"/>
      <c r="CI237" s="643"/>
      <c r="CJ237" s="643"/>
      <c r="CK237" s="643"/>
      <c r="CL237" s="643"/>
      <c r="CM237" s="643"/>
      <c r="CN237" s="643"/>
      <c r="CO237" s="643"/>
      <c r="CP237" s="643"/>
      <c r="CQ237" s="643"/>
      <c r="CR237" s="643"/>
      <c r="CS237" s="643"/>
      <c r="CT237" s="643"/>
      <c r="CU237" s="643"/>
      <c r="CV237" s="643"/>
      <c r="CW237" s="643"/>
      <c r="CX237" s="643"/>
      <c r="CY237" s="643"/>
      <c r="CZ237" s="643"/>
      <c r="DA237" s="643"/>
      <c r="DB237" s="643"/>
      <c r="DC237" s="643"/>
      <c r="DD237" s="643"/>
      <c r="DE237" s="643"/>
      <c r="DF237" s="643"/>
      <c r="DG237" s="643"/>
      <c r="DH237" s="643"/>
      <c r="DI237" s="643"/>
      <c r="DJ237" s="643"/>
      <c r="DK237" s="643"/>
      <c r="DL237" s="643"/>
      <c r="DM237" s="643"/>
      <c r="DN237" s="643"/>
      <c r="DO237" s="643"/>
      <c r="DP237" s="643"/>
      <c r="DQ237" s="643"/>
      <c r="DR237" s="643"/>
      <c r="DS237" s="643"/>
      <c r="DT237" s="643"/>
      <c r="DU237" s="643"/>
      <c r="DV237" s="643"/>
      <c r="DW237" s="643"/>
      <c r="DX237" s="643"/>
      <c r="DY237" s="643"/>
      <c r="DZ237" s="643"/>
      <c r="EA237" s="643"/>
      <c r="EB237" s="643"/>
      <c r="EC237" s="643"/>
      <c r="ED237" s="643"/>
      <c r="EE237" s="643"/>
      <c r="EF237" s="643"/>
      <c r="EG237" s="643"/>
      <c r="EH237" s="643"/>
      <c r="EI237" s="643"/>
      <c r="EJ237" s="643"/>
      <c r="EK237" s="643"/>
      <c r="EL237" s="643"/>
      <c r="EM237" s="643"/>
      <c r="EN237" s="643"/>
      <c r="EO237" s="643"/>
      <c r="EP237" s="643"/>
      <c r="EQ237" s="643"/>
      <c r="ER237" s="643"/>
    </row>
    <row r="239" spans="6:148" s="645" customFormat="1" ht="15.75" customHeight="1">
      <c r="F239" s="643"/>
      <c r="G239" s="643"/>
      <c r="H239" s="643"/>
      <c r="I239" s="643"/>
      <c r="J239" s="643"/>
      <c r="K239" s="643"/>
      <c r="L239" s="643"/>
      <c r="M239" s="643"/>
      <c r="N239" s="643"/>
      <c r="O239" s="643"/>
      <c r="P239" s="643"/>
      <c r="Q239" s="643"/>
      <c r="R239" s="643"/>
      <c r="S239" s="643"/>
      <c r="T239" s="643"/>
      <c r="U239" s="643"/>
      <c r="V239" s="643"/>
      <c r="W239" s="643"/>
      <c r="X239" s="643"/>
      <c r="Y239" s="643"/>
      <c r="AA239" s="643"/>
      <c r="AC239" s="643"/>
      <c r="AD239" s="643"/>
      <c r="AE239" s="643"/>
      <c r="AF239" s="643"/>
      <c r="AG239" s="643"/>
      <c r="AH239" s="1517"/>
      <c r="AI239" s="644"/>
      <c r="AJ239" s="643"/>
      <c r="AK239" s="643"/>
      <c r="AL239" s="643"/>
      <c r="AM239" s="643"/>
      <c r="AN239" s="643"/>
      <c r="AO239" s="643"/>
      <c r="AP239" s="643"/>
      <c r="AQ239" s="643"/>
      <c r="AR239" s="643"/>
      <c r="AS239" s="643"/>
      <c r="AT239" s="643"/>
      <c r="AU239" s="643"/>
      <c r="AV239" s="643"/>
      <c r="AW239" s="643"/>
      <c r="AX239" s="643"/>
      <c r="AY239" s="643"/>
      <c r="AZ239" s="643"/>
      <c r="BA239" s="643"/>
      <c r="BB239" s="643"/>
      <c r="BC239" s="643"/>
      <c r="BD239" s="643"/>
      <c r="BE239" s="643"/>
      <c r="BF239" s="643"/>
      <c r="BG239" s="643"/>
      <c r="BH239" s="643"/>
      <c r="BI239" s="643"/>
      <c r="BJ239" s="643"/>
      <c r="BK239" s="643"/>
      <c r="BL239" s="643"/>
      <c r="BM239" s="643"/>
      <c r="BN239" s="643"/>
      <c r="BO239" s="643"/>
      <c r="BP239" s="643"/>
      <c r="BQ239" s="643"/>
      <c r="BR239" s="643"/>
      <c r="BS239" s="643"/>
      <c r="BT239" s="643"/>
      <c r="BU239" s="643"/>
      <c r="BV239" s="643"/>
      <c r="BW239" s="643"/>
      <c r="BX239" s="643"/>
      <c r="BY239" s="643"/>
      <c r="BZ239" s="643"/>
      <c r="CA239" s="643"/>
      <c r="CB239" s="643"/>
      <c r="CC239" s="643"/>
      <c r="CD239" s="643"/>
      <c r="CE239" s="643"/>
      <c r="CF239" s="643"/>
      <c r="CG239" s="643"/>
      <c r="CH239" s="643"/>
      <c r="CI239" s="643"/>
      <c r="CJ239" s="643"/>
      <c r="CK239" s="643"/>
      <c r="CL239" s="643"/>
      <c r="CM239" s="643"/>
      <c r="CN239" s="643"/>
      <c r="CO239" s="643"/>
      <c r="CP239" s="643"/>
      <c r="CQ239" s="643"/>
      <c r="CR239" s="643"/>
      <c r="CS239" s="643"/>
      <c r="CT239" s="643"/>
      <c r="CU239" s="643"/>
      <c r="CV239" s="643"/>
      <c r="CW239" s="643"/>
      <c r="CX239" s="643"/>
      <c r="CY239" s="643"/>
      <c r="CZ239" s="643"/>
      <c r="DA239" s="643"/>
      <c r="DB239" s="643"/>
      <c r="DC239" s="643"/>
      <c r="DD239" s="643"/>
      <c r="DE239" s="643"/>
      <c r="DF239" s="643"/>
      <c r="DG239" s="643"/>
      <c r="DH239" s="643"/>
      <c r="DI239" s="643"/>
      <c r="DJ239" s="643"/>
      <c r="DK239" s="643"/>
      <c r="DL239" s="643"/>
      <c r="DM239" s="643"/>
      <c r="DN239" s="643"/>
      <c r="DO239" s="643"/>
      <c r="DP239" s="643"/>
      <c r="DQ239" s="643"/>
      <c r="DR239" s="643"/>
      <c r="DS239" s="643"/>
      <c r="DT239" s="643"/>
      <c r="DU239" s="643"/>
      <c r="DV239" s="643"/>
      <c r="DW239" s="643"/>
      <c r="DX239" s="643"/>
      <c r="DY239" s="643"/>
      <c r="DZ239" s="643"/>
      <c r="EA239" s="643"/>
      <c r="EB239" s="643"/>
      <c r="EC239" s="643"/>
      <c r="ED239" s="643"/>
      <c r="EE239" s="643"/>
      <c r="EF239" s="643"/>
      <c r="EG239" s="643"/>
      <c r="EH239" s="643"/>
      <c r="EI239" s="643"/>
      <c r="EJ239" s="643"/>
      <c r="EK239" s="643"/>
      <c r="EL239" s="643"/>
      <c r="EM239" s="643"/>
      <c r="EN239" s="643"/>
      <c r="EO239" s="643"/>
      <c r="EP239" s="643"/>
      <c r="EQ239" s="643"/>
      <c r="ER239" s="643"/>
    </row>
    <row r="241" spans="6:148" s="645" customFormat="1" ht="15.75" customHeight="1">
      <c r="F241" s="643"/>
      <c r="G241" s="643"/>
      <c r="H241" s="643"/>
      <c r="I241" s="643"/>
      <c r="J241" s="643"/>
      <c r="K241" s="643"/>
      <c r="L241" s="643"/>
      <c r="M241" s="643"/>
      <c r="N241" s="643"/>
      <c r="O241" s="643"/>
      <c r="P241" s="643"/>
      <c r="Q241" s="643"/>
      <c r="R241" s="643"/>
      <c r="S241" s="643"/>
      <c r="T241" s="643"/>
      <c r="U241" s="643"/>
      <c r="V241" s="643"/>
      <c r="W241" s="643"/>
      <c r="X241" s="643"/>
      <c r="Y241" s="643"/>
      <c r="AA241" s="643"/>
      <c r="AC241" s="643"/>
      <c r="AD241" s="643"/>
      <c r="AE241" s="643"/>
      <c r="AF241" s="643"/>
      <c r="AG241" s="643"/>
      <c r="AH241" s="1517"/>
      <c r="AI241" s="644"/>
      <c r="AJ241" s="643"/>
      <c r="AK241" s="643"/>
      <c r="AL241" s="643"/>
      <c r="AM241" s="643"/>
      <c r="AN241" s="643"/>
      <c r="AO241" s="643"/>
      <c r="AP241" s="643"/>
      <c r="AQ241" s="643"/>
      <c r="AR241" s="643"/>
      <c r="AS241" s="643"/>
      <c r="AT241" s="643"/>
      <c r="AU241" s="643"/>
      <c r="AV241" s="643"/>
      <c r="AW241" s="643"/>
      <c r="AX241" s="643"/>
      <c r="AY241" s="643"/>
      <c r="AZ241" s="643"/>
      <c r="BA241" s="643"/>
      <c r="BB241" s="643"/>
      <c r="BC241" s="643"/>
      <c r="BD241" s="643"/>
      <c r="BE241" s="643"/>
      <c r="BF241" s="643"/>
      <c r="BG241" s="643"/>
      <c r="BH241" s="643"/>
      <c r="BI241" s="643"/>
      <c r="BJ241" s="643"/>
      <c r="BK241" s="643"/>
      <c r="BL241" s="643"/>
      <c r="BM241" s="643"/>
      <c r="BN241" s="643"/>
      <c r="BO241" s="643"/>
      <c r="BP241" s="643"/>
      <c r="BQ241" s="643"/>
      <c r="BR241" s="643"/>
      <c r="BS241" s="643"/>
      <c r="BT241" s="643"/>
      <c r="BU241" s="643"/>
      <c r="BV241" s="643"/>
      <c r="BW241" s="643"/>
      <c r="BX241" s="643"/>
      <c r="BY241" s="643"/>
      <c r="BZ241" s="643"/>
      <c r="CA241" s="643"/>
      <c r="CB241" s="643"/>
      <c r="CC241" s="643"/>
      <c r="CD241" s="643"/>
      <c r="CE241" s="643"/>
      <c r="CF241" s="643"/>
      <c r="CG241" s="643"/>
      <c r="CH241" s="643"/>
      <c r="CI241" s="643"/>
      <c r="CJ241" s="643"/>
      <c r="CK241" s="643"/>
      <c r="CL241" s="643"/>
      <c r="CM241" s="643"/>
      <c r="CN241" s="643"/>
      <c r="CO241" s="643"/>
      <c r="CP241" s="643"/>
      <c r="CQ241" s="643"/>
      <c r="CR241" s="643"/>
      <c r="CS241" s="643"/>
      <c r="CT241" s="643"/>
      <c r="CU241" s="643"/>
      <c r="CV241" s="643"/>
      <c r="CW241" s="643"/>
      <c r="CX241" s="643"/>
      <c r="CY241" s="643"/>
      <c r="CZ241" s="643"/>
      <c r="DA241" s="643"/>
      <c r="DB241" s="643"/>
      <c r="DC241" s="643"/>
      <c r="DD241" s="643"/>
      <c r="DE241" s="643"/>
      <c r="DF241" s="643"/>
      <c r="DG241" s="643"/>
      <c r="DH241" s="643"/>
      <c r="DI241" s="643"/>
      <c r="DJ241" s="643"/>
      <c r="DK241" s="643"/>
      <c r="DL241" s="643"/>
      <c r="DM241" s="643"/>
      <c r="DN241" s="643"/>
      <c r="DO241" s="643"/>
      <c r="DP241" s="643"/>
      <c r="DQ241" s="643"/>
      <c r="DR241" s="643"/>
      <c r="DS241" s="643"/>
      <c r="DT241" s="643"/>
      <c r="DU241" s="643"/>
      <c r="DV241" s="643"/>
      <c r="DW241" s="643"/>
      <c r="DX241" s="643"/>
      <c r="DY241" s="643"/>
      <c r="DZ241" s="643"/>
      <c r="EA241" s="643"/>
      <c r="EB241" s="643"/>
      <c r="EC241" s="643"/>
      <c r="ED241" s="643"/>
      <c r="EE241" s="643"/>
      <c r="EF241" s="643"/>
      <c r="EG241" s="643"/>
      <c r="EH241" s="643"/>
      <c r="EI241" s="643"/>
      <c r="EJ241" s="643"/>
      <c r="EK241" s="643"/>
      <c r="EL241" s="643"/>
      <c r="EM241" s="643"/>
      <c r="EN241" s="643"/>
      <c r="EO241" s="643"/>
      <c r="EP241" s="643"/>
      <c r="EQ241" s="643"/>
      <c r="ER241" s="643"/>
    </row>
    <row r="243" spans="6:148" s="645" customFormat="1" ht="15.75" customHeight="1">
      <c r="F243" s="643"/>
      <c r="G243" s="643"/>
      <c r="H243" s="643"/>
      <c r="I243" s="643"/>
      <c r="J243" s="643"/>
      <c r="K243" s="643"/>
      <c r="L243" s="643"/>
      <c r="M243" s="643"/>
      <c r="N243" s="643"/>
      <c r="O243" s="643"/>
      <c r="P243" s="643"/>
      <c r="Q243" s="643"/>
      <c r="R243" s="643"/>
      <c r="S243" s="643"/>
      <c r="T243" s="643"/>
      <c r="U243" s="643"/>
      <c r="V243" s="643"/>
      <c r="W243" s="643"/>
      <c r="X243" s="643"/>
      <c r="Y243" s="643"/>
      <c r="AA243" s="643"/>
      <c r="AC243" s="643"/>
      <c r="AD243" s="643"/>
      <c r="AE243" s="643"/>
      <c r="AF243" s="643"/>
      <c r="AG243" s="643"/>
      <c r="AH243" s="1517"/>
      <c r="AI243" s="644"/>
      <c r="AJ243" s="643"/>
      <c r="AK243" s="643"/>
      <c r="AL243" s="643"/>
      <c r="AM243" s="643"/>
      <c r="AN243" s="643"/>
      <c r="AO243" s="643"/>
      <c r="AP243" s="643"/>
      <c r="AQ243" s="643"/>
      <c r="AR243" s="643"/>
      <c r="AS243" s="643"/>
      <c r="AT243" s="643"/>
      <c r="AU243" s="643"/>
      <c r="AV243" s="643"/>
      <c r="AW243" s="643"/>
      <c r="AX243" s="643"/>
      <c r="AY243" s="643"/>
      <c r="AZ243" s="643"/>
      <c r="BA243" s="643"/>
      <c r="BB243" s="643"/>
      <c r="BC243" s="643"/>
      <c r="BD243" s="643"/>
      <c r="BE243" s="643"/>
      <c r="BF243" s="643"/>
      <c r="BG243" s="643"/>
      <c r="BH243" s="643"/>
      <c r="BI243" s="643"/>
      <c r="BJ243" s="643"/>
      <c r="BK243" s="643"/>
      <c r="BL243" s="643"/>
      <c r="BM243" s="643"/>
      <c r="BN243" s="643"/>
      <c r="BO243" s="643"/>
      <c r="BP243" s="643"/>
      <c r="BQ243" s="643"/>
      <c r="BR243" s="643"/>
      <c r="BS243" s="643"/>
      <c r="BT243" s="643"/>
      <c r="BU243" s="643"/>
      <c r="BV243" s="643"/>
      <c r="BW243" s="643"/>
      <c r="BX243" s="643"/>
      <c r="BY243" s="643"/>
      <c r="BZ243" s="643"/>
      <c r="CA243" s="643"/>
      <c r="CB243" s="643"/>
      <c r="CC243" s="643"/>
      <c r="CD243" s="643"/>
      <c r="CE243" s="643"/>
      <c r="CF243" s="643"/>
      <c r="CG243" s="643"/>
      <c r="CH243" s="643"/>
      <c r="CI243" s="643"/>
      <c r="CJ243" s="643"/>
      <c r="CK243" s="643"/>
      <c r="CL243" s="643"/>
      <c r="CM243" s="643"/>
      <c r="CN243" s="643"/>
      <c r="CO243" s="643"/>
      <c r="CP243" s="643"/>
      <c r="CQ243" s="643"/>
      <c r="CR243" s="643"/>
      <c r="CS243" s="643"/>
      <c r="CT243" s="643"/>
      <c r="CU243" s="643"/>
      <c r="CV243" s="643"/>
      <c r="CW243" s="643"/>
      <c r="CX243" s="643"/>
      <c r="CY243" s="643"/>
      <c r="CZ243" s="643"/>
      <c r="DA243" s="643"/>
      <c r="DB243" s="643"/>
      <c r="DC243" s="643"/>
      <c r="DD243" s="643"/>
      <c r="DE243" s="643"/>
      <c r="DF243" s="643"/>
      <c r="DG243" s="643"/>
      <c r="DH243" s="643"/>
      <c r="DI243" s="643"/>
      <c r="DJ243" s="643"/>
      <c r="DK243" s="643"/>
      <c r="DL243" s="643"/>
      <c r="DM243" s="643"/>
      <c r="DN243" s="643"/>
      <c r="DO243" s="643"/>
      <c r="DP243" s="643"/>
      <c r="DQ243" s="643"/>
      <c r="DR243" s="643"/>
      <c r="DS243" s="643"/>
      <c r="DT243" s="643"/>
      <c r="DU243" s="643"/>
      <c r="DV243" s="643"/>
      <c r="DW243" s="643"/>
      <c r="DX243" s="643"/>
      <c r="DY243" s="643"/>
      <c r="DZ243" s="643"/>
      <c r="EA243" s="643"/>
      <c r="EB243" s="643"/>
      <c r="EC243" s="643"/>
      <c r="ED243" s="643"/>
      <c r="EE243" s="643"/>
      <c r="EF243" s="643"/>
      <c r="EG243" s="643"/>
      <c r="EH243" s="643"/>
      <c r="EI243" s="643"/>
      <c r="EJ243" s="643"/>
      <c r="EK243" s="643"/>
      <c r="EL243" s="643"/>
      <c r="EM243" s="643"/>
      <c r="EN243" s="643"/>
      <c r="EO243" s="643"/>
      <c r="EP243" s="643"/>
      <c r="EQ243" s="643"/>
      <c r="ER243" s="643"/>
    </row>
    <row r="245" spans="6:148" s="645" customFormat="1" ht="15.75" customHeight="1">
      <c r="F245" s="643"/>
      <c r="G245" s="643"/>
      <c r="H245" s="643"/>
      <c r="I245" s="643"/>
      <c r="J245" s="643"/>
      <c r="K245" s="643"/>
      <c r="L245" s="643"/>
      <c r="M245" s="643"/>
      <c r="N245" s="643"/>
      <c r="O245" s="643"/>
      <c r="P245" s="643"/>
      <c r="Q245" s="643"/>
      <c r="R245" s="643"/>
      <c r="S245" s="643"/>
      <c r="T245" s="643"/>
      <c r="U245" s="643"/>
      <c r="V245" s="643"/>
      <c r="W245" s="643"/>
      <c r="X245" s="643"/>
      <c r="Y245" s="643"/>
      <c r="AA245" s="643"/>
      <c r="AC245" s="643"/>
      <c r="AD245" s="643"/>
      <c r="AE245" s="643"/>
      <c r="AF245" s="643"/>
      <c r="AG245" s="643"/>
      <c r="AH245" s="1517"/>
      <c r="AI245" s="644"/>
      <c r="AJ245" s="643"/>
      <c r="AK245" s="643"/>
      <c r="AL245" s="643"/>
      <c r="AM245" s="643"/>
      <c r="AN245" s="643"/>
      <c r="AO245" s="643"/>
      <c r="AP245" s="643"/>
      <c r="AQ245" s="643"/>
      <c r="AR245" s="643"/>
      <c r="AS245" s="643"/>
      <c r="AT245" s="643"/>
      <c r="AU245" s="643"/>
      <c r="AV245" s="643"/>
      <c r="AW245" s="643"/>
      <c r="AX245" s="643"/>
      <c r="AY245" s="643"/>
      <c r="AZ245" s="643"/>
      <c r="BA245" s="643"/>
      <c r="BB245" s="643"/>
      <c r="BC245" s="643"/>
      <c r="BD245" s="643"/>
      <c r="BE245" s="643"/>
      <c r="BF245" s="643"/>
      <c r="BG245" s="643"/>
      <c r="BH245" s="643"/>
      <c r="BI245" s="643"/>
      <c r="BJ245" s="643"/>
      <c r="BK245" s="643"/>
      <c r="BL245" s="643"/>
      <c r="BM245" s="643"/>
      <c r="BN245" s="643"/>
      <c r="BO245" s="643"/>
      <c r="BP245" s="643"/>
      <c r="BQ245" s="643"/>
      <c r="BR245" s="643"/>
      <c r="BS245" s="643"/>
      <c r="BT245" s="643"/>
      <c r="BU245" s="643"/>
      <c r="BV245" s="643"/>
      <c r="BW245" s="643"/>
      <c r="BX245" s="643"/>
      <c r="BY245" s="643"/>
      <c r="BZ245" s="643"/>
      <c r="CA245" s="643"/>
      <c r="CB245" s="643"/>
      <c r="CC245" s="643"/>
      <c r="CD245" s="643"/>
      <c r="CE245" s="643"/>
      <c r="CF245" s="643"/>
      <c r="CG245" s="643"/>
      <c r="CH245" s="643"/>
      <c r="CI245" s="643"/>
      <c r="CJ245" s="643"/>
      <c r="CK245" s="643"/>
      <c r="CL245" s="643"/>
      <c r="CM245" s="643"/>
      <c r="CN245" s="643"/>
      <c r="CO245" s="643"/>
      <c r="CP245" s="643"/>
      <c r="CQ245" s="643"/>
      <c r="CR245" s="643"/>
      <c r="CS245" s="643"/>
      <c r="CT245" s="643"/>
      <c r="CU245" s="643"/>
      <c r="CV245" s="643"/>
      <c r="CW245" s="643"/>
      <c r="CX245" s="643"/>
      <c r="CY245" s="643"/>
      <c r="CZ245" s="643"/>
      <c r="DA245" s="643"/>
      <c r="DB245" s="643"/>
      <c r="DC245" s="643"/>
      <c r="DD245" s="643"/>
      <c r="DE245" s="643"/>
      <c r="DF245" s="643"/>
      <c r="DG245" s="643"/>
      <c r="DH245" s="643"/>
      <c r="DI245" s="643"/>
      <c r="DJ245" s="643"/>
      <c r="DK245" s="643"/>
      <c r="DL245" s="643"/>
      <c r="DM245" s="643"/>
      <c r="DN245" s="643"/>
      <c r="DO245" s="643"/>
      <c r="DP245" s="643"/>
      <c r="DQ245" s="643"/>
      <c r="DR245" s="643"/>
      <c r="DS245" s="643"/>
      <c r="DT245" s="643"/>
      <c r="DU245" s="643"/>
      <c r="DV245" s="643"/>
      <c r="DW245" s="643"/>
      <c r="DX245" s="643"/>
      <c r="DY245" s="643"/>
      <c r="DZ245" s="643"/>
      <c r="EA245" s="643"/>
      <c r="EB245" s="643"/>
      <c r="EC245" s="643"/>
      <c r="ED245" s="643"/>
      <c r="EE245" s="643"/>
      <c r="EF245" s="643"/>
      <c r="EG245" s="643"/>
      <c r="EH245" s="643"/>
      <c r="EI245" s="643"/>
      <c r="EJ245" s="643"/>
      <c r="EK245" s="643"/>
      <c r="EL245" s="643"/>
      <c r="EM245" s="643"/>
      <c r="EN245" s="643"/>
      <c r="EO245" s="643"/>
      <c r="EP245" s="643"/>
      <c r="EQ245" s="643"/>
      <c r="ER245" s="643"/>
    </row>
    <row r="247" spans="6:148" s="645" customFormat="1" ht="15.75" customHeight="1">
      <c r="F247" s="643"/>
      <c r="G247" s="643"/>
      <c r="H247" s="643"/>
      <c r="I247" s="643"/>
      <c r="J247" s="643"/>
      <c r="K247" s="643"/>
      <c r="L247" s="643"/>
      <c r="M247" s="643"/>
      <c r="N247" s="643"/>
      <c r="O247" s="643"/>
      <c r="P247" s="643"/>
      <c r="Q247" s="643"/>
      <c r="R247" s="643"/>
      <c r="S247" s="643"/>
      <c r="T247" s="643"/>
      <c r="U247" s="643"/>
      <c r="V247" s="643"/>
      <c r="W247" s="643"/>
      <c r="X247" s="643"/>
      <c r="Y247" s="643"/>
      <c r="AA247" s="643"/>
      <c r="AC247" s="643"/>
      <c r="AD247" s="643"/>
      <c r="AE247" s="643"/>
      <c r="AF247" s="643"/>
      <c r="AG247" s="643"/>
      <c r="AH247" s="1517"/>
      <c r="AI247" s="644"/>
      <c r="AJ247" s="643"/>
      <c r="AK247" s="643"/>
      <c r="AL247" s="643"/>
      <c r="AM247" s="643"/>
      <c r="AN247" s="643"/>
      <c r="AO247" s="643"/>
      <c r="AP247" s="643"/>
      <c r="AQ247" s="643"/>
      <c r="AR247" s="643"/>
      <c r="AS247" s="643"/>
      <c r="AT247" s="643"/>
      <c r="AU247" s="643"/>
      <c r="AV247" s="643"/>
      <c r="AW247" s="643"/>
      <c r="AX247" s="643"/>
      <c r="AY247" s="643"/>
      <c r="AZ247" s="643"/>
      <c r="BA247" s="643"/>
      <c r="BB247" s="643"/>
      <c r="BC247" s="643"/>
      <c r="BD247" s="643"/>
      <c r="BE247" s="643"/>
      <c r="BF247" s="643"/>
      <c r="BG247" s="643"/>
      <c r="BH247" s="643"/>
      <c r="BI247" s="643"/>
      <c r="BJ247" s="643"/>
      <c r="BK247" s="643"/>
      <c r="BL247" s="643"/>
      <c r="BM247" s="643"/>
      <c r="BN247" s="643"/>
      <c r="BO247" s="643"/>
      <c r="BP247" s="643"/>
      <c r="BQ247" s="643"/>
      <c r="BR247" s="643"/>
      <c r="BS247" s="643"/>
      <c r="BT247" s="643"/>
      <c r="BU247" s="643"/>
      <c r="BV247" s="643"/>
      <c r="BW247" s="643"/>
      <c r="BX247" s="643"/>
      <c r="BY247" s="643"/>
      <c r="BZ247" s="643"/>
      <c r="CA247" s="643"/>
      <c r="CB247" s="643"/>
      <c r="CC247" s="643"/>
      <c r="CD247" s="643"/>
      <c r="CE247" s="643"/>
      <c r="CF247" s="643"/>
      <c r="CG247" s="643"/>
      <c r="CH247" s="643"/>
      <c r="CI247" s="643"/>
      <c r="CJ247" s="643"/>
      <c r="CK247" s="643"/>
      <c r="CL247" s="643"/>
      <c r="CM247" s="643"/>
      <c r="CN247" s="643"/>
      <c r="CO247" s="643"/>
      <c r="CP247" s="643"/>
      <c r="CQ247" s="643"/>
      <c r="CR247" s="643"/>
      <c r="CS247" s="643"/>
      <c r="CT247" s="643"/>
      <c r="CU247" s="643"/>
      <c r="CV247" s="643"/>
      <c r="CW247" s="643"/>
      <c r="CX247" s="643"/>
      <c r="CY247" s="643"/>
      <c r="CZ247" s="643"/>
      <c r="DA247" s="643"/>
      <c r="DB247" s="643"/>
      <c r="DC247" s="643"/>
      <c r="DD247" s="643"/>
      <c r="DE247" s="643"/>
      <c r="DF247" s="643"/>
      <c r="DG247" s="643"/>
      <c r="DH247" s="643"/>
      <c r="DI247" s="643"/>
      <c r="DJ247" s="643"/>
      <c r="DK247" s="643"/>
      <c r="DL247" s="643"/>
      <c r="DM247" s="643"/>
      <c r="DN247" s="643"/>
      <c r="DO247" s="643"/>
      <c r="DP247" s="643"/>
      <c r="DQ247" s="643"/>
      <c r="DR247" s="643"/>
      <c r="DS247" s="643"/>
      <c r="DT247" s="643"/>
      <c r="DU247" s="643"/>
      <c r="DV247" s="643"/>
      <c r="DW247" s="643"/>
      <c r="DX247" s="643"/>
      <c r="DY247" s="643"/>
      <c r="DZ247" s="643"/>
      <c r="EA247" s="643"/>
      <c r="EB247" s="643"/>
      <c r="EC247" s="643"/>
      <c r="ED247" s="643"/>
      <c r="EE247" s="643"/>
      <c r="EF247" s="643"/>
      <c r="EG247" s="643"/>
      <c r="EH247" s="643"/>
      <c r="EI247" s="643"/>
      <c r="EJ247" s="643"/>
      <c r="EK247" s="643"/>
      <c r="EL247" s="643"/>
      <c r="EM247" s="643"/>
      <c r="EN247" s="643"/>
      <c r="EO247" s="643"/>
      <c r="EP247" s="643"/>
      <c r="EQ247" s="643"/>
      <c r="ER247" s="643"/>
    </row>
    <row r="249" spans="6:148" s="645" customFormat="1" ht="15.75" customHeight="1">
      <c r="F249" s="643"/>
      <c r="G249" s="643"/>
      <c r="H249" s="643"/>
      <c r="I249" s="643"/>
      <c r="J249" s="643"/>
      <c r="K249" s="643"/>
      <c r="L249" s="643"/>
      <c r="M249" s="643"/>
      <c r="N249" s="643"/>
      <c r="O249" s="643"/>
      <c r="P249" s="643"/>
      <c r="Q249" s="643"/>
      <c r="R249" s="643"/>
      <c r="S249" s="643"/>
      <c r="T249" s="643"/>
      <c r="U249" s="643"/>
      <c r="V249" s="643"/>
      <c r="W249" s="643"/>
      <c r="X249" s="643"/>
      <c r="Y249" s="643"/>
      <c r="AA249" s="643"/>
      <c r="AC249" s="643"/>
      <c r="AD249" s="643"/>
      <c r="AE249" s="643"/>
      <c r="AF249" s="643"/>
      <c r="AG249" s="643"/>
      <c r="AH249" s="1517"/>
      <c r="AI249" s="644"/>
      <c r="AJ249" s="643"/>
      <c r="AK249" s="643"/>
      <c r="AL249" s="643"/>
      <c r="AM249" s="643"/>
      <c r="AN249" s="643"/>
      <c r="AO249" s="643"/>
      <c r="AP249" s="643"/>
      <c r="AQ249" s="643"/>
      <c r="AR249" s="643"/>
      <c r="AS249" s="643"/>
      <c r="AT249" s="643"/>
      <c r="AU249" s="643"/>
      <c r="AV249" s="643"/>
      <c r="AW249" s="643"/>
      <c r="AX249" s="643"/>
      <c r="AY249" s="643"/>
      <c r="AZ249" s="643"/>
      <c r="BA249" s="643"/>
      <c r="BB249" s="643"/>
      <c r="BC249" s="643"/>
      <c r="BD249" s="643"/>
      <c r="BE249" s="643"/>
      <c r="BF249" s="643"/>
      <c r="BG249" s="643"/>
      <c r="BH249" s="643"/>
      <c r="BI249" s="643"/>
      <c r="BJ249" s="643"/>
      <c r="BK249" s="643"/>
      <c r="BL249" s="643"/>
      <c r="BM249" s="643"/>
      <c r="BN249" s="643"/>
      <c r="BO249" s="643"/>
      <c r="BP249" s="643"/>
      <c r="BQ249" s="643"/>
      <c r="BR249" s="643"/>
      <c r="BS249" s="643"/>
      <c r="BT249" s="643"/>
      <c r="BU249" s="643"/>
      <c r="BV249" s="643"/>
      <c r="BW249" s="643"/>
      <c r="BX249" s="643"/>
      <c r="BY249" s="643"/>
      <c r="BZ249" s="643"/>
      <c r="CA249" s="643"/>
      <c r="CB249" s="643"/>
      <c r="CC249" s="643"/>
      <c r="CD249" s="643"/>
      <c r="CE249" s="643"/>
      <c r="CF249" s="643"/>
      <c r="CG249" s="643"/>
      <c r="CH249" s="643"/>
      <c r="CI249" s="643"/>
      <c r="CJ249" s="643"/>
      <c r="CK249" s="643"/>
      <c r="CL249" s="643"/>
      <c r="CM249" s="643"/>
      <c r="CN249" s="643"/>
      <c r="CO249" s="643"/>
      <c r="CP249" s="643"/>
      <c r="CQ249" s="643"/>
      <c r="CR249" s="643"/>
      <c r="CS249" s="643"/>
      <c r="CT249" s="643"/>
      <c r="CU249" s="643"/>
      <c r="CV249" s="643"/>
      <c r="CW249" s="643"/>
      <c r="CX249" s="643"/>
      <c r="CY249" s="643"/>
      <c r="CZ249" s="643"/>
      <c r="DA249" s="643"/>
      <c r="DB249" s="643"/>
      <c r="DC249" s="643"/>
      <c r="DD249" s="643"/>
      <c r="DE249" s="643"/>
      <c r="DF249" s="643"/>
      <c r="DG249" s="643"/>
      <c r="DH249" s="643"/>
      <c r="DI249" s="643"/>
      <c r="DJ249" s="643"/>
      <c r="DK249" s="643"/>
      <c r="DL249" s="643"/>
      <c r="DM249" s="643"/>
      <c r="DN249" s="643"/>
      <c r="DO249" s="643"/>
      <c r="DP249" s="643"/>
      <c r="DQ249" s="643"/>
      <c r="DR249" s="643"/>
      <c r="DS249" s="643"/>
      <c r="DT249" s="643"/>
      <c r="DU249" s="643"/>
      <c r="DV249" s="643"/>
      <c r="DW249" s="643"/>
      <c r="DX249" s="643"/>
      <c r="DY249" s="643"/>
      <c r="DZ249" s="643"/>
      <c r="EA249" s="643"/>
      <c r="EB249" s="643"/>
      <c r="EC249" s="643"/>
      <c r="ED249" s="643"/>
      <c r="EE249" s="643"/>
      <c r="EF249" s="643"/>
      <c r="EG249" s="643"/>
      <c r="EH249" s="643"/>
      <c r="EI249" s="643"/>
      <c r="EJ249" s="643"/>
      <c r="EK249" s="643"/>
      <c r="EL249" s="643"/>
      <c r="EM249" s="643"/>
      <c r="EN249" s="643"/>
      <c r="EO249" s="643"/>
      <c r="EP249" s="643"/>
      <c r="EQ249" s="643"/>
      <c r="ER249" s="643"/>
    </row>
    <row r="251" spans="6:148" s="645" customFormat="1" ht="15.75" customHeight="1">
      <c r="F251" s="643"/>
      <c r="G251" s="643"/>
      <c r="H251" s="643"/>
      <c r="I251" s="643"/>
      <c r="J251" s="643"/>
      <c r="K251" s="643"/>
      <c r="L251" s="643"/>
      <c r="M251" s="643"/>
      <c r="N251" s="643"/>
      <c r="O251" s="643"/>
      <c r="P251" s="643"/>
      <c r="Q251" s="643"/>
      <c r="R251" s="643"/>
      <c r="S251" s="643"/>
      <c r="T251" s="643"/>
      <c r="U251" s="643"/>
      <c r="V251" s="643"/>
      <c r="W251" s="643"/>
      <c r="X251" s="643"/>
      <c r="Y251" s="643"/>
      <c r="AA251" s="643"/>
      <c r="AC251" s="643"/>
      <c r="AD251" s="643"/>
      <c r="AE251" s="643"/>
      <c r="AF251" s="643"/>
      <c r="AG251" s="643"/>
      <c r="AH251" s="1517"/>
      <c r="AI251" s="644"/>
      <c r="AJ251" s="643"/>
      <c r="AK251" s="643"/>
      <c r="AL251" s="643"/>
      <c r="AM251" s="643"/>
      <c r="AN251" s="643"/>
      <c r="AO251" s="643"/>
      <c r="AP251" s="643"/>
      <c r="AQ251" s="643"/>
      <c r="AR251" s="643"/>
      <c r="AS251" s="643"/>
      <c r="AT251" s="643"/>
      <c r="AU251" s="643"/>
      <c r="AV251" s="643"/>
      <c r="AW251" s="643"/>
      <c r="AX251" s="643"/>
      <c r="AY251" s="643"/>
      <c r="AZ251" s="643"/>
      <c r="BA251" s="643"/>
      <c r="BB251" s="643"/>
      <c r="BC251" s="643"/>
      <c r="BD251" s="643"/>
      <c r="BE251" s="643"/>
      <c r="BF251" s="643"/>
      <c r="BG251" s="643"/>
      <c r="BH251" s="643"/>
      <c r="BI251" s="643"/>
      <c r="BJ251" s="643"/>
      <c r="BK251" s="643"/>
      <c r="BL251" s="643"/>
      <c r="BM251" s="643"/>
      <c r="BN251" s="643"/>
      <c r="BO251" s="643"/>
      <c r="BP251" s="643"/>
      <c r="BQ251" s="643"/>
      <c r="BR251" s="643"/>
      <c r="BS251" s="643"/>
      <c r="BT251" s="643"/>
      <c r="BU251" s="643"/>
      <c r="BV251" s="643"/>
      <c r="BW251" s="643"/>
      <c r="BX251" s="643"/>
      <c r="BY251" s="643"/>
      <c r="BZ251" s="643"/>
      <c r="CA251" s="643"/>
      <c r="CB251" s="643"/>
      <c r="CC251" s="643"/>
      <c r="CD251" s="643"/>
      <c r="CE251" s="643"/>
      <c r="CF251" s="643"/>
      <c r="CG251" s="643"/>
      <c r="CH251" s="643"/>
      <c r="CI251" s="643"/>
      <c r="CJ251" s="643"/>
      <c r="CK251" s="643"/>
      <c r="CL251" s="643"/>
      <c r="CM251" s="643"/>
      <c r="CN251" s="643"/>
      <c r="CO251" s="643"/>
      <c r="CP251" s="643"/>
      <c r="CQ251" s="643"/>
      <c r="CR251" s="643"/>
      <c r="CS251" s="643"/>
      <c r="CT251" s="643"/>
      <c r="CU251" s="643"/>
      <c r="CV251" s="643"/>
      <c r="CW251" s="643"/>
      <c r="CX251" s="643"/>
      <c r="CY251" s="643"/>
      <c r="CZ251" s="643"/>
      <c r="DA251" s="643"/>
      <c r="DB251" s="643"/>
      <c r="DC251" s="643"/>
      <c r="DD251" s="643"/>
      <c r="DE251" s="643"/>
      <c r="DF251" s="643"/>
      <c r="DG251" s="643"/>
      <c r="DH251" s="643"/>
      <c r="DI251" s="643"/>
      <c r="DJ251" s="643"/>
      <c r="DK251" s="643"/>
      <c r="DL251" s="643"/>
      <c r="DM251" s="643"/>
      <c r="DN251" s="643"/>
      <c r="DO251" s="643"/>
      <c r="DP251" s="643"/>
      <c r="DQ251" s="643"/>
      <c r="DR251" s="643"/>
      <c r="DS251" s="643"/>
      <c r="DT251" s="643"/>
      <c r="DU251" s="643"/>
      <c r="DV251" s="643"/>
      <c r="DW251" s="643"/>
      <c r="DX251" s="643"/>
      <c r="DY251" s="643"/>
      <c r="DZ251" s="643"/>
      <c r="EA251" s="643"/>
      <c r="EB251" s="643"/>
      <c r="EC251" s="643"/>
      <c r="ED251" s="643"/>
      <c r="EE251" s="643"/>
      <c r="EF251" s="643"/>
      <c r="EG251" s="643"/>
      <c r="EH251" s="643"/>
      <c r="EI251" s="643"/>
      <c r="EJ251" s="643"/>
      <c r="EK251" s="643"/>
      <c r="EL251" s="643"/>
      <c r="EM251" s="643"/>
      <c r="EN251" s="643"/>
      <c r="EO251" s="643"/>
      <c r="EP251" s="643"/>
      <c r="EQ251" s="643"/>
      <c r="ER251" s="643"/>
    </row>
    <row r="253" spans="6:148" s="645" customFormat="1" ht="15.75" customHeight="1">
      <c r="F253" s="643"/>
      <c r="G253" s="643"/>
      <c r="H253" s="643"/>
      <c r="I253" s="643"/>
      <c r="J253" s="643"/>
      <c r="K253" s="643"/>
      <c r="L253" s="643"/>
      <c r="M253" s="643"/>
      <c r="N253" s="643"/>
      <c r="O253" s="643"/>
      <c r="P253" s="643"/>
      <c r="Q253" s="643"/>
      <c r="R253" s="643"/>
      <c r="S253" s="643"/>
      <c r="T253" s="643"/>
      <c r="U253" s="643"/>
      <c r="V253" s="643"/>
      <c r="W253" s="643"/>
      <c r="X253" s="643"/>
      <c r="Y253" s="643"/>
      <c r="AA253" s="643"/>
      <c r="AC253" s="643"/>
      <c r="AD253" s="643"/>
      <c r="AE253" s="643"/>
      <c r="AF253" s="643"/>
      <c r="AG253" s="643"/>
      <c r="AH253" s="1517"/>
      <c r="AI253" s="644"/>
      <c r="AJ253" s="643"/>
      <c r="AK253" s="643"/>
      <c r="AL253" s="643"/>
      <c r="AM253" s="643"/>
      <c r="AN253" s="643"/>
      <c r="AO253" s="643"/>
      <c r="AP253" s="643"/>
      <c r="AQ253" s="643"/>
      <c r="AR253" s="643"/>
      <c r="AS253" s="643"/>
      <c r="AT253" s="643"/>
      <c r="AU253" s="643"/>
      <c r="AV253" s="643"/>
      <c r="AW253" s="643"/>
      <c r="AX253" s="643"/>
      <c r="AY253" s="643"/>
      <c r="AZ253" s="643"/>
      <c r="BA253" s="643"/>
      <c r="BB253" s="643"/>
      <c r="BC253" s="643"/>
      <c r="BD253" s="643"/>
      <c r="BE253" s="643"/>
      <c r="BF253" s="643"/>
      <c r="BG253" s="643"/>
      <c r="BH253" s="643"/>
      <c r="BI253" s="643"/>
      <c r="BJ253" s="643"/>
      <c r="BK253" s="643"/>
      <c r="BL253" s="643"/>
      <c r="BM253" s="643"/>
      <c r="BN253" s="643"/>
      <c r="BO253" s="643"/>
      <c r="BP253" s="643"/>
      <c r="BQ253" s="643"/>
      <c r="BR253" s="643"/>
      <c r="BS253" s="643"/>
      <c r="BT253" s="643"/>
      <c r="BU253" s="643"/>
      <c r="BV253" s="643"/>
      <c r="BW253" s="643"/>
      <c r="BX253" s="643"/>
      <c r="BY253" s="643"/>
      <c r="BZ253" s="643"/>
      <c r="CA253" s="643"/>
      <c r="CB253" s="643"/>
      <c r="CC253" s="643"/>
      <c r="CD253" s="643"/>
      <c r="CE253" s="643"/>
      <c r="CF253" s="643"/>
      <c r="CG253" s="643"/>
      <c r="CH253" s="643"/>
      <c r="CI253" s="643"/>
      <c r="CJ253" s="643"/>
      <c r="CK253" s="643"/>
      <c r="CL253" s="643"/>
      <c r="CM253" s="643"/>
      <c r="CN253" s="643"/>
      <c r="CO253" s="643"/>
      <c r="CP253" s="643"/>
      <c r="CQ253" s="643"/>
      <c r="CR253" s="643"/>
      <c r="CS253" s="643"/>
      <c r="CT253" s="643"/>
      <c r="CU253" s="643"/>
      <c r="CV253" s="643"/>
      <c r="CW253" s="643"/>
      <c r="CX253" s="643"/>
      <c r="CY253" s="643"/>
      <c r="CZ253" s="643"/>
      <c r="DA253" s="643"/>
      <c r="DB253" s="643"/>
      <c r="DC253" s="643"/>
      <c r="DD253" s="643"/>
      <c r="DE253" s="643"/>
      <c r="DF253" s="643"/>
      <c r="DG253" s="643"/>
      <c r="DH253" s="643"/>
      <c r="DI253" s="643"/>
      <c r="DJ253" s="643"/>
      <c r="DK253" s="643"/>
      <c r="DL253" s="643"/>
      <c r="DM253" s="643"/>
      <c r="DN253" s="643"/>
      <c r="DO253" s="643"/>
      <c r="DP253" s="643"/>
      <c r="DQ253" s="643"/>
      <c r="DR253" s="643"/>
      <c r="DS253" s="643"/>
      <c r="DT253" s="643"/>
      <c r="DU253" s="643"/>
      <c r="DV253" s="643"/>
      <c r="DW253" s="643"/>
      <c r="DX253" s="643"/>
      <c r="DY253" s="643"/>
      <c r="DZ253" s="643"/>
      <c r="EA253" s="643"/>
      <c r="EB253" s="643"/>
      <c r="EC253" s="643"/>
      <c r="ED253" s="643"/>
      <c r="EE253" s="643"/>
      <c r="EF253" s="643"/>
      <c r="EG253" s="643"/>
      <c r="EH253" s="643"/>
      <c r="EI253" s="643"/>
      <c r="EJ253" s="643"/>
      <c r="EK253" s="643"/>
      <c r="EL253" s="643"/>
      <c r="EM253" s="643"/>
      <c r="EN253" s="643"/>
      <c r="EO253" s="643"/>
      <c r="EP253" s="643"/>
      <c r="EQ253" s="643"/>
      <c r="ER253" s="643"/>
    </row>
    <row r="255" spans="6:148" s="645" customFormat="1" ht="15.75" customHeight="1">
      <c r="F255" s="643"/>
      <c r="G255" s="643"/>
      <c r="H255" s="643"/>
      <c r="I255" s="643"/>
      <c r="J255" s="643"/>
      <c r="K255" s="643"/>
      <c r="L255" s="643"/>
      <c r="M255" s="643"/>
      <c r="N255" s="643"/>
      <c r="O255" s="643"/>
      <c r="P255" s="643"/>
      <c r="Q255" s="643"/>
      <c r="R255" s="643"/>
      <c r="S255" s="643"/>
      <c r="T255" s="643"/>
      <c r="U255" s="643"/>
      <c r="V255" s="643"/>
      <c r="W255" s="643"/>
      <c r="X255" s="643"/>
      <c r="Y255" s="643"/>
      <c r="AA255" s="643"/>
      <c r="AC255" s="643"/>
      <c r="AD255" s="643"/>
      <c r="AE255" s="643"/>
      <c r="AF255" s="643"/>
      <c r="AG255" s="643"/>
      <c r="AH255" s="1517"/>
      <c r="AI255" s="644"/>
      <c r="AJ255" s="643"/>
      <c r="AK255" s="643"/>
      <c r="AL255" s="643"/>
      <c r="AM255" s="643"/>
      <c r="AN255" s="643"/>
      <c r="AO255" s="643"/>
      <c r="AP255" s="643"/>
      <c r="AQ255" s="643"/>
      <c r="AR255" s="643"/>
      <c r="AS255" s="643"/>
      <c r="AT255" s="643"/>
      <c r="AU255" s="643"/>
      <c r="AV255" s="643"/>
      <c r="AW255" s="643"/>
      <c r="AX255" s="643"/>
      <c r="AY255" s="643"/>
      <c r="AZ255" s="643"/>
      <c r="BA255" s="643"/>
      <c r="BB255" s="643"/>
      <c r="BC255" s="643"/>
      <c r="BD255" s="643"/>
      <c r="BE255" s="643"/>
      <c r="BF255" s="643"/>
      <c r="BG255" s="643"/>
      <c r="BH255" s="643"/>
      <c r="BI255" s="643"/>
      <c r="BJ255" s="643"/>
      <c r="BK255" s="643"/>
      <c r="BL255" s="643"/>
      <c r="BM255" s="643"/>
      <c r="BN255" s="643"/>
      <c r="BO255" s="643"/>
      <c r="BP255" s="643"/>
      <c r="BQ255" s="643"/>
      <c r="BR255" s="643"/>
      <c r="BS255" s="643"/>
      <c r="BT255" s="643"/>
      <c r="BU255" s="643"/>
      <c r="BV255" s="643"/>
      <c r="BW255" s="643"/>
      <c r="BX255" s="643"/>
      <c r="BY255" s="643"/>
      <c r="BZ255" s="643"/>
      <c r="CA255" s="643"/>
      <c r="CB255" s="643"/>
      <c r="CC255" s="643"/>
      <c r="CD255" s="643"/>
      <c r="CE255" s="643"/>
      <c r="CF255" s="643"/>
      <c r="CG255" s="643"/>
      <c r="CH255" s="643"/>
      <c r="CI255" s="643"/>
      <c r="CJ255" s="643"/>
      <c r="CK255" s="643"/>
      <c r="CL255" s="643"/>
      <c r="CM255" s="643"/>
      <c r="CN255" s="643"/>
      <c r="CO255" s="643"/>
      <c r="CP255" s="643"/>
      <c r="CQ255" s="643"/>
      <c r="CR255" s="643"/>
      <c r="CS255" s="643"/>
      <c r="CT255" s="643"/>
      <c r="CU255" s="643"/>
      <c r="CV255" s="643"/>
      <c r="CW255" s="643"/>
      <c r="CX255" s="643"/>
      <c r="CY255" s="643"/>
      <c r="CZ255" s="643"/>
      <c r="DA255" s="643"/>
      <c r="DB255" s="643"/>
      <c r="DC255" s="643"/>
      <c r="DD255" s="643"/>
      <c r="DE255" s="643"/>
      <c r="DF255" s="643"/>
      <c r="DG255" s="643"/>
      <c r="DH255" s="643"/>
      <c r="DI255" s="643"/>
      <c r="DJ255" s="643"/>
      <c r="DK255" s="643"/>
      <c r="DL255" s="643"/>
      <c r="DM255" s="643"/>
      <c r="DN255" s="643"/>
      <c r="DO255" s="643"/>
      <c r="DP255" s="643"/>
      <c r="DQ255" s="643"/>
      <c r="DR255" s="643"/>
      <c r="DS255" s="643"/>
      <c r="DT255" s="643"/>
      <c r="DU255" s="643"/>
      <c r="DV255" s="643"/>
      <c r="DW255" s="643"/>
      <c r="DX255" s="643"/>
      <c r="DY255" s="643"/>
      <c r="DZ255" s="643"/>
      <c r="EA255" s="643"/>
      <c r="EB255" s="643"/>
      <c r="EC255" s="643"/>
      <c r="ED255" s="643"/>
      <c r="EE255" s="643"/>
      <c r="EF255" s="643"/>
      <c r="EG255" s="643"/>
      <c r="EH255" s="643"/>
      <c r="EI255" s="643"/>
      <c r="EJ255" s="643"/>
      <c r="EK255" s="643"/>
      <c r="EL255" s="643"/>
      <c r="EM255" s="643"/>
      <c r="EN255" s="643"/>
      <c r="EO255" s="643"/>
      <c r="EP255" s="643"/>
      <c r="EQ255" s="643"/>
      <c r="ER255" s="643"/>
    </row>
    <row r="257" spans="6:148" s="645" customFormat="1" ht="15.75" customHeight="1">
      <c r="F257" s="643"/>
      <c r="G257" s="643"/>
      <c r="H257" s="643"/>
      <c r="I257" s="643"/>
      <c r="J257" s="643"/>
      <c r="K257" s="643"/>
      <c r="L257" s="643"/>
      <c r="M257" s="643"/>
      <c r="N257" s="643"/>
      <c r="O257" s="643"/>
      <c r="P257" s="643"/>
      <c r="Q257" s="643"/>
      <c r="R257" s="643"/>
      <c r="S257" s="643"/>
      <c r="T257" s="643"/>
      <c r="U257" s="643"/>
      <c r="V257" s="643"/>
      <c r="W257" s="643"/>
      <c r="X257" s="643"/>
      <c r="Y257" s="643"/>
      <c r="AA257" s="643"/>
      <c r="AC257" s="643"/>
      <c r="AD257" s="643"/>
      <c r="AE257" s="643"/>
      <c r="AF257" s="643"/>
      <c r="AG257" s="643"/>
      <c r="AH257" s="1517"/>
      <c r="AI257" s="644"/>
      <c r="AJ257" s="643"/>
      <c r="AK257" s="643"/>
      <c r="AL257" s="643"/>
      <c r="AM257" s="643"/>
      <c r="AN257" s="643"/>
      <c r="AO257" s="643"/>
      <c r="AP257" s="643"/>
      <c r="AQ257" s="643"/>
      <c r="AR257" s="643"/>
      <c r="AS257" s="643"/>
      <c r="AT257" s="643"/>
      <c r="AU257" s="643"/>
      <c r="AV257" s="643"/>
      <c r="AW257" s="643"/>
      <c r="AX257" s="643"/>
      <c r="AY257" s="643"/>
      <c r="AZ257" s="643"/>
      <c r="BA257" s="643"/>
      <c r="BB257" s="643"/>
      <c r="BC257" s="643"/>
      <c r="BD257" s="643"/>
      <c r="BE257" s="643"/>
      <c r="BF257" s="643"/>
      <c r="BG257" s="643"/>
      <c r="BH257" s="643"/>
      <c r="BI257" s="643"/>
      <c r="BJ257" s="643"/>
      <c r="BK257" s="643"/>
      <c r="BL257" s="643"/>
      <c r="BM257" s="643"/>
      <c r="BN257" s="643"/>
      <c r="BO257" s="643"/>
      <c r="BP257" s="643"/>
      <c r="BQ257" s="643"/>
      <c r="BR257" s="643"/>
      <c r="BS257" s="643"/>
      <c r="BT257" s="643"/>
      <c r="BU257" s="643"/>
      <c r="BV257" s="643"/>
      <c r="BW257" s="643"/>
      <c r="BX257" s="643"/>
      <c r="BY257" s="643"/>
      <c r="BZ257" s="643"/>
      <c r="CA257" s="643"/>
      <c r="CB257" s="643"/>
      <c r="CC257" s="643"/>
      <c r="CD257" s="643"/>
      <c r="CE257" s="643"/>
      <c r="CF257" s="643"/>
      <c r="CG257" s="643"/>
      <c r="CH257" s="643"/>
      <c r="CI257" s="643"/>
      <c r="CJ257" s="643"/>
      <c r="CK257" s="643"/>
      <c r="CL257" s="643"/>
      <c r="CM257" s="643"/>
      <c r="CN257" s="643"/>
      <c r="CO257" s="643"/>
      <c r="CP257" s="643"/>
      <c r="CQ257" s="643"/>
      <c r="CR257" s="643"/>
      <c r="CS257" s="643"/>
      <c r="CT257" s="643"/>
      <c r="CU257" s="643"/>
      <c r="CV257" s="643"/>
      <c r="CW257" s="643"/>
      <c r="CX257" s="643"/>
      <c r="CY257" s="643"/>
      <c r="CZ257" s="643"/>
      <c r="DA257" s="643"/>
      <c r="DB257" s="643"/>
      <c r="DC257" s="643"/>
      <c r="DD257" s="643"/>
      <c r="DE257" s="643"/>
      <c r="DF257" s="643"/>
      <c r="DG257" s="643"/>
      <c r="DH257" s="643"/>
      <c r="DI257" s="643"/>
      <c r="DJ257" s="643"/>
      <c r="DK257" s="643"/>
      <c r="DL257" s="643"/>
      <c r="DM257" s="643"/>
      <c r="DN257" s="643"/>
      <c r="DO257" s="643"/>
      <c r="DP257" s="643"/>
      <c r="DQ257" s="643"/>
      <c r="DR257" s="643"/>
      <c r="DS257" s="643"/>
      <c r="DT257" s="643"/>
      <c r="DU257" s="643"/>
      <c r="DV257" s="643"/>
      <c r="DW257" s="643"/>
      <c r="DX257" s="643"/>
      <c r="DY257" s="643"/>
      <c r="DZ257" s="643"/>
      <c r="EA257" s="643"/>
      <c r="EB257" s="643"/>
      <c r="EC257" s="643"/>
      <c r="ED257" s="643"/>
      <c r="EE257" s="643"/>
      <c r="EF257" s="643"/>
      <c r="EG257" s="643"/>
      <c r="EH257" s="643"/>
      <c r="EI257" s="643"/>
      <c r="EJ257" s="643"/>
      <c r="EK257" s="643"/>
      <c r="EL257" s="643"/>
      <c r="EM257" s="643"/>
      <c r="EN257" s="643"/>
      <c r="EO257" s="643"/>
      <c r="EP257" s="643"/>
      <c r="EQ257" s="643"/>
      <c r="ER257" s="643"/>
    </row>
    <row r="259" spans="6:148" s="645" customFormat="1" ht="15.75" customHeight="1">
      <c r="F259" s="643"/>
      <c r="G259" s="643"/>
      <c r="H259" s="643"/>
      <c r="I259" s="643"/>
      <c r="J259" s="643"/>
      <c r="K259" s="643"/>
      <c r="L259" s="643"/>
      <c r="M259" s="643"/>
      <c r="N259" s="643"/>
      <c r="O259" s="643"/>
      <c r="P259" s="643"/>
      <c r="Q259" s="643"/>
      <c r="R259" s="643"/>
      <c r="S259" s="643"/>
      <c r="T259" s="643"/>
      <c r="U259" s="643"/>
      <c r="V259" s="643"/>
      <c r="W259" s="643"/>
      <c r="X259" s="643"/>
      <c r="Y259" s="643"/>
      <c r="AA259" s="643"/>
      <c r="AC259" s="643"/>
      <c r="AD259" s="643"/>
      <c r="AE259" s="643"/>
      <c r="AF259" s="643"/>
      <c r="AG259" s="643"/>
      <c r="AH259" s="1517"/>
      <c r="AI259" s="644"/>
      <c r="AJ259" s="643"/>
      <c r="AK259" s="643"/>
      <c r="AL259" s="643"/>
      <c r="AM259" s="643"/>
      <c r="AN259" s="643"/>
      <c r="AO259" s="643"/>
      <c r="AP259" s="643"/>
      <c r="AQ259" s="643"/>
      <c r="AR259" s="643"/>
      <c r="AS259" s="643"/>
      <c r="AT259" s="643"/>
      <c r="AU259" s="643"/>
      <c r="AV259" s="643"/>
      <c r="AW259" s="643"/>
      <c r="AX259" s="643"/>
      <c r="AY259" s="643"/>
      <c r="AZ259" s="643"/>
      <c r="BA259" s="643"/>
      <c r="BB259" s="643"/>
      <c r="BC259" s="643"/>
      <c r="BD259" s="643"/>
      <c r="BE259" s="643"/>
      <c r="BF259" s="643"/>
      <c r="BG259" s="643"/>
      <c r="BH259" s="643"/>
      <c r="BI259" s="643"/>
      <c r="BJ259" s="643"/>
      <c r="BK259" s="643"/>
      <c r="BL259" s="643"/>
      <c r="BM259" s="643"/>
      <c r="BN259" s="643"/>
      <c r="BO259" s="643"/>
      <c r="BP259" s="643"/>
      <c r="BQ259" s="643"/>
      <c r="BR259" s="643"/>
      <c r="BS259" s="643"/>
      <c r="BT259" s="643"/>
      <c r="BU259" s="643"/>
      <c r="BV259" s="643"/>
      <c r="BW259" s="643"/>
      <c r="BX259" s="643"/>
      <c r="BY259" s="643"/>
      <c r="BZ259" s="643"/>
      <c r="CA259" s="643"/>
      <c r="CB259" s="643"/>
      <c r="CC259" s="643"/>
      <c r="CD259" s="643"/>
      <c r="CE259" s="643"/>
      <c r="CF259" s="643"/>
      <c r="CG259" s="643"/>
      <c r="CH259" s="643"/>
      <c r="CI259" s="643"/>
      <c r="CJ259" s="643"/>
      <c r="CK259" s="643"/>
      <c r="CL259" s="643"/>
      <c r="CM259" s="643"/>
      <c r="CN259" s="643"/>
      <c r="CO259" s="643"/>
      <c r="CP259" s="643"/>
      <c r="CQ259" s="643"/>
      <c r="CR259" s="643"/>
      <c r="CS259" s="643"/>
      <c r="CT259" s="643"/>
      <c r="CU259" s="643"/>
      <c r="CV259" s="643"/>
      <c r="CW259" s="643"/>
      <c r="CX259" s="643"/>
      <c r="CY259" s="643"/>
      <c r="CZ259" s="643"/>
      <c r="DA259" s="643"/>
      <c r="DB259" s="643"/>
      <c r="DC259" s="643"/>
      <c r="DD259" s="643"/>
      <c r="DE259" s="643"/>
      <c r="DF259" s="643"/>
      <c r="DG259" s="643"/>
      <c r="DH259" s="643"/>
      <c r="DI259" s="643"/>
      <c r="DJ259" s="643"/>
      <c r="DK259" s="643"/>
      <c r="DL259" s="643"/>
      <c r="DM259" s="643"/>
      <c r="DN259" s="643"/>
      <c r="DO259" s="643"/>
      <c r="DP259" s="643"/>
      <c r="DQ259" s="643"/>
      <c r="DR259" s="643"/>
      <c r="DS259" s="643"/>
      <c r="DT259" s="643"/>
      <c r="DU259" s="643"/>
      <c r="DV259" s="643"/>
      <c r="DW259" s="643"/>
      <c r="DX259" s="643"/>
      <c r="DY259" s="643"/>
      <c r="DZ259" s="643"/>
      <c r="EA259" s="643"/>
      <c r="EB259" s="643"/>
      <c r="EC259" s="643"/>
      <c r="ED259" s="643"/>
      <c r="EE259" s="643"/>
      <c r="EF259" s="643"/>
      <c r="EG259" s="643"/>
      <c r="EH259" s="643"/>
      <c r="EI259" s="643"/>
      <c r="EJ259" s="643"/>
      <c r="EK259" s="643"/>
      <c r="EL259" s="643"/>
      <c r="EM259" s="643"/>
      <c r="EN259" s="643"/>
      <c r="EO259" s="643"/>
      <c r="EP259" s="643"/>
      <c r="EQ259" s="643"/>
      <c r="ER259" s="643"/>
    </row>
    <row r="261" spans="6:148" s="645" customFormat="1" ht="15.75" customHeight="1">
      <c r="F261" s="643"/>
      <c r="G261" s="643"/>
      <c r="H261" s="643"/>
      <c r="I261" s="643"/>
      <c r="J261" s="643"/>
      <c r="K261" s="643"/>
      <c r="L261" s="643"/>
      <c r="M261" s="643"/>
      <c r="N261" s="643"/>
      <c r="O261" s="643"/>
      <c r="P261" s="643"/>
      <c r="Q261" s="643"/>
      <c r="R261" s="643"/>
      <c r="S261" s="643"/>
      <c r="T261" s="643"/>
      <c r="U261" s="643"/>
      <c r="V261" s="643"/>
      <c r="W261" s="643"/>
      <c r="X261" s="643"/>
      <c r="Y261" s="643"/>
      <c r="AA261" s="643"/>
      <c r="AC261" s="643"/>
      <c r="AD261" s="643"/>
      <c r="AE261" s="643"/>
      <c r="AF261" s="643"/>
      <c r="AG261" s="643"/>
      <c r="AH261" s="1517"/>
      <c r="AI261" s="644"/>
      <c r="AJ261" s="643"/>
      <c r="AK261" s="643"/>
      <c r="AL261" s="643"/>
      <c r="AM261" s="643"/>
      <c r="AN261" s="643"/>
      <c r="AO261" s="643"/>
      <c r="AP261" s="643"/>
      <c r="AQ261" s="643"/>
      <c r="AR261" s="643"/>
      <c r="AS261" s="643"/>
      <c r="AT261" s="643"/>
      <c r="AU261" s="643"/>
      <c r="AV261" s="643"/>
      <c r="AW261" s="643"/>
      <c r="AX261" s="643"/>
      <c r="AY261" s="643"/>
      <c r="AZ261" s="643"/>
      <c r="BA261" s="643"/>
      <c r="BB261" s="643"/>
      <c r="BC261" s="643"/>
      <c r="BD261" s="643"/>
      <c r="BE261" s="643"/>
      <c r="BF261" s="643"/>
      <c r="BG261" s="643"/>
      <c r="BH261" s="643"/>
      <c r="BI261" s="643"/>
      <c r="BJ261" s="643"/>
      <c r="BK261" s="643"/>
      <c r="BL261" s="643"/>
      <c r="BM261" s="643"/>
      <c r="BN261" s="643"/>
      <c r="BO261" s="643"/>
      <c r="BP261" s="643"/>
      <c r="BQ261" s="643"/>
      <c r="BR261" s="643"/>
      <c r="BS261" s="643"/>
      <c r="BT261" s="643"/>
      <c r="BU261" s="643"/>
      <c r="BV261" s="643"/>
      <c r="BW261" s="643"/>
      <c r="BX261" s="643"/>
      <c r="BY261" s="643"/>
      <c r="BZ261" s="643"/>
      <c r="CA261" s="643"/>
      <c r="CB261" s="643"/>
      <c r="CC261" s="643"/>
      <c r="CD261" s="643"/>
      <c r="CE261" s="643"/>
      <c r="CF261" s="643"/>
      <c r="CG261" s="643"/>
      <c r="CH261" s="643"/>
      <c r="CI261" s="643"/>
      <c r="CJ261" s="643"/>
      <c r="CK261" s="643"/>
      <c r="CL261" s="643"/>
      <c r="CM261" s="643"/>
      <c r="CN261" s="643"/>
      <c r="CO261" s="643"/>
      <c r="CP261" s="643"/>
      <c r="CQ261" s="643"/>
      <c r="CR261" s="643"/>
      <c r="CS261" s="643"/>
      <c r="CT261" s="643"/>
      <c r="CU261" s="643"/>
      <c r="CV261" s="643"/>
      <c r="CW261" s="643"/>
      <c r="CX261" s="643"/>
      <c r="CY261" s="643"/>
      <c r="CZ261" s="643"/>
      <c r="DA261" s="643"/>
      <c r="DB261" s="643"/>
      <c r="DC261" s="643"/>
      <c r="DD261" s="643"/>
      <c r="DE261" s="643"/>
      <c r="DF261" s="643"/>
      <c r="DG261" s="643"/>
      <c r="DH261" s="643"/>
      <c r="DI261" s="643"/>
      <c r="DJ261" s="643"/>
      <c r="DK261" s="643"/>
      <c r="DL261" s="643"/>
      <c r="DM261" s="643"/>
      <c r="DN261" s="643"/>
      <c r="DO261" s="643"/>
      <c r="DP261" s="643"/>
      <c r="DQ261" s="643"/>
      <c r="DR261" s="643"/>
      <c r="DS261" s="643"/>
      <c r="DT261" s="643"/>
      <c r="DU261" s="643"/>
      <c r="DV261" s="643"/>
      <c r="DW261" s="643"/>
      <c r="DX261" s="643"/>
      <c r="DY261" s="643"/>
      <c r="DZ261" s="643"/>
      <c r="EA261" s="643"/>
      <c r="EB261" s="643"/>
      <c r="EC261" s="643"/>
      <c r="ED261" s="643"/>
      <c r="EE261" s="643"/>
      <c r="EF261" s="643"/>
      <c r="EG261" s="643"/>
      <c r="EH261" s="643"/>
      <c r="EI261" s="643"/>
      <c r="EJ261" s="643"/>
      <c r="EK261" s="643"/>
      <c r="EL261" s="643"/>
      <c r="EM261" s="643"/>
      <c r="EN261" s="643"/>
      <c r="EO261" s="643"/>
      <c r="EP261" s="643"/>
      <c r="EQ261" s="643"/>
      <c r="ER261" s="643"/>
    </row>
    <row r="263" spans="6:148" s="645" customFormat="1" ht="15.75" customHeight="1">
      <c r="F263" s="643"/>
      <c r="G263" s="643"/>
      <c r="H263" s="643"/>
      <c r="I263" s="643"/>
      <c r="J263" s="643"/>
      <c r="K263" s="643"/>
      <c r="L263" s="643"/>
      <c r="M263" s="643"/>
      <c r="N263" s="643"/>
      <c r="O263" s="643"/>
      <c r="P263" s="643"/>
      <c r="Q263" s="643"/>
      <c r="R263" s="643"/>
      <c r="S263" s="643"/>
      <c r="T263" s="643"/>
      <c r="U263" s="643"/>
      <c r="V263" s="643"/>
      <c r="W263" s="643"/>
      <c r="X263" s="643"/>
      <c r="Y263" s="643"/>
      <c r="AA263" s="643"/>
      <c r="AC263" s="643"/>
      <c r="AD263" s="643"/>
      <c r="AE263" s="643"/>
      <c r="AF263" s="643"/>
      <c r="AG263" s="643"/>
      <c r="AH263" s="1517"/>
      <c r="AI263" s="644"/>
      <c r="AJ263" s="643"/>
      <c r="AK263" s="643"/>
      <c r="AL263" s="643"/>
      <c r="AM263" s="643"/>
      <c r="AN263" s="643"/>
      <c r="AO263" s="643"/>
      <c r="AP263" s="643"/>
      <c r="AQ263" s="643"/>
      <c r="AR263" s="643"/>
      <c r="AS263" s="643"/>
      <c r="AT263" s="643"/>
      <c r="AU263" s="643"/>
      <c r="AV263" s="643"/>
      <c r="AW263" s="643"/>
      <c r="AX263" s="643"/>
      <c r="AY263" s="643"/>
      <c r="AZ263" s="643"/>
      <c r="BA263" s="643"/>
      <c r="BB263" s="643"/>
      <c r="BC263" s="643"/>
      <c r="BD263" s="643"/>
      <c r="BE263" s="643"/>
      <c r="BF263" s="643"/>
      <c r="BG263" s="643"/>
      <c r="BH263" s="643"/>
      <c r="BI263" s="643"/>
      <c r="BJ263" s="643"/>
      <c r="BK263" s="643"/>
      <c r="BL263" s="643"/>
      <c r="BM263" s="643"/>
      <c r="BN263" s="643"/>
      <c r="BO263" s="643"/>
      <c r="BP263" s="643"/>
      <c r="BQ263" s="643"/>
      <c r="BR263" s="643"/>
      <c r="BS263" s="643"/>
      <c r="BT263" s="643"/>
      <c r="BU263" s="643"/>
      <c r="BV263" s="643"/>
      <c r="BW263" s="643"/>
      <c r="BX263" s="643"/>
      <c r="BY263" s="643"/>
      <c r="BZ263" s="643"/>
      <c r="CA263" s="643"/>
      <c r="CB263" s="643"/>
      <c r="CC263" s="643"/>
      <c r="CD263" s="643"/>
      <c r="CE263" s="643"/>
      <c r="CF263" s="643"/>
      <c r="CG263" s="643"/>
      <c r="CH263" s="643"/>
      <c r="CI263" s="643"/>
      <c r="CJ263" s="643"/>
      <c r="CK263" s="643"/>
      <c r="CL263" s="643"/>
      <c r="CM263" s="643"/>
      <c r="CN263" s="643"/>
      <c r="CO263" s="643"/>
      <c r="CP263" s="643"/>
      <c r="CQ263" s="643"/>
      <c r="CR263" s="643"/>
      <c r="CS263" s="643"/>
      <c r="CT263" s="643"/>
      <c r="CU263" s="643"/>
      <c r="CV263" s="643"/>
      <c r="CW263" s="643"/>
      <c r="CX263" s="643"/>
      <c r="CY263" s="643"/>
      <c r="CZ263" s="643"/>
      <c r="DA263" s="643"/>
      <c r="DB263" s="643"/>
      <c r="DC263" s="643"/>
      <c r="DD263" s="643"/>
      <c r="DE263" s="643"/>
      <c r="DF263" s="643"/>
      <c r="DG263" s="643"/>
      <c r="DH263" s="643"/>
      <c r="DI263" s="643"/>
      <c r="DJ263" s="643"/>
      <c r="DK263" s="643"/>
      <c r="DL263" s="643"/>
      <c r="DM263" s="643"/>
      <c r="DN263" s="643"/>
      <c r="DO263" s="643"/>
      <c r="DP263" s="643"/>
      <c r="DQ263" s="643"/>
      <c r="DR263" s="643"/>
      <c r="DS263" s="643"/>
      <c r="DT263" s="643"/>
      <c r="DU263" s="643"/>
      <c r="DV263" s="643"/>
      <c r="DW263" s="643"/>
      <c r="DX263" s="643"/>
      <c r="DY263" s="643"/>
      <c r="DZ263" s="643"/>
      <c r="EA263" s="643"/>
      <c r="EB263" s="643"/>
      <c r="EC263" s="643"/>
      <c r="ED263" s="643"/>
      <c r="EE263" s="643"/>
      <c r="EF263" s="643"/>
      <c r="EG263" s="643"/>
      <c r="EH263" s="643"/>
      <c r="EI263" s="643"/>
      <c r="EJ263" s="643"/>
      <c r="EK263" s="643"/>
      <c r="EL263" s="643"/>
      <c r="EM263" s="643"/>
      <c r="EN263" s="643"/>
      <c r="EO263" s="643"/>
      <c r="EP263" s="643"/>
      <c r="EQ263" s="643"/>
      <c r="ER263" s="643"/>
    </row>
    <row r="265" spans="6:148" s="645" customFormat="1" ht="15.75" customHeight="1">
      <c r="F265" s="643"/>
      <c r="G265" s="643"/>
      <c r="H265" s="643"/>
      <c r="I265" s="643"/>
      <c r="J265" s="643"/>
      <c r="K265" s="643"/>
      <c r="L265" s="643"/>
      <c r="M265" s="643"/>
      <c r="N265" s="643"/>
      <c r="O265" s="643"/>
      <c r="P265" s="643"/>
      <c r="Q265" s="643"/>
      <c r="R265" s="643"/>
      <c r="S265" s="643"/>
      <c r="T265" s="643"/>
      <c r="U265" s="643"/>
      <c r="V265" s="643"/>
      <c r="W265" s="643"/>
      <c r="X265" s="643"/>
      <c r="Y265" s="643"/>
      <c r="AA265" s="643"/>
      <c r="AC265" s="643"/>
      <c r="AD265" s="643"/>
      <c r="AE265" s="643"/>
      <c r="AF265" s="643"/>
      <c r="AG265" s="643"/>
      <c r="AH265" s="1517"/>
      <c r="AI265" s="644"/>
      <c r="AJ265" s="643"/>
      <c r="AK265" s="643"/>
      <c r="AL265" s="643"/>
      <c r="AM265" s="643"/>
      <c r="AN265" s="643"/>
      <c r="AO265" s="643"/>
      <c r="AP265" s="643"/>
      <c r="AQ265" s="643"/>
      <c r="AR265" s="643"/>
      <c r="AS265" s="643"/>
      <c r="AT265" s="643"/>
      <c r="AU265" s="643"/>
      <c r="AV265" s="643"/>
      <c r="AW265" s="643"/>
      <c r="AX265" s="643"/>
      <c r="AY265" s="643"/>
      <c r="AZ265" s="643"/>
      <c r="BA265" s="643"/>
      <c r="BB265" s="643"/>
      <c r="BC265" s="643"/>
      <c r="BD265" s="643"/>
      <c r="BE265" s="643"/>
      <c r="BF265" s="643"/>
      <c r="BG265" s="643"/>
      <c r="BH265" s="643"/>
      <c r="BI265" s="643"/>
      <c r="BJ265" s="643"/>
      <c r="BK265" s="643"/>
      <c r="BL265" s="643"/>
      <c r="BM265" s="643"/>
      <c r="BN265" s="643"/>
      <c r="BO265" s="643"/>
      <c r="BP265" s="643"/>
      <c r="BQ265" s="643"/>
      <c r="BR265" s="643"/>
      <c r="BS265" s="643"/>
      <c r="BT265" s="643"/>
      <c r="BU265" s="643"/>
      <c r="BV265" s="643"/>
      <c r="BW265" s="643"/>
      <c r="BX265" s="643"/>
      <c r="BY265" s="643"/>
      <c r="BZ265" s="643"/>
      <c r="CA265" s="643"/>
      <c r="CB265" s="643"/>
      <c r="CC265" s="643"/>
      <c r="CD265" s="643"/>
      <c r="CE265" s="643"/>
      <c r="CF265" s="643"/>
      <c r="CG265" s="643"/>
      <c r="CH265" s="643"/>
      <c r="CI265" s="643"/>
      <c r="CJ265" s="643"/>
      <c r="CK265" s="643"/>
      <c r="CL265" s="643"/>
      <c r="CM265" s="643"/>
      <c r="CN265" s="643"/>
      <c r="CO265" s="643"/>
      <c r="CP265" s="643"/>
      <c r="CQ265" s="643"/>
      <c r="CR265" s="643"/>
      <c r="CS265" s="643"/>
      <c r="CT265" s="643"/>
      <c r="CU265" s="643"/>
      <c r="CV265" s="643"/>
      <c r="CW265" s="643"/>
      <c r="CX265" s="643"/>
      <c r="CY265" s="643"/>
      <c r="CZ265" s="643"/>
      <c r="DA265" s="643"/>
      <c r="DB265" s="643"/>
      <c r="DC265" s="643"/>
      <c r="DD265" s="643"/>
      <c r="DE265" s="643"/>
      <c r="DF265" s="643"/>
      <c r="DG265" s="643"/>
      <c r="DH265" s="643"/>
      <c r="DI265" s="643"/>
      <c r="DJ265" s="643"/>
      <c r="DK265" s="643"/>
      <c r="DL265" s="643"/>
      <c r="DM265" s="643"/>
      <c r="DN265" s="643"/>
      <c r="DO265" s="643"/>
      <c r="DP265" s="643"/>
      <c r="DQ265" s="643"/>
      <c r="DR265" s="643"/>
      <c r="DS265" s="643"/>
      <c r="DT265" s="643"/>
      <c r="DU265" s="643"/>
      <c r="DV265" s="643"/>
      <c r="DW265" s="643"/>
      <c r="DX265" s="643"/>
      <c r="DY265" s="643"/>
      <c r="DZ265" s="643"/>
      <c r="EA265" s="643"/>
      <c r="EB265" s="643"/>
      <c r="EC265" s="643"/>
      <c r="ED265" s="643"/>
      <c r="EE265" s="643"/>
      <c r="EF265" s="643"/>
      <c r="EG265" s="643"/>
      <c r="EH265" s="643"/>
      <c r="EI265" s="643"/>
      <c r="EJ265" s="643"/>
      <c r="EK265" s="643"/>
      <c r="EL265" s="643"/>
      <c r="EM265" s="643"/>
      <c r="EN265" s="643"/>
      <c r="EO265" s="643"/>
      <c r="EP265" s="643"/>
      <c r="EQ265" s="643"/>
      <c r="ER265" s="643"/>
    </row>
    <row r="267" spans="6:148" s="645" customFormat="1" ht="15.75" customHeight="1">
      <c r="F267" s="643"/>
      <c r="G267" s="643"/>
      <c r="H267" s="643"/>
      <c r="I267" s="643"/>
      <c r="J267" s="643"/>
      <c r="K267" s="643"/>
      <c r="L267" s="643"/>
      <c r="M267" s="643"/>
      <c r="N267" s="643"/>
      <c r="O267" s="643"/>
      <c r="P267" s="643"/>
      <c r="Q267" s="643"/>
      <c r="R267" s="643"/>
      <c r="S267" s="643"/>
      <c r="T267" s="643"/>
      <c r="U267" s="643"/>
      <c r="V267" s="643"/>
      <c r="W267" s="643"/>
      <c r="X267" s="643"/>
      <c r="Y267" s="643"/>
      <c r="AA267" s="643"/>
      <c r="AC267" s="643"/>
      <c r="AD267" s="643"/>
      <c r="AE267" s="643"/>
      <c r="AF267" s="643"/>
      <c r="AG267" s="643"/>
      <c r="AH267" s="1517"/>
      <c r="AI267" s="644"/>
      <c r="AJ267" s="643"/>
      <c r="AK267" s="643"/>
      <c r="AL267" s="643"/>
      <c r="AM267" s="643"/>
      <c r="AN267" s="643"/>
      <c r="AO267" s="643"/>
      <c r="AP267" s="643"/>
      <c r="AQ267" s="643"/>
      <c r="AR267" s="643"/>
      <c r="AS267" s="643"/>
      <c r="AT267" s="643"/>
      <c r="AU267" s="643"/>
      <c r="AV267" s="643"/>
      <c r="AW267" s="643"/>
      <c r="AX267" s="643"/>
      <c r="AY267" s="643"/>
      <c r="AZ267" s="643"/>
      <c r="BA267" s="643"/>
      <c r="BB267" s="643"/>
      <c r="BC267" s="643"/>
      <c r="BD267" s="643"/>
      <c r="BE267" s="643"/>
      <c r="BF267" s="643"/>
      <c r="BG267" s="643"/>
      <c r="BH267" s="643"/>
      <c r="BI267" s="643"/>
      <c r="BJ267" s="643"/>
      <c r="BK267" s="643"/>
      <c r="BL267" s="643"/>
      <c r="BM267" s="643"/>
      <c r="BN267" s="643"/>
      <c r="BO267" s="643"/>
      <c r="BP267" s="643"/>
      <c r="BQ267" s="643"/>
      <c r="BR267" s="643"/>
      <c r="BS267" s="643"/>
      <c r="BT267" s="643"/>
      <c r="BU267" s="643"/>
      <c r="BV267" s="643"/>
      <c r="BW267" s="643"/>
      <c r="BX267" s="643"/>
      <c r="BY267" s="643"/>
      <c r="BZ267" s="643"/>
      <c r="CA267" s="643"/>
      <c r="CB267" s="643"/>
      <c r="CC267" s="643"/>
      <c r="CD267" s="643"/>
      <c r="CE267" s="643"/>
      <c r="CF267" s="643"/>
      <c r="CG267" s="643"/>
      <c r="CH267" s="643"/>
      <c r="CI267" s="643"/>
      <c r="CJ267" s="643"/>
      <c r="CK267" s="643"/>
      <c r="CL267" s="643"/>
      <c r="CM267" s="643"/>
      <c r="CN267" s="643"/>
      <c r="CO267" s="643"/>
      <c r="CP267" s="643"/>
      <c r="CQ267" s="643"/>
      <c r="CR267" s="643"/>
      <c r="CS267" s="643"/>
      <c r="CT267" s="643"/>
      <c r="CU267" s="643"/>
      <c r="CV267" s="643"/>
      <c r="CW267" s="643"/>
      <c r="CX267" s="643"/>
      <c r="CY267" s="643"/>
      <c r="CZ267" s="643"/>
      <c r="DA267" s="643"/>
      <c r="DB267" s="643"/>
      <c r="DC267" s="643"/>
      <c r="DD267" s="643"/>
      <c r="DE267" s="643"/>
      <c r="DF267" s="643"/>
      <c r="DG267" s="643"/>
      <c r="DH267" s="643"/>
      <c r="DI267" s="643"/>
      <c r="DJ267" s="643"/>
      <c r="DK267" s="643"/>
      <c r="DL267" s="643"/>
      <c r="DM267" s="643"/>
      <c r="DN267" s="643"/>
      <c r="DO267" s="643"/>
      <c r="DP267" s="643"/>
      <c r="DQ267" s="643"/>
      <c r="DR267" s="643"/>
      <c r="DS267" s="643"/>
      <c r="DT267" s="643"/>
      <c r="DU267" s="643"/>
      <c r="DV267" s="643"/>
      <c r="DW267" s="643"/>
      <c r="DX267" s="643"/>
      <c r="DY267" s="643"/>
      <c r="DZ267" s="643"/>
      <c r="EA267" s="643"/>
      <c r="EB267" s="643"/>
      <c r="EC267" s="643"/>
      <c r="ED267" s="643"/>
      <c r="EE267" s="643"/>
      <c r="EF267" s="643"/>
      <c r="EG267" s="643"/>
      <c r="EH267" s="643"/>
      <c r="EI267" s="643"/>
      <c r="EJ267" s="643"/>
      <c r="EK267" s="643"/>
      <c r="EL267" s="643"/>
      <c r="EM267" s="643"/>
      <c r="EN267" s="643"/>
      <c r="EO267" s="643"/>
      <c r="EP267" s="643"/>
      <c r="EQ267" s="643"/>
      <c r="ER267" s="643"/>
    </row>
    <row r="269" spans="6:148" s="645" customFormat="1" ht="15.75" customHeight="1">
      <c r="F269" s="643"/>
      <c r="G269" s="643"/>
      <c r="H269" s="643"/>
      <c r="I269" s="643"/>
      <c r="J269" s="643"/>
      <c r="K269" s="643"/>
      <c r="L269" s="643"/>
      <c r="M269" s="643"/>
      <c r="N269" s="643"/>
      <c r="O269" s="643"/>
      <c r="P269" s="643"/>
      <c r="Q269" s="643"/>
      <c r="R269" s="643"/>
      <c r="S269" s="643"/>
      <c r="T269" s="643"/>
      <c r="U269" s="643"/>
      <c r="V269" s="643"/>
      <c r="W269" s="643"/>
      <c r="X269" s="643"/>
      <c r="Y269" s="643"/>
      <c r="AA269" s="643"/>
      <c r="AC269" s="643"/>
      <c r="AD269" s="643"/>
      <c r="AE269" s="643"/>
      <c r="AF269" s="643"/>
      <c r="AG269" s="643"/>
      <c r="AH269" s="1517"/>
      <c r="AI269" s="644"/>
      <c r="AJ269" s="643"/>
      <c r="AK269" s="643"/>
      <c r="AL269" s="643"/>
      <c r="AM269" s="643"/>
      <c r="AN269" s="643"/>
      <c r="AO269" s="643"/>
      <c r="AP269" s="643"/>
      <c r="AQ269" s="643"/>
      <c r="AR269" s="643"/>
      <c r="AS269" s="643"/>
      <c r="AT269" s="643"/>
      <c r="AU269" s="643"/>
      <c r="AV269" s="643"/>
      <c r="AW269" s="643"/>
      <c r="AX269" s="643"/>
      <c r="AY269" s="643"/>
      <c r="AZ269" s="643"/>
      <c r="BA269" s="643"/>
      <c r="BB269" s="643"/>
      <c r="BC269" s="643"/>
      <c r="BD269" s="643"/>
      <c r="BE269" s="643"/>
      <c r="BF269" s="643"/>
      <c r="BG269" s="643"/>
      <c r="BH269" s="643"/>
      <c r="BI269" s="643"/>
      <c r="BJ269" s="643"/>
      <c r="BK269" s="643"/>
      <c r="BL269" s="643"/>
      <c r="BM269" s="643"/>
      <c r="BN269" s="643"/>
      <c r="BO269" s="643"/>
      <c r="BP269" s="643"/>
      <c r="BQ269" s="643"/>
      <c r="BR269" s="643"/>
      <c r="BS269" s="643"/>
      <c r="BT269" s="643"/>
      <c r="BU269" s="643"/>
      <c r="BV269" s="643"/>
      <c r="BW269" s="643"/>
      <c r="BX269" s="643"/>
      <c r="BY269" s="643"/>
      <c r="BZ269" s="643"/>
      <c r="CA269" s="643"/>
      <c r="CB269" s="643"/>
      <c r="CC269" s="643"/>
      <c r="CD269" s="643"/>
      <c r="CE269" s="643"/>
      <c r="CF269" s="643"/>
      <c r="CG269" s="643"/>
      <c r="CH269" s="643"/>
      <c r="CI269" s="643"/>
      <c r="CJ269" s="643"/>
      <c r="CK269" s="643"/>
      <c r="CL269" s="643"/>
      <c r="CM269" s="643"/>
      <c r="CN269" s="643"/>
      <c r="CO269" s="643"/>
      <c r="CP269" s="643"/>
      <c r="CQ269" s="643"/>
      <c r="CR269" s="643"/>
      <c r="CS269" s="643"/>
      <c r="CT269" s="643"/>
      <c r="CU269" s="643"/>
      <c r="CV269" s="643"/>
      <c r="CW269" s="643"/>
      <c r="CX269" s="643"/>
      <c r="CY269" s="643"/>
      <c r="CZ269" s="643"/>
      <c r="DA269" s="643"/>
      <c r="DB269" s="643"/>
      <c r="DC269" s="643"/>
      <c r="DD269" s="643"/>
      <c r="DE269" s="643"/>
      <c r="DF269" s="643"/>
      <c r="DG269" s="643"/>
      <c r="DH269" s="643"/>
      <c r="DI269" s="643"/>
      <c r="DJ269" s="643"/>
      <c r="DK269" s="643"/>
      <c r="DL269" s="643"/>
      <c r="DM269" s="643"/>
      <c r="DN269" s="643"/>
      <c r="DO269" s="643"/>
      <c r="DP269" s="643"/>
      <c r="DQ269" s="643"/>
      <c r="DR269" s="643"/>
      <c r="DS269" s="643"/>
      <c r="DT269" s="643"/>
      <c r="DU269" s="643"/>
      <c r="DV269" s="643"/>
      <c r="DW269" s="643"/>
      <c r="DX269" s="643"/>
      <c r="DY269" s="643"/>
      <c r="DZ269" s="643"/>
      <c r="EA269" s="643"/>
      <c r="EB269" s="643"/>
      <c r="EC269" s="643"/>
      <c r="ED269" s="643"/>
      <c r="EE269" s="643"/>
      <c r="EF269" s="643"/>
      <c r="EG269" s="643"/>
      <c r="EH269" s="643"/>
      <c r="EI269" s="643"/>
      <c r="EJ269" s="643"/>
      <c r="EK269" s="643"/>
      <c r="EL269" s="643"/>
      <c r="EM269" s="643"/>
      <c r="EN269" s="643"/>
      <c r="EO269" s="643"/>
      <c r="EP269" s="643"/>
      <c r="EQ269" s="643"/>
      <c r="ER269" s="643"/>
    </row>
    <row r="271" spans="6:148" s="645" customFormat="1" ht="15.75" customHeight="1">
      <c r="F271" s="643"/>
      <c r="G271" s="643"/>
      <c r="H271" s="643"/>
      <c r="I271" s="643"/>
      <c r="J271" s="643"/>
      <c r="K271" s="643"/>
      <c r="L271" s="643"/>
      <c r="M271" s="643"/>
      <c r="N271" s="643"/>
      <c r="O271" s="643"/>
      <c r="P271" s="643"/>
      <c r="Q271" s="643"/>
      <c r="R271" s="643"/>
      <c r="S271" s="643"/>
      <c r="T271" s="643"/>
      <c r="U271" s="643"/>
      <c r="V271" s="643"/>
      <c r="W271" s="643"/>
      <c r="X271" s="643"/>
      <c r="Y271" s="643"/>
      <c r="AA271" s="643"/>
      <c r="AC271" s="643"/>
      <c r="AD271" s="643"/>
      <c r="AE271" s="643"/>
      <c r="AF271" s="643"/>
      <c r="AG271" s="643"/>
      <c r="AH271" s="1517"/>
      <c r="AI271" s="644"/>
      <c r="AJ271" s="643"/>
      <c r="AK271" s="643"/>
      <c r="AL271" s="643"/>
      <c r="AM271" s="643"/>
      <c r="AN271" s="643"/>
      <c r="AO271" s="643"/>
      <c r="AP271" s="643"/>
      <c r="AQ271" s="643"/>
      <c r="AR271" s="643"/>
      <c r="AS271" s="643"/>
      <c r="AT271" s="643"/>
      <c r="AU271" s="643"/>
      <c r="AV271" s="643"/>
      <c r="AW271" s="643"/>
      <c r="AX271" s="643"/>
      <c r="AY271" s="643"/>
      <c r="AZ271" s="643"/>
      <c r="BA271" s="643"/>
      <c r="BB271" s="643"/>
      <c r="BC271" s="643"/>
      <c r="BD271" s="643"/>
      <c r="BE271" s="643"/>
      <c r="BF271" s="643"/>
      <c r="BG271" s="643"/>
      <c r="BH271" s="643"/>
      <c r="BI271" s="643"/>
      <c r="BJ271" s="643"/>
      <c r="BK271" s="643"/>
      <c r="BL271" s="643"/>
      <c r="BM271" s="643"/>
      <c r="BN271" s="643"/>
      <c r="BO271" s="643"/>
      <c r="BP271" s="643"/>
      <c r="BQ271" s="643"/>
      <c r="BR271" s="643"/>
      <c r="BS271" s="643"/>
      <c r="BT271" s="643"/>
      <c r="BU271" s="643"/>
      <c r="BV271" s="643"/>
      <c r="BW271" s="643"/>
      <c r="BX271" s="643"/>
      <c r="BY271" s="643"/>
      <c r="BZ271" s="643"/>
      <c r="CA271" s="643"/>
      <c r="CB271" s="643"/>
      <c r="CC271" s="643"/>
      <c r="CD271" s="643"/>
      <c r="CE271" s="643"/>
      <c r="CF271" s="643"/>
      <c r="CG271" s="643"/>
      <c r="CH271" s="643"/>
      <c r="CI271" s="643"/>
      <c r="CJ271" s="643"/>
      <c r="CK271" s="643"/>
      <c r="CL271" s="643"/>
      <c r="CM271" s="643"/>
      <c r="CN271" s="643"/>
      <c r="CO271" s="643"/>
      <c r="CP271" s="643"/>
      <c r="CQ271" s="643"/>
      <c r="CR271" s="643"/>
      <c r="CS271" s="643"/>
      <c r="CT271" s="643"/>
      <c r="CU271" s="643"/>
      <c r="CV271" s="643"/>
      <c r="CW271" s="643"/>
      <c r="CX271" s="643"/>
      <c r="CY271" s="643"/>
      <c r="CZ271" s="643"/>
      <c r="DA271" s="643"/>
      <c r="DB271" s="643"/>
      <c r="DC271" s="643"/>
      <c r="DD271" s="643"/>
      <c r="DE271" s="643"/>
      <c r="DF271" s="643"/>
      <c r="DG271" s="643"/>
      <c r="DH271" s="643"/>
      <c r="DI271" s="643"/>
      <c r="DJ271" s="643"/>
      <c r="DK271" s="643"/>
      <c r="DL271" s="643"/>
      <c r="DM271" s="643"/>
      <c r="DN271" s="643"/>
      <c r="DO271" s="643"/>
      <c r="DP271" s="643"/>
      <c r="DQ271" s="643"/>
      <c r="DR271" s="643"/>
      <c r="DS271" s="643"/>
      <c r="DT271" s="643"/>
      <c r="DU271" s="643"/>
      <c r="DV271" s="643"/>
      <c r="DW271" s="643"/>
      <c r="DX271" s="643"/>
      <c r="DY271" s="643"/>
      <c r="DZ271" s="643"/>
      <c r="EA271" s="643"/>
      <c r="EB271" s="643"/>
      <c r="EC271" s="643"/>
      <c r="ED271" s="643"/>
      <c r="EE271" s="643"/>
      <c r="EF271" s="643"/>
      <c r="EG271" s="643"/>
      <c r="EH271" s="643"/>
      <c r="EI271" s="643"/>
      <c r="EJ271" s="643"/>
      <c r="EK271" s="643"/>
      <c r="EL271" s="643"/>
      <c r="EM271" s="643"/>
      <c r="EN271" s="643"/>
      <c r="EO271" s="643"/>
      <c r="EP271" s="643"/>
      <c r="EQ271" s="643"/>
      <c r="ER271" s="643"/>
    </row>
    <row r="273" spans="6:148" s="645" customFormat="1" ht="15.75" customHeight="1">
      <c r="F273" s="643"/>
      <c r="G273" s="643"/>
      <c r="H273" s="643"/>
      <c r="I273" s="643"/>
      <c r="J273" s="643"/>
      <c r="K273" s="643"/>
      <c r="L273" s="643"/>
      <c r="M273" s="643"/>
      <c r="N273" s="643"/>
      <c r="O273" s="643"/>
      <c r="P273" s="643"/>
      <c r="Q273" s="643"/>
      <c r="R273" s="643"/>
      <c r="S273" s="643"/>
      <c r="T273" s="643"/>
      <c r="U273" s="643"/>
      <c r="V273" s="643"/>
      <c r="W273" s="643"/>
      <c r="X273" s="643"/>
      <c r="Y273" s="643"/>
      <c r="AA273" s="643"/>
      <c r="AC273" s="643"/>
      <c r="AD273" s="643"/>
      <c r="AE273" s="643"/>
      <c r="AF273" s="643"/>
      <c r="AG273" s="643"/>
      <c r="AH273" s="1517"/>
      <c r="AI273" s="644"/>
      <c r="AJ273" s="643"/>
      <c r="AK273" s="643"/>
      <c r="AL273" s="643"/>
      <c r="AM273" s="643"/>
      <c r="AN273" s="643"/>
      <c r="AO273" s="643"/>
      <c r="AP273" s="643"/>
      <c r="AQ273" s="643"/>
      <c r="AR273" s="643"/>
      <c r="AS273" s="643"/>
      <c r="AT273" s="643"/>
      <c r="AU273" s="643"/>
      <c r="AV273" s="643"/>
      <c r="AW273" s="643"/>
      <c r="AX273" s="643"/>
      <c r="AY273" s="643"/>
      <c r="AZ273" s="643"/>
      <c r="BA273" s="643"/>
      <c r="BB273" s="643"/>
      <c r="BC273" s="643"/>
      <c r="BD273" s="643"/>
      <c r="BE273" s="643"/>
      <c r="BF273" s="643"/>
      <c r="BG273" s="643"/>
      <c r="BH273" s="643"/>
      <c r="BI273" s="643"/>
      <c r="BJ273" s="643"/>
      <c r="BK273" s="643"/>
      <c r="BL273" s="643"/>
      <c r="BM273" s="643"/>
      <c r="BN273" s="643"/>
      <c r="BO273" s="643"/>
      <c r="BP273" s="643"/>
      <c r="BQ273" s="643"/>
      <c r="BR273" s="643"/>
      <c r="BS273" s="643"/>
      <c r="BT273" s="643"/>
      <c r="BU273" s="643"/>
      <c r="BV273" s="643"/>
      <c r="BW273" s="643"/>
      <c r="BX273" s="643"/>
      <c r="BY273" s="643"/>
      <c r="BZ273" s="643"/>
      <c r="CA273" s="643"/>
      <c r="CB273" s="643"/>
      <c r="CC273" s="643"/>
      <c r="CD273" s="643"/>
      <c r="CE273" s="643"/>
      <c r="CF273" s="643"/>
      <c r="CG273" s="643"/>
      <c r="CH273" s="643"/>
      <c r="CI273" s="643"/>
      <c r="CJ273" s="643"/>
      <c r="CK273" s="643"/>
      <c r="CL273" s="643"/>
      <c r="CM273" s="643"/>
      <c r="CN273" s="643"/>
      <c r="CO273" s="643"/>
      <c r="CP273" s="643"/>
      <c r="CQ273" s="643"/>
      <c r="CR273" s="643"/>
      <c r="CS273" s="643"/>
      <c r="CT273" s="643"/>
      <c r="CU273" s="643"/>
      <c r="CV273" s="643"/>
      <c r="CW273" s="643"/>
      <c r="CX273" s="643"/>
      <c r="CY273" s="643"/>
      <c r="CZ273" s="643"/>
      <c r="DA273" s="643"/>
      <c r="DB273" s="643"/>
      <c r="DC273" s="643"/>
      <c r="DD273" s="643"/>
      <c r="DE273" s="643"/>
      <c r="DF273" s="643"/>
      <c r="DG273" s="643"/>
      <c r="DH273" s="643"/>
      <c r="DI273" s="643"/>
      <c r="DJ273" s="643"/>
      <c r="DK273" s="643"/>
      <c r="DL273" s="643"/>
      <c r="DM273" s="643"/>
      <c r="DN273" s="643"/>
      <c r="DO273" s="643"/>
      <c r="DP273" s="643"/>
      <c r="DQ273" s="643"/>
      <c r="DR273" s="643"/>
      <c r="DS273" s="643"/>
      <c r="DT273" s="643"/>
      <c r="DU273" s="643"/>
      <c r="DV273" s="643"/>
      <c r="DW273" s="643"/>
      <c r="DX273" s="643"/>
      <c r="DY273" s="643"/>
      <c r="DZ273" s="643"/>
      <c r="EA273" s="643"/>
      <c r="EB273" s="643"/>
      <c r="EC273" s="643"/>
      <c r="ED273" s="643"/>
      <c r="EE273" s="643"/>
      <c r="EF273" s="643"/>
      <c r="EG273" s="643"/>
      <c r="EH273" s="643"/>
      <c r="EI273" s="643"/>
      <c r="EJ273" s="643"/>
      <c r="EK273" s="643"/>
      <c r="EL273" s="643"/>
      <c r="EM273" s="643"/>
      <c r="EN273" s="643"/>
      <c r="EO273" s="643"/>
      <c r="EP273" s="643"/>
      <c r="EQ273" s="643"/>
      <c r="ER273" s="643"/>
    </row>
    <row r="275" spans="6:148" s="645" customFormat="1" ht="15.75" customHeight="1">
      <c r="F275" s="643"/>
      <c r="G275" s="643"/>
      <c r="H275" s="643"/>
      <c r="I275" s="643"/>
      <c r="J275" s="643"/>
      <c r="K275" s="643"/>
      <c r="L275" s="643"/>
      <c r="M275" s="643"/>
      <c r="N275" s="643"/>
      <c r="O275" s="643"/>
      <c r="P275" s="643"/>
      <c r="Q275" s="643"/>
      <c r="R275" s="643"/>
      <c r="S275" s="643"/>
      <c r="T275" s="643"/>
      <c r="U275" s="643"/>
      <c r="V275" s="643"/>
      <c r="W275" s="643"/>
      <c r="X275" s="643"/>
      <c r="Y275" s="643"/>
      <c r="AA275" s="643"/>
      <c r="AC275" s="643"/>
      <c r="AD275" s="643"/>
      <c r="AE275" s="643"/>
      <c r="AF275" s="643"/>
      <c r="AG275" s="643"/>
      <c r="AH275" s="1517"/>
      <c r="AI275" s="644"/>
      <c r="AJ275" s="643"/>
      <c r="AK275" s="643"/>
      <c r="AL275" s="643"/>
      <c r="AM275" s="643"/>
      <c r="AN275" s="643"/>
      <c r="AO275" s="643"/>
      <c r="AP275" s="643"/>
      <c r="AQ275" s="643"/>
      <c r="AR275" s="643"/>
      <c r="AS275" s="643"/>
      <c r="AT275" s="643"/>
      <c r="AU275" s="643"/>
      <c r="AV275" s="643"/>
      <c r="AW275" s="643"/>
      <c r="AX275" s="643"/>
      <c r="AY275" s="643"/>
      <c r="AZ275" s="643"/>
      <c r="BA275" s="643"/>
      <c r="BB275" s="643"/>
      <c r="BC275" s="643"/>
      <c r="BD275" s="643"/>
      <c r="BE275" s="643"/>
      <c r="BF275" s="643"/>
      <c r="BG275" s="643"/>
      <c r="BH275" s="643"/>
      <c r="BI275" s="643"/>
      <c r="BJ275" s="643"/>
      <c r="BK275" s="643"/>
      <c r="BL275" s="643"/>
      <c r="BM275" s="643"/>
      <c r="BN275" s="643"/>
      <c r="BO275" s="643"/>
      <c r="BP275" s="643"/>
      <c r="BQ275" s="643"/>
      <c r="BR275" s="643"/>
      <c r="BS275" s="643"/>
      <c r="BT275" s="643"/>
      <c r="BU275" s="643"/>
      <c r="BV275" s="643"/>
      <c r="BW275" s="643"/>
      <c r="BX275" s="643"/>
      <c r="BY275" s="643"/>
      <c r="BZ275" s="643"/>
      <c r="CA275" s="643"/>
      <c r="CB275" s="643"/>
      <c r="CC275" s="643"/>
      <c r="CD275" s="643"/>
      <c r="CE275" s="643"/>
      <c r="CF275" s="643"/>
      <c r="CG275" s="643"/>
      <c r="CH275" s="643"/>
      <c r="CI275" s="643"/>
      <c r="CJ275" s="643"/>
      <c r="CK275" s="643"/>
      <c r="CL275" s="643"/>
      <c r="CM275" s="643"/>
      <c r="CN275" s="643"/>
      <c r="CO275" s="643"/>
      <c r="CP275" s="643"/>
      <c r="CQ275" s="643"/>
      <c r="CR275" s="643"/>
      <c r="CS275" s="643"/>
      <c r="CT275" s="643"/>
      <c r="CU275" s="643"/>
      <c r="CV275" s="643"/>
      <c r="CW275" s="643"/>
      <c r="CX275" s="643"/>
      <c r="CY275" s="643"/>
      <c r="CZ275" s="643"/>
      <c r="DA275" s="643"/>
      <c r="DB275" s="643"/>
      <c r="DC275" s="643"/>
      <c r="DD275" s="643"/>
      <c r="DE275" s="643"/>
      <c r="DF275" s="643"/>
      <c r="DG275" s="643"/>
      <c r="DH275" s="643"/>
      <c r="DI275" s="643"/>
      <c r="DJ275" s="643"/>
      <c r="DK275" s="643"/>
      <c r="DL275" s="643"/>
      <c r="DM275" s="643"/>
      <c r="DN275" s="643"/>
      <c r="DO275" s="643"/>
      <c r="DP275" s="643"/>
      <c r="DQ275" s="643"/>
      <c r="DR275" s="643"/>
      <c r="DS275" s="643"/>
      <c r="DT275" s="643"/>
      <c r="DU275" s="643"/>
      <c r="DV275" s="643"/>
      <c r="DW275" s="643"/>
      <c r="DX275" s="643"/>
      <c r="DY275" s="643"/>
      <c r="DZ275" s="643"/>
      <c r="EA275" s="643"/>
      <c r="EB275" s="643"/>
      <c r="EC275" s="643"/>
      <c r="ED275" s="643"/>
      <c r="EE275" s="643"/>
      <c r="EF275" s="643"/>
      <c r="EG275" s="643"/>
      <c r="EH275" s="643"/>
      <c r="EI275" s="643"/>
      <c r="EJ275" s="643"/>
      <c r="EK275" s="643"/>
      <c r="EL275" s="643"/>
      <c r="EM275" s="643"/>
      <c r="EN275" s="643"/>
      <c r="EO275" s="643"/>
      <c r="EP275" s="643"/>
      <c r="EQ275" s="643"/>
      <c r="ER275" s="643"/>
    </row>
    <row r="277" spans="6:148" s="645" customFormat="1" ht="15.75" customHeight="1">
      <c r="F277" s="643"/>
      <c r="G277" s="643"/>
      <c r="H277" s="643"/>
      <c r="I277" s="643"/>
      <c r="J277" s="643"/>
      <c r="K277" s="643"/>
      <c r="L277" s="643"/>
      <c r="M277" s="643"/>
      <c r="N277" s="643"/>
      <c r="O277" s="643"/>
      <c r="P277" s="643"/>
      <c r="Q277" s="643"/>
      <c r="R277" s="643"/>
      <c r="S277" s="643"/>
      <c r="T277" s="643"/>
      <c r="U277" s="643"/>
      <c r="V277" s="643"/>
      <c r="W277" s="643"/>
      <c r="X277" s="643"/>
      <c r="Y277" s="643"/>
      <c r="AA277" s="643"/>
      <c r="AC277" s="643"/>
      <c r="AD277" s="643"/>
      <c r="AE277" s="643"/>
      <c r="AF277" s="643"/>
      <c r="AG277" s="643"/>
      <c r="AH277" s="1517"/>
      <c r="AI277" s="644"/>
      <c r="AJ277" s="643"/>
      <c r="AK277" s="643"/>
      <c r="AL277" s="643"/>
      <c r="AM277" s="643"/>
      <c r="AN277" s="643"/>
      <c r="AO277" s="643"/>
      <c r="AP277" s="643"/>
      <c r="AQ277" s="643"/>
      <c r="AR277" s="643"/>
      <c r="AS277" s="643"/>
      <c r="AT277" s="643"/>
      <c r="AU277" s="643"/>
      <c r="AV277" s="643"/>
      <c r="AW277" s="643"/>
      <c r="AX277" s="643"/>
      <c r="AY277" s="643"/>
      <c r="AZ277" s="643"/>
      <c r="BA277" s="643"/>
      <c r="BB277" s="643"/>
      <c r="BC277" s="643"/>
      <c r="BD277" s="643"/>
      <c r="BE277" s="643"/>
      <c r="BF277" s="643"/>
      <c r="BG277" s="643"/>
      <c r="BH277" s="643"/>
      <c r="BI277" s="643"/>
      <c r="BJ277" s="643"/>
      <c r="BK277" s="643"/>
      <c r="BL277" s="643"/>
      <c r="BM277" s="643"/>
      <c r="BN277" s="643"/>
      <c r="BO277" s="643"/>
      <c r="BP277" s="643"/>
      <c r="BQ277" s="643"/>
      <c r="BR277" s="643"/>
      <c r="BS277" s="643"/>
      <c r="BT277" s="643"/>
      <c r="BU277" s="643"/>
      <c r="BV277" s="643"/>
      <c r="BW277" s="643"/>
      <c r="BX277" s="643"/>
      <c r="BY277" s="643"/>
      <c r="BZ277" s="643"/>
      <c r="CA277" s="643"/>
      <c r="CB277" s="643"/>
      <c r="CC277" s="643"/>
      <c r="CD277" s="643"/>
      <c r="CE277" s="643"/>
      <c r="CF277" s="643"/>
      <c r="CG277" s="643"/>
      <c r="CH277" s="643"/>
      <c r="CI277" s="643"/>
      <c r="CJ277" s="643"/>
      <c r="CK277" s="643"/>
      <c r="CL277" s="643"/>
      <c r="CM277" s="643"/>
      <c r="CN277" s="643"/>
      <c r="CO277" s="643"/>
      <c r="CP277" s="643"/>
      <c r="CQ277" s="643"/>
      <c r="CR277" s="643"/>
      <c r="CS277" s="643"/>
      <c r="CT277" s="643"/>
      <c r="CU277" s="643"/>
      <c r="CV277" s="643"/>
      <c r="CW277" s="643"/>
      <c r="CX277" s="643"/>
      <c r="CY277" s="643"/>
      <c r="CZ277" s="643"/>
      <c r="DA277" s="643"/>
      <c r="DB277" s="643"/>
      <c r="DC277" s="643"/>
      <c r="DD277" s="643"/>
      <c r="DE277" s="643"/>
      <c r="DF277" s="643"/>
      <c r="DG277" s="643"/>
      <c r="DH277" s="643"/>
      <c r="DI277" s="643"/>
      <c r="DJ277" s="643"/>
      <c r="DK277" s="643"/>
      <c r="DL277" s="643"/>
      <c r="DM277" s="643"/>
      <c r="DN277" s="643"/>
      <c r="DO277" s="643"/>
      <c r="DP277" s="643"/>
      <c r="DQ277" s="643"/>
      <c r="DR277" s="643"/>
      <c r="DS277" s="643"/>
      <c r="DT277" s="643"/>
      <c r="DU277" s="643"/>
      <c r="DV277" s="643"/>
      <c r="DW277" s="643"/>
      <c r="DX277" s="643"/>
      <c r="DY277" s="643"/>
      <c r="DZ277" s="643"/>
      <c r="EA277" s="643"/>
      <c r="EB277" s="643"/>
      <c r="EC277" s="643"/>
      <c r="ED277" s="643"/>
      <c r="EE277" s="643"/>
      <c r="EF277" s="643"/>
      <c r="EG277" s="643"/>
      <c r="EH277" s="643"/>
      <c r="EI277" s="643"/>
      <c r="EJ277" s="643"/>
      <c r="EK277" s="643"/>
      <c r="EL277" s="643"/>
      <c r="EM277" s="643"/>
      <c r="EN277" s="643"/>
      <c r="EO277" s="643"/>
      <c r="EP277" s="643"/>
      <c r="EQ277" s="643"/>
      <c r="ER277" s="643"/>
    </row>
    <row r="279" spans="6:148" s="645" customFormat="1" ht="15.75" customHeight="1">
      <c r="F279" s="643"/>
      <c r="G279" s="643"/>
      <c r="H279" s="643"/>
      <c r="I279" s="643"/>
      <c r="J279" s="643"/>
      <c r="K279" s="643"/>
      <c r="L279" s="643"/>
      <c r="M279" s="643"/>
      <c r="N279" s="643"/>
      <c r="O279" s="643"/>
      <c r="P279" s="643"/>
      <c r="Q279" s="643"/>
      <c r="R279" s="643"/>
      <c r="S279" s="643"/>
      <c r="T279" s="643"/>
      <c r="U279" s="643"/>
      <c r="V279" s="643"/>
      <c r="W279" s="643"/>
      <c r="X279" s="643"/>
      <c r="Y279" s="643"/>
      <c r="AA279" s="643"/>
      <c r="AC279" s="643"/>
      <c r="AD279" s="643"/>
      <c r="AE279" s="643"/>
      <c r="AF279" s="643"/>
      <c r="AG279" s="643"/>
      <c r="AH279" s="1517"/>
      <c r="AI279" s="644"/>
      <c r="AJ279" s="643"/>
      <c r="AK279" s="643"/>
      <c r="AL279" s="643"/>
      <c r="AM279" s="643"/>
      <c r="AN279" s="643"/>
      <c r="AO279" s="643"/>
      <c r="AP279" s="643"/>
      <c r="AQ279" s="643"/>
      <c r="AR279" s="643"/>
      <c r="AS279" s="643"/>
      <c r="AT279" s="643"/>
      <c r="AU279" s="643"/>
      <c r="AV279" s="643"/>
      <c r="AW279" s="643"/>
      <c r="AX279" s="643"/>
      <c r="AY279" s="643"/>
      <c r="AZ279" s="643"/>
      <c r="BA279" s="643"/>
      <c r="BB279" s="643"/>
      <c r="BC279" s="643"/>
      <c r="BD279" s="643"/>
      <c r="BE279" s="643"/>
      <c r="BF279" s="643"/>
      <c r="BG279" s="643"/>
      <c r="BH279" s="643"/>
      <c r="BI279" s="643"/>
      <c r="BJ279" s="643"/>
      <c r="BK279" s="643"/>
      <c r="BL279" s="643"/>
      <c r="BM279" s="643"/>
      <c r="BN279" s="643"/>
      <c r="BO279" s="643"/>
      <c r="BP279" s="643"/>
      <c r="BQ279" s="643"/>
      <c r="BR279" s="643"/>
      <c r="BS279" s="643"/>
      <c r="BT279" s="643"/>
      <c r="BU279" s="643"/>
      <c r="BV279" s="643"/>
      <c r="BW279" s="643"/>
      <c r="BX279" s="643"/>
      <c r="BY279" s="643"/>
      <c r="BZ279" s="643"/>
      <c r="CA279" s="643"/>
      <c r="CB279" s="643"/>
      <c r="CC279" s="643"/>
      <c r="CD279" s="643"/>
      <c r="CE279" s="643"/>
      <c r="CF279" s="643"/>
      <c r="CG279" s="643"/>
      <c r="CH279" s="643"/>
      <c r="CI279" s="643"/>
      <c r="CJ279" s="643"/>
      <c r="CK279" s="643"/>
      <c r="CL279" s="643"/>
      <c r="CM279" s="643"/>
      <c r="CN279" s="643"/>
      <c r="CO279" s="643"/>
      <c r="CP279" s="643"/>
      <c r="CQ279" s="643"/>
      <c r="CR279" s="643"/>
      <c r="CS279" s="643"/>
      <c r="CT279" s="643"/>
      <c r="CU279" s="643"/>
      <c r="CV279" s="643"/>
      <c r="CW279" s="643"/>
      <c r="CX279" s="643"/>
      <c r="CY279" s="643"/>
      <c r="CZ279" s="643"/>
      <c r="DA279" s="643"/>
      <c r="DB279" s="643"/>
      <c r="DC279" s="643"/>
      <c r="DD279" s="643"/>
      <c r="DE279" s="643"/>
      <c r="DF279" s="643"/>
      <c r="DG279" s="643"/>
      <c r="DH279" s="643"/>
      <c r="DI279" s="643"/>
      <c r="DJ279" s="643"/>
      <c r="DK279" s="643"/>
      <c r="DL279" s="643"/>
      <c r="DM279" s="643"/>
      <c r="DN279" s="643"/>
      <c r="DO279" s="643"/>
      <c r="DP279" s="643"/>
      <c r="DQ279" s="643"/>
      <c r="DR279" s="643"/>
      <c r="DS279" s="643"/>
      <c r="DT279" s="643"/>
      <c r="DU279" s="643"/>
      <c r="DV279" s="643"/>
      <c r="DW279" s="643"/>
      <c r="DX279" s="643"/>
      <c r="DY279" s="643"/>
      <c r="DZ279" s="643"/>
      <c r="EA279" s="643"/>
      <c r="EB279" s="643"/>
      <c r="EC279" s="643"/>
      <c r="ED279" s="643"/>
      <c r="EE279" s="643"/>
      <c r="EF279" s="643"/>
      <c r="EG279" s="643"/>
      <c r="EH279" s="643"/>
      <c r="EI279" s="643"/>
      <c r="EJ279" s="643"/>
      <c r="EK279" s="643"/>
      <c r="EL279" s="643"/>
      <c r="EM279" s="643"/>
      <c r="EN279" s="643"/>
      <c r="EO279" s="643"/>
      <c r="EP279" s="643"/>
      <c r="EQ279" s="643"/>
      <c r="ER279" s="643"/>
    </row>
    <row r="281" spans="6:148" s="645" customFormat="1" ht="15.75" customHeight="1">
      <c r="F281" s="643"/>
      <c r="G281" s="643"/>
      <c r="H281" s="643"/>
      <c r="I281" s="643"/>
      <c r="J281" s="643"/>
      <c r="K281" s="643"/>
      <c r="L281" s="643"/>
      <c r="M281" s="643"/>
      <c r="N281" s="643"/>
      <c r="O281" s="643"/>
      <c r="P281" s="643"/>
      <c r="Q281" s="643"/>
      <c r="R281" s="643"/>
      <c r="S281" s="643"/>
      <c r="T281" s="643"/>
      <c r="U281" s="643"/>
      <c r="V281" s="643"/>
      <c r="W281" s="643"/>
      <c r="X281" s="643"/>
      <c r="Y281" s="643"/>
      <c r="AA281" s="643"/>
      <c r="AC281" s="643"/>
      <c r="AD281" s="643"/>
      <c r="AE281" s="643"/>
      <c r="AF281" s="643"/>
      <c r="AG281" s="643"/>
      <c r="AH281" s="1517"/>
      <c r="AI281" s="644"/>
      <c r="AJ281" s="643"/>
      <c r="AK281" s="643"/>
      <c r="AL281" s="643"/>
      <c r="AM281" s="643"/>
      <c r="AN281" s="643"/>
      <c r="AO281" s="643"/>
      <c r="AP281" s="643"/>
      <c r="AQ281" s="643"/>
      <c r="AR281" s="643"/>
      <c r="AS281" s="643"/>
      <c r="AT281" s="643"/>
      <c r="AU281" s="643"/>
      <c r="AV281" s="643"/>
      <c r="AW281" s="643"/>
      <c r="AX281" s="643"/>
      <c r="AY281" s="643"/>
      <c r="AZ281" s="643"/>
      <c r="BA281" s="643"/>
      <c r="BB281" s="643"/>
      <c r="BC281" s="643"/>
      <c r="BD281" s="643"/>
      <c r="BE281" s="643"/>
      <c r="BF281" s="643"/>
      <c r="BG281" s="643"/>
      <c r="BH281" s="643"/>
      <c r="BI281" s="643"/>
      <c r="BJ281" s="643"/>
      <c r="BK281" s="643"/>
      <c r="BL281" s="643"/>
      <c r="BM281" s="643"/>
      <c r="BN281" s="643"/>
      <c r="BO281" s="643"/>
      <c r="BP281" s="643"/>
      <c r="BQ281" s="643"/>
      <c r="BR281" s="643"/>
      <c r="BS281" s="643"/>
      <c r="BT281" s="643"/>
      <c r="BU281" s="643"/>
      <c r="BV281" s="643"/>
      <c r="BW281" s="643"/>
      <c r="BX281" s="643"/>
      <c r="BY281" s="643"/>
      <c r="BZ281" s="643"/>
      <c r="CA281" s="643"/>
      <c r="CB281" s="643"/>
      <c r="CC281" s="643"/>
      <c r="CD281" s="643"/>
      <c r="CE281" s="643"/>
      <c r="CF281" s="643"/>
      <c r="CG281" s="643"/>
      <c r="CH281" s="643"/>
      <c r="CI281" s="643"/>
      <c r="CJ281" s="643"/>
      <c r="CK281" s="643"/>
      <c r="CL281" s="643"/>
      <c r="CM281" s="643"/>
      <c r="CN281" s="643"/>
      <c r="CO281" s="643"/>
      <c r="CP281" s="643"/>
      <c r="CQ281" s="643"/>
      <c r="CR281" s="643"/>
      <c r="CS281" s="643"/>
      <c r="CT281" s="643"/>
      <c r="CU281" s="643"/>
      <c r="CV281" s="643"/>
      <c r="CW281" s="643"/>
      <c r="CX281" s="643"/>
      <c r="CY281" s="643"/>
      <c r="CZ281" s="643"/>
      <c r="DA281" s="643"/>
      <c r="DB281" s="643"/>
      <c r="DC281" s="643"/>
      <c r="DD281" s="643"/>
      <c r="DE281" s="643"/>
      <c r="DF281" s="643"/>
      <c r="DG281" s="643"/>
      <c r="DH281" s="643"/>
      <c r="DI281" s="643"/>
      <c r="DJ281" s="643"/>
      <c r="DK281" s="643"/>
      <c r="DL281" s="643"/>
      <c r="DM281" s="643"/>
      <c r="DN281" s="643"/>
      <c r="DO281" s="643"/>
      <c r="DP281" s="643"/>
      <c r="DQ281" s="643"/>
      <c r="DR281" s="643"/>
      <c r="DS281" s="643"/>
      <c r="DT281" s="643"/>
      <c r="DU281" s="643"/>
      <c r="DV281" s="643"/>
      <c r="DW281" s="643"/>
      <c r="DX281" s="643"/>
      <c r="DY281" s="643"/>
      <c r="DZ281" s="643"/>
      <c r="EA281" s="643"/>
      <c r="EB281" s="643"/>
      <c r="EC281" s="643"/>
      <c r="ED281" s="643"/>
      <c r="EE281" s="643"/>
      <c r="EF281" s="643"/>
      <c r="EG281" s="643"/>
      <c r="EH281" s="643"/>
      <c r="EI281" s="643"/>
      <c r="EJ281" s="643"/>
      <c r="EK281" s="643"/>
      <c r="EL281" s="643"/>
      <c r="EM281" s="643"/>
      <c r="EN281" s="643"/>
      <c r="EO281" s="643"/>
      <c r="EP281" s="643"/>
      <c r="EQ281" s="643"/>
      <c r="ER281" s="643"/>
    </row>
    <row r="283" spans="6:148" s="645" customFormat="1" ht="15.75" customHeight="1">
      <c r="F283" s="643"/>
      <c r="G283" s="643"/>
      <c r="H283" s="643"/>
      <c r="I283" s="643"/>
      <c r="J283" s="643"/>
      <c r="K283" s="643"/>
      <c r="L283" s="643"/>
      <c r="M283" s="643"/>
      <c r="N283" s="643"/>
      <c r="O283" s="643"/>
      <c r="P283" s="643"/>
      <c r="Q283" s="643"/>
      <c r="R283" s="643"/>
      <c r="S283" s="643"/>
      <c r="T283" s="643"/>
      <c r="U283" s="643"/>
      <c r="V283" s="643"/>
      <c r="W283" s="643"/>
      <c r="X283" s="643"/>
      <c r="Y283" s="643"/>
      <c r="AA283" s="643"/>
      <c r="AC283" s="643"/>
      <c r="AD283" s="643"/>
      <c r="AE283" s="643"/>
      <c r="AF283" s="643"/>
      <c r="AG283" s="643"/>
      <c r="AH283" s="1517"/>
      <c r="AI283" s="644"/>
      <c r="AJ283" s="643"/>
      <c r="AK283" s="643"/>
      <c r="AL283" s="643"/>
      <c r="AM283" s="643"/>
      <c r="AN283" s="643"/>
      <c r="AO283" s="643"/>
      <c r="AP283" s="643"/>
      <c r="AQ283" s="643"/>
      <c r="AR283" s="643"/>
      <c r="AS283" s="643"/>
      <c r="AT283" s="643"/>
      <c r="AU283" s="643"/>
      <c r="AV283" s="643"/>
      <c r="AW283" s="643"/>
      <c r="AX283" s="643"/>
      <c r="AY283" s="643"/>
      <c r="AZ283" s="643"/>
      <c r="BA283" s="643"/>
      <c r="BB283" s="643"/>
      <c r="BC283" s="643"/>
      <c r="BD283" s="643"/>
      <c r="BE283" s="643"/>
      <c r="BF283" s="643"/>
      <c r="BG283" s="643"/>
      <c r="BH283" s="643"/>
      <c r="BI283" s="643"/>
      <c r="BJ283" s="643"/>
      <c r="BK283" s="643"/>
      <c r="BL283" s="643"/>
      <c r="BM283" s="643"/>
      <c r="BN283" s="643"/>
      <c r="BO283" s="643"/>
      <c r="BP283" s="643"/>
      <c r="BQ283" s="643"/>
      <c r="BR283" s="643"/>
      <c r="BS283" s="643"/>
      <c r="BT283" s="643"/>
      <c r="BU283" s="643"/>
      <c r="BV283" s="643"/>
      <c r="BW283" s="643"/>
      <c r="BX283" s="643"/>
      <c r="BY283" s="643"/>
      <c r="BZ283" s="643"/>
      <c r="CA283" s="643"/>
      <c r="CB283" s="643"/>
      <c r="CC283" s="643"/>
      <c r="CD283" s="643"/>
      <c r="CE283" s="643"/>
      <c r="CF283" s="643"/>
      <c r="CG283" s="643"/>
      <c r="CH283" s="643"/>
      <c r="CI283" s="643"/>
      <c r="CJ283" s="643"/>
      <c r="CK283" s="643"/>
      <c r="CL283" s="643"/>
      <c r="CM283" s="643"/>
      <c r="CN283" s="643"/>
      <c r="CO283" s="643"/>
      <c r="CP283" s="643"/>
      <c r="CQ283" s="643"/>
      <c r="CR283" s="643"/>
      <c r="CS283" s="643"/>
      <c r="CT283" s="643"/>
      <c r="CU283" s="643"/>
      <c r="CV283" s="643"/>
      <c r="CW283" s="643"/>
      <c r="CX283" s="643"/>
      <c r="CY283" s="643"/>
      <c r="CZ283" s="643"/>
      <c r="DA283" s="643"/>
      <c r="DB283" s="643"/>
      <c r="DC283" s="643"/>
      <c r="DD283" s="643"/>
      <c r="DE283" s="643"/>
      <c r="DF283" s="643"/>
      <c r="DG283" s="643"/>
      <c r="DH283" s="643"/>
      <c r="DI283" s="643"/>
      <c r="DJ283" s="643"/>
      <c r="DK283" s="643"/>
      <c r="DL283" s="643"/>
      <c r="DM283" s="643"/>
      <c r="DN283" s="643"/>
      <c r="DO283" s="643"/>
      <c r="DP283" s="643"/>
      <c r="DQ283" s="643"/>
      <c r="DR283" s="643"/>
      <c r="DS283" s="643"/>
      <c r="DT283" s="643"/>
      <c r="DU283" s="643"/>
      <c r="DV283" s="643"/>
      <c r="DW283" s="643"/>
      <c r="DX283" s="643"/>
      <c r="DY283" s="643"/>
      <c r="DZ283" s="643"/>
      <c r="EA283" s="643"/>
      <c r="EB283" s="643"/>
      <c r="EC283" s="643"/>
      <c r="ED283" s="643"/>
      <c r="EE283" s="643"/>
      <c r="EF283" s="643"/>
      <c r="EG283" s="643"/>
      <c r="EH283" s="643"/>
      <c r="EI283" s="643"/>
      <c r="EJ283" s="643"/>
      <c r="EK283" s="643"/>
      <c r="EL283" s="643"/>
      <c r="EM283" s="643"/>
      <c r="EN283" s="643"/>
      <c r="EO283" s="643"/>
      <c r="EP283" s="643"/>
      <c r="EQ283" s="643"/>
      <c r="ER283" s="643"/>
    </row>
    <row r="285" spans="6:148" s="645" customFormat="1" ht="15.75" customHeight="1">
      <c r="F285" s="643"/>
      <c r="G285" s="643"/>
      <c r="H285" s="643"/>
      <c r="I285" s="643"/>
      <c r="J285" s="643"/>
      <c r="K285" s="643"/>
      <c r="L285" s="643"/>
      <c r="M285" s="643"/>
      <c r="N285" s="643"/>
      <c r="O285" s="643"/>
      <c r="P285" s="643"/>
      <c r="Q285" s="643"/>
      <c r="R285" s="643"/>
      <c r="S285" s="643"/>
      <c r="T285" s="643"/>
      <c r="U285" s="643"/>
      <c r="V285" s="643"/>
      <c r="W285" s="643"/>
      <c r="X285" s="643"/>
      <c r="Y285" s="643"/>
      <c r="AA285" s="643"/>
      <c r="AC285" s="643"/>
      <c r="AD285" s="643"/>
      <c r="AE285" s="643"/>
      <c r="AF285" s="643"/>
      <c r="AG285" s="643"/>
      <c r="AH285" s="1517"/>
      <c r="AI285" s="644"/>
      <c r="AJ285" s="643"/>
      <c r="AK285" s="643"/>
      <c r="AL285" s="643"/>
      <c r="AM285" s="643"/>
      <c r="AN285" s="643"/>
      <c r="AO285" s="643"/>
      <c r="AP285" s="643"/>
      <c r="AQ285" s="643"/>
      <c r="AR285" s="643"/>
      <c r="AS285" s="643"/>
      <c r="AT285" s="643"/>
      <c r="AU285" s="643"/>
      <c r="AV285" s="643"/>
      <c r="AW285" s="643"/>
      <c r="AX285" s="643"/>
      <c r="AY285" s="643"/>
      <c r="AZ285" s="643"/>
      <c r="BA285" s="643"/>
      <c r="BB285" s="643"/>
      <c r="BC285" s="643"/>
      <c r="BD285" s="643"/>
      <c r="BE285" s="643"/>
      <c r="BF285" s="643"/>
      <c r="BG285" s="643"/>
      <c r="BH285" s="643"/>
      <c r="BI285" s="643"/>
      <c r="BJ285" s="643"/>
      <c r="BK285" s="643"/>
      <c r="BL285" s="643"/>
      <c r="BM285" s="643"/>
      <c r="BN285" s="643"/>
      <c r="BO285" s="643"/>
      <c r="BP285" s="643"/>
      <c r="BQ285" s="643"/>
      <c r="BR285" s="643"/>
      <c r="BS285" s="643"/>
      <c r="BT285" s="643"/>
      <c r="BU285" s="643"/>
      <c r="BV285" s="643"/>
      <c r="BW285" s="643"/>
      <c r="BX285" s="643"/>
      <c r="BY285" s="643"/>
      <c r="BZ285" s="643"/>
      <c r="CA285" s="643"/>
      <c r="CB285" s="643"/>
      <c r="CC285" s="643"/>
      <c r="CD285" s="643"/>
      <c r="CE285" s="643"/>
      <c r="CF285" s="643"/>
      <c r="CG285" s="643"/>
      <c r="CH285" s="643"/>
      <c r="CI285" s="643"/>
      <c r="CJ285" s="643"/>
      <c r="CK285" s="643"/>
      <c r="CL285" s="643"/>
      <c r="CM285" s="643"/>
      <c r="CN285" s="643"/>
      <c r="CO285" s="643"/>
      <c r="CP285" s="643"/>
      <c r="CQ285" s="643"/>
      <c r="CR285" s="643"/>
      <c r="CS285" s="643"/>
      <c r="CT285" s="643"/>
      <c r="CU285" s="643"/>
      <c r="CV285" s="643"/>
      <c r="CW285" s="643"/>
      <c r="CX285" s="643"/>
      <c r="CY285" s="643"/>
      <c r="CZ285" s="643"/>
      <c r="DA285" s="643"/>
      <c r="DB285" s="643"/>
      <c r="DC285" s="643"/>
      <c r="DD285" s="643"/>
      <c r="DE285" s="643"/>
      <c r="DF285" s="643"/>
      <c r="DG285" s="643"/>
      <c r="DH285" s="643"/>
      <c r="DI285" s="643"/>
      <c r="DJ285" s="643"/>
      <c r="DK285" s="643"/>
      <c r="DL285" s="643"/>
      <c r="DM285" s="643"/>
      <c r="DN285" s="643"/>
      <c r="DO285" s="643"/>
      <c r="DP285" s="643"/>
      <c r="DQ285" s="643"/>
      <c r="DR285" s="643"/>
      <c r="DS285" s="643"/>
      <c r="DT285" s="643"/>
      <c r="DU285" s="643"/>
      <c r="DV285" s="643"/>
      <c r="DW285" s="643"/>
      <c r="DX285" s="643"/>
      <c r="DY285" s="643"/>
      <c r="DZ285" s="643"/>
      <c r="EA285" s="643"/>
      <c r="EB285" s="643"/>
      <c r="EC285" s="643"/>
      <c r="ED285" s="643"/>
      <c r="EE285" s="643"/>
      <c r="EF285" s="643"/>
      <c r="EG285" s="643"/>
      <c r="EH285" s="643"/>
      <c r="EI285" s="643"/>
      <c r="EJ285" s="643"/>
      <c r="EK285" s="643"/>
      <c r="EL285" s="643"/>
      <c r="EM285" s="643"/>
      <c r="EN285" s="643"/>
      <c r="EO285" s="643"/>
      <c r="EP285" s="643"/>
      <c r="EQ285" s="643"/>
      <c r="ER285" s="643"/>
    </row>
    <row r="287" spans="6:148" s="645" customFormat="1" ht="15.75" customHeight="1">
      <c r="F287" s="643"/>
      <c r="G287" s="643"/>
      <c r="H287" s="643"/>
      <c r="I287" s="643"/>
      <c r="J287" s="643"/>
      <c r="K287" s="643"/>
      <c r="L287" s="643"/>
      <c r="M287" s="643"/>
      <c r="N287" s="643"/>
      <c r="O287" s="643"/>
      <c r="P287" s="643"/>
      <c r="Q287" s="643"/>
      <c r="R287" s="643"/>
      <c r="S287" s="643"/>
      <c r="T287" s="643"/>
      <c r="U287" s="643"/>
      <c r="V287" s="643"/>
      <c r="W287" s="643"/>
      <c r="X287" s="643"/>
      <c r="Y287" s="643"/>
      <c r="AA287" s="643"/>
      <c r="AC287" s="643"/>
      <c r="AD287" s="643"/>
      <c r="AE287" s="643"/>
      <c r="AF287" s="643"/>
      <c r="AG287" s="643"/>
      <c r="AH287" s="1517"/>
      <c r="AI287" s="644"/>
      <c r="AJ287" s="643"/>
      <c r="AK287" s="643"/>
      <c r="AL287" s="643"/>
      <c r="AM287" s="643"/>
      <c r="AN287" s="643"/>
      <c r="AO287" s="643"/>
      <c r="AP287" s="643"/>
      <c r="AQ287" s="643"/>
      <c r="AR287" s="643"/>
      <c r="AS287" s="643"/>
      <c r="AT287" s="643"/>
      <c r="AU287" s="643"/>
      <c r="AV287" s="643"/>
      <c r="AW287" s="643"/>
      <c r="AX287" s="643"/>
      <c r="AY287" s="643"/>
      <c r="AZ287" s="643"/>
      <c r="BA287" s="643"/>
      <c r="BB287" s="643"/>
      <c r="BC287" s="643"/>
      <c r="BD287" s="643"/>
      <c r="BE287" s="643"/>
      <c r="BF287" s="643"/>
      <c r="BG287" s="643"/>
      <c r="BH287" s="643"/>
      <c r="BI287" s="643"/>
      <c r="BJ287" s="643"/>
      <c r="BK287" s="643"/>
      <c r="BL287" s="643"/>
      <c r="BM287" s="643"/>
      <c r="BN287" s="643"/>
      <c r="BO287" s="643"/>
      <c r="BP287" s="643"/>
      <c r="BQ287" s="643"/>
      <c r="BR287" s="643"/>
      <c r="BS287" s="643"/>
      <c r="BT287" s="643"/>
      <c r="BU287" s="643"/>
      <c r="BV287" s="643"/>
      <c r="BW287" s="643"/>
      <c r="BX287" s="643"/>
      <c r="BY287" s="643"/>
      <c r="BZ287" s="643"/>
      <c r="CA287" s="643"/>
      <c r="CB287" s="643"/>
      <c r="CC287" s="643"/>
      <c r="CD287" s="643"/>
      <c r="CE287" s="643"/>
      <c r="CF287" s="643"/>
      <c r="CG287" s="643"/>
      <c r="CH287" s="643"/>
      <c r="CI287" s="643"/>
      <c r="CJ287" s="643"/>
      <c r="CK287" s="643"/>
      <c r="CL287" s="643"/>
      <c r="CM287" s="643"/>
      <c r="CN287" s="643"/>
      <c r="CO287" s="643"/>
      <c r="CP287" s="643"/>
      <c r="CQ287" s="643"/>
      <c r="CR287" s="643"/>
      <c r="CS287" s="643"/>
      <c r="CT287" s="643"/>
      <c r="CU287" s="643"/>
      <c r="CV287" s="643"/>
      <c r="CW287" s="643"/>
      <c r="CX287" s="643"/>
      <c r="CY287" s="643"/>
      <c r="CZ287" s="643"/>
      <c r="DA287" s="643"/>
      <c r="DB287" s="643"/>
      <c r="DC287" s="643"/>
      <c r="DD287" s="643"/>
      <c r="DE287" s="643"/>
      <c r="DF287" s="643"/>
      <c r="DG287" s="643"/>
      <c r="DH287" s="643"/>
      <c r="DI287" s="643"/>
      <c r="DJ287" s="643"/>
      <c r="DK287" s="643"/>
      <c r="DL287" s="643"/>
      <c r="DM287" s="643"/>
      <c r="DN287" s="643"/>
      <c r="DO287" s="643"/>
      <c r="DP287" s="643"/>
      <c r="DQ287" s="643"/>
      <c r="DR287" s="643"/>
      <c r="DS287" s="643"/>
      <c r="DT287" s="643"/>
      <c r="DU287" s="643"/>
      <c r="DV287" s="643"/>
      <c r="DW287" s="643"/>
      <c r="DX287" s="643"/>
      <c r="DY287" s="643"/>
      <c r="DZ287" s="643"/>
      <c r="EA287" s="643"/>
      <c r="EB287" s="643"/>
      <c r="EC287" s="643"/>
      <c r="ED287" s="643"/>
      <c r="EE287" s="643"/>
      <c r="EF287" s="643"/>
      <c r="EG287" s="643"/>
      <c r="EH287" s="643"/>
      <c r="EI287" s="643"/>
      <c r="EJ287" s="643"/>
      <c r="EK287" s="643"/>
      <c r="EL287" s="643"/>
      <c r="EM287" s="643"/>
      <c r="EN287" s="643"/>
      <c r="EO287" s="643"/>
      <c r="EP287" s="643"/>
      <c r="EQ287" s="643"/>
      <c r="ER287" s="643"/>
    </row>
    <row r="289" spans="6:148" s="645" customFormat="1" ht="15.75" customHeight="1">
      <c r="F289" s="643"/>
      <c r="G289" s="643"/>
      <c r="H289" s="643"/>
      <c r="I289" s="643"/>
      <c r="J289" s="643"/>
      <c r="K289" s="643"/>
      <c r="L289" s="643"/>
      <c r="M289" s="643"/>
      <c r="N289" s="643"/>
      <c r="O289" s="643"/>
      <c r="P289" s="643"/>
      <c r="Q289" s="643"/>
      <c r="R289" s="643"/>
      <c r="S289" s="643"/>
      <c r="T289" s="643"/>
      <c r="U289" s="643"/>
      <c r="V289" s="643"/>
      <c r="W289" s="643"/>
      <c r="X289" s="643"/>
      <c r="Y289" s="643"/>
      <c r="AA289" s="643"/>
      <c r="AC289" s="643"/>
      <c r="AD289" s="643"/>
      <c r="AE289" s="643"/>
      <c r="AF289" s="643"/>
      <c r="AG289" s="643"/>
      <c r="AH289" s="1517"/>
      <c r="AI289" s="644"/>
      <c r="AJ289" s="643"/>
      <c r="AK289" s="643"/>
      <c r="AL289" s="643"/>
      <c r="AM289" s="643"/>
      <c r="AN289" s="643"/>
      <c r="AO289" s="643"/>
      <c r="AP289" s="643"/>
      <c r="AQ289" s="643"/>
      <c r="AR289" s="643"/>
      <c r="AS289" s="643"/>
      <c r="AT289" s="643"/>
      <c r="AU289" s="643"/>
      <c r="AV289" s="643"/>
      <c r="AW289" s="643"/>
      <c r="AX289" s="643"/>
      <c r="AY289" s="643"/>
      <c r="AZ289" s="643"/>
      <c r="BA289" s="643"/>
      <c r="BB289" s="643"/>
      <c r="BC289" s="643"/>
      <c r="BD289" s="643"/>
      <c r="BE289" s="643"/>
      <c r="BF289" s="643"/>
      <c r="BG289" s="643"/>
      <c r="BH289" s="643"/>
      <c r="BI289" s="643"/>
      <c r="BJ289" s="643"/>
      <c r="BK289" s="643"/>
      <c r="BL289" s="643"/>
      <c r="BM289" s="643"/>
      <c r="BN289" s="643"/>
      <c r="BO289" s="643"/>
      <c r="BP289" s="643"/>
      <c r="BQ289" s="643"/>
      <c r="BR289" s="643"/>
      <c r="BS289" s="643"/>
      <c r="BT289" s="643"/>
      <c r="BU289" s="643"/>
      <c r="BV289" s="643"/>
      <c r="BW289" s="643"/>
      <c r="BX289" s="643"/>
      <c r="BY289" s="643"/>
      <c r="BZ289" s="643"/>
      <c r="CA289" s="643"/>
      <c r="CB289" s="643"/>
      <c r="CC289" s="643"/>
      <c r="CD289" s="643"/>
      <c r="CE289" s="643"/>
      <c r="CF289" s="643"/>
      <c r="CG289" s="643"/>
      <c r="CH289" s="643"/>
      <c r="CI289" s="643"/>
      <c r="CJ289" s="643"/>
      <c r="CK289" s="643"/>
      <c r="CL289" s="643"/>
      <c r="CM289" s="643"/>
      <c r="CN289" s="643"/>
      <c r="CO289" s="643"/>
      <c r="CP289" s="643"/>
      <c r="CQ289" s="643"/>
      <c r="CR289" s="643"/>
      <c r="CS289" s="643"/>
      <c r="CT289" s="643"/>
      <c r="CU289" s="643"/>
      <c r="CV289" s="643"/>
      <c r="CW289" s="643"/>
      <c r="CX289" s="643"/>
      <c r="CY289" s="643"/>
      <c r="CZ289" s="643"/>
      <c r="DA289" s="643"/>
      <c r="DB289" s="643"/>
      <c r="DC289" s="643"/>
      <c r="DD289" s="643"/>
      <c r="DE289" s="643"/>
      <c r="DF289" s="643"/>
      <c r="DG289" s="643"/>
      <c r="DH289" s="643"/>
      <c r="DI289" s="643"/>
      <c r="DJ289" s="643"/>
      <c r="DK289" s="643"/>
      <c r="DL289" s="643"/>
      <c r="DM289" s="643"/>
      <c r="DN289" s="643"/>
      <c r="DO289" s="643"/>
      <c r="DP289" s="643"/>
      <c r="DQ289" s="643"/>
      <c r="DR289" s="643"/>
      <c r="DS289" s="643"/>
      <c r="DT289" s="643"/>
      <c r="DU289" s="643"/>
      <c r="DV289" s="643"/>
      <c r="DW289" s="643"/>
      <c r="DX289" s="643"/>
      <c r="DY289" s="643"/>
      <c r="DZ289" s="643"/>
      <c r="EA289" s="643"/>
      <c r="EB289" s="643"/>
      <c r="EC289" s="643"/>
      <c r="ED289" s="643"/>
      <c r="EE289" s="643"/>
      <c r="EF289" s="643"/>
      <c r="EG289" s="643"/>
      <c r="EH289" s="643"/>
      <c r="EI289" s="643"/>
      <c r="EJ289" s="643"/>
      <c r="EK289" s="643"/>
      <c r="EL289" s="643"/>
      <c r="EM289" s="643"/>
      <c r="EN289" s="643"/>
      <c r="EO289" s="643"/>
      <c r="EP289" s="643"/>
      <c r="EQ289" s="643"/>
      <c r="ER289" s="643"/>
    </row>
    <row r="291" spans="6:148" s="645" customFormat="1" ht="15.75" customHeight="1">
      <c r="F291" s="643"/>
      <c r="G291" s="643"/>
      <c r="H291" s="643"/>
      <c r="I291" s="643"/>
      <c r="J291" s="643"/>
      <c r="K291" s="643"/>
      <c r="L291" s="643"/>
      <c r="M291" s="643"/>
      <c r="N291" s="643"/>
      <c r="O291" s="643"/>
      <c r="P291" s="643"/>
      <c r="Q291" s="643"/>
      <c r="R291" s="643"/>
      <c r="S291" s="643"/>
      <c r="T291" s="643"/>
      <c r="U291" s="643"/>
      <c r="V291" s="643"/>
      <c r="W291" s="643"/>
      <c r="X291" s="643"/>
      <c r="Y291" s="643"/>
      <c r="AA291" s="643"/>
      <c r="AC291" s="643"/>
      <c r="AD291" s="643"/>
      <c r="AE291" s="643"/>
      <c r="AF291" s="643"/>
      <c r="AG291" s="643"/>
      <c r="AH291" s="1517"/>
      <c r="AI291" s="644"/>
      <c r="AJ291" s="643"/>
      <c r="AK291" s="643"/>
      <c r="AL291" s="643"/>
      <c r="AM291" s="643"/>
      <c r="AN291" s="643"/>
      <c r="AO291" s="643"/>
      <c r="AP291" s="643"/>
      <c r="AQ291" s="643"/>
      <c r="AR291" s="643"/>
      <c r="AS291" s="643"/>
      <c r="AT291" s="643"/>
      <c r="AU291" s="643"/>
      <c r="AV291" s="643"/>
      <c r="AW291" s="643"/>
      <c r="AX291" s="643"/>
      <c r="AY291" s="643"/>
      <c r="AZ291" s="643"/>
      <c r="BA291" s="643"/>
      <c r="BB291" s="643"/>
      <c r="BC291" s="643"/>
      <c r="BD291" s="643"/>
      <c r="BE291" s="643"/>
      <c r="BF291" s="643"/>
      <c r="BG291" s="643"/>
      <c r="BH291" s="643"/>
      <c r="BI291" s="643"/>
      <c r="BJ291" s="643"/>
      <c r="BK291" s="643"/>
      <c r="BL291" s="643"/>
      <c r="BM291" s="643"/>
      <c r="BN291" s="643"/>
      <c r="BO291" s="643"/>
      <c r="BP291" s="643"/>
      <c r="BQ291" s="643"/>
      <c r="BR291" s="643"/>
      <c r="BS291" s="643"/>
      <c r="BT291" s="643"/>
      <c r="BU291" s="643"/>
      <c r="BV291" s="643"/>
      <c r="BW291" s="643"/>
      <c r="BX291" s="643"/>
      <c r="BY291" s="643"/>
      <c r="BZ291" s="643"/>
      <c r="CA291" s="643"/>
      <c r="CB291" s="643"/>
      <c r="CC291" s="643"/>
      <c r="CD291" s="643"/>
      <c r="CE291" s="643"/>
      <c r="CF291" s="643"/>
      <c r="CG291" s="643"/>
      <c r="CH291" s="643"/>
      <c r="CI291" s="643"/>
      <c r="CJ291" s="643"/>
      <c r="CK291" s="643"/>
      <c r="CL291" s="643"/>
      <c r="CM291" s="643"/>
      <c r="CN291" s="643"/>
      <c r="CO291" s="643"/>
      <c r="CP291" s="643"/>
      <c r="CQ291" s="643"/>
      <c r="CR291" s="643"/>
      <c r="CS291" s="643"/>
      <c r="CT291" s="643"/>
      <c r="CU291" s="643"/>
      <c r="CV291" s="643"/>
      <c r="CW291" s="643"/>
      <c r="CX291" s="643"/>
      <c r="CY291" s="643"/>
      <c r="CZ291" s="643"/>
      <c r="DA291" s="643"/>
      <c r="DB291" s="643"/>
      <c r="DC291" s="643"/>
      <c r="DD291" s="643"/>
      <c r="DE291" s="643"/>
      <c r="DF291" s="643"/>
      <c r="DG291" s="643"/>
      <c r="DH291" s="643"/>
      <c r="DI291" s="643"/>
      <c r="DJ291" s="643"/>
      <c r="DK291" s="643"/>
      <c r="DL291" s="643"/>
      <c r="DM291" s="643"/>
      <c r="DN291" s="643"/>
      <c r="DO291" s="643"/>
      <c r="DP291" s="643"/>
      <c r="DQ291" s="643"/>
      <c r="DR291" s="643"/>
      <c r="DS291" s="643"/>
      <c r="DT291" s="643"/>
      <c r="DU291" s="643"/>
      <c r="DV291" s="643"/>
      <c r="DW291" s="643"/>
      <c r="DX291" s="643"/>
      <c r="DY291" s="643"/>
      <c r="DZ291" s="643"/>
      <c r="EA291" s="643"/>
      <c r="EB291" s="643"/>
      <c r="EC291" s="643"/>
      <c r="ED291" s="643"/>
      <c r="EE291" s="643"/>
      <c r="EF291" s="643"/>
      <c r="EG291" s="643"/>
      <c r="EH291" s="643"/>
      <c r="EI291" s="643"/>
      <c r="EJ291" s="643"/>
      <c r="EK291" s="643"/>
      <c r="EL291" s="643"/>
      <c r="EM291" s="643"/>
      <c r="EN291" s="643"/>
      <c r="EO291" s="643"/>
      <c r="EP291" s="643"/>
      <c r="EQ291" s="643"/>
      <c r="ER291" s="643"/>
    </row>
    <row r="293" spans="6:148" s="645" customFormat="1" ht="15.75" customHeight="1">
      <c r="F293" s="643"/>
      <c r="G293" s="643"/>
      <c r="H293" s="643"/>
      <c r="I293" s="643"/>
      <c r="J293" s="643"/>
      <c r="K293" s="643"/>
      <c r="L293" s="643"/>
      <c r="M293" s="643"/>
      <c r="N293" s="643"/>
      <c r="O293" s="643"/>
      <c r="P293" s="643"/>
      <c r="Q293" s="643"/>
      <c r="R293" s="643"/>
      <c r="S293" s="643"/>
      <c r="T293" s="643"/>
      <c r="U293" s="643"/>
      <c r="V293" s="643"/>
      <c r="W293" s="643"/>
      <c r="X293" s="643"/>
      <c r="Y293" s="643"/>
      <c r="AA293" s="643"/>
      <c r="AC293" s="643"/>
      <c r="AD293" s="643"/>
      <c r="AE293" s="643"/>
      <c r="AF293" s="643"/>
      <c r="AG293" s="643"/>
      <c r="AH293" s="1517"/>
      <c r="AI293" s="644"/>
      <c r="AJ293" s="643"/>
      <c r="AK293" s="643"/>
      <c r="AL293" s="643"/>
      <c r="AM293" s="643"/>
      <c r="AN293" s="643"/>
      <c r="AO293" s="643"/>
      <c r="AP293" s="643"/>
      <c r="AQ293" s="643"/>
      <c r="AR293" s="643"/>
      <c r="AS293" s="643"/>
      <c r="AT293" s="643"/>
      <c r="AU293" s="643"/>
      <c r="AV293" s="643"/>
      <c r="AW293" s="643"/>
      <c r="AX293" s="643"/>
      <c r="AY293" s="643"/>
      <c r="AZ293" s="643"/>
      <c r="BA293" s="643"/>
      <c r="BB293" s="643"/>
      <c r="BC293" s="643"/>
      <c r="BD293" s="643"/>
      <c r="BE293" s="643"/>
      <c r="BF293" s="643"/>
      <c r="BG293" s="643"/>
      <c r="BH293" s="643"/>
      <c r="BI293" s="643"/>
      <c r="BJ293" s="643"/>
      <c r="BK293" s="643"/>
      <c r="BL293" s="643"/>
      <c r="BM293" s="643"/>
      <c r="BN293" s="643"/>
      <c r="BO293" s="643"/>
      <c r="BP293" s="643"/>
      <c r="BQ293" s="643"/>
      <c r="BR293" s="643"/>
      <c r="BS293" s="643"/>
      <c r="BT293" s="643"/>
      <c r="BU293" s="643"/>
      <c r="BV293" s="643"/>
      <c r="BW293" s="643"/>
      <c r="BX293" s="643"/>
      <c r="BY293" s="643"/>
      <c r="BZ293" s="643"/>
      <c r="CA293" s="643"/>
      <c r="CB293" s="643"/>
      <c r="CC293" s="643"/>
      <c r="CD293" s="643"/>
      <c r="CE293" s="643"/>
      <c r="CF293" s="643"/>
      <c r="CG293" s="643"/>
      <c r="CH293" s="643"/>
      <c r="CI293" s="643"/>
      <c r="CJ293" s="643"/>
      <c r="CK293" s="643"/>
      <c r="CL293" s="643"/>
      <c r="CM293" s="643"/>
      <c r="CN293" s="643"/>
      <c r="CO293" s="643"/>
      <c r="CP293" s="643"/>
      <c r="CQ293" s="643"/>
      <c r="CR293" s="643"/>
      <c r="CS293" s="643"/>
      <c r="CT293" s="643"/>
      <c r="CU293" s="643"/>
      <c r="CV293" s="643"/>
      <c r="CW293" s="643"/>
      <c r="CX293" s="643"/>
      <c r="CY293" s="643"/>
      <c r="CZ293" s="643"/>
      <c r="DA293" s="643"/>
      <c r="DB293" s="643"/>
      <c r="DC293" s="643"/>
      <c r="DD293" s="643"/>
      <c r="DE293" s="643"/>
      <c r="DF293" s="643"/>
      <c r="DG293" s="643"/>
      <c r="DH293" s="643"/>
      <c r="DI293" s="643"/>
      <c r="DJ293" s="643"/>
      <c r="DK293" s="643"/>
      <c r="DL293" s="643"/>
      <c r="DM293" s="643"/>
      <c r="DN293" s="643"/>
      <c r="DO293" s="643"/>
      <c r="DP293" s="643"/>
      <c r="DQ293" s="643"/>
      <c r="DR293" s="643"/>
      <c r="DS293" s="643"/>
      <c r="DT293" s="643"/>
      <c r="DU293" s="643"/>
      <c r="DV293" s="643"/>
      <c r="DW293" s="643"/>
      <c r="DX293" s="643"/>
      <c r="DY293" s="643"/>
      <c r="DZ293" s="643"/>
      <c r="EA293" s="643"/>
      <c r="EB293" s="643"/>
      <c r="EC293" s="643"/>
      <c r="ED293" s="643"/>
      <c r="EE293" s="643"/>
      <c r="EF293" s="643"/>
      <c r="EG293" s="643"/>
      <c r="EH293" s="643"/>
      <c r="EI293" s="643"/>
      <c r="EJ293" s="643"/>
      <c r="EK293" s="643"/>
      <c r="EL293" s="643"/>
      <c r="EM293" s="643"/>
      <c r="EN293" s="643"/>
      <c r="EO293" s="643"/>
      <c r="EP293" s="643"/>
      <c r="EQ293" s="643"/>
      <c r="ER293" s="643"/>
    </row>
    <row r="295" spans="6:148" s="645" customFormat="1" ht="15.75" customHeight="1">
      <c r="F295" s="643"/>
      <c r="G295" s="643"/>
      <c r="H295" s="643"/>
      <c r="I295" s="643"/>
      <c r="J295" s="643"/>
      <c r="K295" s="643"/>
      <c r="L295" s="643"/>
      <c r="M295" s="643"/>
      <c r="N295" s="643"/>
      <c r="O295" s="643"/>
      <c r="P295" s="643"/>
      <c r="Q295" s="643"/>
      <c r="R295" s="643"/>
      <c r="S295" s="643"/>
      <c r="T295" s="643"/>
      <c r="U295" s="643"/>
      <c r="V295" s="643"/>
      <c r="W295" s="643"/>
      <c r="X295" s="643"/>
      <c r="Y295" s="643"/>
      <c r="AA295" s="643"/>
      <c r="AC295" s="643"/>
      <c r="AD295" s="643"/>
      <c r="AE295" s="643"/>
      <c r="AF295" s="643"/>
      <c r="AG295" s="643"/>
      <c r="AH295" s="1517"/>
      <c r="AI295" s="644"/>
      <c r="AJ295" s="643"/>
      <c r="AK295" s="643"/>
      <c r="AL295" s="643"/>
      <c r="AM295" s="643"/>
      <c r="AN295" s="643"/>
      <c r="AO295" s="643"/>
      <c r="AP295" s="643"/>
      <c r="AQ295" s="643"/>
      <c r="AR295" s="643"/>
      <c r="AS295" s="643"/>
      <c r="AT295" s="643"/>
      <c r="AU295" s="643"/>
      <c r="AV295" s="643"/>
      <c r="AW295" s="643"/>
      <c r="AX295" s="643"/>
      <c r="AY295" s="643"/>
      <c r="AZ295" s="643"/>
      <c r="BA295" s="643"/>
      <c r="BB295" s="643"/>
      <c r="BC295" s="643"/>
      <c r="BD295" s="643"/>
      <c r="BE295" s="643"/>
      <c r="BF295" s="643"/>
      <c r="BG295" s="643"/>
      <c r="BH295" s="643"/>
      <c r="BI295" s="643"/>
      <c r="BJ295" s="643"/>
      <c r="BK295" s="643"/>
      <c r="BL295" s="643"/>
      <c r="BM295" s="643"/>
      <c r="BN295" s="643"/>
      <c r="BO295" s="643"/>
      <c r="BP295" s="643"/>
      <c r="BQ295" s="643"/>
      <c r="BR295" s="643"/>
      <c r="BS295" s="643"/>
      <c r="BT295" s="643"/>
      <c r="BU295" s="643"/>
      <c r="BV295" s="643"/>
      <c r="BW295" s="643"/>
      <c r="BX295" s="643"/>
      <c r="BY295" s="643"/>
      <c r="BZ295" s="643"/>
      <c r="CA295" s="643"/>
      <c r="CB295" s="643"/>
      <c r="CC295" s="643"/>
      <c r="CD295" s="643"/>
      <c r="CE295" s="643"/>
      <c r="CF295" s="643"/>
      <c r="CG295" s="643"/>
      <c r="CH295" s="643"/>
      <c r="CI295" s="643"/>
      <c r="CJ295" s="643"/>
      <c r="CK295" s="643"/>
      <c r="CL295" s="643"/>
      <c r="CM295" s="643"/>
      <c r="CN295" s="643"/>
      <c r="CO295" s="643"/>
      <c r="CP295" s="643"/>
      <c r="CQ295" s="643"/>
      <c r="CR295" s="643"/>
      <c r="CS295" s="643"/>
      <c r="CT295" s="643"/>
      <c r="CU295" s="643"/>
      <c r="CV295" s="643"/>
      <c r="CW295" s="643"/>
      <c r="CX295" s="643"/>
      <c r="CY295" s="643"/>
      <c r="CZ295" s="643"/>
      <c r="DA295" s="643"/>
      <c r="DB295" s="643"/>
      <c r="DC295" s="643"/>
      <c r="DD295" s="643"/>
      <c r="DE295" s="643"/>
      <c r="DF295" s="643"/>
      <c r="DG295" s="643"/>
      <c r="DH295" s="643"/>
      <c r="DI295" s="643"/>
      <c r="DJ295" s="643"/>
      <c r="DK295" s="643"/>
      <c r="DL295" s="643"/>
      <c r="DM295" s="643"/>
      <c r="DN295" s="643"/>
      <c r="DO295" s="643"/>
      <c r="DP295" s="643"/>
      <c r="DQ295" s="643"/>
      <c r="DR295" s="643"/>
      <c r="DS295" s="643"/>
      <c r="DT295" s="643"/>
      <c r="DU295" s="643"/>
      <c r="DV295" s="643"/>
      <c r="DW295" s="643"/>
      <c r="DX295" s="643"/>
      <c r="DY295" s="643"/>
      <c r="DZ295" s="643"/>
      <c r="EA295" s="643"/>
      <c r="EB295" s="643"/>
      <c r="EC295" s="643"/>
      <c r="ED295" s="643"/>
      <c r="EE295" s="643"/>
      <c r="EF295" s="643"/>
      <c r="EG295" s="643"/>
      <c r="EH295" s="643"/>
      <c r="EI295" s="643"/>
      <c r="EJ295" s="643"/>
      <c r="EK295" s="643"/>
      <c r="EL295" s="643"/>
      <c r="EM295" s="643"/>
      <c r="EN295" s="643"/>
      <c r="EO295" s="643"/>
      <c r="EP295" s="643"/>
      <c r="EQ295" s="643"/>
      <c r="ER295" s="643"/>
    </row>
    <row r="297" spans="6:148" s="645" customFormat="1" ht="15.75" customHeight="1">
      <c r="F297" s="643"/>
      <c r="G297" s="643"/>
      <c r="H297" s="643"/>
      <c r="I297" s="643"/>
      <c r="J297" s="643"/>
      <c r="K297" s="643"/>
      <c r="L297" s="643"/>
      <c r="M297" s="643"/>
      <c r="N297" s="643"/>
      <c r="O297" s="643"/>
      <c r="P297" s="643"/>
      <c r="Q297" s="643"/>
      <c r="R297" s="643"/>
      <c r="S297" s="643"/>
      <c r="T297" s="643"/>
      <c r="U297" s="643"/>
      <c r="V297" s="643"/>
      <c r="W297" s="643"/>
      <c r="X297" s="643"/>
      <c r="Y297" s="643"/>
      <c r="AA297" s="643"/>
      <c r="AC297" s="643"/>
      <c r="AD297" s="643"/>
      <c r="AE297" s="643"/>
      <c r="AF297" s="643"/>
      <c r="AG297" s="643"/>
      <c r="AH297" s="1517"/>
      <c r="AI297" s="644"/>
      <c r="AJ297" s="643"/>
      <c r="AK297" s="643"/>
      <c r="AL297" s="643"/>
      <c r="AM297" s="643"/>
      <c r="AN297" s="643"/>
      <c r="AO297" s="643"/>
      <c r="AP297" s="643"/>
      <c r="AQ297" s="643"/>
      <c r="AR297" s="643"/>
      <c r="AS297" s="643"/>
      <c r="AT297" s="643"/>
      <c r="AU297" s="643"/>
      <c r="AV297" s="643"/>
      <c r="AW297" s="643"/>
      <c r="AX297" s="643"/>
      <c r="AY297" s="643"/>
      <c r="AZ297" s="643"/>
      <c r="BA297" s="643"/>
      <c r="BB297" s="643"/>
      <c r="BC297" s="643"/>
      <c r="BD297" s="643"/>
      <c r="BE297" s="643"/>
      <c r="BF297" s="643"/>
      <c r="BG297" s="643"/>
      <c r="BH297" s="643"/>
      <c r="BI297" s="643"/>
      <c r="BJ297" s="643"/>
      <c r="BK297" s="643"/>
      <c r="BL297" s="643"/>
      <c r="BM297" s="643"/>
      <c r="BN297" s="643"/>
      <c r="BO297" s="643"/>
      <c r="BP297" s="643"/>
      <c r="BQ297" s="643"/>
      <c r="BR297" s="643"/>
      <c r="BS297" s="643"/>
      <c r="BT297" s="643"/>
      <c r="BU297" s="643"/>
      <c r="BV297" s="643"/>
      <c r="BW297" s="643"/>
      <c r="BX297" s="643"/>
      <c r="BY297" s="643"/>
      <c r="BZ297" s="643"/>
      <c r="CA297" s="643"/>
      <c r="CB297" s="643"/>
      <c r="CC297" s="643"/>
      <c r="CD297" s="643"/>
      <c r="CE297" s="643"/>
      <c r="CF297" s="643"/>
      <c r="CG297" s="643"/>
      <c r="CH297" s="643"/>
      <c r="CI297" s="643"/>
      <c r="CJ297" s="643"/>
      <c r="CK297" s="643"/>
      <c r="CL297" s="643"/>
      <c r="CM297" s="643"/>
      <c r="CN297" s="643"/>
      <c r="CO297" s="643"/>
      <c r="CP297" s="643"/>
      <c r="CQ297" s="643"/>
      <c r="CR297" s="643"/>
      <c r="CS297" s="643"/>
      <c r="CT297" s="643"/>
      <c r="CU297" s="643"/>
      <c r="CV297" s="643"/>
      <c r="CW297" s="643"/>
      <c r="CX297" s="643"/>
      <c r="CY297" s="643"/>
      <c r="CZ297" s="643"/>
      <c r="DA297" s="643"/>
      <c r="DB297" s="643"/>
      <c r="DC297" s="643"/>
      <c r="DD297" s="643"/>
      <c r="DE297" s="643"/>
      <c r="DF297" s="643"/>
      <c r="DG297" s="643"/>
      <c r="DH297" s="643"/>
      <c r="DI297" s="643"/>
      <c r="DJ297" s="643"/>
      <c r="DK297" s="643"/>
      <c r="DL297" s="643"/>
      <c r="DM297" s="643"/>
      <c r="DN297" s="643"/>
      <c r="DO297" s="643"/>
      <c r="DP297" s="643"/>
      <c r="DQ297" s="643"/>
      <c r="DR297" s="643"/>
      <c r="DS297" s="643"/>
      <c r="DT297" s="643"/>
      <c r="DU297" s="643"/>
      <c r="DV297" s="643"/>
      <c r="DW297" s="643"/>
      <c r="DX297" s="643"/>
      <c r="DY297" s="643"/>
      <c r="DZ297" s="643"/>
      <c r="EA297" s="643"/>
      <c r="EB297" s="643"/>
      <c r="EC297" s="643"/>
      <c r="ED297" s="643"/>
      <c r="EE297" s="643"/>
      <c r="EF297" s="643"/>
      <c r="EG297" s="643"/>
      <c r="EH297" s="643"/>
      <c r="EI297" s="643"/>
      <c r="EJ297" s="643"/>
      <c r="EK297" s="643"/>
      <c r="EL297" s="643"/>
      <c r="EM297" s="643"/>
      <c r="EN297" s="643"/>
      <c r="EO297" s="643"/>
      <c r="EP297" s="643"/>
      <c r="EQ297" s="643"/>
      <c r="ER297" s="643"/>
    </row>
    <row r="299" spans="6:148" s="645" customFormat="1" ht="15.75" customHeight="1">
      <c r="F299" s="643"/>
      <c r="G299" s="643"/>
      <c r="H299" s="643"/>
      <c r="I299" s="643"/>
      <c r="J299" s="643"/>
      <c r="K299" s="643"/>
      <c r="L299" s="643"/>
      <c r="M299" s="643"/>
      <c r="N299" s="643"/>
      <c r="O299" s="643"/>
      <c r="P299" s="643"/>
      <c r="Q299" s="643"/>
      <c r="R299" s="643"/>
      <c r="S299" s="643"/>
      <c r="T299" s="643"/>
      <c r="U299" s="643"/>
      <c r="V299" s="643"/>
      <c r="W299" s="643"/>
      <c r="X299" s="643"/>
      <c r="Y299" s="643"/>
      <c r="AA299" s="643"/>
      <c r="AC299" s="643"/>
      <c r="AD299" s="643"/>
      <c r="AE299" s="643"/>
      <c r="AF299" s="643"/>
      <c r="AG299" s="643"/>
      <c r="AH299" s="1517"/>
      <c r="AI299" s="644"/>
      <c r="AJ299" s="643"/>
      <c r="AK299" s="643"/>
      <c r="AL299" s="643"/>
      <c r="AM299" s="643"/>
      <c r="AN299" s="643"/>
      <c r="AO299" s="643"/>
      <c r="AP299" s="643"/>
      <c r="AQ299" s="643"/>
      <c r="AR299" s="643"/>
      <c r="AS299" s="643"/>
      <c r="AT299" s="643"/>
      <c r="AU299" s="643"/>
      <c r="AV299" s="643"/>
      <c r="AW299" s="643"/>
      <c r="AX299" s="643"/>
      <c r="AY299" s="643"/>
      <c r="AZ299" s="643"/>
      <c r="BA299" s="643"/>
      <c r="BB299" s="643"/>
      <c r="BC299" s="643"/>
      <c r="BD299" s="643"/>
      <c r="BE299" s="643"/>
      <c r="BF299" s="643"/>
      <c r="BG299" s="643"/>
      <c r="BH299" s="643"/>
      <c r="BI299" s="643"/>
      <c r="BJ299" s="643"/>
      <c r="BK299" s="643"/>
      <c r="BL299" s="643"/>
      <c r="BM299" s="643"/>
      <c r="BN299" s="643"/>
      <c r="BO299" s="643"/>
      <c r="BP299" s="643"/>
      <c r="BQ299" s="643"/>
      <c r="BR299" s="643"/>
      <c r="BS299" s="643"/>
      <c r="BT299" s="643"/>
      <c r="BU299" s="643"/>
      <c r="BV299" s="643"/>
      <c r="BW299" s="643"/>
      <c r="BX299" s="643"/>
      <c r="BY299" s="643"/>
      <c r="BZ299" s="643"/>
      <c r="CA299" s="643"/>
      <c r="CB299" s="643"/>
      <c r="CC299" s="643"/>
      <c r="CD299" s="643"/>
      <c r="CE299" s="643"/>
      <c r="CF299" s="643"/>
      <c r="CG299" s="643"/>
      <c r="CH299" s="643"/>
      <c r="CI299" s="643"/>
      <c r="CJ299" s="643"/>
      <c r="CK299" s="643"/>
      <c r="CL299" s="643"/>
      <c r="CM299" s="643"/>
      <c r="CN299" s="643"/>
      <c r="CO299" s="643"/>
      <c r="CP299" s="643"/>
      <c r="CQ299" s="643"/>
      <c r="CR299" s="643"/>
      <c r="CS299" s="643"/>
      <c r="CT299" s="643"/>
      <c r="CU299" s="643"/>
      <c r="CV299" s="643"/>
      <c r="CW299" s="643"/>
      <c r="CX299" s="643"/>
      <c r="CY299" s="643"/>
      <c r="CZ299" s="643"/>
      <c r="DA299" s="643"/>
      <c r="DB299" s="643"/>
      <c r="DC299" s="643"/>
      <c r="DD299" s="643"/>
      <c r="DE299" s="643"/>
      <c r="DF299" s="643"/>
      <c r="DG299" s="643"/>
      <c r="DH299" s="643"/>
      <c r="DI299" s="643"/>
      <c r="DJ299" s="643"/>
      <c r="DK299" s="643"/>
      <c r="DL299" s="643"/>
      <c r="DM299" s="643"/>
      <c r="DN299" s="643"/>
      <c r="DO299" s="643"/>
      <c r="DP299" s="643"/>
      <c r="DQ299" s="643"/>
      <c r="DR299" s="643"/>
      <c r="DS299" s="643"/>
      <c r="DT299" s="643"/>
      <c r="DU299" s="643"/>
      <c r="DV299" s="643"/>
      <c r="DW299" s="643"/>
      <c r="DX299" s="643"/>
      <c r="DY299" s="643"/>
      <c r="DZ299" s="643"/>
      <c r="EA299" s="643"/>
      <c r="EB299" s="643"/>
      <c r="EC299" s="643"/>
      <c r="ED299" s="643"/>
      <c r="EE299" s="643"/>
      <c r="EF299" s="643"/>
      <c r="EG299" s="643"/>
      <c r="EH299" s="643"/>
      <c r="EI299" s="643"/>
      <c r="EJ299" s="643"/>
      <c r="EK299" s="643"/>
      <c r="EL299" s="643"/>
      <c r="EM299" s="643"/>
      <c r="EN299" s="643"/>
      <c r="EO299" s="643"/>
      <c r="EP299" s="643"/>
      <c r="EQ299" s="643"/>
      <c r="ER299" s="643"/>
    </row>
    <row r="301" spans="6:148" s="645" customFormat="1" ht="15.75" customHeight="1">
      <c r="F301" s="643"/>
      <c r="G301" s="643"/>
      <c r="H301" s="643"/>
      <c r="I301" s="643"/>
      <c r="J301" s="643"/>
      <c r="K301" s="643"/>
      <c r="L301" s="643"/>
      <c r="M301" s="643"/>
      <c r="N301" s="643"/>
      <c r="O301" s="643"/>
      <c r="P301" s="643"/>
      <c r="Q301" s="643"/>
      <c r="R301" s="643"/>
      <c r="S301" s="643"/>
      <c r="T301" s="643"/>
      <c r="U301" s="643"/>
      <c r="V301" s="643"/>
      <c r="W301" s="643"/>
      <c r="X301" s="643"/>
      <c r="Y301" s="643"/>
      <c r="AA301" s="643"/>
      <c r="AC301" s="643"/>
      <c r="AD301" s="643"/>
      <c r="AE301" s="643"/>
      <c r="AF301" s="643"/>
      <c r="AG301" s="643"/>
      <c r="AH301" s="1517"/>
      <c r="AI301" s="644"/>
      <c r="AJ301" s="643"/>
      <c r="AK301" s="643"/>
      <c r="AL301" s="643"/>
      <c r="AM301" s="643"/>
      <c r="AN301" s="643"/>
      <c r="AO301" s="643"/>
      <c r="AP301" s="643"/>
      <c r="AQ301" s="643"/>
      <c r="AR301" s="643"/>
      <c r="AS301" s="643"/>
      <c r="AT301" s="643"/>
      <c r="AU301" s="643"/>
      <c r="AV301" s="643"/>
      <c r="AW301" s="643"/>
      <c r="AX301" s="643"/>
      <c r="AY301" s="643"/>
      <c r="AZ301" s="643"/>
      <c r="BA301" s="643"/>
      <c r="BB301" s="643"/>
      <c r="BC301" s="643"/>
      <c r="BD301" s="643"/>
      <c r="BE301" s="643"/>
      <c r="BF301" s="643"/>
      <c r="BG301" s="643"/>
      <c r="BH301" s="643"/>
      <c r="BI301" s="643"/>
      <c r="BJ301" s="643"/>
      <c r="BK301" s="643"/>
      <c r="BL301" s="643"/>
      <c r="BM301" s="643"/>
      <c r="BN301" s="643"/>
      <c r="BO301" s="643"/>
      <c r="BP301" s="643"/>
      <c r="BQ301" s="643"/>
      <c r="BR301" s="643"/>
      <c r="BS301" s="643"/>
      <c r="BT301" s="643"/>
      <c r="BU301" s="643"/>
      <c r="BV301" s="643"/>
      <c r="BW301" s="643"/>
      <c r="BX301" s="643"/>
      <c r="BY301" s="643"/>
      <c r="BZ301" s="643"/>
      <c r="CA301" s="643"/>
      <c r="CB301" s="643"/>
      <c r="CC301" s="643"/>
      <c r="CD301" s="643"/>
      <c r="CE301" s="643"/>
      <c r="CF301" s="643"/>
      <c r="CG301" s="643"/>
      <c r="CH301" s="643"/>
      <c r="CI301" s="643"/>
      <c r="CJ301" s="643"/>
      <c r="CK301" s="643"/>
      <c r="CL301" s="643"/>
      <c r="CM301" s="643"/>
      <c r="CN301" s="643"/>
      <c r="CO301" s="643"/>
      <c r="CP301" s="643"/>
      <c r="CQ301" s="643"/>
      <c r="CR301" s="643"/>
      <c r="CS301" s="643"/>
      <c r="CT301" s="643"/>
      <c r="CU301" s="643"/>
      <c r="CV301" s="643"/>
      <c r="CW301" s="643"/>
      <c r="CX301" s="643"/>
      <c r="CY301" s="643"/>
      <c r="CZ301" s="643"/>
      <c r="DA301" s="643"/>
      <c r="DB301" s="643"/>
      <c r="DC301" s="643"/>
      <c r="DD301" s="643"/>
      <c r="DE301" s="643"/>
      <c r="DF301" s="643"/>
      <c r="DG301" s="643"/>
      <c r="DH301" s="643"/>
      <c r="DI301" s="643"/>
      <c r="DJ301" s="643"/>
      <c r="DK301" s="643"/>
      <c r="DL301" s="643"/>
      <c r="DM301" s="643"/>
      <c r="DN301" s="643"/>
      <c r="DO301" s="643"/>
      <c r="DP301" s="643"/>
      <c r="DQ301" s="643"/>
      <c r="DR301" s="643"/>
      <c r="DS301" s="643"/>
      <c r="DT301" s="643"/>
      <c r="DU301" s="643"/>
      <c r="DV301" s="643"/>
      <c r="DW301" s="643"/>
      <c r="DX301" s="643"/>
      <c r="DY301" s="643"/>
      <c r="DZ301" s="643"/>
      <c r="EA301" s="643"/>
      <c r="EB301" s="643"/>
      <c r="EC301" s="643"/>
      <c r="ED301" s="643"/>
      <c r="EE301" s="643"/>
      <c r="EF301" s="643"/>
      <c r="EG301" s="643"/>
      <c r="EH301" s="643"/>
      <c r="EI301" s="643"/>
      <c r="EJ301" s="643"/>
      <c r="EK301" s="643"/>
      <c r="EL301" s="643"/>
      <c r="EM301" s="643"/>
      <c r="EN301" s="643"/>
      <c r="EO301" s="643"/>
      <c r="EP301" s="643"/>
      <c r="EQ301" s="643"/>
      <c r="ER301" s="643"/>
    </row>
    <row r="303" spans="6:148" s="645" customFormat="1" ht="15.75" customHeight="1">
      <c r="F303" s="643"/>
      <c r="G303" s="643"/>
      <c r="H303" s="643"/>
      <c r="I303" s="643"/>
      <c r="J303" s="643"/>
      <c r="K303" s="643"/>
      <c r="L303" s="643"/>
      <c r="M303" s="643"/>
      <c r="N303" s="643"/>
      <c r="O303" s="643"/>
      <c r="P303" s="643"/>
      <c r="Q303" s="643"/>
      <c r="R303" s="643"/>
      <c r="S303" s="643"/>
      <c r="T303" s="643"/>
      <c r="U303" s="643"/>
      <c r="V303" s="643"/>
      <c r="W303" s="643"/>
      <c r="X303" s="643"/>
      <c r="Y303" s="643"/>
      <c r="AA303" s="643"/>
      <c r="AC303" s="643"/>
      <c r="AD303" s="643"/>
      <c r="AE303" s="643"/>
      <c r="AF303" s="643"/>
      <c r="AG303" s="643"/>
      <c r="AH303" s="1517"/>
      <c r="AI303" s="644"/>
      <c r="AJ303" s="643"/>
      <c r="AK303" s="643"/>
      <c r="AL303" s="643"/>
      <c r="AM303" s="643"/>
      <c r="AN303" s="643"/>
      <c r="AO303" s="643"/>
      <c r="AP303" s="643"/>
      <c r="AQ303" s="643"/>
      <c r="AR303" s="643"/>
      <c r="AS303" s="643"/>
      <c r="AT303" s="643"/>
      <c r="AU303" s="643"/>
      <c r="AV303" s="643"/>
      <c r="AW303" s="643"/>
      <c r="AX303" s="643"/>
      <c r="AY303" s="643"/>
      <c r="AZ303" s="643"/>
      <c r="BA303" s="643"/>
      <c r="BB303" s="643"/>
      <c r="BC303" s="643"/>
      <c r="BD303" s="643"/>
      <c r="BE303" s="643"/>
      <c r="BF303" s="643"/>
      <c r="BG303" s="643"/>
      <c r="BH303" s="643"/>
      <c r="BI303" s="643"/>
      <c r="BJ303" s="643"/>
      <c r="BK303" s="643"/>
      <c r="BL303" s="643"/>
      <c r="BM303" s="643"/>
      <c r="BN303" s="643"/>
      <c r="BO303" s="643"/>
      <c r="BP303" s="643"/>
      <c r="BQ303" s="643"/>
      <c r="BR303" s="643"/>
      <c r="BS303" s="643"/>
      <c r="BT303" s="643"/>
      <c r="BU303" s="643"/>
      <c r="BV303" s="643"/>
      <c r="BW303" s="643"/>
      <c r="BX303" s="643"/>
      <c r="BY303" s="643"/>
      <c r="BZ303" s="643"/>
      <c r="CA303" s="643"/>
      <c r="CB303" s="643"/>
      <c r="CC303" s="643"/>
      <c r="CD303" s="643"/>
      <c r="CE303" s="643"/>
      <c r="CF303" s="643"/>
      <c r="CG303" s="643"/>
      <c r="CH303" s="643"/>
      <c r="CI303" s="643"/>
      <c r="CJ303" s="643"/>
      <c r="CK303" s="643"/>
      <c r="CL303" s="643"/>
      <c r="CM303" s="643"/>
      <c r="CN303" s="643"/>
      <c r="CO303" s="643"/>
      <c r="CP303" s="643"/>
      <c r="CQ303" s="643"/>
      <c r="CR303" s="643"/>
      <c r="CS303" s="643"/>
      <c r="CT303" s="643"/>
      <c r="CU303" s="643"/>
      <c r="CV303" s="643"/>
      <c r="CW303" s="643"/>
      <c r="CX303" s="643"/>
      <c r="CY303" s="643"/>
      <c r="CZ303" s="643"/>
      <c r="DA303" s="643"/>
      <c r="DB303" s="643"/>
      <c r="DC303" s="643"/>
      <c r="DD303" s="643"/>
      <c r="DE303" s="643"/>
      <c r="DF303" s="643"/>
      <c r="DG303" s="643"/>
      <c r="DH303" s="643"/>
      <c r="DI303" s="643"/>
      <c r="DJ303" s="643"/>
      <c r="DK303" s="643"/>
      <c r="DL303" s="643"/>
      <c r="DM303" s="643"/>
      <c r="DN303" s="643"/>
      <c r="DO303" s="643"/>
      <c r="DP303" s="643"/>
      <c r="DQ303" s="643"/>
      <c r="DR303" s="643"/>
      <c r="DS303" s="643"/>
      <c r="DT303" s="643"/>
      <c r="DU303" s="643"/>
      <c r="DV303" s="643"/>
      <c r="DW303" s="643"/>
      <c r="DX303" s="643"/>
      <c r="DY303" s="643"/>
      <c r="DZ303" s="643"/>
      <c r="EA303" s="643"/>
      <c r="EB303" s="643"/>
      <c r="EC303" s="643"/>
      <c r="ED303" s="643"/>
      <c r="EE303" s="643"/>
      <c r="EF303" s="643"/>
      <c r="EG303" s="643"/>
      <c r="EH303" s="643"/>
      <c r="EI303" s="643"/>
      <c r="EJ303" s="643"/>
      <c r="EK303" s="643"/>
      <c r="EL303" s="643"/>
      <c r="EM303" s="643"/>
      <c r="EN303" s="643"/>
      <c r="EO303" s="643"/>
      <c r="EP303" s="643"/>
      <c r="EQ303" s="643"/>
      <c r="ER303" s="643"/>
    </row>
    <row r="305" spans="6:148" s="645" customFormat="1" ht="15.75" customHeight="1">
      <c r="F305" s="643"/>
      <c r="G305" s="643"/>
      <c r="H305" s="643"/>
      <c r="I305" s="643"/>
      <c r="J305" s="643"/>
      <c r="K305" s="643"/>
      <c r="L305" s="643"/>
      <c r="M305" s="643"/>
      <c r="N305" s="643"/>
      <c r="O305" s="643"/>
      <c r="P305" s="643"/>
      <c r="Q305" s="643"/>
      <c r="R305" s="643"/>
      <c r="S305" s="643"/>
      <c r="T305" s="643"/>
      <c r="U305" s="643"/>
      <c r="V305" s="643"/>
      <c r="W305" s="643"/>
      <c r="X305" s="643"/>
      <c r="Y305" s="643"/>
      <c r="AA305" s="643"/>
      <c r="AC305" s="643"/>
      <c r="AD305" s="643"/>
      <c r="AE305" s="643"/>
      <c r="AF305" s="643"/>
      <c r="AG305" s="643"/>
      <c r="AH305" s="1517"/>
      <c r="AI305" s="644"/>
      <c r="AJ305" s="643"/>
      <c r="AK305" s="643"/>
      <c r="AL305" s="643"/>
      <c r="AM305" s="643"/>
      <c r="AN305" s="643"/>
      <c r="AO305" s="643"/>
      <c r="AP305" s="643"/>
      <c r="AQ305" s="643"/>
      <c r="AR305" s="643"/>
      <c r="AS305" s="643"/>
      <c r="AT305" s="643"/>
      <c r="AU305" s="643"/>
      <c r="AV305" s="643"/>
      <c r="AW305" s="643"/>
      <c r="AX305" s="643"/>
      <c r="AY305" s="643"/>
      <c r="AZ305" s="643"/>
      <c r="BA305" s="643"/>
      <c r="BB305" s="643"/>
      <c r="BC305" s="643"/>
      <c r="BD305" s="643"/>
      <c r="BE305" s="643"/>
      <c r="BF305" s="643"/>
      <c r="BG305" s="643"/>
      <c r="BH305" s="643"/>
      <c r="BI305" s="643"/>
      <c r="BJ305" s="643"/>
      <c r="BK305" s="643"/>
      <c r="BL305" s="643"/>
      <c r="BM305" s="643"/>
      <c r="BN305" s="643"/>
      <c r="BO305" s="643"/>
      <c r="BP305" s="643"/>
      <c r="BQ305" s="643"/>
      <c r="BR305" s="643"/>
      <c r="BS305" s="643"/>
      <c r="BT305" s="643"/>
      <c r="BU305" s="643"/>
      <c r="BV305" s="643"/>
      <c r="BW305" s="643"/>
      <c r="BX305" s="643"/>
      <c r="BY305" s="643"/>
      <c r="BZ305" s="643"/>
      <c r="CA305" s="643"/>
      <c r="CB305" s="643"/>
      <c r="CC305" s="643"/>
      <c r="CD305" s="643"/>
      <c r="CE305" s="643"/>
      <c r="CF305" s="643"/>
      <c r="CG305" s="643"/>
      <c r="CH305" s="643"/>
      <c r="CI305" s="643"/>
      <c r="CJ305" s="643"/>
      <c r="CK305" s="643"/>
      <c r="CL305" s="643"/>
      <c r="CM305" s="643"/>
      <c r="CN305" s="643"/>
      <c r="CO305" s="643"/>
      <c r="CP305" s="643"/>
      <c r="CQ305" s="643"/>
      <c r="CR305" s="643"/>
      <c r="CS305" s="643"/>
      <c r="CT305" s="643"/>
      <c r="CU305" s="643"/>
      <c r="CV305" s="643"/>
      <c r="CW305" s="643"/>
      <c r="CX305" s="643"/>
      <c r="CY305" s="643"/>
      <c r="CZ305" s="643"/>
      <c r="DA305" s="643"/>
      <c r="DB305" s="643"/>
      <c r="DC305" s="643"/>
      <c r="DD305" s="643"/>
      <c r="DE305" s="643"/>
      <c r="DF305" s="643"/>
      <c r="DG305" s="643"/>
      <c r="DH305" s="643"/>
      <c r="DI305" s="643"/>
      <c r="DJ305" s="643"/>
      <c r="DK305" s="643"/>
      <c r="DL305" s="643"/>
      <c r="DM305" s="643"/>
      <c r="DN305" s="643"/>
      <c r="DO305" s="643"/>
      <c r="DP305" s="643"/>
      <c r="DQ305" s="643"/>
      <c r="DR305" s="643"/>
      <c r="DS305" s="643"/>
      <c r="DT305" s="643"/>
      <c r="DU305" s="643"/>
      <c r="DV305" s="643"/>
      <c r="DW305" s="643"/>
      <c r="DX305" s="643"/>
      <c r="DY305" s="643"/>
      <c r="DZ305" s="643"/>
      <c r="EA305" s="643"/>
      <c r="EB305" s="643"/>
      <c r="EC305" s="643"/>
      <c r="ED305" s="643"/>
      <c r="EE305" s="643"/>
      <c r="EF305" s="643"/>
      <c r="EG305" s="643"/>
      <c r="EH305" s="643"/>
      <c r="EI305" s="643"/>
      <c r="EJ305" s="643"/>
      <c r="EK305" s="643"/>
      <c r="EL305" s="643"/>
      <c r="EM305" s="643"/>
      <c r="EN305" s="643"/>
      <c r="EO305" s="643"/>
      <c r="EP305" s="643"/>
      <c r="EQ305" s="643"/>
      <c r="ER305" s="643"/>
    </row>
    <row r="307" spans="6:148" s="645" customFormat="1" ht="15.75" customHeight="1">
      <c r="F307" s="643"/>
      <c r="G307" s="643"/>
      <c r="H307" s="643"/>
      <c r="I307" s="643"/>
      <c r="J307" s="643"/>
      <c r="K307" s="643"/>
      <c r="L307" s="643"/>
      <c r="M307" s="643"/>
      <c r="N307" s="643"/>
      <c r="O307" s="643"/>
      <c r="P307" s="643"/>
      <c r="Q307" s="643"/>
      <c r="R307" s="643"/>
      <c r="S307" s="643"/>
      <c r="T307" s="643"/>
      <c r="U307" s="643"/>
      <c r="V307" s="643"/>
      <c r="W307" s="643"/>
      <c r="X307" s="643"/>
      <c r="Y307" s="643"/>
      <c r="AA307" s="643"/>
      <c r="AC307" s="643"/>
      <c r="AD307" s="643"/>
      <c r="AE307" s="643"/>
      <c r="AF307" s="643"/>
      <c r="AG307" s="643"/>
      <c r="AH307" s="1517"/>
      <c r="AI307" s="644"/>
      <c r="AJ307" s="643"/>
      <c r="AK307" s="643"/>
      <c r="AL307" s="643"/>
      <c r="AM307" s="643"/>
      <c r="AN307" s="643"/>
      <c r="AO307" s="643"/>
      <c r="AP307" s="643"/>
      <c r="AQ307" s="643"/>
      <c r="AR307" s="643"/>
      <c r="AS307" s="643"/>
      <c r="AT307" s="643"/>
      <c r="AU307" s="643"/>
      <c r="AV307" s="643"/>
      <c r="AW307" s="643"/>
      <c r="AX307" s="643"/>
      <c r="AY307" s="643"/>
      <c r="AZ307" s="643"/>
      <c r="BA307" s="643"/>
      <c r="BB307" s="643"/>
      <c r="BC307" s="643"/>
      <c r="BD307" s="643"/>
      <c r="BE307" s="643"/>
      <c r="BF307" s="643"/>
      <c r="BG307" s="643"/>
      <c r="BH307" s="643"/>
      <c r="BI307" s="643"/>
      <c r="BJ307" s="643"/>
      <c r="BK307" s="643"/>
      <c r="BL307" s="643"/>
      <c r="BM307" s="643"/>
      <c r="BN307" s="643"/>
      <c r="BO307" s="643"/>
      <c r="BP307" s="643"/>
      <c r="BQ307" s="643"/>
      <c r="BR307" s="643"/>
      <c r="BS307" s="643"/>
      <c r="BT307" s="643"/>
      <c r="BU307" s="643"/>
      <c r="BV307" s="643"/>
      <c r="BW307" s="643"/>
      <c r="BX307" s="643"/>
      <c r="BY307" s="643"/>
      <c r="BZ307" s="643"/>
      <c r="CA307" s="643"/>
      <c r="CB307" s="643"/>
      <c r="CC307" s="643"/>
      <c r="CD307" s="643"/>
      <c r="CE307" s="643"/>
      <c r="CF307" s="643"/>
      <c r="CG307" s="643"/>
      <c r="CH307" s="643"/>
      <c r="CI307" s="643"/>
      <c r="CJ307" s="643"/>
      <c r="CK307" s="643"/>
      <c r="CL307" s="643"/>
      <c r="CM307" s="643"/>
      <c r="CN307" s="643"/>
      <c r="CO307" s="643"/>
      <c r="CP307" s="643"/>
      <c r="CQ307" s="643"/>
      <c r="CR307" s="643"/>
      <c r="CS307" s="643"/>
      <c r="CT307" s="643"/>
      <c r="CU307" s="643"/>
      <c r="CV307" s="643"/>
      <c r="CW307" s="643"/>
      <c r="CX307" s="643"/>
      <c r="CY307" s="643"/>
      <c r="CZ307" s="643"/>
      <c r="DA307" s="643"/>
      <c r="DB307" s="643"/>
      <c r="DC307" s="643"/>
      <c r="DD307" s="643"/>
      <c r="DE307" s="643"/>
      <c r="DF307" s="643"/>
      <c r="DG307" s="643"/>
      <c r="DH307" s="643"/>
      <c r="DI307" s="643"/>
      <c r="DJ307" s="643"/>
      <c r="DK307" s="643"/>
      <c r="DL307" s="643"/>
      <c r="DM307" s="643"/>
      <c r="DN307" s="643"/>
      <c r="DO307" s="643"/>
      <c r="DP307" s="643"/>
      <c r="DQ307" s="643"/>
      <c r="DR307" s="643"/>
      <c r="DS307" s="643"/>
      <c r="DT307" s="643"/>
      <c r="DU307" s="643"/>
      <c r="DV307" s="643"/>
      <c r="DW307" s="643"/>
      <c r="DX307" s="643"/>
      <c r="DY307" s="643"/>
      <c r="DZ307" s="643"/>
      <c r="EA307" s="643"/>
      <c r="EB307" s="643"/>
      <c r="EC307" s="643"/>
      <c r="ED307" s="643"/>
      <c r="EE307" s="643"/>
      <c r="EF307" s="643"/>
      <c r="EG307" s="643"/>
      <c r="EH307" s="643"/>
      <c r="EI307" s="643"/>
      <c r="EJ307" s="643"/>
      <c r="EK307" s="643"/>
      <c r="EL307" s="643"/>
      <c r="EM307" s="643"/>
      <c r="EN307" s="643"/>
      <c r="EO307" s="643"/>
      <c r="EP307" s="643"/>
      <c r="EQ307" s="643"/>
      <c r="ER307" s="643"/>
    </row>
    <row r="309" spans="6:148" s="645" customFormat="1" ht="15.75" customHeight="1">
      <c r="F309" s="643"/>
      <c r="G309" s="643"/>
      <c r="H309" s="643"/>
      <c r="I309" s="643"/>
      <c r="J309" s="643"/>
      <c r="K309" s="643"/>
      <c r="L309" s="643"/>
      <c r="M309" s="643"/>
      <c r="N309" s="643"/>
      <c r="O309" s="643"/>
      <c r="P309" s="643"/>
      <c r="Q309" s="643"/>
      <c r="R309" s="643"/>
      <c r="S309" s="643"/>
      <c r="T309" s="643"/>
      <c r="U309" s="643"/>
      <c r="V309" s="643"/>
      <c r="W309" s="643"/>
      <c r="X309" s="643"/>
      <c r="Y309" s="643"/>
      <c r="AA309" s="643"/>
      <c r="AC309" s="643"/>
      <c r="AD309" s="643"/>
      <c r="AE309" s="643"/>
      <c r="AF309" s="643"/>
      <c r="AG309" s="643"/>
      <c r="AH309" s="1517"/>
      <c r="AI309" s="644"/>
      <c r="AJ309" s="643"/>
      <c r="AK309" s="643"/>
      <c r="AL309" s="643"/>
      <c r="AM309" s="643"/>
      <c r="AN309" s="643"/>
      <c r="AO309" s="643"/>
      <c r="AP309" s="643"/>
      <c r="AQ309" s="643"/>
      <c r="AR309" s="643"/>
      <c r="AS309" s="643"/>
      <c r="AT309" s="643"/>
      <c r="AU309" s="643"/>
      <c r="AV309" s="643"/>
      <c r="AW309" s="643"/>
      <c r="AX309" s="643"/>
      <c r="AY309" s="643"/>
      <c r="AZ309" s="643"/>
      <c r="BA309" s="643"/>
      <c r="BB309" s="643"/>
      <c r="BC309" s="643"/>
      <c r="BD309" s="643"/>
      <c r="BE309" s="643"/>
      <c r="BF309" s="643"/>
      <c r="BG309" s="643"/>
      <c r="BH309" s="643"/>
      <c r="BI309" s="643"/>
      <c r="BJ309" s="643"/>
      <c r="BK309" s="643"/>
      <c r="BL309" s="643"/>
      <c r="BM309" s="643"/>
      <c r="BN309" s="643"/>
      <c r="BO309" s="643"/>
      <c r="BP309" s="643"/>
      <c r="BQ309" s="643"/>
      <c r="BR309" s="643"/>
      <c r="BS309" s="643"/>
      <c r="BT309" s="643"/>
      <c r="BU309" s="643"/>
      <c r="BV309" s="643"/>
      <c r="BW309" s="643"/>
      <c r="BX309" s="643"/>
      <c r="BY309" s="643"/>
      <c r="BZ309" s="643"/>
      <c r="CA309" s="643"/>
      <c r="CB309" s="643"/>
      <c r="CC309" s="643"/>
      <c r="CD309" s="643"/>
      <c r="CE309" s="643"/>
      <c r="CF309" s="643"/>
      <c r="CG309" s="643"/>
      <c r="CH309" s="643"/>
      <c r="CI309" s="643"/>
      <c r="CJ309" s="643"/>
      <c r="CK309" s="643"/>
      <c r="CL309" s="643"/>
      <c r="CM309" s="643"/>
      <c r="CN309" s="643"/>
      <c r="CO309" s="643"/>
      <c r="CP309" s="643"/>
      <c r="CQ309" s="643"/>
      <c r="CR309" s="643"/>
      <c r="CS309" s="643"/>
      <c r="CT309" s="643"/>
      <c r="CU309" s="643"/>
      <c r="CV309" s="643"/>
      <c r="CW309" s="643"/>
      <c r="CX309" s="643"/>
      <c r="CY309" s="643"/>
      <c r="CZ309" s="643"/>
      <c r="DA309" s="643"/>
      <c r="DB309" s="643"/>
      <c r="DC309" s="643"/>
      <c r="DD309" s="643"/>
      <c r="DE309" s="643"/>
      <c r="DF309" s="643"/>
      <c r="DG309" s="643"/>
      <c r="DH309" s="643"/>
      <c r="DI309" s="643"/>
      <c r="DJ309" s="643"/>
      <c r="DK309" s="643"/>
      <c r="DL309" s="643"/>
      <c r="DM309" s="643"/>
      <c r="DN309" s="643"/>
      <c r="DO309" s="643"/>
      <c r="DP309" s="643"/>
      <c r="DQ309" s="643"/>
      <c r="DR309" s="643"/>
      <c r="DS309" s="643"/>
      <c r="DT309" s="643"/>
      <c r="DU309" s="643"/>
      <c r="DV309" s="643"/>
      <c r="DW309" s="643"/>
      <c r="DX309" s="643"/>
      <c r="DY309" s="643"/>
      <c r="DZ309" s="643"/>
      <c r="EA309" s="643"/>
      <c r="EB309" s="643"/>
      <c r="EC309" s="643"/>
      <c r="ED309" s="643"/>
      <c r="EE309" s="643"/>
      <c r="EF309" s="643"/>
      <c r="EG309" s="643"/>
      <c r="EH309" s="643"/>
      <c r="EI309" s="643"/>
      <c r="EJ309" s="643"/>
      <c r="EK309" s="643"/>
      <c r="EL309" s="643"/>
      <c r="EM309" s="643"/>
      <c r="EN309" s="643"/>
      <c r="EO309" s="643"/>
      <c r="EP309" s="643"/>
      <c r="EQ309" s="643"/>
      <c r="ER309" s="643"/>
    </row>
    <row r="311" spans="6:148" s="645" customFormat="1" ht="15.75" customHeight="1">
      <c r="F311" s="643"/>
      <c r="G311" s="643"/>
      <c r="H311" s="643"/>
      <c r="I311" s="643"/>
      <c r="J311" s="643"/>
      <c r="K311" s="643"/>
      <c r="L311" s="643"/>
      <c r="M311" s="643"/>
      <c r="N311" s="643"/>
      <c r="O311" s="643"/>
      <c r="P311" s="643"/>
      <c r="Q311" s="643"/>
      <c r="R311" s="643"/>
      <c r="S311" s="643"/>
      <c r="T311" s="643"/>
      <c r="U311" s="643"/>
      <c r="V311" s="643"/>
      <c r="W311" s="643"/>
      <c r="X311" s="643"/>
      <c r="Y311" s="643"/>
      <c r="AA311" s="643"/>
      <c r="AC311" s="643"/>
      <c r="AD311" s="643"/>
      <c r="AE311" s="643"/>
      <c r="AF311" s="643"/>
      <c r="AG311" s="643"/>
      <c r="AH311" s="1517"/>
      <c r="AI311" s="644"/>
      <c r="AJ311" s="643"/>
      <c r="AK311" s="643"/>
      <c r="AL311" s="643"/>
      <c r="AM311" s="643"/>
      <c r="AN311" s="643"/>
      <c r="AO311" s="643"/>
      <c r="AP311" s="643"/>
      <c r="AQ311" s="643"/>
      <c r="AR311" s="643"/>
      <c r="AS311" s="643"/>
      <c r="AT311" s="643"/>
      <c r="AU311" s="643"/>
      <c r="AV311" s="643"/>
      <c r="AW311" s="643"/>
      <c r="AX311" s="643"/>
      <c r="AY311" s="643"/>
      <c r="AZ311" s="643"/>
      <c r="BA311" s="643"/>
      <c r="BB311" s="643"/>
      <c r="BC311" s="643"/>
      <c r="BD311" s="643"/>
      <c r="BE311" s="643"/>
      <c r="BF311" s="643"/>
      <c r="BG311" s="643"/>
      <c r="BH311" s="643"/>
      <c r="BI311" s="643"/>
      <c r="BJ311" s="643"/>
      <c r="BK311" s="643"/>
      <c r="BL311" s="643"/>
      <c r="BM311" s="643"/>
      <c r="BN311" s="643"/>
      <c r="BO311" s="643"/>
      <c r="BP311" s="643"/>
      <c r="BQ311" s="643"/>
      <c r="BR311" s="643"/>
      <c r="BS311" s="643"/>
      <c r="BT311" s="643"/>
      <c r="BU311" s="643"/>
      <c r="BV311" s="643"/>
      <c r="BW311" s="643"/>
      <c r="BX311" s="643"/>
      <c r="BY311" s="643"/>
      <c r="BZ311" s="643"/>
      <c r="CA311" s="643"/>
      <c r="CB311" s="643"/>
      <c r="CC311" s="643"/>
      <c r="CD311" s="643"/>
      <c r="CE311" s="643"/>
      <c r="CF311" s="643"/>
      <c r="CG311" s="643"/>
      <c r="CH311" s="643"/>
      <c r="CI311" s="643"/>
      <c r="CJ311" s="643"/>
      <c r="CK311" s="643"/>
      <c r="CL311" s="643"/>
      <c r="CM311" s="643"/>
      <c r="CN311" s="643"/>
      <c r="CO311" s="643"/>
      <c r="CP311" s="643"/>
      <c r="CQ311" s="643"/>
      <c r="CR311" s="643"/>
      <c r="CS311" s="643"/>
      <c r="CT311" s="643"/>
      <c r="CU311" s="643"/>
      <c r="CV311" s="643"/>
      <c r="CW311" s="643"/>
      <c r="CX311" s="643"/>
      <c r="CY311" s="643"/>
      <c r="CZ311" s="643"/>
      <c r="DA311" s="643"/>
      <c r="DB311" s="643"/>
      <c r="DC311" s="643"/>
      <c r="DD311" s="643"/>
      <c r="DE311" s="643"/>
      <c r="DF311" s="643"/>
      <c r="DG311" s="643"/>
      <c r="DH311" s="643"/>
      <c r="DI311" s="643"/>
      <c r="DJ311" s="643"/>
      <c r="DK311" s="643"/>
      <c r="DL311" s="643"/>
      <c r="DM311" s="643"/>
      <c r="DN311" s="643"/>
      <c r="DO311" s="643"/>
      <c r="DP311" s="643"/>
      <c r="DQ311" s="643"/>
      <c r="DR311" s="643"/>
      <c r="DS311" s="643"/>
      <c r="DT311" s="643"/>
      <c r="DU311" s="643"/>
      <c r="DV311" s="643"/>
      <c r="DW311" s="643"/>
      <c r="DX311" s="643"/>
      <c r="DY311" s="643"/>
      <c r="DZ311" s="643"/>
      <c r="EA311" s="643"/>
      <c r="EB311" s="643"/>
      <c r="EC311" s="643"/>
      <c r="ED311" s="643"/>
      <c r="EE311" s="643"/>
      <c r="EF311" s="643"/>
      <c r="EG311" s="643"/>
      <c r="EH311" s="643"/>
      <c r="EI311" s="643"/>
      <c r="EJ311" s="643"/>
      <c r="EK311" s="643"/>
      <c r="EL311" s="643"/>
      <c r="EM311" s="643"/>
      <c r="EN311" s="643"/>
      <c r="EO311" s="643"/>
      <c r="EP311" s="643"/>
      <c r="EQ311" s="643"/>
      <c r="ER311" s="643"/>
    </row>
    <row r="313" spans="6:148" s="645" customFormat="1" ht="15.75" customHeight="1">
      <c r="F313" s="643"/>
      <c r="G313" s="643"/>
      <c r="H313" s="643"/>
      <c r="I313" s="643"/>
      <c r="J313" s="643"/>
      <c r="K313" s="643"/>
      <c r="L313" s="643"/>
      <c r="M313" s="643"/>
      <c r="N313" s="643"/>
      <c r="O313" s="643"/>
      <c r="P313" s="643"/>
      <c r="Q313" s="643"/>
      <c r="R313" s="643"/>
      <c r="S313" s="643"/>
      <c r="T313" s="643"/>
      <c r="U313" s="643"/>
      <c r="V313" s="643"/>
      <c r="W313" s="643"/>
      <c r="X313" s="643"/>
      <c r="Y313" s="643"/>
      <c r="AA313" s="643"/>
      <c r="AC313" s="643"/>
      <c r="AD313" s="643"/>
      <c r="AE313" s="643"/>
      <c r="AF313" s="643"/>
      <c r="AG313" s="643"/>
      <c r="AH313" s="1517"/>
      <c r="AI313" s="644"/>
      <c r="AJ313" s="643"/>
      <c r="AK313" s="643"/>
      <c r="AL313" s="643"/>
      <c r="AM313" s="643"/>
      <c r="AN313" s="643"/>
      <c r="AO313" s="643"/>
      <c r="AP313" s="643"/>
      <c r="AQ313" s="643"/>
      <c r="AR313" s="643"/>
      <c r="AS313" s="643"/>
      <c r="AT313" s="643"/>
      <c r="AU313" s="643"/>
      <c r="AV313" s="643"/>
      <c r="AW313" s="643"/>
      <c r="AX313" s="643"/>
      <c r="AY313" s="643"/>
      <c r="AZ313" s="643"/>
      <c r="BA313" s="643"/>
      <c r="BB313" s="643"/>
      <c r="BC313" s="643"/>
      <c r="BD313" s="643"/>
      <c r="BE313" s="643"/>
      <c r="BF313" s="643"/>
      <c r="BG313" s="643"/>
      <c r="BH313" s="643"/>
      <c r="BI313" s="643"/>
      <c r="BJ313" s="643"/>
      <c r="BK313" s="643"/>
      <c r="BL313" s="643"/>
      <c r="BM313" s="643"/>
      <c r="BN313" s="643"/>
      <c r="BO313" s="643"/>
      <c r="BP313" s="643"/>
      <c r="BQ313" s="643"/>
      <c r="BR313" s="643"/>
      <c r="BS313" s="643"/>
      <c r="BT313" s="643"/>
      <c r="BU313" s="643"/>
      <c r="BV313" s="643"/>
      <c r="BW313" s="643"/>
      <c r="BX313" s="643"/>
      <c r="BY313" s="643"/>
      <c r="BZ313" s="643"/>
      <c r="CA313" s="643"/>
      <c r="CB313" s="643"/>
      <c r="CC313" s="643"/>
      <c r="CD313" s="643"/>
      <c r="CE313" s="643"/>
      <c r="CF313" s="643"/>
      <c r="CG313" s="643"/>
      <c r="CH313" s="643"/>
      <c r="CI313" s="643"/>
      <c r="CJ313" s="643"/>
      <c r="CK313" s="643"/>
      <c r="CL313" s="643"/>
      <c r="CM313" s="643"/>
      <c r="CN313" s="643"/>
      <c r="CO313" s="643"/>
      <c r="CP313" s="643"/>
      <c r="CQ313" s="643"/>
      <c r="CR313" s="643"/>
      <c r="CS313" s="643"/>
      <c r="CT313" s="643"/>
      <c r="CU313" s="643"/>
      <c r="CV313" s="643"/>
      <c r="CW313" s="643"/>
      <c r="CX313" s="643"/>
      <c r="CY313" s="643"/>
      <c r="CZ313" s="643"/>
      <c r="DA313" s="643"/>
      <c r="DB313" s="643"/>
      <c r="DC313" s="643"/>
      <c r="DD313" s="643"/>
      <c r="DE313" s="643"/>
      <c r="DF313" s="643"/>
      <c r="DG313" s="643"/>
      <c r="DH313" s="643"/>
      <c r="DI313" s="643"/>
      <c r="DJ313" s="643"/>
      <c r="DK313" s="643"/>
      <c r="DL313" s="643"/>
      <c r="DM313" s="643"/>
      <c r="DN313" s="643"/>
      <c r="DO313" s="643"/>
      <c r="DP313" s="643"/>
      <c r="DQ313" s="643"/>
      <c r="DR313" s="643"/>
      <c r="DS313" s="643"/>
      <c r="DT313" s="643"/>
      <c r="DU313" s="643"/>
      <c r="DV313" s="643"/>
      <c r="DW313" s="643"/>
      <c r="DX313" s="643"/>
      <c r="DY313" s="643"/>
      <c r="DZ313" s="643"/>
      <c r="EA313" s="643"/>
      <c r="EB313" s="643"/>
      <c r="EC313" s="643"/>
      <c r="ED313" s="643"/>
      <c r="EE313" s="643"/>
      <c r="EF313" s="643"/>
      <c r="EG313" s="643"/>
      <c r="EH313" s="643"/>
      <c r="EI313" s="643"/>
      <c r="EJ313" s="643"/>
      <c r="EK313" s="643"/>
      <c r="EL313" s="643"/>
      <c r="EM313" s="643"/>
      <c r="EN313" s="643"/>
      <c r="EO313" s="643"/>
      <c r="EP313" s="643"/>
      <c r="EQ313" s="643"/>
      <c r="ER313" s="643"/>
    </row>
    <row r="315" spans="6:148" s="645" customFormat="1" ht="15.75" customHeight="1">
      <c r="F315" s="643"/>
      <c r="G315" s="643"/>
      <c r="H315" s="643"/>
      <c r="I315" s="643"/>
      <c r="J315" s="643"/>
      <c r="K315" s="643"/>
      <c r="L315" s="643"/>
      <c r="M315" s="643"/>
      <c r="N315" s="643"/>
      <c r="O315" s="643"/>
      <c r="P315" s="643"/>
      <c r="Q315" s="643"/>
      <c r="R315" s="643"/>
      <c r="S315" s="643"/>
      <c r="T315" s="643"/>
      <c r="U315" s="643"/>
      <c r="V315" s="643"/>
      <c r="W315" s="643"/>
      <c r="X315" s="643"/>
      <c r="Y315" s="643"/>
      <c r="AA315" s="643"/>
      <c r="AC315" s="643"/>
      <c r="AD315" s="643"/>
      <c r="AE315" s="643"/>
      <c r="AF315" s="643"/>
      <c r="AG315" s="643"/>
      <c r="AH315" s="1517"/>
      <c r="AI315" s="644"/>
      <c r="AJ315" s="643"/>
      <c r="AK315" s="643"/>
      <c r="AL315" s="643"/>
      <c r="AM315" s="643"/>
      <c r="AN315" s="643"/>
      <c r="AO315" s="643"/>
      <c r="AP315" s="643"/>
      <c r="AQ315" s="643"/>
      <c r="AR315" s="643"/>
      <c r="AS315" s="643"/>
      <c r="AT315" s="643"/>
      <c r="AU315" s="643"/>
      <c r="AV315" s="643"/>
      <c r="AW315" s="643"/>
      <c r="AX315" s="643"/>
      <c r="AY315" s="643"/>
      <c r="AZ315" s="643"/>
      <c r="BA315" s="643"/>
      <c r="BB315" s="643"/>
      <c r="BC315" s="643"/>
      <c r="BD315" s="643"/>
      <c r="BE315" s="643"/>
      <c r="BF315" s="643"/>
      <c r="BG315" s="643"/>
      <c r="BH315" s="643"/>
      <c r="BI315" s="643"/>
      <c r="BJ315" s="643"/>
      <c r="BK315" s="643"/>
      <c r="BL315" s="643"/>
      <c r="BM315" s="643"/>
      <c r="BN315" s="643"/>
      <c r="BO315" s="643"/>
      <c r="BP315" s="643"/>
      <c r="BQ315" s="643"/>
      <c r="BR315" s="643"/>
      <c r="BS315" s="643"/>
      <c r="BT315" s="643"/>
      <c r="BU315" s="643"/>
      <c r="BV315" s="643"/>
      <c r="BW315" s="643"/>
      <c r="BX315" s="643"/>
      <c r="BY315" s="643"/>
      <c r="BZ315" s="643"/>
      <c r="CA315" s="643"/>
      <c r="CB315" s="643"/>
      <c r="CC315" s="643"/>
      <c r="CD315" s="643"/>
      <c r="CE315" s="643"/>
      <c r="CF315" s="643"/>
      <c r="CG315" s="643"/>
      <c r="CH315" s="643"/>
      <c r="CI315" s="643"/>
      <c r="CJ315" s="643"/>
      <c r="CK315" s="643"/>
      <c r="CL315" s="643"/>
      <c r="CM315" s="643"/>
      <c r="CN315" s="643"/>
      <c r="CO315" s="643"/>
      <c r="CP315" s="643"/>
      <c r="CQ315" s="643"/>
      <c r="CR315" s="643"/>
      <c r="CS315" s="643"/>
      <c r="CT315" s="643"/>
      <c r="CU315" s="643"/>
      <c r="CV315" s="643"/>
      <c r="CW315" s="643"/>
      <c r="CX315" s="643"/>
      <c r="CY315" s="643"/>
      <c r="CZ315" s="643"/>
      <c r="DA315" s="643"/>
      <c r="DB315" s="643"/>
      <c r="DC315" s="643"/>
      <c r="DD315" s="643"/>
      <c r="DE315" s="643"/>
      <c r="DF315" s="643"/>
      <c r="DG315" s="643"/>
      <c r="DH315" s="643"/>
      <c r="DI315" s="643"/>
      <c r="DJ315" s="643"/>
      <c r="DK315" s="643"/>
      <c r="DL315" s="643"/>
      <c r="DM315" s="643"/>
      <c r="DN315" s="643"/>
      <c r="DO315" s="643"/>
      <c r="DP315" s="643"/>
      <c r="DQ315" s="643"/>
      <c r="DR315" s="643"/>
      <c r="DS315" s="643"/>
      <c r="DT315" s="643"/>
      <c r="DU315" s="643"/>
      <c r="DV315" s="643"/>
      <c r="DW315" s="643"/>
      <c r="DX315" s="643"/>
      <c r="DY315" s="643"/>
      <c r="DZ315" s="643"/>
      <c r="EA315" s="643"/>
      <c r="EB315" s="643"/>
      <c r="EC315" s="643"/>
      <c r="ED315" s="643"/>
      <c r="EE315" s="643"/>
      <c r="EF315" s="643"/>
      <c r="EG315" s="643"/>
      <c r="EH315" s="643"/>
      <c r="EI315" s="643"/>
      <c r="EJ315" s="643"/>
      <c r="EK315" s="643"/>
      <c r="EL315" s="643"/>
      <c r="EM315" s="643"/>
      <c r="EN315" s="643"/>
      <c r="EO315" s="643"/>
      <c r="EP315" s="643"/>
      <c r="EQ315" s="643"/>
      <c r="ER315" s="643"/>
    </row>
    <row r="317" spans="6:148" s="645" customFormat="1" ht="15.75" customHeight="1">
      <c r="F317" s="643"/>
      <c r="G317" s="643"/>
      <c r="H317" s="643"/>
      <c r="I317" s="643"/>
      <c r="J317" s="643"/>
      <c r="K317" s="643"/>
      <c r="L317" s="643"/>
      <c r="M317" s="643"/>
      <c r="N317" s="643"/>
      <c r="O317" s="643"/>
      <c r="P317" s="643"/>
      <c r="Q317" s="643"/>
      <c r="R317" s="643"/>
      <c r="S317" s="643"/>
      <c r="T317" s="643"/>
      <c r="U317" s="643"/>
      <c r="V317" s="643"/>
      <c r="W317" s="643"/>
      <c r="X317" s="643"/>
      <c r="Y317" s="643"/>
      <c r="AA317" s="643"/>
      <c r="AC317" s="643"/>
      <c r="AD317" s="643"/>
      <c r="AE317" s="643"/>
      <c r="AF317" s="643"/>
      <c r="AG317" s="643"/>
      <c r="AH317" s="1517"/>
      <c r="AI317" s="644"/>
      <c r="AJ317" s="643"/>
      <c r="AK317" s="643"/>
      <c r="AL317" s="643"/>
      <c r="AM317" s="643"/>
      <c r="AN317" s="643"/>
      <c r="AO317" s="643"/>
      <c r="AP317" s="643"/>
      <c r="AQ317" s="643"/>
      <c r="AR317" s="643"/>
      <c r="AS317" s="643"/>
      <c r="AT317" s="643"/>
      <c r="AU317" s="643"/>
      <c r="AV317" s="643"/>
      <c r="AW317" s="643"/>
      <c r="AX317" s="643"/>
      <c r="AY317" s="643"/>
      <c r="AZ317" s="643"/>
      <c r="BA317" s="643"/>
      <c r="BB317" s="643"/>
      <c r="BC317" s="643"/>
      <c r="BD317" s="643"/>
      <c r="BE317" s="643"/>
      <c r="BF317" s="643"/>
      <c r="BG317" s="643"/>
      <c r="BH317" s="643"/>
      <c r="BI317" s="643"/>
      <c r="BJ317" s="643"/>
      <c r="BK317" s="643"/>
      <c r="BL317" s="643"/>
      <c r="BM317" s="643"/>
      <c r="BN317" s="643"/>
      <c r="BO317" s="643"/>
      <c r="BP317" s="643"/>
      <c r="BQ317" s="643"/>
      <c r="BR317" s="643"/>
      <c r="BS317" s="643"/>
      <c r="BT317" s="643"/>
      <c r="BU317" s="643"/>
      <c r="BV317" s="643"/>
      <c r="BW317" s="643"/>
      <c r="BX317" s="643"/>
      <c r="BY317" s="643"/>
      <c r="BZ317" s="643"/>
      <c r="CA317" s="643"/>
      <c r="CB317" s="643"/>
      <c r="CC317" s="643"/>
      <c r="CD317" s="643"/>
      <c r="CE317" s="643"/>
      <c r="CF317" s="643"/>
      <c r="CG317" s="643"/>
      <c r="CH317" s="643"/>
      <c r="CI317" s="643"/>
      <c r="CJ317" s="643"/>
      <c r="CK317" s="643"/>
      <c r="CL317" s="643"/>
      <c r="CM317" s="643"/>
      <c r="CN317" s="643"/>
      <c r="CO317" s="643"/>
      <c r="CP317" s="643"/>
      <c r="CQ317" s="643"/>
      <c r="CR317" s="643"/>
      <c r="CS317" s="643"/>
      <c r="CT317" s="643"/>
      <c r="CU317" s="643"/>
      <c r="CV317" s="643"/>
      <c r="CW317" s="643"/>
      <c r="CX317" s="643"/>
      <c r="CY317" s="643"/>
      <c r="CZ317" s="643"/>
      <c r="DA317" s="643"/>
      <c r="DB317" s="643"/>
      <c r="DC317" s="643"/>
      <c r="DD317" s="643"/>
      <c r="DE317" s="643"/>
      <c r="DF317" s="643"/>
      <c r="DG317" s="643"/>
      <c r="DH317" s="643"/>
      <c r="DI317" s="643"/>
      <c r="DJ317" s="643"/>
      <c r="DK317" s="643"/>
      <c r="DL317" s="643"/>
      <c r="DM317" s="643"/>
      <c r="DN317" s="643"/>
      <c r="DO317" s="643"/>
      <c r="DP317" s="643"/>
      <c r="DQ317" s="643"/>
      <c r="DR317" s="643"/>
      <c r="DS317" s="643"/>
      <c r="DT317" s="643"/>
      <c r="DU317" s="643"/>
      <c r="DV317" s="643"/>
      <c r="DW317" s="643"/>
      <c r="DX317" s="643"/>
      <c r="DY317" s="643"/>
      <c r="DZ317" s="643"/>
      <c r="EA317" s="643"/>
      <c r="EB317" s="643"/>
      <c r="EC317" s="643"/>
      <c r="ED317" s="643"/>
      <c r="EE317" s="643"/>
      <c r="EF317" s="643"/>
      <c r="EG317" s="643"/>
      <c r="EH317" s="643"/>
      <c r="EI317" s="643"/>
      <c r="EJ317" s="643"/>
      <c r="EK317" s="643"/>
      <c r="EL317" s="643"/>
      <c r="EM317" s="643"/>
      <c r="EN317" s="643"/>
      <c r="EO317" s="643"/>
      <c r="EP317" s="643"/>
      <c r="EQ317" s="643"/>
      <c r="ER317" s="643"/>
    </row>
    <row r="319" spans="6:148" s="645" customFormat="1" ht="15.75" customHeight="1">
      <c r="F319" s="643"/>
      <c r="G319" s="643"/>
      <c r="H319" s="643"/>
      <c r="I319" s="643"/>
      <c r="J319" s="643"/>
      <c r="K319" s="643"/>
      <c r="L319" s="643"/>
      <c r="M319" s="643"/>
      <c r="N319" s="643"/>
      <c r="O319" s="643"/>
      <c r="P319" s="643"/>
      <c r="Q319" s="643"/>
      <c r="R319" s="643"/>
      <c r="S319" s="643"/>
      <c r="T319" s="643"/>
      <c r="U319" s="643"/>
      <c r="V319" s="643"/>
      <c r="W319" s="643"/>
      <c r="X319" s="643"/>
      <c r="Y319" s="643"/>
      <c r="AA319" s="643"/>
      <c r="AC319" s="643"/>
      <c r="AD319" s="643"/>
      <c r="AE319" s="643"/>
      <c r="AF319" s="643"/>
      <c r="AG319" s="643"/>
      <c r="AH319" s="1517"/>
      <c r="AI319" s="644"/>
      <c r="AJ319" s="643"/>
      <c r="AK319" s="643"/>
      <c r="AL319" s="643"/>
      <c r="AM319" s="643"/>
      <c r="AN319" s="643"/>
      <c r="AO319" s="643"/>
      <c r="AP319" s="643"/>
      <c r="AQ319" s="643"/>
      <c r="AR319" s="643"/>
      <c r="AS319" s="643"/>
      <c r="AT319" s="643"/>
      <c r="AU319" s="643"/>
      <c r="AV319" s="643"/>
      <c r="AW319" s="643"/>
      <c r="AX319" s="643"/>
      <c r="AY319" s="643"/>
      <c r="AZ319" s="643"/>
      <c r="BA319" s="643"/>
      <c r="BB319" s="643"/>
      <c r="BC319" s="643"/>
      <c r="BD319" s="643"/>
      <c r="BE319" s="643"/>
      <c r="BF319" s="643"/>
      <c r="BG319" s="643"/>
      <c r="BH319" s="643"/>
      <c r="BI319" s="643"/>
      <c r="BJ319" s="643"/>
      <c r="BK319" s="643"/>
      <c r="BL319" s="643"/>
      <c r="BM319" s="643"/>
      <c r="BN319" s="643"/>
      <c r="BO319" s="643"/>
      <c r="BP319" s="643"/>
      <c r="BQ319" s="643"/>
      <c r="BR319" s="643"/>
      <c r="BS319" s="643"/>
      <c r="BT319" s="643"/>
      <c r="BU319" s="643"/>
      <c r="BV319" s="643"/>
      <c r="BW319" s="643"/>
      <c r="BX319" s="643"/>
      <c r="BY319" s="643"/>
      <c r="BZ319" s="643"/>
      <c r="CA319" s="643"/>
      <c r="CB319" s="643"/>
      <c r="CC319" s="643"/>
      <c r="CD319" s="643"/>
      <c r="CE319" s="643"/>
      <c r="CF319" s="643"/>
      <c r="CG319" s="643"/>
      <c r="CH319" s="643"/>
      <c r="CI319" s="643"/>
      <c r="CJ319" s="643"/>
      <c r="CK319" s="643"/>
      <c r="CL319" s="643"/>
      <c r="CM319" s="643"/>
      <c r="CN319" s="643"/>
      <c r="CO319" s="643"/>
      <c r="CP319" s="643"/>
      <c r="CQ319" s="643"/>
      <c r="CR319" s="643"/>
      <c r="CS319" s="643"/>
      <c r="CT319" s="643"/>
      <c r="CU319" s="643"/>
      <c r="CV319" s="643"/>
      <c r="CW319" s="643"/>
      <c r="CX319" s="643"/>
      <c r="CY319" s="643"/>
      <c r="CZ319" s="643"/>
      <c r="DA319" s="643"/>
      <c r="DB319" s="643"/>
      <c r="DC319" s="643"/>
      <c r="DD319" s="643"/>
      <c r="DE319" s="643"/>
      <c r="DF319" s="643"/>
      <c r="DG319" s="643"/>
      <c r="DH319" s="643"/>
      <c r="DI319" s="643"/>
      <c r="DJ319" s="643"/>
      <c r="DK319" s="643"/>
      <c r="DL319" s="643"/>
      <c r="DM319" s="643"/>
      <c r="DN319" s="643"/>
      <c r="DO319" s="643"/>
      <c r="DP319" s="643"/>
      <c r="DQ319" s="643"/>
      <c r="DR319" s="643"/>
      <c r="DS319" s="643"/>
      <c r="DT319" s="643"/>
      <c r="DU319" s="643"/>
      <c r="DV319" s="643"/>
      <c r="DW319" s="643"/>
      <c r="DX319" s="643"/>
      <c r="DY319" s="643"/>
      <c r="DZ319" s="643"/>
      <c r="EA319" s="643"/>
      <c r="EB319" s="643"/>
      <c r="EC319" s="643"/>
      <c r="ED319" s="643"/>
      <c r="EE319" s="643"/>
      <c r="EF319" s="643"/>
      <c r="EG319" s="643"/>
      <c r="EH319" s="643"/>
      <c r="EI319" s="643"/>
      <c r="EJ319" s="643"/>
      <c r="EK319" s="643"/>
      <c r="EL319" s="643"/>
      <c r="EM319" s="643"/>
      <c r="EN319" s="643"/>
      <c r="EO319" s="643"/>
      <c r="EP319" s="643"/>
      <c r="EQ319" s="643"/>
      <c r="ER319" s="643"/>
    </row>
    <row r="321" spans="6:148" s="645" customFormat="1" ht="15.75" customHeight="1">
      <c r="F321" s="643"/>
      <c r="G321" s="643"/>
      <c r="H321" s="643"/>
      <c r="I321" s="643"/>
      <c r="J321" s="643"/>
      <c r="K321" s="643"/>
      <c r="L321" s="643"/>
      <c r="M321" s="643"/>
      <c r="N321" s="643"/>
      <c r="O321" s="643"/>
      <c r="P321" s="643"/>
      <c r="Q321" s="643"/>
      <c r="R321" s="643"/>
      <c r="S321" s="643"/>
      <c r="T321" s="643"/>
      <c r="U321" s="643"/>
      <c r="V321" s="643"/>
      <c r="W321" s="643"/>
      <c r="X321" s="643"/>
      <c r="Y321" s="643"/>
      <c r="AA321" s="643"/>
      <c r="AC321" s="643"/>
      <c r="AD321" s="643"/>
      <c r="AE321" s="643"/>
      <c r="AF321" s="643"/>
      <c r="AG321" s="643"/>
      <c r="AH321" s="1517"/>
      <c r="AI321" s="644"/>
      <c r="AJ321" s="643"/>
      <c r="AK321" s="643"/>
      <c r="AL321" s="643"/>
      <c r="AM321" s="643"/>
      <c r="AN321" s="643"/>
      <c r="AO321" s="643"/>
      <c r="AP321" s="643"/>
      <c r="AQ321" s="643"/>
      <c r="AR321" s="643"/>
      <c r="AS321" s="643"/>
      <c r="AT321" s="643"/>
      <c r="AU321" s="643"/>
      <c r="AV321" s="643"/>
      <c r="AW321" s="643"/>
      <c r="AX321" s="643"/>
      <c r="AY321" s="643"/>
      <c r="AZ321" s="643"/>
      <c r="BA321" s="643"/>
      <c r="BB321" s="643"/>
      <c r="BC321" s="643"/>
      <c r="BD321" s="643"/>
      <c r="BE321" s="643"/>
      <c r="BF321" s="643"/>
      <c r="BG321" s="643"/>
      <c r="BH321" s="643"/>
      <c r="BI321" s="643"/>
      <c r="BJ321" s="643"/>
      <c r="BK321" s="643"/>
      <c r="BL321" s="643"/>
      <c r="BM321" s="643"/>
      <c r="BN321" s="643"/>
      <c r="BO321" s="643"/>
      <c r="BP321" s="643"/>
      <c r="BQ321" s="643"/>
      <c r="BR321" s="643"/>
      <c r="BS321" s="643"/>
      <c r="BT321" s="643"/>
      <c r="BU321" s="643"/>
      <c r="BV321" s="643"/>
      <c r="BW321" s="643"/>
      <c r="BX321" s="643"/>
      <c r="BY321" s="643"/>
      <c r="BZ321" s="643"/>
      <c r="CA321" s="643"/>
      <c r="CB321" s="643"/>
      <c r="CC321" s="643"/>
      <c r="CD321" s="643"/>
      <c r="CE321" s="643"/>
      <c r="CF321" s="643"/>
      <c r="CG321" s="643"/>
      <c r="CH321" s="643"/>
      <c r="CI321" s="643"/>
      <c r="CJ321" s="643"/>
      <c r="CK321" s="643"/>
      <c r="CL321" s="643"/>
      <c r="CM321" s="643"/>
      <c r="CN321" s="643"/>
      <c r="CO321" s="643"/>
      <c r="CP321" s="643"/>
      <c r="CQ321" s="643"/>
      <c r="CR321" s="643"/>
      <c r="CS321" s="643"/>
      <c r="CT321" s="643"/>
      <c r="CU321" s="643"/>
      <c r="CV321" s="643"/>
      <c r="CW321" s="643"/>
      <c r="CX321" s="643"/>
      <c r="CY321" s="643"/>
      <c r="CZ321" s="643"/>
      <c r="DA321" s="643"/>
      <c r="DB321" s="643"/>
      <c r="DC321" s="643"/>
      <c r="DD321" s="643"/>
      <c r="DE321" s="643"/>
      <c r="DF321" s="643"/>
      <c r="DG321" s="643"/>
      <c r="DH321" s="643"/>
      <c r="DI321" s="643"/>
      <c r="DJ321" s="643"/>
      <c r="DK321" s="643"/>
      <c r="DL321" s="643"/>
      <c r="DM321" s="643"/>
      <c r="DN321" s="643"/>
      <c r="DO321" s="643"/>
      <c r="DP321" s="643"/>
      <c r="DQ321" s="643"/>
      <c r="DR321" s="643"/>
      <c r="DS321" s="643"/>
      <c r="DT321" s="643"/>
      <c r="DU321" s="643"/>
      <c r="DV321" s="643"/>
      <c r="DW321" s="643"/>
      <c r="DX321" s="643"/>
      <c r="DY321" s="643"/>
      <c r="DZ321" s="643"/>
      <c r="EA321" s="643"/>
      <c r="EB321" s="643"/>
      <c r="EC321" s="643"/>
      <c r="ED321" s="643"/>
      <c r="EE321" s="643"/>
      <c r="EF321" s="643"/>
      <c r="EG321" s="643"/>
      <c r="EH321" s="643"/>
      <c r="EI321" s="643"/>
      <c r="EJ321" s="643"/>
      <c r="EK321" s="643"/>
      <c r="EL321" s="643"/>
      <c r="EM321" s="643"/>
      <c r="EN321" s="643"/>
      <c r="EO321" s="643"/>
      <c r="EP321" s="643"/>
      <c r="EQ321" s="643"/>
      <c r="ER321" s="643"/>
    </row>
    <row r="323" spans="6:148" s="645" customFormat="1" ht="15.75" customHeight="1">
      <c r="F323" s="643"/>
      <c r="G323" s="643"/>
      <c r="H323" s="643"/>
      <c r="I323" s="643"/>
      <c r="J323" s="643"/>
      <c r="K323" s="643"/>
      <c r="L323" s="643"/>
      <c r="M323" s="643"/>
      <c r="N323" s="643"/>
      <c r="O323" s="643"/>
      <c r="P323" s="643"/>
      <c r="Q323" s="643"/>
      <c r="R323" s="643"/>
      <c r="S323" s="643"/>
      <c r="T323" s="643"/>
      <c r="U323" s="643"/>
      <c r="V323" s="643"/>
      <c r="W323" s="643"/>
      <c r="X323" s="643"/>
      <c r="Y323" s="643"/>
      <c r="AA323" s="643"/>
      <c r="AC323" s="643"/>
      <c r="AD323" s="643"/>
      <c r="AE323" s="643"/>
      <c r="AF323" s="643"/>
      <c r="AG323" s="643"/>
      <c r="AH323" s="1517"/>
      <c r="AI323" s="644"/>
      <c r="AJ323" s="643"/>
      <c r="AK323" s="643"/>
      <c r="AL323" s="643"/>
      <c r="AM323" s="643"/>
      <c r="AN323" s="643"/>
      <c r="AO323" s="643"/>
      <c r="AP323" s="643"/>
      <c r="AQ323" s="643"/>
      <c r="AR323" s="643"/>
      <c r="AS323" s="643"/>
      <c r="AT323" s="643"/>
      <c r="AU323" s="643"/>
      <c r="AV323" s="643"/>
      <c r="AW323" s="643"/>
      <c r="AX323" s="643"/>
      <c r="AY323" s="643"/>
      <c r="AZ323" s="643"/>
      <c r="BA323" s="643"/>
      <c r="BB323" s="643"/>
      <c r="BC323" s="643"/>
      <c r="BD323" s="643"/>
      <c r="BE323" s="643"/>
      <c r="BF323" s="643"/>
      <c r="BG323" s="643"/>
      <c r="BH323" s="643"/>
      <c r="BI323" s="643"/>
      <c r="BJ323" s="643"/>
      <c r="BK323" s="643"/>
      <c r="BL323" s="643"/>
      <c r="BM323" s="643"/>
      <c r="BN323" s="643"/>
      <c r="BO323" s="643"/>
      <c r="BP323" s="643"/>
      <c r="BQ323" s="643"/>
      <c r="BR323" s="643"/>
      <c r="BS323" s="643"/>
      <c r="BT323" s="643"/>
      <c r="BU323" s="643"/>
      <c r="BV323" s="643"/>
      <c r="BW323" s="643"/>
      <c r="BX323" s="643"/>
      <c r="BY323" s="643"/>
      <c r="BZ323" s="643"/>
      <c r="CA323" s="643"/>
      <c r="CB323" s="643"/>
      <c r="CC323" s="643"/>
      <c r="CD323" s="643"/>
      <c r="CE323" s="643"/>
      <c r="CF323" s="643"/>
      <c r="CG323" s="643"/>
      <c r="CH323" s="643"/>
      <c r="CI323" s="643"/>
      <c r="CJ323" s="643"/>
      <c r="CK323" s="643"/>
      <c r="CL323" s="643"/>
      <c r="CM323" s="643"/>
      <c r="CN323" s="643"/>
      <c r="CO323" s="643"/>
      <c r="CP323" s="643"/>
      <c r="CQ323" s="643"/>
      <c r="CR323" s="643"/>
      <c r="CS323" s="643"/>
      <c r="CT323" s="643"/>
      <c r="CU323" s="643"/>
      <c r="CV323" s="643"/>
      <c r="CW323" s="643"/>
      <c r="CX323" s="643"/>
      <c r="CY323" s="643"/>
      <c r="CZ323" s="643"/>
      <c r="DA323" s="643"/>
      <c r="DB323" s="643"/>
      <c r="DC323" s="643"/>
      <c r="DD323" s="643"/>
      <c r="DE323" s="643"/>
      <c r="DF323" s="643"/>
      <c r="DG323" s="643"/>
      <c r="DH323" s="643"/>
      <c r="DI323" s="643"/>
      <c r="DJ323" s="643"/>
      <c r="DK323" s="643"/>
      <c r="DL323" s="643"/>
      <c r="DM323" s="643"/>
      <c r="DN323" s="643"/>
      <c r="DO323" s="643"/>
      <c r="DP323" s="643"/>
      <c r="DQ323" s="643"/>
      <c r="DR323" s="643"/>
      <c r="DS323" s="643"/>
      <c r="DT323" s="643"/>
      <c r="DU323" s="643"/>
      <c r="DV323" s="643"/>
      <c r="DW323" s="643"/>
      <c r="DX323" s="643"/>
      <c r="DY323" s="643"/>
      <c r="DZ323" s="643"/>
      <c r="EA323" s="643"/>
      <c r="EB323" s="643"/>
      <c r="EC323" s="643"/>
      <c r="ED323" s="643"/>
      <c r="EE323" s="643"/>
      <c r="EF323" s="643"/>
      <c r="EG323" s="643"/>
      <c r="EH323" s="643"/>
      <c r="EI323" s="643"/>
      <c r="EJ323" s="643"/>
      <c r="EK323" s="643"/>
      <c r="EL323" s="643"/>
      <c r="EM323" s="643"/>
      <c r="EN323" s="643"/>
      <c r="EO323" s="643"/>
      <c r="EP323" s="643"/>
      <c r="EQ323" s="643"/>
      <c r="ER323" s="643"/>
    </row>
    <row r="325" spans="6:148" s="645" customFormat="1" ht="15.75" customHeight="1">
      <c r="F325" s="643"/>
      <c r="G325" s="643"/>
      <c r="H325" s="643"/>
      <c r="I325" s="643"/>
      <c r="J325" s="643"/>
      <c r="K325" s="643"/>
      <c r="L325" s="643"/>
      <c r="M325" s="643"/>
      <c r="N325" s="643"/>
      <c r="O325" s="643"/>
      <c r="P325" s="643"/>
      <c r="Q325" s="643"/>
      <c r="R325" s="643"/>
      <c r="S325" s="643"/>
      <c r="T325" s="643"/>
      <c r="U325" s="643"/>
      <c r="V325" s="643"/>
      <c r="W325" s="643"/>
      <c r="X325" s="643"/>
      <c r="Y325" s="643"/>
      <c r="AA325" s="643"/>
      <c r="AC325" s="643"/>
      <c r="AD325" s="643"/>
      <c r="AE325" s="643"/>
      <c r="AF325" s="643"/>
      <c r="AG325" s="643"/>
      <c r="AH325" s="1517"/>
      <c r="AI325" s="644"/>
      <c r="AJ325" s="643"/>
      <c r="AK325" s="643"/>
      <c r="AL325" s="643"/>
      <c r="AM325" s="643"/>
      <c r="AN325" s="643"/>
      <c r="AO325" s="643"/>
      <c r="AP325" s="643"/>
      <c r="AQ325" s="643"/>
      <c r="AR325" s="643"/>
      <c r="AS325" s="643"/>
      <c r="AT325" s="643"/>
      <c r="AU325" s="643"/>
      <c r="AV325" s="643"/>
      <c r="AW325" s="643"/>
      <c r="AX325" s="643"/>
      <c r="AY325" s="643"/>
      <c r="AZ325" s="643"/>
      <c r="BA325" s="643"/>
      <c r="BB325" s="643"/>
      <c r="BC325" s="643"/>
      <c r="BD325" s="643"/>
      <c r="BE325" s="643"/>
      <c r="BF325" s="643"/>
      <c r="BG325" s="643"/>
      <c r="BH325" s="643"/>
      <c r="BI325" s="643"/>
      <c r="BJ325" s="643"/>
      <c r="BK325" s="643"/>
      <c r="BL325" s="643"/>
      <c r="BM325" s="643"/>
      <c r="BN325" s="643"/>
      <c r="BO325" s="643"/>
      <c r="BP325" s="643"/>
      <c r="BQ325" s="643"/>
      <c r="BR325" s="643"/>
      <c r="BS325" s="643"/>
      <c r="BT325" s="643"/>
      <c r="BU325" s="643"/>
      <c r="BV325" s="643"/>
      <c r="BW325" s="643"/>
      <c r="BX325" s="643"/>
      <c r="BY325" s="643"/>
      <c r="BZ325" s="643"/>
      <c r="CA325" s="643"/>
      <c r="CB325" s="643"/>
      <c r="CC325" s="643"/>
      <c r="CD325" s="643"/>
      <c r="CE325" s="643"/>
      <c r="CF325" s="643"/>
      <c r="CG325" s="643"/>
      <c r="CH325" s="643"/>
      <c r="CI325" s="643"/>
      <c r="CJ325" s="643"/>
      <c r="CK325" s="643"/>
      <c r="CL325" s="643"/>
      <c r="CM325" s="643"/>
      <c r="CN325" s="643"/>
      <c r="CO325" s="643"/>
      <c r="CP325" s="643"/>
      <c r="CQ325" s="643"/>
      <c r="CR325" s="643"/>
      <c r="CS325" s="643"/>
      <c r="CT325" s="643"/>
      <c r="CU325" s="643"/>
      <c r="CV325" s="643"/>
      <c r="CW325" s="643"/>
      <c r="CX325" s="643"/>
      <c r="CY325" s="643"/>
      <c r="CZ325" s="643"/>
      <c r="DA325" s="643"/>
      <c r="DB325" s="643"/>
      <c r="DC325" s="643"/>
      <c r="DD325" s="643"/>
      <c r="DE325" s="643"/>
      <c r="DF325" s="643"/>
      <c r="DG325" s="643"/>
      <c r="DH325" s="643"/>
      <c r="DI325" s="643"/>
      <c r="DJ325" s="643"/>
      <c r="DK325" s="643"/>
      <c r="DL325" s="643"/>
      <c r="DM325" s="643"/>
      <c r="DN325" s="643"/>
      <c r="DO325" s="643"/>
      <c r="DP325" s="643"/>
      <c r="DQ325" s="643"/>
      <c r="DR325" s="643"/>
      <c r="DS325" s="643"/>
      <c r="DT325" s="643"/>
      <c r="DU325" s="643"/>
      <c r="DV325" s="643"/>
      <c r="DW325" s="643"/>
      <c r="DX325" s="643"/>
      <c r="DY325" s="643"/>
      <c r="DZ325" s="643"/>
      <c r="EA325" s="643"/>
      <c r="EB325" s="643"/>
      <c r="EC325" s="643"/>
      <c r="ED325" s="643"/>
      <c r="EE325" s="643"/>
      <c r="EF325" s="643"/>
      <c r="EG325" s="643"/>
      <c r="EH325" s="643"/>
      <c r="EI325" s="643"/>
      <c r="EJ325" s="643"/>
      <c r="EK325" s="643"/>
      <c r="EL325" s="643"/>
      <c r="EM325" s="643"/>
      <c r="EN325" s="643"/>
      <c r="EO325" s="643"/>
      <c r="EP325" s="643"/>
      <c r="EQ325" s="643"/>
      <c r="ER325" s="643"/>
    </row>
    <row r="327" spans="6:148" s="645" customFormat="1" ht="15.75" customHeight="1">
      <c r="F327" s="643"/>
      <c r="G327" s="643"/>
      <c r="H327" s="643"/>
      <c r="I327" s="643"/>
      <c r="J327" s="643"/>
      <c r="K327" s="643"/>
      <c r="L327" s="643"/>
      <c r="M327" s="643"/>
      <c r="N327" s="643"/>
      <c r="O327" s="643"/>
      <c r="P327" s="643"/>
      <c r="Q327" s="643"/>
      <c r="R327" s="643"/>
      <c r="S327" s="643"/>
      <c r="T327" s="643"/>
      <c r="U327" s="643"/>
      <c r="V327" s="643"/>
      <c r="W327" s="643"/>
      <c r="X327" s="643"/>
      <c r="Y327" s="643"/>
      <c r="AA327" s="643"/>
      <c r="AC327" s="643"/>
      <c r="AD327" s="643"/>
      <c r="AE327" s="643"/>
      <c r="AF327" s="643"/>
      <c r="AG327" s="643"/>
      <c r="AH327" s="1517"/>
      <c r="AI327" s="644"/>
      <c r="AJ327" s="643"/>
      <c r="AK327" s="643"/>
      <c r="AL327" s="643"/>
      <c r="AM327" s="643"/>
      <c r="AN327" s="643"/>
      <c r="AO327" s="643"/>
      <c r="AP327" s="643"/>
      <c r="AQ327" s="643"/>
      <c r="AR327" s="643"/>
      <c r="AS327" s="643"/>
      <c r="AT327" s="643"/>
      <c r="AU327" s="643"/>
      <c r="AV327" s="643"/>
      <c r="AW327" s="643"/>
      <c r="AX327" s="643"/>
      <c r="AY327" s="643"/>
      <c r="AZ327" s="643"/>
      <c r="BA327" s="643"/>
      <c r="BB327" s="643"/>
      <c r="BC327" s="643"/>
      <c r="BD327" s="643"/>
      <c r="BE327" s="643"/>
      <c r="BF327" s="643"/>
      <c r="BG327" s="643"/>
      <c r="BH327" s="643"/>
      <c r="BI327" s="643"/>
      <c r="BJ327" s="643"/>
      <c r="BK327" s="643"/>
      <c r="BL327" s="643"/>
      <c r="BM327" s="643"/>
      <c r="BN327" s="643"/>
      <c r="BO327" s="643"/>
      <c r="BP327" s="643"/>
      <c r="BQ327" s="643"/>
      <c r="BR327" s="643"/>
      <c r="BS327" s="643"/>
      <c r="BT327" s="643"/>
      <c r="BU327" s="643"/>
      <c r="BV327" s="643"/>
      <c r="BW327" s="643"/>
      <c r="BX327" s="643"/>
      <c r="BY327" s="643"/>
      <c r="BZ327" s="643"/>
      <c r="CA327" s="643"/>
      <c r="CB327" s="643"/>
      <c r="CC327" s="643"/>
      <c r="CD327" s="643"/>
      <c r="CE327" s="643"/>
      <c r="CF327" s="643"/>
      <c r="CG327" s="643"/>
      <c r="CH327" s="643"/>
      <c r="CI327" s="643"/>
      <c r="CJ327" s="643"/>
      <c r="CK327" s="643"/>
      <c r="CL327" s="643"/>
      <c r="CM327" s="643"/>
      <c r="CN327" s="643"/>
      <c r="CO327" s="643"/>
      <c r="CP327" s="643"/>
      <c r="CQ327" s="643"/>
      <c r="CR327" s="643"/>
      <c r="CS327" s="643"/>
      <c r="CT327" s="643"/>
      <c r="CU327" s="643"/>
      <c r="CV327" s="643"/>
      <c r="CW327" s="643"/>
      <c r="CX327" s="643"/>
      <c r="CY327" s="643"/>
      <c r="CZ327" s="643"/>
      <c r="DA327" s="643"/>
      <c r="DB327" s="643"/>
      <c r="DC327" s="643"/>
      <c r="DD327" s="643"/>
      <c r="DE327" s="643"/>
      <c r="DF327" s="643"/>
      <c r="DG327" s="643"/>
      <c r="DH327" s="643"/>
      <c r="DI327" s="643"/>
      <c r="DJ327" s="643"/>
      <c r="DK327" s="643"/>
      <c r="DL327" s="643"/>
      <c r="DM327" s="643"/>
      <c r="DN327" s="643"/>
      <c r="DO327" s="643"/>
      <c r="DP327" s="643"/>
      <c r="DQ327" s="643"/>
      <c r="DR327" s="643"/>
      <c r="DS327" s="643"/>
      <c r="DT327" s="643"/>
      <c r="DU327" s="643"/>
      <c r="DV327" s="643"/>
      <c r="DW327" s="643"/>
      <c r="DX327" s="643"/>
      <c r="DY327" s="643"/>
      <c r="DZ327" s="643"/>
      <c r="EA327" s="643"/>
      <c r="EB327" s="643"/>
      <c r="EC327" s="643"/>
      <c r="ED327" s="643"/>
      <c r="EE327" s="643"/>
      <c r="EF327" s="643"/>
      <c r="EG327" s="643"/>
      <c r="EH327" s="643"/>
      <c r="EI327" s="643"/>
      <c r="EJ327" s="643"/>
      <c r="EK327" s="643"/>
      <c r="EL327" s="643"/>
      <c r="EM327" s="643"/>
      <c r="EN327" s="643"/>
      <c r="EO327" s="643"/>
      <c r="EP327" s="643"/>
      <c r="EQ327" s="643"/>
      <c r="ER327" s="643"/>
    </row>
    <row r="329" spans="6:148" s="645" customFormat="1" ht="15.75" customHeight="1">
      <c r="F329" s="643"/>
      <c r="G329" s="643"/>
      <c r="H329" s="643"/>
      <c r="I329" s="643"/>
      <c r="J329" s="643"/>
      <c r="K329" s="643"/>
      <c r="L329" s="643"/>
      <c r="M329" s="643"/>
      <c r="N329" s="643"/>
      <c r="O329" s="643"/>
      <c r="P329" s="643"/>
      <c r="Q329" s="643"/>
      <c r="R329" s="643"/>
      <c r="S329" s="643"/>
      <c r="T329" s="643"/>
      <c r="U329" s="643"/>
      <c r="V329" s="643"/>
      <c r="W329" s="643"/>
      <c r="X329" s="643"/>
      <c r="Y329" s="643"/>
      <c r="AA329" s="643"/>
      <c r="AC329" s="643"/>
      <c r="AD329" s="643"/>
      <c r="AE329" s="643"/>
      <c r="AF329" s="643"/>
      <c r="AG329" s="643"/>
      <c r="AH329" s="1517"/>
      <c r="AI329" s="644"/>
      <c r="AJ329" s="643"/>
      <c r="AK329" s="643"/>
      <c r="AL329" s="643"/>
      <c r="AM329" s="643"/>
      <c r="AN329" s="643"/>
      <c r="AO329" s="643"/>
      <c r="AP329" s="643"/>
      <c r="AQ329" s="643"/>
      <c r="AR329" s="643"/>
      <c r="AS329" s="643"/>
      <c r="AT329" s="643"/>
      <c r="AU329" s="643"/>
      <c r="AV329" s="643"/>
      <c r="AW329" s="643"/>
      <c r="AX329" s="643"/>
      <c r="AY329" s="643"/>
      <c r="AZ329" s="643"/>
      <c r="BA329" s="643"/>
      <c r="BB329" s="643"/>
      <c r="BC329" s="643"/>
      <c r="BD329" s="643"/>
      <c r="BE329" s="643"/>
      <c r="BF329" s="643"/>
      <c r="BG329" s="643"/>
      <c r="BH329" s="643"/>
      <c r="BI329" s="643"/>
      <c r="BJ329" s="643"/>
      <c r="BK329" s="643"/>
      <c r="BL329" s="643"/>
      <c r="BM329" s="643"/>
      <c r="BN329" s="643"/>
      <c r="BO329" s="643"/>
      <c r="BP329" s="643"/>
      <c r="BQ329" s="643"/>
      <c r="BR329" s="643"/>
      <c r="BS329" s="643"/>
      <c r="BT329" s="643"/>
      <c r="BU329" s="643"/>
      <c r="BV329" s="643"/>
      <c r="BW329" s="643"/>
      <c r="BX329" s="643"/>
      <c r="BY329" s="643"/>
      <c r="BZ329" s="643"/>
      <c r="CA329" s="643"/>
      <c r="CB329" s="643"/>
      <c r="CC329" s="643"/>
      <c r="CD329" s="643"/>
      <c r="CE329" s="643"/>
      <c r="CF329" s="643"/>
      <c r="CG329" s="643"/>
      <c r="CH329" s="643"/>
      <c r="CI329" s="643"/>
      <c r="CJ329" s="643"/>
      <c r="CK329" s="643"/>
      <c r="CL329" s="643"/>
      <c r="CM329" s="643"/>
      <c r="CN329" s="643"/>
      <c r="CO329" s="643"/>
      <c r="CP329" s="643"/>
      <c r="CQ329" s="643"/>
      <c r="CR329" s="643"/>
      <c r="CS329" s="643"/>
      <c r="CT329" s="643"/>
      <c r="CU329" s="643"/>
      <c r="CV329" s="643"/>
      <c r="CW329" s="643"/>
      <c r="CX329" s="643"/>
      <c r="CY329" s="643"/>
      <c r="CZ329" s="643"/>
      <c r="DA329" s="643"/>
      <c r="DB329" s="643"/>
      <c r="DC329" s="643"/>
      <c r="DD329" s="643"/>
      <c r="DE329" s="643"/>
      <c r="DF329" s="643"/>
      <c r="DG329" s="643"/>
      <c r="DH329" s="643"/>
      <c r="DI329" s="643"/>
      <c r="DJ329" s="643"/>
      <c r="DK329" s="643"/>
      <c r="DL329" s="643"/>
      <c r="DM329" s="643"/>
      <c r="DN329" s="643"/>
      <c r="DO329" s="643"/>
      <c r="DP329" s="643"/>
      <c r="DQ329" s="643"/>
      <c r="DR329" s="643"/>
      <c r="DS329" s="643"/>
      <c r="DT329" s="643"/>
      <c r="DU329" s="643"/>
      <c r="DV329" s="643"/>
      <c r="DW329" s="643"/>
      <c r="DX329" s="643"/>
      <c r="DY329" s="643"/>
      <c r="DZ329" s="643"/>
      <c r="EA329" s="643"/>
      <c r="EB329" s="643"/>
      <c r="EC329" s="643"/>
      <c r="ED329" s="643"/>
      <c r="EE329" s="643"/>
      <c r="EF329" s="643"/>
      <c r="EG329" s="643"/>
      <c r="EH329" s="643"/>
      <c r="EI329" s="643"/>
      <c r="EJ329" s="643"/>
      <c r="EK329" s="643"/>
      <c r="EL329" s="643"/>
      <c r="EM329" s="643"/>
      <c r="EN329" s="643"/>
      <c r="EO329" s="643"/>
      <c r="EP329" s="643"/>
      <c r="EQ329" s="643"/>
      <c r="ER329" s="643"/>
    </row>
    <row r="331" spans="6:148" s="645" customFormat="1" ht="15.75" customHeight="1">
      <c r="F331" s="643"/>
      <c r="G331" s="643"/>
      <c r="H331" s="643"/>
      <c r="I331" s="643"/>
      <c r="J331" s="643"/>
      <c r="K331" s="643"/>
      <c r="L331" s="643"/>
      <c r="M331" s="643"/>
      <c r="N331" s="643"/>
      <c r="O331" s="643"/>
      <c r="P331" s="643"/>
      <c r="Q331" s="643"/>
      <c r="R331" s="643"/>
      <c r="S331" s="643"/>
      <c r="T331" s="643"/>
      <c r="U331" s="643"/>
      <c r="V331" s="643"/>
      <c r="W331" s="643"/>
      <c r="X331" s="643"/>
      <c r="Y331" s="643"/>
      <c r="AA331" s="643"/>
      <c r="AC331" s="643"/>
      <c r="AD331" s="643"/>
      <c r="AE331" s="643"/>
      <c r="AF331" s="643"/>
      <c r="AG331" s="643"/>
      <c r="AH331" s="1517"/>
      <c r="AI331" s="644"/>
      <c r="AJ331" s="643"/>
      <c r="AK331" s="643"/>
      <c r="AL331" s="643"/>
      <c r="AM331" s="643"/>
      <c r="AN331" s="643"/>
      <c r="AO331" s="643"/>
      <c r="AP331" s="643"/>
      <c r="AQ331" s="643"/>
      <c r="AR331" s="643"/>
      <c r="AS331" s="643"/>
      <c r="AT331" s="643"/>
      <c r="AU331" s="643"/>
      <c r="AV331" s="643"/>
      <c r="AW331" s="643"/>
      <c r="AX331" s="643"/>
      <c r="AY331" s="643"/>
      <c r="AZ331" s="643"/>
      <c r="BA331" s="643"/>
      <c r="BB331" s="643"/>
      <c r="BC331" s="643"/>
      <c r="BD331" s="643"/>
      <c r="BE331" s="643"/>
      <c r="BF331" s="643"/>
      <c r="BG331" s="643"/>
      <c r="BH331" s="643"/>
      <c r="BI331" s="643"/>
      <c r="BJ331" s="643"/>
      <c r="BK331" s="643"/>
      <c r="BL331" s="643"/>
      <c r="BM331" s="643"/>
      <c r="BN331" s="643"/>
      <c r="BO331" s="643"/>
      <c r="BP331" s="643"/>
      <c r="BQ331" s="643"/>
      <c r="BR331" s="643"/>
      <c r="BS331" s="643"/>
      <c r="BT331" s="643"/>
      <c r="BU331" s="643"/>
      <c r="BV331" s="643"/>
      <c r="BW331" s="643"/>
      <c r="BX331" s="643"/>
      <c r="BY331" s="643"/>
      <c r="BZ331" s="643"/>
      <c r="CA331" s="643"/>
      <c r="CB331" s="643"/>
      <c r="CC331" s="643"/>
      <c r="CD331" s="643"/>
      <c r="CE331" s="643"/>
      <c r="CF331" s="643"/>
      <c r="CG331" s="643"/>
      <c r="CH331" s="643"/>
      <c r="CI331" s="643"/>
      <c r="CJ331" s="643"/>
      <c r="CK331" s="643"/>
      <c r="CL331" s="643"/>
      <c r="CM331" s="643"/>
      <c r="CN331" s="643"/>
      <c r="CO331" s="643"/>
      <c r="CP331" s="643"/>
      <c r="CQ331" s="643"/>
      <c r="CR331" s="643"/>
      <c r="CS331" s="643"/>
      <c r="CT331" s="643"/>
      <c r="CU331" s="643"/>
      <c r="CV331" s="643"/>
      <c r="CW331" s="643"/>
      <c r="CX331" s="643"/>
      <c r="CY331" s="643"/>
      <c r="CZ331" s="643"/>
      <c r="DA331" s="643"/>
      <c r="DB331" s="643"/>
      <c r="DC331" s="643"/>
      <c r="DD331" s="643"/>
      <c r="DE331" s="643"/>
      <c r="DF331" s="643"/>
      <c r="DG331" s="643"/>
      <c r="DH331" s="643"/>
      <c r="DI331" s="643"/>
      <c r="DJ331" s="643"/>
      <c r="DK331" s="643"/>
      <c r="DL331" s="643"/>
      <c r="DM331" s="643"/>
      <c r="DN331" s="643"/>
      <c r="DO331" s="643"/>
      <c r="DP331" s="643"/>
      <c r="DQ331" s="643"/>
      <c r="DR331" s="643"/>
      <c r="DS331" s="643"/>
      <c r="DT331" s="643"/>
      <c r="DU331" s="643"/>
      <c r="DV331" s="643"/>
      <c r="DW331" s="643"/>
      <c r="DX331" s="643"/>
      <c r="DY331" s="643"/>
      <c r="DZ331" s="643"/>
      <c r="EA331" s="643"/>
      <c r="EB331" s="643"/>
      <c r="EC331" s="643"/>
      <c r="ED331" s="643"/>
      <c r="EE331" s="643"/>
      <c r="EF331" s="643"/>
      <c r="EG331" s="643"/>
      <c r="EH331" s="643"/>
      <c r="EI331" s="643"/>
      <c r="EJ331" s="643"/>
      <c r="EK331" s="643"/>
      <c r="EL331" s="643"/>
      <c r="EM331" s="643"/>
      <c r="EN331" s="643"/>
      <c r="EO331" s="643"/>
      <c r="EP331" s="643"/>
      <c r="EQ331" s="643"/>
      <c r="ER331" s="643"/>
    </row>
    <row r="333" spans="6:148" s="645" customFormat="1" ht="15.75" customHeight="1">
      <c r="F333" s="643"/>
      <c r="G333" s="643"/>
      <c r="H333" s="643"/>
      <c r="I333" s="643"/>
      <c r="J333" s="643"/>
      <c r="K333" s="643"/>
      <c r="L333" s="643"/>
      <c r="M333" s="643"/>
      <c r="N333" s="643"/>
      <c r="O333" s="643"/>
      <c r="P333" s="643"/>
      <c r="Q333" s="643"/>
      <c r="R333" s="643"/>
      <c r="S333" s="643"/>
      <c r="T333" s="643"/>
      <c r="U333" s="643"/>
      <c r="V333" s="643"/>
      <c r="W333" s="643"/>
      <c r="X333" s="643"/>
      <c r="Y333" s="643"/>
      <c r="AA333" s="643"/>
      <c r="AC333" s="643"/>
      <c r="AD333" s="643"/>
      <c r="AE333" s="643"/>
      <c r="AF333" s="643"/>
      <c r="AG333" s="643"/>
      <c r="AH333" s="1517"/>
      <c r="AI333" s="644"/>
      <c r="AJ333" s="643"/>
      <c r="AK333" s="643"/>
      <c r="AL333" s="643"/>
      <c r="AM333" s="643"/>
      <c r="AN333" s="643"/>
      <c r="AO333" s="643"/>
      <c r="AP333" s="643"/>
      <c r="AQ333" s="643"/>
      <c r="AR333" s="643"/>
      <c r="AS333" s="643"/>
      <c r="AT333" s="643"/>
      <c r="AU333" s="643"/>
      <c r="AV333" s="643"/>
      <c r="AW333" s="643"/>
      <c r="AX333" s="643"/>
      <c r="AY333" s="643"/>
      <c r="AZ333" s="643"/>
      <c r="BA333" s="643"/>
      <c r="BB333" s="643"/>
      <c r="BC333" s="643"/>
      <c r="BD333" s="643"/>
      <c r="BE333" s="643"/>
      <c r="BF333" s="643"/>
      <c r="BG333" s="643"/>
      <c r="BH333" s="643"/>
      <c r="BI333" s="643"/>
      <c r="BJ333" s="643"/>
      <c r="BK333" s="643"/>
      <c r="BL333" s="643"/>
      <c r="BM333" s="643"/>
      <c r="BN333" s="643"/>
      <c r="BO333" s="643"/>
      <c r="BP333" s="643"/>
      <c r="BQ333" s="643"/>
      <c r="BR333" s="643"/>
      <c r="BS333" s="643"/>
      <c r="BT333" s="643"/>
      <c r="BU333" s="643"/>
      <c r="BV333" s="643"/>
      <c r="BW333" s="643"/>
      <c r="BX333" s="643"/>
      <c r="BY333" s="643"/>
      <c r="BZ333" s="643"/>
      <c r="CA333" s="643"/>
      <c r="CB333" s="643"/>
      <c r="CC333" s="643"/>
      <c r="CD333" s="643"/>
      <c r="CE333" s="643"/>
      <c r="CF333" s="643"/>
      <c r="CG333" s="643"/>
      <c r="CH333" s="643"/>
      <c r="CI333" s="643"/>
      <c r="CJ333" s="643"/>
      <c r="CK333" s="643"/>
      <c r="CL333" s="643"/>
      <c r="CM333" s="643"/>
      <c r="CN333" s="643"/>
      <c r="CO333" s="643"/>
      <c r="CP333" s="643"/>
      <c r="CQ333" s="643"/>
      <c r="CR333" s="643"/>
      <c r="CS333" s="643"/>
      <c r="CT333" s="643"/>
      <c r="CU333" s="643"/>
      <c r="CV333" s="643"/>
      <c r="CW333" s="643"/>
      <c r="CX333" s="643"/>
      <c r="CY333" s="643"/>
      <c r="CZ333" s="643"/>
      <c r="DA333" s="643"/>
      <c r="DB333" s="643"/>
      <c r="DC333" s="643"/>
      <c r="DD333" s="643"/>
      <c r="DE333" s="643"/>
      <c r="DF333" s="643"/>
      <c r="DG333" s="643"/>
      <c r="DH333" s="643"/>
      <c r="DI333" s="643"/>
      <c r="DJ333" s="643"/>
      <c r="DK333" s="643"/>
      <c r="DL333" s="643"/>
      <c r="DM333" s="643"/>
      <c r="DN333" s="643"/>
      <c r="DO333" s="643"/>
      <c r="DP333" s="643"/>
      <c r="DQ333" s="643"/>
      <c r="DR333" s="643"/>
      <c r="DS333" s="643"/>
      <c r="DT333" s="643"/>
      <c r="DU333" s="643"/>
      <c r="DV333" s="643"/>
      <c r="DW333" s="643"/>
      <c r="DX333" s="643"/>
      <c r="DY333" s="643"/>
      <c r="DZ333" s="643"/>
      <c r="EA333" s="643"/>
      <c r="EB333" s="643"/>
      <c r="EC333" s="643"/>
      <c r="ED333" s="643"/>
      <c r="EE333" s="643"/>
      <c r="EF333" s="643"/>
      <c r="EG333" s="643"/>
      <c r="EH333" s="643"/>
      <c r="EI333" s="643"/>
      <c r="EJ333" s="643"/>
      <c r="EK333" s="643"/>
      <c r="EL333" s="643"/>
      <c r="EM333" s="643"/>
      <c r="EN333" s="643"/>
      <c r="EO333" s="643"/>
      <c r="EP333" s="643"/>
      <c r="EQ333" s="643"/>
      <c r="ER333" s="643"/>
    </row>
    <row r="335" spans="6:148" s="645" customFormat="1" ht="15.75" customHeight="1">
      <c r="F335" s="643"/>
      <c r="G335" s="643"/>
      <c r="H335" s="643"/>
      <c r="I335" s="643"/>
      <c r="J335" s="643"/>
      <c r="K335" s="643"/>
      <c r="L335" s="643"/>
      <c r="M335" s="643"/>
      <c r="N335" s="643"/>
      <c r="O335" s="643"/>
      <c r="P335" s="643"/>
      <c r="Q335" s="643"/>
      <c r="R335" s="643"/>
      <c r="S335" s="643"/>
      <c r="T335" s="643"/>
      <c r="U335" s="643"/>
      <c r="V335" s="643"/>
      <c r="W335" s="643"/>
      <c r="X335" s="643"/>
      <c r="Y335" s="643"/>
      <c r="AA335" s="643"/>
      <c r="AC335" s="643"/>
      <c r="AD335" s="643"/>
      <c r="AE335" s="643"/>
      <c r="AF335" s="643"/>
      <c r="AG335" s="643"/>
      <c r="AH335" s="1517"/>
      <c r="AI335" s="644"/>
      <c r="AJ335" s="643"/>
      <c r="AK335" s="643"/>
      <c r="AL335" s="643"/>
      <c r="AM335" s="643"/>
      <c r="AN335" s="643"/>
      <c r="AO335" s="643"/>
      <c r="AP335" s="643"/>
      <c r="AQ335" s="643"/>
      <c r="AR335" s="643"/>
      <c r="AS335" s="643"/>
      <c r="AT335" s="643"/>
      <c r="AU335" s="643"/>
      <c r="AV335" s="643"/>
      <c r="AW335" s="643"/>
      <c r="AX335" s="643"/>
      <c r="AY335" s="643"/>
      <c r="AZ335" s="643"/>
      <c r="BA335" s="643"/>
      <c r="BB335" s="643"/>
      <c r="BC335" s="643"/>
      <c r="BD335" s="643"/>
      <c r="BE335" s="643"/>
      <c r="BF335" s="643"/>
      <c r="BG335" s="643"/>
      <c r="BH335" s="643"/>
      <c r="BI335" s="643"/>
      <c r="BJ335" s="643"/>
      <c r="BK335" s="643"/>
      <c r="BL335" s="643"/>
      <c r="BM335" s="643"/>
      <c r="BN335" s="643"/>
      <c r="BO335" s="643"/>
      <c r="BP335" s="643"/>
      <c r="BQ335" s="643"/>
      <c r="BR335" s="643"/>
      <c r="BS335" s="643"/>
      <c r="BT335" s="643"/>
      <c r="BU335" s="643"/>
      <c r="BV335" s="643"/>
      <c r="BW335" s="643"/>
      <c r="BX335" s="643"/>
      <c r="BY335" s="643"/>
      <c r="BZ335" s="643"/>
      <c r="CA335" s="643"/>
      <c r="CB335" s="643"/>
      <c r="CC335" s="643"/>
      <c r="CD335" s="643"/>
      <c r="CE335" s="643"/>
      <c r="CF335" s="643"/>
      <c r="CG335" s="643"/>
      <c r="CH335" s="643"/>
      <c r="CI335" s="643"/>
      <c r="CJ335" s="643"/>
      <c r="CK335" s="643"/>
      <c r="CL335" s="643"/>
      <c r="CM335" s="643"/>
      <c r="CN335" s="643"/>
      <c r="CO335" s="643"/>
      <c r="CP335" s="643"/>
      <c r="CQ335" s="643"/>
      <c r="CR335" s="643"/>
      <c r="CS335" s="643"/>
      <c r="CT335" s="643"/>
      <c r="CU335" s="643"/>
      <c r="CV335" s="643"/>
      <c r="CW335" s="643"/>
      <c r="CX335" s="643"/>
      <c r="CY335" s="643"/>
      <c r="CZ335" s="643"/>
      <c r="DA335" s="643"/>
      <c r="DB335" s="643"/>
      <c r="DC335" s="643"/>
      <c r="DD335" s="643"/>
      <c r="DE335" s="643"/>
      <c r="DF335" s="643"/>
      <c r="DG335" s="643"/>
      <c r="DH335" s="643"/>
      <c r="DI335" s="643"/>
      <c r="DJ335" s="643"/>
      <c r="DK335" s="643"/>
      <c r="DL335" s="643"/>
      <c r="DM335" s="643"/>
      <c r="DN335" s="643"/>
      <c r="DO335" s="643"/>
      <c r="DP335" s="643"/>
      <c r="DQ335" s="643"/>
      <c r="DR335" s="643"/>
      <c r="DS335" s="643"/>
      <c r="DT335" s="643"/>
      <c r="DU335" s="643"/>
      <c r="DV335" s="643"/>
      <c r="DW335" s="643"/>
      <c r="DX335" s="643"/>
      <c r="DY335" s="643"/>
      <c r="DZ335" s="643"/>
      <c r="EA335" s="643"/>
      <c r="EB335" s="643"/>
      <c r="EC335" s="643"/>
      <c r="ED335" s="643"/>
      <c r="EE335" s="643"/>
      <c r="EF335" s="643"/>
      <c r="EG335" s="643"/>
      <c r="EH335" s="643"/>
      <c r="EI335" s="643"/>
      <c r="EJ335" s="643"/>
      <c r="EK335" s="643"/>
      <c r="EL335" s="643"/>
      <c r="EM335" s="643"/>
      <c r="EN335" s="643"/>
      <c r="EO335" s="643"/>
      <c r="EP335" s="643"/>
      <c r="EQ335" s="643"/>
      <c r="ER335" s="643"/>
    </row>
    <row r="337" spans="6:148" s="645" customFormat="1" ht="15.75" customHeight="1">
      <c r="F337" s="643"/>
      <c r="G337" s="643"/>
      <c r="H337" s="643"/>
      <c r="I337" s="643"/>
      <c r="J337" s="643"/>
      <c r="K337" s="643"/>
      <c r="L337" s="643"/>
      <c r="M337" s="643"/>
      <c r="N337" s="643"/>
      <c r="O337" s="643"/>
      <c r="P337" s="643"/>
      <c r="Q337" s="643"/>
      <c r="R337" s="643"/>
      <c r="S337" s="643"/>
      <c r="T337" s="643"/>
      <c r="U337" s="643"/>
      <c r="V337" s="643"/>
      <c r="W337" s="643"/>
      <c r="X337" s="643"/>
      <c r="Y337" s="643"/>
      <c r="AA337" s="643"/>
      <c r="AC337" s="643"/>
      <c r="AD337" s="643"/>
      <c r="AE337" s="643"/>
      <c r="AF337" s="643"/>
      <c r="AG337" s="643"/>
      <c r="AH337" s="1517"/>
      <c r="AI337" s="644"/>
      <c r="AJ337" s="643"/>
      <c r="AK337" s="643"/>
      <c r="AL337" s="643"/>
      <c r="AM337" s="643"/>
      <c r="AN337" s="643"/>
      <c r="AO337" s="643"/>
      <c r="AP337" s="643"/>
      <c r="AQ337" s="643"/>
      <c r="AR337" s="643"/>
      <c r="AS337" s="643"/>
      <c r="AT337" s="643"/>
      <c r="AU337" s="643"/>
      <c r="AV337" s="643"/>
      <c r="AW337" s="643"/>
      <c r="AX337" s="643"/>
      <c r="AY337" s="643"/>
      <c r="AZ337" s="643"/>
      <c r="BA337" s="643"/>
      <c r="BB337" s="643"/>
      <c r="BC337" s="643"/>
      <c r="BD337" s="643"/>
      <c r="BE337" s="643"/>
      <c r="BF337" s="643"/>
      <c r="BG337" s="643"/>
      <c r="BH337" s="643"/>
      <c r="BI337" s="643"/>
      <c r="BJ337" s="643"/>
      <c r="BK337" s="643"/>
      <c r="BL337" s="643"/>
      <c r="BM337" s="643"/>
      <c r="BN337" s="643"/>
      <c r="BO337" s="643"/>
      <c r="BP337" s="643"/>
      <c r="BQ337" s="643"/>
      <c r="BR337" s="643"/>
      <c r="BS337" s="643"/>
      <c r="BT337" s="643"/>
      <c r="BU337" s="643"/>
      <c r="BV337" s="643"/>
      <c r="BW337" s="643"/>
      <c r="BX337" s="643"/>
      <c r="BY337" s="643"/>
      <c r="BZ337" s="643"/>
      <c r="CA337" s="643"/>
      <c r="CB337" s="643"/>
      <c r="CC337" s="643"/>
      <c r="CD337" s="643"/>
      <c r="CE337" s="643"/>
      <c r="CF337" s="643"/>
      <c r="CG337" s="643"/>
      <c r="CH337" s="643"/>
      <c r="CI337" s="643"/>
      <c r="CJ337" s="643"/>
      <c r="CK337" s="643"/>
      <c r="CL337" s="643"/>
      <c r="CM337" s="643"/>
      <c r="CN337" s="643"/>
      <c r="CO337" s="643"/>
      <c r="CP337" s="643"/>
      <c r="CQ337" s="643"/>
      <c r="CR337" s="643"/>
      <c r="CS337" s="643"/>
      <c r="CT337" s="643"/>
      <c r="CU337" s="643"/>
      <c r="CV337" s="643"/>
      <c r="CW337" s="643"/>
      <c r="CX337" s="643"/>
      <c r="CY337" s="643"/>
      <c r="CZ337" s="643"/>
      <c r="DA337" s="643"/>
      <c r="DB337" s="643"/>
      <c r="DC337" s="643"/>
      <c r="DD337" s="643"/>
      <c r="DE337" s="643"/>
      <c r="DF337" s="643"/>
      <c r="DG337" s="643"/>
      <c r="DH337" s="643"/>
      <c r="DI337" s="643"/>
      <c r="DJ337" s="643"/>
      <c r="DK337" s="643"/>
      <c r="DL337" s="643"/>
      <c r="DM337" s="643"/>
      <c r="DN337" s="643"/>
      <c r="DO337" s="643"/>
      <c r="DP337" s="643"/>
      <c r="DQ337" s="643"/>
      <c r="DR337" s="643"/>
      <c r="DS337" s="643"/>
      <c r="DT337" s="643"/>
      <c r="DU337" s="643"/>
      <c r="DV337" s="643"/>
      <c r="DW337" s="643"/>
      <c r="DX337" s="643"/>
      <c r="DY337" s="643"/>
      <c r="DZ337" s="643"/>
      <c r="EA337" s="643"/>
      <c r="EB337" s="643"/>
      <c r="EC337" s="643"/>
      <c r="ED337" s="643"/>
      <c r="EE337" s="643"/>
      <c r="EF337" s="643"/>
      <c r="EG337" s="643"/>
      <c r="EH337" s="643"/>
      <c r="EI337" s="643"/>
      <c r="EJ337" s="643"/>
      <c r="EK337" s="643"/>
      <c r="EL337" s="643"/>
      <c r="EM337" s="643"/>
      <c r="EN337" s="643"/>
      <c r="EO337" s="643"/>
      <c r="EP337" s="643"/>
      <c r="EQ337" s="643"/>
      <c r="ER337" s="643"/>
    </row>
    <row r="339" spans="6:148" s="645" customFormat="1" ht="15.75" customHeight="1">
      <c r="F339" s="643"/>
      <c r="G339" s="643"/>
      <c r="H339" s="643"/>
      <c r="I339" s="643"/>
      <c r="J339" s="643"/>
      <c r="K339" s="643"/>
      <c r="L339" s="643"/>
      <c r="M339" s="643"/>
      <c r="N339" s="643"/>
      <c r="O339" s="643"/>
      <c r="P339" s="643"/>
      <c r="Q339" s="643"/>
      <c r="R339" s="643"/>
      <c r="S339" s="643"/>
      <c r="T339" s="643"/>
      <c r="U339" s="643"/>
      <c r="V339" s="643"/>
      <c r="W339" s="643"/>
      <c r="X339" s="643"/>
      <c r="Y339" s="643"/>
      <c r="AA339" s="643"/>
      <c r="AC339" s="643"/>
      <c r="AD339" s="643"/>
      <c r="AE339" s="643"/>
      <c r="AF339" s="643"/>
      <c r="AG339" s="643"/>
      <c r="AH339" s="1517"/>
      <c r="AI339" s="644"/>
      <c r="AJ339" s="643"/>
      <c r="AK339" s="643"/>
      <c r="AL339" s="643"/>
      <c r="AM339" s="643"/>
      <c r="AN339" s="643"/>
      <c r="AO339" s="643"/>
      <c r="AP339" s="643"/>
      <c r="AQ339" s="643"/>
      <c r="AR339" s="643"/>
      <c r="AS339" s="643"/>
      <c r="AT339" s="643"/>
      <c r="AU339" s="643"/>
      <c r="AV339" s="643"/>
      <c r="AW339" s="643"/>
      <c r="AX339" s="643"/>
      <c r="AY339" s="643"/>
      <c r="AZ339" s="643"/>
      <c r="BA339" s="643"/>
      <c r="BB339" s="643"/>
      <c r="BC339" s="643"/>
      <c r="BD339" s="643"/>
      <c r="BE339" s="643"/>
      <c r="BF339" s="643"/>
      <c r="BG339" s="643"/>
      <c r="BH339" s="643"/>
      <c r="BI339" s="643"/>
      <c r="BJ339" s="643"/>
      <c r="BK339" s="643"/>
      <c r="BL339" s="643"/>
      <c r="BM339" s="643"/>
      <c r="BN339" s="643"/>
      <c r="BO339" s="643"/>
      <c r="BP339" s="643"/>
      <c r="BQ339" s="643"/>
      <c r="BR339" s="643"/>
      <c r="BS339" s="643"/>
      <c r="BT339" s="643"/>
      <c r="BU339" s="643"/>
      <c r="BV339" s="643"/>
      <c r="BW339" s="643"/>
      <c r="BX339" s="643"/>
      <c r="BY339" s="643"/>
      <c r="BZ339" s="643"/>
      <c r="CA339" s="643"/>
      <c r="CB339" s="643"/>
      <c r="CC339" s="643"/>
      <c r="CD339" s="643"/>
      <c r="CE339" s="643"/>
      <c r="CF339" s="643"/>
      <c r="CG339" s="643"/>
      <c r="CH339" s="643"/>
      <c r="CI339" s="643"/>
      <c r="CJ339" s="643"/>
      <c r="CK339" s="643"/>
      <c r="CL339" s="643"/>
      <c r="CM339" s="643"/>
      <c r="CN339" s="643"/>
      <c r="CO339" s="643"/>
      <c r="CP339" s="643"/>
      <c r="CQ339" s="643"/>
      <c r="CR339" s="643"/>
      <c r="CS339" s="643"/>
      <c r="CT339" s="643"/>
      <c r="CU339" s="643"/>
      <c r="CV339" s="643"/>
      <c r="CW339" s="643"/>
      <c r="CX339" s="643"/>
      <c r="CY339" s="643"/>
      <c r="CZ339" s="643"/>
      <c r="DA339" s="643"/>
      <c r="DB339" s="643"/>
      <c r="DC339" s="643"/>
      <c r="DD339" s="643"/>
      <c r="DE339" s="643"/>
      <c r="DF339" s="643"/>
      <c r="DG339" s="643"/>
      <c r="DH339" s="643"/>
      <c r="DI339" s="643"/>
      <c r="DJ339" s="643"/>
      <c r="DK339" s="643"/>
      <c r="DL339" s="643"/>
      <c r="DM339" s="643"/>
      <c r="DN339" s="643"/>
      <c r="DO339" s="643"/>
      <c r="DP339" s="643"/>
      <c r="DQ339" s="643"/>
      <c r="DR339" s="643"/>
      <c r="DS339" s="643"/>
      <c r="DT339" s="643"/>
      <c r="DU339" s="643"/>
      <c r="DV339" s="643"/>
      <c r="DW339" s="643"/>
      <c r="DX339" s="643"/>
      <c r="DY339" s="643"/>
      <c r="DZ339" s="643"/>
      <c r="EA339" s="643"/>
      <c r="EB339" s="643"/>
      <c r="EC339" s="643"/>
      <c r="ED339" s="643"/>
      <c r="EE339" s="643"/>
      <c r="EF339" s="643"/>
      <c r="EG339" s="643"/>
      <c r="EH339" s="643"/>
      <c r="EI339" s="643"/>
      <c r="EJ339" s="643"/>
      <c r="EK339" s="643"/>
      <c r="EL339" s="643"/>
      <c r="EM339" s="643"/>
      <c r="EN339" s="643"/>
      <c r="EO339" s="643"/>
      <c r="EP339" s="643"/>
      <c r="EQ339" s="643"/>
      <c r="ER339" s="643"/>
    </row>
    <row r="341" spans="6:148" s="645" customFormat="1" ht="15.75" customHeight="1">
      <c r="F341" s="643"/>
      <c r="G341" s="643"/>
      <c r="H341" s="643"/>
      <c r="I341" s="643"/>
      <c r="J341" s="643"/>
      <c r="K341" s="643"/>
      <c r="L341" s="643"/>
      <c r="M341" s="643"/>
      <c r="N341" s="643"/>
      <c r="O341" s="643"/>
      <c r="P341" s="643"/>
      <c r="Q341" s="643"/>
      <c r="R341" s="643"/>
      <c r="S341" s="643"/>
      <c r="T341" s="643"/>
      <c r="U341" s="643"/>
      <c r="V341" s="643"/>
      <c r="W341" s="643"/>
      <c r="X341" s="643"/>
      <c r="Y341" s="643"/>
      <c r="AA341" s="643"/>
      <c r="AC341" s="643"/>
      <c r="AD341" s="643"/>
      <c r="AE341" s="643"/>
      <c r="AF341" s="643"/>
      <c r="AG341" s="643"/>
      <c r="AH341" s="1517"/>
      <c r="AI341" s="644"/>
      <c r="AJ341" s="643"/>
      <c r="AK341" s="643"/>
      <c r="AL341" s="643"/>
      <c r="AM341" s="643"/>
      <c r="AN341" s="643"/>
      <c r="AO341" s="643"/>
      <c r="AP341" s="643"/>
      <c r="AQ341" s="643"/>
      <c r="AR341" s="643"/>
      <c r="AS341" s="643"/>
      <c r="AT341" s="643"/>
      <c r="AU341" s="643"/>
      <c r="AV341" s="643"/>
      <c r="AW341" s="643"/>
      <c r="AX341" s="643"/>
      <c r="AY341" s="643"/>
      <c r="AZ341" s="643"/>
      <c r="BA341" s="643"/>
      <c r="BB341" s="643"/>
      <c r="BC341" s="643"/>
      <c r="BD341" s="643"/>
      <c r="BE341" s="643"/>
      <c r="BF341" s="643"/>
      <c r="BG341" s="643"/>
      <c r="BH341" s="643"/>
      <c r="BI341" s="643"/>
      <c r="BJ341" s="643"/>
      <c r="BK341" s="643"/>
      <c r="BL341" s="643"/>
      <c r="BM341" s="643"/>
      <c r="BN341" s="643"/>
      <c r="BO341" s="643"/>
      <c r="BP341" s="643"/>
      <c r="BQ341" s="643"/>
      <c r="BR341" s="643"/>
      <c r="BS341" s="643"/>
      <c r="BT341" s="643"/>
      <c r="BU341" s="643"/>
      <c r="BV341" s="643"/>
      <c r="BW341" s="643"/>
      <c r="BX341" s="643"/>
      <c r="BY341" s="643"/>
      <c r="BZ341" s="643"/>
      <c r="CA341" s="643"/>
      <c r="CB341" s="643"/>
      <c r="CC341" s="643"/>
      <c r="CD341" s="643"/>
      <c r="CE341" s="643"/>
      <c r="CF341" s="643"/>
      <c r="CG341" s="643"/>
      <c r="CH341" s="643"/>
      <c r="CI341" s="643"/>
      <c r="CJ341" s="643"/>
      <c r="CK341" s="643"/>
      <c r="CL341" s="643"/>
      <c r="CM341" s="643"/>
      <c r="CN341" s="643"/>
      <c r="CO341" s="643"/>
      <c r="CP341" s="643"/>
      <c r="CQ341" s="643"/>
      <c r="CR341" s="643"/>
      <c r="CS341" s="643"/>
      <c r="CT341" s="643"/>
      <c r="CU341" s="643"/>
      <c r="CV341" s="643"/>
      <c r="CW341" s="643"/>
      <c r="CX341" s="643"/>
      <c r="CY341" s="643"/>
      <c r="CZ341" s="643"/>
      <c r="DA341" s="643"/>
      <c r="DB341" s="643"/>
      <c r="DC341" s="643"/>
      <c r="DD341" s="643"/>
      <c r="DE341" s="643"/>
      <c r="DF341" s="643"/>
      <c r="DG341" s="643"/>
      <c r="DH341" s="643"/>
      <c r="DI341" s="643"/>
      <c r="DJ341" s="643"/>
      <c r="DK341" s="643"/>
      <c r="DL341" s="643"/>
      <c r="DM341" s="643"/>
      <c r="DN341" s="643"/>
      <c r="DO341" s="643"/>
      <c r="DP341" s="643"/>
      <c r="DQ341" s="643"/>
      <c r="DR341" s="643"/>
      <c r="DS341" s="643"/>
      <c r="DT341" s="643"/>
      <c r="DU341" s="643"/>
      <c r="DV341" s="643"/>
      <c r="DW341" s="643"/>
      <c r="DX341" s="643"/>
      <c r="DY341" s="643"/>
      <c r="DZ341" s="643"/>
      <c r="EA341" s="643"/>
      <c r="EB341" s="643"/>
      <c r="EC341" s="643"/>
      <c r="ED341" s="643"/>
      <c r="EE341" s="643"/>
      <c r="EF341" s="643"/>
      <c r="EG341" s="643"/>
      <c r="EH341" s="643"/>
      <c r="EI341" s="643"/>
      <c r="EJ341" s="643"/>
      <c r="EK341" s="643"/>
      <c r="EL341" s="643"/>
      <c r="EM341" s="643"/>
      <c r="EN341" s="643"/>
      <c r="EO341" s="643"/>
      <c r="EP341" s="643"/>
      <c r="EQ341" s="643"/>
      <c r="ER341" s="643"/>
    </row>
    <row r="343" spans="6:148" s="645" customFormat="1" ht="15.75" customHeight="1">
      <c r="F343" s="643"/>
      <c r="G343" s="643"/>
      <c r="H343" s="643"/>
      <c r="I343" s="643"/>
      <c r="J343" s="643"/>
      <c r="K343" s="643"/>
      <c r="L343" s="643"/>
      <c r="M343" s="643"/>
      <c r="N343" s="643"/>
      <c r="O343" s="643"/>
      <c r="P343" s="643"/>
      <c r="Q343" s="643"/>
      <c r="R343" s="643"/>
      <c r="S343" s="643"/>
      <c r="T343" s="643"/>
      <c r="U343" s="643"/>
      <c r="V343" s="643"/>
      <c r="W343" s="643"/>
      <c r="X343" s="643"/>
      <c r="Y343" s="643"/>
      <c r="AA343" s="643"/>
      <c r="AC343" s="643"/>
      <c r="AD343" s="643"/>
      <c r="AE343" s="643"/>
      <c r="AF343" s="643"/>
      <c r="AG343" s="643"/>
      <c r="AH343" s="1517"/>
      <c r="AI343" s="644"/>
      <c r="AJ343" s="643"/>
      <c r="AK343" s="643"/>
      <c r="AL343" s="643"/>
      <c r="AM343" s="643"/>
      <c r="AN343" s="643"/>
      <c r="AO343" s="643"/>
      <c r="AP343" s="643"/>
      <c r="AQ343" s="643"/>
      <c r="AR343" s="643"/>
      <c r="AS343" s="643"/>
      <c r="AT343" s="643"/>
      <c r="AU343" s="643"/>
      <c r="AV343" s="643"/>
      <c r="AW343" s="643"/>
      <c r="AX343" s="643"/>
      <c r="AY343" s="643"/>
      <c r="AZ343" s="643"/>
      <c r="BA343" s="643"/>
      <c r="BB343" s="643"/>
      <c r="BC343" s="643"/>
      <c r="BD343" s="643"/>
      <c r="BE343" s="643"/>
      <c r="BF343" s="643"/>
      <c r="BG343" s="643"/>
      <c r="BH343" s="643"/>
      <c r="BI343" s="643"/>
      <c r="BJ343" s="643"/>
      <c r="BK343" s="643"/>
      <c r="BL343" s="643"/>
      <c r="BM343" s="643"/>
      <c r="BN343" s="643"/>
      <c r="BO343" s="643"/>
      <c r="BP343" s="643"/>
      <c r="BQ343" s="643"/>
      <c r="BR343" s="643"/>
      <c r="BS343" s="643"/>
      <c r="BT343" s="643"/>
      <c r="BU343" s="643"/>
      <c r="BV343" s="643"/>
      <c r="BW343" s="643"/>
      <c r="BX343" s="643"/>
      <c r="BY343" s="643"/>
      <c r="BZ343" s="643"/>
      <c r="CA343" s="643"/>
      <c r="CB343" s="643"/>
      <c r="CC343" s="643"/>
      <c r="CD343" s="643"/>
      <c r="CE343" s="643"/>
      <c r="CF343" s="643"/>
      <c r="CG343" s="643"/>
      <c r="CH343" s="643"/>
      <c r="CI343" s="643"/>
      <c r="CJ343" s="643"/>
      <c r="CK343" s="643"/>
      <c r="CL343" s="643"/>
      <c r="CM343" s="643"/>
      <c r="CN343" s="643"/>
      <c r="CO343" s="643"/>
      <c r="CP343" s="643"/>
      <c r="CQ343" s="643"/>
      <c r="CR343" s="643"/>
      <c r="CS343" s="643"/>
      <c r="CT343" s="643"/>
      <c r="CU343" s="643"/>
      <c r="CV343" s="643"/>
      <c r="CW343" s="643"/>
      <c r="CX343" s="643"/>
      <c r="CY343" s="643"/>
      <c r="CZ343" s="643"/>
      <c r="DA343" s="643"/>
      <c r="DB343" s="643"/>
      <c r="DC343" s="643"/>
      <c r="DD343" s="643"/>
      <c r="DE343" s="643"/>
      <c r="DF343" s="643"/>
      <c r="DG343" s="643"/>
      <c r="DH343" s="643"/>
      <c r="DI343" s="643"/>
      <c r="DJ343" s="643"/>
      <c r="DK343" s="643"/>
      <c r="DL343" s="643"/>
      <c r="DM343" s="643"/>
      <c r="DN343" s="643"/>
      <c r="DO343" s="643"/>
      <c r="DP343" s="643"/>
      <c r="DQ343" s="643"/>
      <c r="DR343" s="643"/>
      <c r="DS343" s="643"/>
      <c r="DT343" s="643"/>
      <c r="DU343" s="643"/>
      <c r="DV343" s="643"/>
      <c r="DW343" s="643"/>
      <c r="DX343" s="643"/>
      <c r="DY343" s="643"/>
      <c r="DZ343" s="643"/>
      <c r="EA343" s="643"/>
      <c r="EB343" s="643"/>
      <c r="EC343" s="643"/>
      <c r="ED343" s="643"/>
      <c r="EE343" s="643"/>
      <c r="EF343" s="643"/>
      <c r="EG343" s="643"/>
      <c r="EH343" s="643"/>
      <c r="EI343" s="643"/>
      <c r="EJ343" s="643"/>
      <c r="EK343" s="643"/>
      <c r="EL343" s="643"/>
      <c r="EM343" s="643"/>
      <c r="EN343" s="643"/>
      <c r="EO343" s="643"/>
      <c r="EP343" s="643"/>
      <c r="EQ343" s="643"/>
      <c r="ER343" s="643"/>
    </row>
    <row r="345" spans="6:148" s="645" customFormat="1" ht="15.75" customHeight="1">
      <c r="F345" s="643"/>
      <c r="G345" s="643"/>
      <c r="H345" s="643"/>
      <c r="I345" s="643"/>
      <c r="J345" s="643"/>
      <c r="K345" s="643"/>
      <c r="L345" s="643"/>
      <c r="M345" s="643"/>
      <c r="N345" s="643"/>
      <c r="O345" s="643"/>
      <c r="P345" s="643"/>
      <c r="Q345" s="643"/>
      <c r="R345" s="643"/>
      <c r="S345" s="643"/>
      <c r="T345" s="643"/>
      <c r="U345" s="643"/>
      <c r="V345" s="643"/>
      <c r="W345" s="643"/>
      <c r="X345" s="643"/>
      <c r="Y345" s="643"/>
      <c r="AA345" s="643"/>
      <c r="AC345" s="643"/>
      <c r="AD345" s="643"/>
      <c r="AE345" s="643"/>
      <c r="AF345" s="643"/>
      <c r="AG345" s="643"/>
      <c r="AH345" s="1517"/>
      <c r="AI345" s="644"/>
      <c r="AJ345" s="643"/>
      <c r="AK345" s="643"/>
      <c r="AL345" s="643"/>
      <c r="AM345" s="643"/>
      <c r="AN345" s="643"/>
      <c r="AO345" s="643"/>
      <c r="AP345" s="643"/>
      <c r="AQ345" s="643"/>
      <c r="AR345" s="643"/>
      <c r="AS345" s="643"/>
      <c r="AT345" s="643"/>
      <c r="AU345" s="643"/>
      <c r="AV345" s="643"/>
      <c r="AW345" s="643"/>
      <c r="AX345" s="643"/>
      <c r="AY345" s="643"/>
      <c r="AZ345" s="643"/>
      <c r="BA345" s="643"/>
      <c r="BB345" s="643"/>
      <c r="BC345" s="643"/>
      <c r="BD345" s="643"/>
      <c r="BE345" s="643"/>
      <c r="BF345" s="643"/>
      <c r="BG345" s="643"/>
      <c r="BH345" s="643"/>
      <c r="BI345" s="643"/>
      <c r="BJ345" s="643"/>
      <c r="BK345" s="643"/>
      <c r="BL345" s="643"/>
      <c r="BM345" s="643"/>
      <c r="BN345" s="643"/>
      <c r="BO345" s="643"/>
      <c r="BP345" s="643"/>
      <c r="BQ345" s="643"/>
      <c r="BR345" s="643"/>
      <c r="BS345" s="643"/>
      <c r="BT345" s="643"/>
      <c r="BU345" s="643"/>
      <c r="BV345" s="643"/>
      <c r="BW345" s="643"/>
      <c r="BX345" s="643"/>
      <c r="BY345" s="643"/>
      <c r="BZ345" s="643"/>
      <c r="CA345" s="643"/>
      <c r="CB345" s="643"/>
      <c r="CC345" s="643"/>
      <c r="CD345" s="643"/>
      <c r="CE345" s="643"/>
      <c r="CF345" s="643"/>
      <c r="CG345" s="643"/>
      <c r="CH345" s="643"/>
      <c r="CI345" s="643"/>
      <c r="CJ345" s="643"/>
      <c r="CK345" s="643"/>
      <c r="CL345" s="643"/>
      <c r="CM345" s="643"/>
      <c r="CN345" s="643"/>
      <c r="CO345" s="643"/>
      <c r="CP345" s="643"/>
      <c r="CQ345" s="643"/>
      <c r="CR345" s="643"/>
      <c r="CS345" s="643"/>
      <c r="CT345" s="643"/>
      <c r="CU345" s="643"/>
      <c r="CV345" s="643"/>
      <c r="CW345" s="643"/>
      <c r="CX345" s="643"/>
      <c r="CY345" s="643"/>
      <c r="CZ345" s="643"/>
      <c r="DA345" s="643"/>
      <c r="DB345" s="643"/>
      <c r="DC345" s="643"/>
      <c r="DD345" s="643"/>
      <c r="DE345" s="643"/>
      <c r="DF345" s="643"/>
      <c r="DG345" s="643"/>
      <c r="DH345" s="643"/>
      <c r="DI345" s="643"/>
      <c r="DJ345" s="643"/>
      <c r="DK345" s="643"/>
      <c r="DL345" s="643"/>
      <c r="DM345" s="643"/>
      <c r="DN345" s="643"/>
      <c r="DO345" s="643"/>
      <c r="DP345" s="643"/>
      <c r="DQ345" s="643"/>
      <c r="DR345" s="643"/>
      <c r="DS345" s="643"/>
      <c r="DT345" s="643"/>
      <c r="DU345" s="643"/>
      <c r="DV345" s="643"/>
      <c r="DW345" s="643"/>
      <c r="DX345" s="643"/>
      <c r="DY345" s="643"/>
      <c r="DZ345" s="643"/>
      <c r="EA345" s="643"/>
      <c r="EB345" s="643"/>
      <c r="EC345" s="643"/>
      <c r="ED345" s="643"/>
      <c r="EE345" s="643"/>
      <c r="EF345" s="643"/>
      <c r="EG345" s="643"/>
      <c r="EH345" s="643"/>
      <c r="EI345" s="643"/>
      <c r="EJ345" s="643"/>
      <c r="EK345" s="643"/>
      <c r="EL345" s="643"/>
      <c r="EM345" s="643"/>
      <c r="EN345" s="643"/>
      <c r="EO345" s="643"/>
      <c r="EP345" s="643"/>
      <c r="EQ345" s="643"/>
      <c r="ER345" s="643"/>
    </row>
    <row r="347" spans="6:148" s="645" customFormat="1" ht="15.75" customHeight="1">
      <c r="F347" s="643"/>
      <c r="G347" s="643"/>
      <c r="H347" s="643"/>
      <c r="I347" s="643"/>
      <c r="J347" s="643"/>
      <c r="K347" s="643"/>
      <c r="L347" s="643"/>
      <c r="M347" s="643"/>
      <c r="N347" s="643"/>
      <c r="O347" s="643"/>
      <c r="P347" s="643"/>
      <c r="Q347" s="643"/>
      <c r="R347" s="643"/>
      <c r="S347" s="643"/>
      <c r="T347" s="643"/>
      <c r="U347" s="643"/>
      <c r="V347" s="643"/>
      <c r="W347" s="643"/>
      <c r="X347" s="643"/>
      <c r="Y347" s="643"/>
      <c r="AA347" s="643"/>
      <c r="AC347" s="643"/>
      <c r="AD347" s="643"/>
      <c r="AE347" s="643"/>
      <c r="AF347" s="643"/>
      <c r="AG347" s="643"/>
      <c r="AH347" s="1517"/>
      <c r="AI347" s="644"/>
      <c r="AJ347" s="643"/>
      <c r="AK347" s="643"/>
      <c r="AL347" s="643"/>
      <c r="AM347" s="643"/>
      <c r="AN347" s="643"/>
      <c r="AO347" s="643"/>
      <c r="AP347" s="643"/>
      <c r="AQ347" s="643"/>
      <c r="AR347" s="643"/>
      <c r="AS347" s="643"/>
      <c r="AT347" s="643"/>
      <c r="AU347" s="643"/>
      <c r="AV347" s="643"/>
      <c r="AW347" s="643"/>
      <c r="AX347" s="643"/>
      <c r="AY347" s="643"/>
      <c r="AZ347" s="643"/>
      <c r="BA347" s="643"/>
      <c r="BB347" s="643"/>
      <c r="BC347" s="643"/>
      <c r="BD347" s="643"/>
      <c r="BE347" s="643"/>
      <c r="BF347" s="643"/>
      <c r="BG347" s="643"/>
      <c r="BH347" s="643"/>
      <c r="BI347" s="643"/>
      <c r="BJ347" s="643"/>
      <c r="BK347" s="643"/>
      <c r="BL347" s="643"/>
      <c r="BM347" s="643"/>
      <c r="BN347" s="643"/>
      <c r="BO347" s="643"/>
      <c r="BP347" s="643"/>
      <c r="BQ347" s="643"/>
      <c r="BR347" s="643"/>
      <c r="BS347" s="643"/>
      <c r="BT347" s="643"/>
      <c r="BU347" s="643"/>
      <c r="BV347" s="643"/>
      <c r="BW347" s="643"/>
      <c r="BX347" s="643"/>
      <c r="BY347" s="643"/>
      <c r="BZ347" s="643"/>
      <c r="CA347" s="643"/>
      <c r="CB347" s="643"/>
      <c r="CC347" s="643"/>
      <c r="CD347" s="643"/>
      <c r="CE347" s="643"/>
      <c r="CF347" s="643"/>
      <c r="CG347" s="643"/>
      <c r="CH347" s="643"/>
      <c r="CI347" s="643"/>
      <c r="CJ347" s="643"/>
      <c r="CK347" s="643"/>
      <c r="CL347" s="643"/>
      <c r="CM347" s="643"/>
      <c r="CN347" s="643"/>
      <c r="CO347" s="643"/>
      <c r="CP347" s="643"/>
      <c r="CQ347" s="643"/>
      <c r="CR347" s="643"/>
      <c r="CS347" s="643"/>
      <c r="CT347" s="643"/>
      <c r="CU347" s="643"/>
      <c r="CV347" s="643"/>
      <c r="CW347" s="643"/>
      <c r="CX347" s="643"/>
      <c r="CY347" s="643"/>
      <c r="CZ347" s="643"/>
      <c r="DA347" s="643"/>
      <c r="DB347" s="643"/>
      <c r="DC347" s="643"/>
      <c r="DD347" s="643"/>
      <c r="DE347" s="643"/>
      <c r="DF347" s="643"/>
      <c r="DG347" s="643"/>
      <c r="DH347" s="643"/>
      <c r="DI347" s="643"/>
      <c r="DJ347" s="643"/>
      <c r="DK347" s="643"/>
      <c r="DL347" s="643"/>
      <c r="DM347" s="643"/>
      <c r="DN347" s="643"/>
      <c r="DO347" s="643"/>
      <c r="DP347" s="643"/>
      <c r="DQ347" s="643"/>
      <c r="DR347" s="643"/>
      <c r="DS347" s="643"/>
      <c r="DT347" s="643"/>
      <c r="DU347" s="643"/>
      <c r="DV347" s="643"/>
      <c r="DW347" s="643"/>
      <c r="DX347" s="643"/>
      <c r="DY347" s="643"/>
      <c r="DZ347" s="643"/>
      <c r="EA347" s="643"/>
      <c r="EB347" s="643"/>
      <c r="EC347" s="643"/>
      <c r="ED347" s="643"/>
      <c r="EE347" s="643"/>
      <c r="EF347" s="643"/>
      <c r="EG347" s="643"/>
      <c r="EH347" s="643"/>
      <c r="EI347" s="643"/>
      <c r="EJ347" s="643"/>
      <c r="EK347" s="643"/>
      <c r="EL347" s="643"/>
      <c r="EM347" s="643"/>
      <c r="EN347" s="643"/>
      <c r="EO347" s="643"/>
      <c r="EP347" s="643"/>
      <c r="EQ347" s="643"/>
      <c r="ER347" s="643"/>
    </row>
    <row r="349" spans="6:148" s="645" customFormat="1" ht="15.75" customHeight="1">
      <c r="F349" s="643"/>
      <c r="G349" s="643"/>
      <c r="H349" s="643"/>
      <c r="I349" s="643"/>
      <c r="J349" s="643"/>
      <c r="K349" s="643"/>
      <c r="L349" s="643"/>
      <c r="M349" s="643"/>
      <c r="N349" s="643"/>
      <c r="O349" s="643"/>
      <c r="P349" s="643"/>
      <c r="Q349" s="643"/>
      <c r="R349" s="643"/>
      <c r="S349" s="643"/>
      <c r="T349" s="643"/>
      <c r="U349" s="643"/>
      <c r="V349" s="643"/>
      <c r="W349" s="643"/>
      <c r="X349" s="643"/>
      <c r="Y349" s="643"/>
      <c r="AA349" s="643"/>
      <c r="AC349" s="643"/>
      <c r="AD349" s="643"/>
      <c r="AE349" s="643"/>
      <c r="AF349" s="643"/>
      <c r="AG349" s="643"/>
      <c r="AH349" s="1517"/>
      <c r="AI349" s="644"/>
      <c r="AJ349" s="643"/>
      <c r="AK349" s="643"/>
      <c r="AL349" s="643"/>
      <c r="AM349" s="643"/>
      <c r="AN349" s="643"/>
      <c r="AO349" s="643"/>
      <c r="AP349" s="643"/>
      <c r="AQ349" s="643"/>
      <c r="AR349" s="643"/>
      <c r="AS349" s="643"/>
      <c r="AT349" s="643"/>
      <c r="AU349" s="643"/>
      <c r="AV349" s="643"/>
      <c r="AW349" s="643"/>
      <c r="AX349" s="643"/>
      <c r="AY349" s="643"/>
      <c r="AZ349" s="643"/>
      <c r="BA349" s="643"/>
      <c r="BB349" s="643"/>
      <c r="BC349" s="643"/>
      <c r="BD349" s="643"/>
      <c r="BE349" s="643"/>
      <c r="BF349" s="643"/>
      <c r="BG349" s="643"/>
      <c r="BH349" s="643"/>
      <c r="BI349" s="643"/>
      <c r="BJ349" s="643"/>
      <c r="BK349" s="643"/>
      <c r="BL349" s="643"/>
      <c r="BM349" s="643"/>
      <c r="BN349" s="643"/>
      <c r="BO349" s="643"/>
      <c r="BP349" s="643"/>
      <c r="BQ349" s="643"/>
      <c r="BR349" s="643"/>
      <c r="BS349" s="643"/>
      <c r="BT349" s="643"/>
      <c r="BU349" s="643"/>
      <c r="BV349" s="643"/>
      <c r="BW349" s="643"/>
      <c r="BX349" s="643"/>
      <c r="BY349" s="643"/>
      <c r="BZ349" s="643"/>
      <c r="CA349" s="643"/>
      <c r="CB349" s="643"/>
      <c r="CC349" s="643"/>
      <c r="CD349" s="643"/>
      <c r="CE349" s="643"/>
      <c r="CF349" s="643"/>
      <c r="CG349" s="643"/>
      <c r="CH349" s="643"/>
      <c r="CI349" s="643"/>
      <c r="CJ349" s="643"/>
      <c r="CK349" s="643"/>
      <c r="CL349" s="643"/>
      <c r="CM349" s="643"/>
      <c r="CN349" s="643"/>
      <c r="CO349" s="643"/>
      <c r="CP349" s="643"/>
      <c r="CQ349" s="643"/>
      <c r="CR349" s="643"/>
      <c r="CS349" s="643"/>
      <c r="CT349" s="643"/>
      <c r="CU349" s="643"/>
      <c r="CV349" s="643"/>
      <c r="CW349" s="643"/>
      <c r="CX349" s="643"/>
      <c r="CY349" s="643"/>
      <c r="CZ349" s="643"/>
      <c r="DA349" s="643"/>
      <c r="DB349" s="643"/>
      <c r="DC349" s="643"/>
      <c r="DD349" s="643"/>
      <c r="DE349" s="643"/>
      <c r="DF349" s="643"/>
      <c r="DG349" s="643"/>
      <c r="DH349" s="643"/>
      <c r="DI349" s="643"/>
      <c r="DJ349" s="643"/>
      <c r="DK349" s="643"/>
      <c r="DL349" s="643"/>
      <c r="DM349" s="643"/>
      <c r="DN349" s="643"/>
      <c r="DO349" s="643"/>
      <c r="DP349" s="643"/>
      <c r="DQ349" s="643"/>
      <c r="DR349" s="643"/>
      <c r="DS349" s="643"/>
      <c r="DT349" s="643"/>
      <c r="DU349" s="643"/>
      <c r="DV349" s="643"/>
      <c r="DW349" s="643"/>
      <c r="DX349" s="643"/>
      <c r="DY349" s="643"/>
      <c r="DZ349" s="643"/>
      <c r="EA349" s="643"/>
      <c r="EB349" s="643"/>
      <c r="EC349" s="643"/>
      <c r="ED349" s="643"/>
      <c r="EE349" s="643"/>
      <c r="EF349" s="643"/>
      <c r="EG349" s="643"/>
      <c r="EH349" s="643"/>
      <c r="EI349" s="643"/>
      <c r="EJ349" s="643"/>
      <c r="EK349" s="643"/>
      <c r="EL349" s="643"/>
      <c r="EM349" s="643"/>
      <c r="EN349" s="643"/>
      <c r="EO349" s="643"/>
      <c r="EP349" s="643"/>
      <c r="EQ349" s="643"/>
      <c r="ER349" s="643"/>
    </row>
    <row r="351" spans="6:148" s="645" customFormat="1" ht="15.75" customHeight="1">
      <c r="F351" s="643"/>
      <c r="G351" s="643"/>
      <c r="H351" s="643"/>
      <c r="I351" s="643"/>
      <c r="J351" s="643"/>
      <c r="K351" s="643"/>
      <c r="L351" s="643"/>
      <c r="M351" s="643"/>
      <c r="N351" s="643"/>
      <c r="O351" s="643"/>
      <c r="P351" s="643"/>
      <c r="Q351" s="643"/>
      <c r="R351" s="643"/>
      <c r="S351" s="643"/>
      <c r="T351" s="643"/>
      <c r="U351" s="643"/>
      <c r="V351" s="643"/>
      <c r="W351" s="643"/>
      <c r="X351" s="643"/>
      <c r="Y351" s="643"/>
      <c r="AA351" s="643"/>
      <c r="AC351" s="643"/>
      <c r="AD351" s="643"/>
      <c r="AE351" s="643"/>
      <c r="AF351" s="643"/>
      <c r="AG351" s="643"/>
      <c r="AH351" s="1517"/>
      <c r="AI351" s="644"/>
      <c r="AJ351" s="643"/>
      <c r="AK351" s="643"/>
      <c r="AL351" s="643"/>
      <c r="AM351" s="643"/>
      <c r="AN351" s="643"/>
      <c r="AO351" s="643"/>
      <c r="AP351" s="643"/>
      <c r="AQ351" s="643"/>
      <c r="AR351" s="643"/>
      <c r="AS351" s="643"/>
      <c r="AT351" s="643"/>
      <c r="AU351" s="643"/>
      <c r="AV351" s="643"/>
      <c r="AW351" s="643"/>
      <c r="AX351" s="643"/>
      <c r="AY351" s="643"/>
      <c r="AZ351" s="643"/>
      <c r="BA351" s="643"/>
      <c r="BB351" s="643"/>
      <c r="BC351" s="643"/>
      <c r="BD351" s="643"/>
      <c r="BE351" s="643"/>
      <c r="BF351" s="643"/>
      <c r="BG351" s="643"/>
      <c r="BH351" s="643"/>
      <c r="BI351" s="643"/>
      <c r="BJ351" s="643"/>
      <c r="BK351" s="643"/>
      <c r="BL351" s="643"/>
      <c r="BM351" s="643"/>
      <c r="BN351" s="643"/>
      <c r="BO351" s="643"/>
      <c r="BP351" s="643"/>
      <c r="BQ351" s="643"/>
      <c r="BR351" s="643"/>
      <c r="BS351" s="643"/>
      <c r="BT351" s="643"/>
      <c r="BU351" s="643"/>
      <c r="BV351" s="643"/>
      <c r="BW351" s="643"/>
      <c r="BX351" s="643"/>
      <c r="BY351" s="643"/>
      <c r="BZ351" s="643"/>
      <c r="CA351" s="643"/>
      <c r="CB351" s="643"/>
      <c r="CC351" s="643"/>
      <c r="CD351" s="643"/>
      <c r="CE351" s="643"/>
      <c r="CF351" s="643"/>
      <c r="CG351" s="643"/>
      <c r="CH351" s="643"/>
      <c r="CI351" s="643"/>
      <c r="CJ351" s="643"/>
      <c r="CK351" s="643"/>
      <c r="CL351" s="643"/>
      <c r="CM351" s="643"/>
      <c r="CN351" s="643"/>
      <c r="CO351" s="643"/>
      <c r="CP351" s="643"/>
      <c r="CQ351" s="643"/>
      <c r="CR351" s="643"/>
      <c r="CS351" s="643"/>
      <c r="CT351" s="643"/>
      <c r="CU351" s="643"/>
      <c r="CV351" s="643"/>
      <c r="CW351" s="643"/>
      <c r="CX351" s="643"/>
      <c r="CY351" s="643"/>
      <c r="CZ351" s="643"/>
      <c r="DA351" s="643"/>
      <c r="DB351" s="643"/>
      <c r="DC351" s="643"/>
      <c r="DD351" s="643"/>
      <c r="DE351" s="643"/>
      <c r="DF351" s="643"/>
      <c r="DG351" s="643"/>
      <c r="DH351" s="643"/>
      <c r="DI351" s="643"/>
      <c r="DJ351" s="643"/>
      <c r="DK351" s="643"/>
      <c r="DL351" s="643"/>
      <c r="DM351" s="643"/>
      <c r="DN351" s="643"/>
      <c r="DO351" s="643"/>
      <c r="DP351" s="643"/>
      <c r="DQ351" s="643"/>
      <c r="DR351" s="643"/>
      <c r="DS351" s="643"/>
      <c r="DT351" s="643"/>
      <c r="DU351" s="643"/>
      <c r="DV351" s="643"/>
      <c r="DW351" s="643"/>
      <c r="DX351" s="643"/>
      <c r="DY351" s="643"/>
      <c r="DZ351" s="643"/>
      <c r="EA351" s="643"/>
      <c r="EB351" s="643"/>
      <c r="EC351" s="643"/>
      <c r="ED351" s="643"/>
      <c r="EE351" s="643"/>
      <c r="EF351" s="643"/>
      <c r="EG351" s="643"/>
      <c r="EH351" s="643"/>
      <c r="EI351" s="643"/>
      <c r="EJ351" s="643"/>
      <c r="EK351" s="643"/>
      <c r="EL351" s="643"/>
      <c r="EM351" s="643"/>
      <c r="EN351" s="643"/>
      <c r="EO351" s="643"/>
      <c r="EP351" s="643"/>
      <c r="EQ351" s="643"/>
      <c r="ER351" s="643"/>
    </row>
    <row r="353" spans="6:148" s="645" customFormat="1" ht="15.75" customHeight="1">
      <c r="F353" s="643"/>
      <c r="G353" s="643"/>
      <c r="H353" s="643"/>
      <c r="I353" s="643"/>
      <c r="J353" s="643"/>
      <c r="K353" s="643"/>
      <c r="L353" s="643"/>
      <c r="M353" s="643"/>
      <c r="N353" s="643"/>
      <c r="O353" s="643"/>
      <c r="P353" s="643"/>
      <c r="Q353" s="643"/>
      <c r="R353" s="643"/>
      <c r="S353" s="643"/>
      <c r="T353" s="643"/>
      <c r="U353" s="643"/>
      <c r="V353" s="643"/>
      <c r="W353" s="643"/>
      <c r="X353" s="643"/>
      <c r="Y353" s="643"/>
      <c r="AA353" s="643"/>
      <c r="AC353" s="643"/>
      <c r="AD353" s="643"/>
      <c r="AE353" s="643"/>
      <c r="AF353" s="643"/>
      <c r="AG353" s="643"/>
      <c r="AH353" s="1517"/>
      <c r="AI353" s="644"/>
      <c r="AJ353" s="643"/>
      <c r="AK353" s="643"/>
      <c r="AL353" s="643"/>
      <c r="AM353" s="643"/>
      <c r="AN353" s="643"/>
      <c r="AO353" s="643"/>
      <c r="AP353" s="643"/>
      <c r="AQ353" s="643"/>
      <c r="AR353" s="643"/>
      <c r="AS353" s="643"/>
      <c r="AT353" s="643"/>
      <c r="AU353" s="643"/>
      <c r="AV353" s="643"/>
      <c r="AW353" s="643"/>
      <c r="AX353" s="643"/>
      <c r="AY353" s="643"/>
      <c r="AZ353" s="643"/>
      <c r="BA353" s="643"/>
      <c r="BB353" s="643"/>
      <c r="BC353" s="643"/>
      <c r="BD353" s="643"/>
      <c r="BE353" s="643"/>
      <c r="BF353" s="643"/>
      <c r="BG353" s="643"/>
      <c r="BH353" s="643"/>
      <c r="BI353" s="643"/>
      <c r="BJ353" s="643"/>
      <c r="BK353" s="643"/>
      <c r="BL353" s="643"/>
      <c r="BM353" s="643"/>
      <c r="BN353" s="643"/>
      <c r="BO353" s="643"/>
      <c r="BP353" s="643"/>
      <c r="BQ353" s="643"/>
      <c r="BR353" s="643"/>
      <c r="BS353" s="643"/>
      <c r="BT353" s="643"/>
      <c r="BU353" s="643"/>
      <c r="BV353" s="643"/>
      <c r="BW353" s="643"/>
      <c r="BX353" s="643"/>
      <c r="BY353" s="643"/>
      <c r="BZ353" s="643"/>
      <c r="CA353" s="643"/>
      <c r="CB353" s="643"/>
      <c r="CC353" s="643"/>
      <c r="CD353" s="643"/>
      <c r="CE353" s="643"/>
      <c r="CF353" s="643"/>
      <c r="CG353" s="643"/>
      <c r="CH353" s="643"/>
      <c r="CI353" s="643"/>
      <c r="CJ353" s="643"/>
      <c r="CK353" s="643"/>
      <c r="CL353" s="643"/>
      <c r="CM353" s="643"/>
      <c r="CN353" s="643"/>
      <c r="CO353" s="643"/>
      <c r="CP353" s="643"/>
      <c r="CQ353" s="643"/>
      <c r="CR353" s="643"/>
      <c r="CS353" s="643"/>
      <c r="CT353" s="643"/>
      <c r="CU353" s="643"/>
      <c r="CV353" s="643"/>
      <c r="CW353" s="643"/>
      <c r="CX353" s="643"/>
      <c r="CY353" s="643"/>
      <c r="CZ353" s="643"/>
      <c r="DA353" s="643"/>
      <c r="DB353" s="643"/>
      <c r="DC353" s="643"/>
      <c r="DD353" s="643"/>
      <c r="DE353" s="643"/>
      <c r="DF353" s="643"/>
      <c r="DG353" s="643"/>
      <c r="DH353" s="643"/>
      <c r="DI353" s="643"/>
      <c r="DJ353" s="643"/>
      <c r="DK353" s="643"/>
      <c r="DL353" s="643"/>
      <c r="DM353" s="643"/>
      <c r="DN353" s="643"/>
      <c r="DO353" s="643"/>
      <c r="DP353" s="643"/>
      <c r="DQ353" s="643"/>
      <c r="DR353" s="643"/>
      <c r="DS353" s="643"/>
      <c r="DT353" s="643"/>
      <c r="DU353" s="643"/>
      <c r="DV353" s="643"/>
      <c r="DW353" s="643"/>
      <c r="DX353" s="643"/>
      <c r="DY353" s="643"/>
      <c r="DZ353" s="643"/>
      <c r="EA353" s="643"/>
      <c r="EB353" s="643"/>
      <c r="EC353" s="643"/>
      <c r="ED353" s="643"/>
      <c r="EE353" s="643"/>
      <c r="EF353" s="643"/>
      <c r="EG353" s="643"/>
      <c r="EH353" s="643"/>
      <c r="EI353" s="643"/>
      <c r="EJ353" s="643"/>
      <c r="EK353" s="643"/>
      <c r="EL353" s="643"/>
      <c r="EM353" s="643"/>
      <c r="EN353" s="643"/>
      <c r="EO353" s="643"/>
      <c r="EP353" s="643"/>
      <c r="EQ353" s="643"/>
      <c r="ER353" s="643"/>
    </row>
    <row r="355" spans="6:148" s="645" customFormat="1" ht="15.75" customHeight="1">
      <c r="F355" s="643"/>
      <c r="G355" s="643"/>
      <c r="H355" s="643"/>
      <c r="I355" s="643"/>
      <c r="J355" s="643"/>
      <c r="K355" s="643"/>
      <c r="L355" s="643"/>
      <c r="M355" s="643"/>
      <c r="N355" s="643"/>
      <c r="O355" s="643"/>
      <c r="P355" s="643"/>
      <c r="Q355" s="643"/>
      <c r="R355" s="643"/>
      <c r="S355" s="643"/>
      <c r="T355" s="643"/>
      <c r="U355" s="643"/>
      <c r="V355" s="643"/>
      <c r="W355" s="643"/>
      <c r="X355" s="643"/>
      <c r="Y355" s="643"/>
      <c r="AA355" s="643"/>
      <c r="AC355" s="643"/>
      <c r="AD355" s="643"/>
      <c r="AE355" s="643"/>
      <c r="AF355" s="643"/>
      <c r="AG355" s="643"/>
      <c r="AH355" s="1517"/>
      <c r="AI355" s="644"/>
      <c r="AJ355" s="643"/>
      <c r="AK355" s="643"/>
      <c r="AL355" s="643"/>
      <c r="AM355" s="643"/>
      <c r="AN355" s="643"/>
      <c r="AO355" s="643"/>
      <c r="AP355" s="643"/>
      <c r="AQ355" s="643"/>
      <c r="AR355" s="643"/>
      <c r="AS355" s="643"/>
      <c r="AT355" s="643"/>
      <c r="AU355" s="643"/>
      <c r="AV355" s="643"/>
      <c r="AW355" s="643"/>
      <c r="AX355" s="643"/>
      <c r="AY355" s="643"/>
      <c r="AZ355" s="643"/>
      <c r="BA355" s="643"/>
      <c r="BB355" s="643"/>
      <c r="BC355" s="643"/>
      <c r="BD355" s="643"/>
      <c r="BE355" s="643"/>
      <c r="BF355" s="643"/>
      <c r="BG355" s="643"/>
      <c r="BH355" s="643"/>
      <c r="BI355" s="643"/>
      <c r="BJ355" s="643"/>
      <c r="BK355" s="643"/>
      <c r="BL355" s="643"/>
      <c r="BM355" s="643"/>
      <c r="BN355" s="643"/>
      <c r="BO355" s="643"/>
      <c r="BP355" s="643"/>
      <c r="BQ355" s="643"/>
      <c r="BR355" s="643"/>
      <c r="BS355" s="643"/>
      <c r="BT355" s="643"/>
      <c r="BU355" s="643"/>
      <c r="BV355" s="643"/>
      <c r="BW355" s="643"/>
      <c r="BX355" s="643"/>
      <c r="BY355" s="643"/>
      <c r="BZ355" s="643"/>
      <c r="CA355" s="643"/>
      <c r="CB355" s="643"/>
      <c r="CC355" s="643"/>
      <c r="CD355" s="643"/>
      <c r="CE355" s="643"/>
      <c r="CF355" s="643"/>
      <c r="CG355" s="643"/>
      <c r="CH355" s="643"/>
      <c r="CI355" s="643"/>
      <c r="CJ355" s="643"/>
      <c r="CK355" s="643"/>
      <c r="CL355" s="643"/>
      <c r="CM355" s="643"/>
      <c r="CN355" s="643"/>
      <c r="CO355" s="643"/>
      <c r="CP355" s="643"/>
      <c r="CQ355" s="643"/>
      <c r="CR355" s="643"/>
      <c r="CS355" s="643"/>
      <c r="CT355" s="643"/>
      <c r="CU355" s="643"/>
      <c r="CV355" s="643"/>
      <c r="CW355" s="643"/>
      <c r="CX355" s="643"/>
      <c r="CY355" s="643"/>
      <c r="CZ355" s="643"/>
      <c r="DA355" s="643"/>
      <c r="DB355" s="643"/>
      <c r="DC355" s="643"/>
      <c r="DD355" s="643"/>
      <c r="DE355" s="643"/>
      <c r="DF355" s="643"/>
      <c r="DG355" s="643"/>
      <c r="DH355" s="643"/>
      <c r="DI355" s="643"/>
      <c r="DJ355" s="643"/>
      <c r="DK355" s="643"/>
      <c r="DL355" s="643"/>
      <c r="DM355" s="643"/>
      <c r="DN355" s="643"/>
      <c r="DO355" s="643"/>
      <c r="DP355" s="643"/>
      <c r="DQ355" s="643"/>
      <c r="DR355" s="643"/>
      <c r="DS355" s="643"/>
      <c r="DT355" s="643"/>
      <c r="DU355" s="643"/>
      <c r="DV355" s="643"/>
      <c r="DW355" s="643"/>
      <c r="DX355" s="643"/>
      <c r="DY355" s="643"/>
      <c r="DZ355" s="643"/>
      <c r="EA355" s="643"/>
      <c r="EB355" s="643"/>
      <c r="EC355" s="643"/>
      <c r="ED355" s="643"/>
      <c r="EE355" s="643"/>
      <c r="EF355" s="643"/>
      <c r="EG355" s="643"/>
      <c r="EH355" s="643"/>
      <c r="EI355" s="643"/>
      <c r="EJ355" s="643"/>
      <c r="EK355" s="643"/>
      <c r="EL355" s="643"/>
      <c r="EM355" s="643"/>
      <c r="EN355" s="643"/>
      <c r="EO355" s="643"/>
      <c r="EP355" s="643"/>
      <c r="EQ355" s="643"/>
      <c r="ER355" s="643"/>
    </row>
    <row r="357" spans="6:148" s="645" customFormat="1" ht="15.75" customHeight="1">
      <c r="F357" s="643"/>
      <c r="G357" s="643"/>
      <c r="H357" s="643"/>
      <c r="I357" s="643"/>
      <c r="J357" s="643"/>
      <c r="K357" s="643"/>
      <c r="L357" s="643"/>
      <c r="M357" s="643"/>
      <c r="N357" s="643"/>
      <c r="O357" s="643"/>
      <c r="P357" s="643"/>
      <c r="Q357" s="643"/>
      <c r="R357" s="643"/>
      <c r="S357" s="643"/>
      <c r="T357" s="643"/>
      <c r="U357" s="643"/>
      <c r="V357" s="643"/>
      <c r="W357" s="643"/>
      <c r="X357" s="643"/>
      <c r="Y357" s="643"/>
      <c r="AA357" s="643"/>
      <c r="AC357" s="643"/>
      <c r="AD357" s="643"/>
      <c r="AE357" s="643"/>
      <c r="AF357" s="643"/>
      <c r="AG357" s="643"/>
      <c r="AH357" s="1517"/>
      <c r="AI357" s="644"/>
      <c r="AJ357" s="643"/>
      <c r="AK357" s="643"/>
      <c r="AL357" s="643"/>
      <c r="AM357" s="643"/>
      <c r="AN357" s="643"/>
      <c r="AO357" s="643"/>
      <c r="AP357" s="643"/>
      <c r="AQ357" s="643"/>
      <c r="AR357" s="643"/>
      <c r="AS357" s="643"/>
      <c r="AT357" s="643"/>
      <c r="AU357" s="643"/>
      <c r="AV357" s="643"/>
      <c r="AW357" s="643"/>
      <c r="AX357" s="643"/>
      <c r="AY357" s="643"/>
      <c r="AZ357" s="643"/>
      <c r="BA357" s="643"/>
      <c r="BB357" s="643"/>
      <c r="BC357" s="643"/>
      <c r="BD357" s="643"/>
      <c r="BE357" s="643"/>
      <c r="BF357" s="643"/>
      <c r="BG357" s="643"/>
      <c r="BH357" s="643"/>
      <c r="BI357" s="643"/>
      <c r="BJ357" s="643"/>
      <c r="BK357" s="643"/>
      <c r="BL357" s="643"/>
      <c r="BM357" s="643"/>
      <c r="BN357" s="643"/>
      <c r="BO357" s="643"/>
      <c r="BP357" s="643"/>
      <c r="BQ357" s="643"/>
      <c r="BR357" s="643"/>
      <c r="BS357" s="643"/>
      <c r="BT357" s="643"/>
      <c r="BU357" s="643"/>
      <c r="BV357" s="643"/>
      <c r="BW357" s="643"/>
      <c r="BX357" s="643"/>
      <c r="BY357" s="643"/>
      <c r="BZ357" s="643"/>
      <c r="CA357" s="643"/>
      <c r="CB357" s="643"/>
      <c r="CC357" s="643"/>
      <c r="CD357" s="643"/>
      <c r="CE357" s="643"/>
      <c r="CF357" s="643"/>
      <c r="CG357" s="643"/>
      <c r="CH357" s="643"/>
      <c r="CI357" s="643"/>
      <c r="CJ357" s="643"/>
      <c r="CK357" s="643"/>
      <c r="CL357" s="643"/>
      <c r="CM357" s="643"/>
      <c r="CN357" s="643"/>
      <c r="CO357" s="643"/>
      <c r="CP357" s="643"/>
      <c r="CQ357" s="643"/>
      <c r="CR357" s="643"/>
      <c r="CS357" s="643"/>
      <c r="CT357" s="643"/>
      <c r="CU357" s="643"/>
      <c r="CV357" s="643"/>
      <c r="CW357" s="643"/>
      <c r="CX357" s="643"/>
      <c r="CY357" s="643"/>
      <c r="CZ357" s="643"/>
      <c r="DA357" s="643"/>
      <c r="DB357" s="643"/>
      <c r="DC357" s="643"/>
      <c r="DD357" s="643"/>
      <c r="DE357" s="643"/>
      <c r="DF357" s="643"/>
      <c r="DG357" s="643"/>
      <c r="DH357" s="643"/>
      <c r="DI357" s="643"/>
      <c r="DJ357" s="643"/>
      <c r="DK357" s="643"/>
      <c r="DL357" s="643"/>
      <c r="DM357" s="643"/>
      <c r="DN357" s="643"/>
      <c r="DO357" s="643"/>
      <c r="DP357" s="643"/>
      <c r="DQ357" s="643"/>
      <c r="DR357" s="643"/>
      <c r="DS357" s="643"/>
      <c r="DT357" s="643"/>
      <c r="DU357" s="643"/>
      <c r="DV357" s="643"/>
      <c r="DW357" s="643"/>
      <c r="DX357" s="643"/>
      <c r="DY357" s="643"/>
      <c r="DZ357" s="643"/>
      <c r="EA357" s="643"/>
      <c r="EB357" s="643"/>
      <c r="EC357" s="643"/>
      <c r="ED357" s="643"/>
      <c r="EE357" s="643"/>
      <c r="EF357" s="643"/>
      <c r="EG357" s="643"/>
      <c r="EH357" s="643"/>
      <c r="EI357" s="643"/>
      <c r="EJ357" s="643"/>
      <c r="EK357" s="643"/>
      <c r="EL357" s="643"/>
      <c r="EM357" s="643"/>
      <c r="EN357" s="643"/>
      <c r="EO357" s="643"/>
      <c r="EP357" s="643"/>
      <c r="EQ357" s="643"/>
      <c r="ER357" s="643"/>
    </row>
    <row r="359" spans="6:148" s="645" customFormat="1" ht="15.75" customHeight="1">
      <c r="F359" s="643"/>
      <c r="G359" s="643"/>
      <c r="H359" s="643"/>
      <c r="I359" s="643"/>
      <c r="J359" s="643"/>
      <c r="K359" s="643"/>
      <c r="L359" s="643"/>
      <c r="M359" s="643"/>
      <c r="N359" s="643"/>
      <c r="O359" s="643"/>
      <c r="P359" s="643"/>
      <c r="Q359" s="643"/>
      <c r="R359" s="643"/>
      <c r="S359" s="643"/>
      <c r="T359" s="643"/>
      <c r="U359" s="643"/>
      <c r="V359" s="643"/>
      <c r="W359" s="643"/>
      <c r="X359" s="643"/>
      <c r="Y359" s="643"/>
      <c r="AA359" s="643"/>
      <c r="AC359" s="643"/>
      <c r="AD359" s="643"/>
      <c r="AE359" s="643"/>
      <c r="AF359" s="643"/>
      <c r="AG359" s="643"/>
      <c r="AH359" s="1517"/>
      <c r="AI359" s="644"/>
      <c r="AJ359" s="643"/>
      <c r="AK359" s="643"/>
      <c r="AL359" s="643"/>
      <c r="AM359" s="643"/>
      <c r="AN359" s="643"/>
      <c r="AO359" s="643"/>
      <c r="AP359" s="643"/>
      <c r="AQ359" s="643"/>
      <c r="AR359" s="643"/>
      <c r="AS359" s="643"/>
      <c r="AT359" s="643"/>
      <c r="AU359" s="643"/>
      <c r="AV359" s="643"/>
      <c r="AW359" s="643"/>
      <c r="AX359" s="643"/>
      <c r="AY359" s="643"/>
      <c r="AZ359" s="643"/>
      <c r="BA359" s="643"/>
      <c r="BB359" s="643"/>
      <c r="BC359" s="643"/>
      <c r="BD359" s="643"/>
      <c r="BE359" s="643"/>
      <c r="BF359" s="643"/>
      <c r="BG359" s="643"/>
      <c r="BH359" s="643"/>
      <c r="BI359" s="643"/>
      <c r="BJ359" s="643"/>
      <c r="BK359" s="643"/>
      <c r="BL359" s="643"/>
      <c r="BM359" s="643"/>
      <c r="BN359" s="643"/>
      <c r="BO359" s="643"/>
      <c r="BP359" s="643"/>
      <c r="BQ359" s="643"/>
      <c r="BR359" s="643"/>
      <c r="BS359" s="643"/>
      <c r="BT359" s="643"/>
      <c r="BU359" s="643"/>
      <c r="BV359" s="643"/>
      <c r="BW359" s="643"/>
      <c r="BX359" s="643"/>
      <c r="BY359" s="643"/>
      <c r="BZ359" s="643"/>
      <c r="CA359" s="643"/>
      <c r="CB359" s="643"/>
      <c r="CC359" s="643"/>
      <c r="CD359" s="643"/>
      <c r="CE359" s="643"/>
      <c r="CF359" s="643"/>
      <c r="CG359" s="643"/>
      <c r="CH359" s="643"/>
      <c r="CI359" s="643"/>
      <c r="CJ359" s="643"/>
      <c r="CK359" s="643"/>
      <c r="CL359" s="643"/>
      <c r="CM359" s="643"/>
      <c r="CN359" s="643"/>
      <c r="CO359" s="643"/>
      <c r="CP359" s="643"/>
      <c r="CQ359" s="643"/>
      <c r="CR359" s="643"/>
      <c r="CS359" s="643"/>
      <c r="CT359" s="643"/>
      <c r="CU359" s="643"/>
      <c r="CV359" s="643"/>
      <c r="CW359" s="643"/>
      <c r="CX359" s="643"/>
      <c r="CY359" s="643"/>
      <c r="CZ359" s="643"/>
      <c r="DA359" s="643"/>
      <c r="DB359" s="643"/>
      <c r="DC359" s="643"/>
      <c r="DD359" s="643"/>
      <c r="DE359" s="643"/>
      <c r="DF359" s="643"/>
      <c r="DG359" s="643"/>
      <c r="DH359" s="643"/>
      <c r="DI359" s="643"/>
      <c r="DJ359" s="643"/>
      <c r="DK359" s="643"/>
      <c r="DL359" s="643"/>
      <c r="DM359" s="643"/>
      <c r="DN359" s="643"/>
      <c r="DO359" s="643"/>
      <c r="DP359" s="643"/>
      <c r="DQ359" s="643"/>
      <c r="DR359" s="643"/>
      <c r="DS359" s="643"/>
      <c r="DT359" s="643"/>
      <c r="DU359" s="643"/>
      <c r="DV359" s="643"/>
      <c r="DW359" s="643"/>
      <c r="DX359" s="643"/>
      <c r="DY359" s="643"/>
      <c r="DZ359" s="643"/>
      <c r="EA359" s="643"/>
      <c r="EB359" s="643"/>
      <c r="EC359" s="643"/>
      <c r="ED359" s="643"/>
      <c r="EE359" s="643"/>
      <c r="EF359" s="643"/>
      <c r="EG359" s="643"/>
      <c r="EH359" s="643"/>
      <c r="EI359" s="643"/>
      <c r="EJ359" s="643"/>
      <c r="EK359" s="643"/>
      <c r="EL359" s="643"/>
      <c r="EM359" s="643"/>
      <c r="EN359" s="643"/>
      <c r="EO359" s="643"/>
      <c r="EP359" s="643"/>
      <c r="EQ359" s="643"/>
      <c r="ER359" s="643"/>
    </row>
    <row r="361" spans="6:148" s="645" customFormat="1" ht="15.75" customHeight="1">
      <c r="F361" s="643"/>
      <c r="G361" s="643"/>
      <c r="H361" s="643"/>
      <c r="I361" s="643"/>
      <c r="J361" s="643"/>
      <c r="K361" s="643"/>
      <c r="L361" s="643"/>
      <c r="M361" s="643"/>
      <c r="N361" s="643"/>
      <c r="O361" s="643"/>
      <c r="P361" s="643"/>
      <c r="Q361" s="643"/>
      <c r="R361" s="643"/>
      <c r="S361" s="643"/>
      <c r="T361" s="643"/>
      <c r="U361" s="643"/>
      <c r="V361" s="643"/>
      <c r="W361" s="643"/>
      <c r="X361" s="643"/>
      <c r="Y361" s="643"/>
      <c r="AA361" s="643"/>
      <c r="AC361" s="643"/>
      <c r="AD361" s="643"/>
      <c r="AE361" s="643"/>
      <c r="AF361" s="643"/>
      <c r="AG361" s="643"/>
      <c r="AH361" s="1517"/>
      <c r="AI361" s="644"/>
      <c r="AJ361" s="643"/>
      <c r="AK361" s="643"/>
      <c r="AL361" s="643"/>
      <c r="AM361" s="643"/>
      <c r="AN361" s="643"/>
      <c r="AO361" s="643"/>
      <c r="AP361" s="643"/>
      <c r="AQ361" s="643"/>
      <c r="AR361" s="643"/>
      <c r="AS361" s="643"/>
      <c r="AT361" s="643"/>
      <c r="AU361" s="643"/>
      <c r="AV361" s="643"/>
      <c r="AW361" s="643"/>
      <c r="AX361" s="643"/>
      <c r="AY361" s="643"/>
      <c r="AZ361" s="643"/>
      <c r="BA361" s="643"/>
      <c r="BB361" s="643"/>
      <c r="BC361" s="643"/>
      <c r="BD361" s="643"/>
      <c r="BE361" s="643"/>
      <c r="BF361" s="643"/>
      <c r="BG361" s="643"/>
      <c r="BH361" s="643"/>
      <c r="BI361" s="643"/>
      <c r="BJ361" s="643"/>
      <c r="BK361" s="643"/>
      <c r="BL361" s="643"/>
      <c r="BM361" s="643"/>
      <c r="BN361" s="643"/>
      <c r="BO361" s="643"/>
      <c r="BP361" s="643"/>
      <c r="BQ361" s="643"/>
      <c r="BR361" s="643"/>
      <c r="BS361" s="643"/>
      <c r="BT361" s="643"/>
      <c r="BU361" s="643"/>
      <c r="BV361" s="643"/>
      <c r="BW361" s="643"/>
      <c r="BX361" s="643"/>
      <c r="BY361" s="643"/>
      <c r="BZ361" s="643"/>
      <c r="CA361" s="643"/>
      <c r="CB361" s="643"/>
      <c r="CC361" s="643"/>
      <c r="CD361" s="643"/>
      <c r="CE361" s="643"/>
      <c r="CF361" s="643"/>
      <c r="CG361" s="643"/>
      <c r="CH361" s="643"/>
      <c r="CI361" s="643"/>
      <c r="CJ361" s="643"/>
      <c r="CK361" s="643"/>
      <c r="CL361" s="643"/>
      <c r="CM361" s="643"/>
      <c r="CN361" s="643"/>
      <c r="CO361" s="643"/>
      <c r="CP361" s="643"/>
      <c r="CQ361" s="643"/>
      <c r="CR361" s="643"/>
      <c r="CS361" s="643"/>
      <c r="CT361" s="643"/>
      <c r="CU361" s="643"/>
      <c r="CV361" s="643"/>
      <c r="CW361" s="643"/>
      <c r="CX361" s="643"/>
      <c r="CY361" s="643"/>
      <c r="CZ361" s="643"/>
      <c r="DA361" s="643"/>
      <c r="DB361" s="643"/>
      <c r="DC361" s="643"/>
      <c r="DD361" s="643"/>
      <c r="DE361" s="643"/>
      <c r="DF361" s="643"/>
      <c r="DG361" s="643"/>
      <c r="DH361" s="643"/>
      <c r="DI361" s="643"/>
      <c r="DJ361" s="643"/>
      <c r="DK361" s="643"/>
      <c r="DL361" s="643"/>
      <c r="DM361" s="643"/>
      <c r="DN361" s="643"/>
      <c r="DO361" s="643"/>
      <c r="DP361" s="643"/>
      <c r="DQ361" s="643"/>
      <c r="DR361" s="643"/>
      <c r="DS361" s="643"/>
      <c r="DT361" s="643"/>
      <c r="DU361" s="643"/>
      <c r="DV361" s="643"/>
      <c r="DW361" s="643"/>
      <c r="DX361" s="643"/>
      <c r="DY361" s="643"/>
      <c r="DZ361" s="643"/>
      <c r="EA361" s="643"/>
      <c r="EB361" s="643"/>
      <c r="EC361" s="643"/>
      <c r="ED361" s="643"/>
      <c r="EE361" s="643"/>
      <c r="EF361" s="643"/>
      <c r="EG361" s="643"/>
      <c r="EH361" s="643"/>
      <c r="EI361" s="643"/>
      <c r="EJ361" s="643"/>
      <c r="EK361" s="643"/>
      <c r="EL361" s="643"/>
      <c r="EM361" s="643"/>
      <c r="EN361" s="643"/>
      <c r="EO361" s="643"/>
      <c r="EP361" s="643"/>
      <c r="EQ361" s="643"/>
      <c r="ER361" s="643"/>
    </row>
    <row r="363" spans="6:148" s="645" customFormat="1" ht="15.75" customHeight="1">
      <c r="F363" s="643"/>
      <c r="G363" s="643"/>
      <c r="H363" s="643"/>
      <c r="I363" s="643"/>
      <c r="J363" s="643"/>
      <c r="K363" s="643"/>
      <c r="L363" s="643"/>
      <c r="M363" s="643"/>
      <c r="N363" s="643"/>
      <c r="O363" s="643"/>
      <c r="P363" s="643"/>
      <c r="Q363" s="643"/>
      <c r="R363" s="643"/>
      <c r="S363" s="643"/>
      <c r="T363" s="643"/>
      <c r="U363" s="643"/>
      <c r="V363" s="643"/>
      <c r="W363" s="643"/>
      <c r="X363" s="643"/>
      <c r="Y363" s="643"/>
      <c r="AA363" s="643"/>
      <c r="AC363" s="643"/>
      <c r="AD363" s="643"/>
      <c r="AE363" s="643"/>
      <c r="AF363" s="643"/>
      <c r="AG363" s="643"/>
      <c r="AH363" s="1517"/>
      <c r="AI363" s="644"/>
      <c r="AJ363" s="643"/>
      <c r="AK363" s="643"/>
      <c r="AL363" s="643"/>
      <c r="AM363" s="643"/>
      <c r="AN363" s="643"/>
      <c r="AO363" s="643"/>
      <c r="AP363" s="643"/>
      <c r="AQ363" s="643"/>
      <c r="AR363" s="643"/>
      <c r="AS363" s="643"/>
      <c r="AT363" s="643"/>
      <c r="AU363" s="643"/>
      <c r="AV363" s="643"/>
      <c r="AW363" s="643"/>
      <c r="AX363" s="643"/>
      <c r="AY363" s="643"/>
      <c r="AZ363" s="643"/>
      <c r="BA363" s="643"/>
      <c r="BB363" s="643"/>
      <c r="BC363" s="643"/>
      <c r="BD363" s="643"/>
      <c r="BE363" s="643"/>
      <c r="BF363" s="643"/>
      <c r="BG363" s="643"/>
      <c r="BH363" s="643"/>
      <c r="BI363" s="643"/>
      <c r="BJ363" s="643"/>
      <c r="BK363" s="643"/>
      <c r="BL363" s="643"/>
      <c r="BM363" s="643"/>
      <c r="BN363" s="643"/>
      <c r="BO363" s="643"/>
      <c r="BP363" s="643"/>
      <c r="BQ363" s="643"/>
      <c r="BR363" s="643"/>
      <c r="BS363" s="643"/>
      <c r="BT363" s="643"/>
      <c r="BU363" s="643"/>
      <c r="BV363" s="643"/>
      <c r="BW363" s="643"/>
      <c r="BX363" s="643"/>
      <c r="BY363" s="643"/>
      <c r="BZ363" s="643"/>
      <c r="CA363" s="643"/>
      <c r="CB363" s="643"/>
      <c r="CC363" s="643"/>
      <c r="CD363" s="643"/>
      <c r="CE363" s="643"/>
      <c r="CF363" s="643"/>
      <c r="CG363" s="643"/>
      <c r="CH363" s="643"/>
      <c r="CI363" s="643"/>
      <c r="CJ363" s="643"/>
      <c r="CK363" s="643"/>
      <c r="CL363" s="643"/>
      <c r="CM363" s="643"/>
      <c r="CN363" s="643"/>
      <c r="CO363" s="643"/>
      <c r="CP363" s="643"/>
      <c r="CQ363" s="643"/>
      <c r="CR363" s="643"/>
      <c r="CS363" s="643"/>
      <c r="CT363" s="643"/>
      <c r="CU363" s="643"/>
      <c r="CV363" s="643"/>
      <c r="CW363" s="643"/>
      <c r="CX363" s="643"/>
      <c r="CY363" s="643"/>
      <c r="CZ363" s="643"/>
      <c r="DA363" s="643"/>
      <c r="DB363" s="643"/>
      <c r="DC363" s="643"/>
      <c r="DD363" s="643"/>
      <c r="DE363" s="643"/>
      <c r="DF363" s="643"/>
      <c r="DG363" s="643"/>
      <c r="DH363" s="643"/>
      <c r="DI363" s="643"/>
      <c r="DJ363" s="643"/>
      <c r="DK363" s="643"/>
      <c r="DL363" s="643"/>
      <c r="DM363" s="643"/>
      <c r="DN363" s="643"/>
      <c r="DO363" s="643"/>
      <c r="DP363" s="643"/>
      <c r="DQ363" s="643"/>
      <c r="DR363" s="643"/>
      <c r="DS363" s="643"/>
      <c r="DT363" s="643"/>
      <c r="DU363" s="643"/>
      <c r="DV363" s="643"/>
      <c r="DW363" s="643"/>
      <c r="DX363" s="643"/>
      <c r="DY363" s="643"/>
      <c r="DZ363" s="643"/>
      <c r="EA363" s="643"/>
      <c r="EB363" s="643"/>
      <c r="EC363" s="643"/>
      <c r="ED363" s="643"/>
      <c r="EE363" s="643"/>
      <c r="EF363" s="643"/>
      <c r="EG363" s="643"/>
      <c r="EH363" s="643"/>
      <c r="EI363" s="643"/>
      <c r="EJ363" s="643"/>
      <c r="EK363" s="643"/>
      <c r="EL363" s="643"/>
      <c r="EM363" s="643"/>
      <c r="EN363" s="643"/>
      <c r="EO363" s="643"/>
      <c r="EP363" s="643"/>
      <c r="EQ363" s="643"/>
      <c r="ER363" s="643"/>
    </row>
    <row r="365" spans="6:148" s="645" customFormat="1" ht="15.75" customHeight="1">
      <c r="F365" s="643"/>
      <c r="G365" s="643"/>
      <c r="H365" s="643"/>
      <c r="I365" s="643"/>
      <c r="J365" s="643"/>
      <c r="K365" s="643"/>
      <c r="L365" s="643"/>
      <c r="M365" s="643"/>
      <c r="N365" s="643"/>
      <c r="O365" s="643"/>
      <c r="P365" s="643"/>
      <c r="Q365" s="643"/>
      <c r="R365" s="643"/>
      <c r="S365" s="643"/>
      <c r="T365" s="643"/>
      <c r="U365" s="643"/>
      <c r="V365" s="643"/>
      <c r="W365" s="643"/>
      <c r="X365" s="643"/>
      <c r="Y365" s="643"/>
      <c r="AA365" s="643"/>
      <c r="AC365" s="643"/>
      <c r="AD365" s="643"/>
      <c r="AE365" s="643"/>
      <c r="AF365" s="643"/>
      <c r="AG365" s="643"/>
      <c r="AH365" s="1517"/>
      <c r="AI365" s="644"/>
      <c r="AJ365" s="643"/>
      <c r="AK365" s="643"/>
      <c r="AL365" s="643"/>
      <c r="AM365" s="643"/>
      <c r="AN365" s="643"/>
      <c r="AO365" s="643"/>
      <c r="AP365" s="643"/>
      <c r="AQ365" s="643"/>
      <c r="AR365" s="643"/>
      <c r="AS365" s="643"/>
      <c r="AT365" s="643"/>
      <c r="AU365" s="643"/>
      <c r="AV365" s="643"/>
      <c r="AW365" s="643"/>
      <c r="AX365" s="643"/>
      <c r="AY365" s="643"/>
      <c r="AZ365" s="643"/>
      <c r="BA365" s="643"/>
      <c r="BB365" s="643"/>
      <c r="BC365" s="643"/>
      <c r="BD365" s="643"/>
      <c r="BE365" s="643"/>
      <c r="BF365" s="643"/>
      <c r="BG365" s="643"/>
      <c r="BH365" s="643"/>
      <c r="BI365" s="643"/>
      <c r="BJ365" s="643"/>
      <c r="BK365" s="643"/>
      <c r="BL365" s="643"/>
      <c r="BM365" s="643"/>
      <c r="BN365" s="643"/>
      <c r="BO365" s="643"/>
      <c r="BP365" s="643"/>
      <c r="BQ365" s="643"/>
      <c r="BR365" s="643"/>
      <c r="BS365" s="643"/>
      <c r="BT365" s="643"/>
      <c r="BU365" s="643"/>
      <c r="BV365" s="643"/>
      <c r="BW365" s="643"/>
      <c r="BX365" s="643"/>
      <c r="BY365" s="643"/>
      <c r="BZ365" s="643"/>
      <c r="CA365" s="643"/>
      <c r="CB365" s="643"/>
      <c r="CC365" s="643"/>
      <c r="CD365" s="643"/>
      <c r="CE365" s="643"/>
      <c r="CF365" s="643"/>
      <c r="CG365" s="643"/>
      <c r="CH365" s="643"/>
      <c r="CI365" s="643"/>
      <c r="CJ365" s="643"/>
      <c r="CK365" s="643"/>
      <c r="CL365" s="643"/>
      <c r="CM365" s="643"/>
      <c r="CN365" s="643"/>
      <c r="CO365" s="643"/>
      <c r="CP365" s="643"/>
      <c r="CQ365" s="643"/>
      <c r="CR365" s="643"/>
      <c r="CS365" s="643"/>
      <c r="CT365" s="643"/>
      <c r="CU365" s="643"/>
      <c r="CV365" s="643"/>
      <c r="CW365" s="643"/>
      <c r="CX365" s="643"/>
      <c r="CY365" s="643"/>
      <c r="CZ365" s="643"/>
      <c r="DA365" s="643"/>
      <c r="DB365" s="643"/>
      <c r="DC365" s="643"/>
      <c r="DD365" s="643"/>
      <c r="DE365" s="643"/>
      <c r="DF365" s="643"/>
      <c r="DG365" s="643"/>
      <c r="DH365" s="643"/>
      <c r="DI365" s="643"/>
      <c r="DJ365" s="643"/>
      <c r="DK365" s="643"/>
      <c r="DL365" s="643"/>
      <c r="DM365" s="643"/>
      <c r="DN365" s="643"/>
      <c r="DO365" s="643"/>
      <c r="DP365" s="643"/>
      <c r="DQ365" s="643"/>
      <c r="DR365" s="643"/>
      <c r="DS365" s="643"/>
      <c r="DT365" s="643"/>
      <c r="DU365" s="643"/>
      <c r="DV365" s="643"/>
      <c r="DW365" s="643"/>
      <c r="DX365" s="643"/>
      <c r="DY365" s="643"/>
      <c r="DZ365" s="643"/>
      <c r="EA365" s="643"/>
      <c r="EB365" s="643"/>
      <c r="EC365" s="643"/>
      <c r="ED365" s="643"/>
      <c r="EE365" s="643"/>
      <c r="EF365" s="643"/>
      <c r="EG365" s="643"/>
      <c r="EH365" s="643"/>
      <c r="EI365" s="643"/>
      <c r="EJ365" s="643"/>
      <c r="EK365" s="643"/>
      <c r="EL365" s="643"/>
      <c r="EM365" s="643"/>
      <c r="EN365" s="643"/>
      <c r="EO365" s="643"/>
      <c r="EP365" s="643"/>
      <c r="EQ365" s="643"/>
      <c r="ER365" s="643"/>
    </row>
    <row r="367" spans="6:148" s="645" customFormat="1" ht="15.75" customHeight="1">
      <c r="F367" s="643"/>
      <c r="G367" s="643"/>
      <c r="H367" s="643"/>
      <c r="I367" s="643"/>
      <c r="J367" s="643"/>
      <c r="K367" s="643"/>
      <c r="L367" s="643"/>
      <c r="M367" s="643"/>
      <c r="N367" s="643"/>
      <c r="O367" s="643"/>
      <c r="P367" s="643"/>
      <c r="Q367" s="643"/>
      <c r="R367" s="643"/>
      <c r="S367" s="643"/>
      <c r="T367" s="643"/>
      <c r="U367" s="643"/>
      <c r="V367" s="643"/>
      <c r="W367" s="643"/>
      <c r="X367" s="643"/>
      <c r="Y367" s="643"/>
      <c r="AA367" s="643"/>
      <c r="AC367" s="643"/>
      <c r="AD367" s="643"/>
      <c r="AE367" s="643"/>
      <c r="AF367" s="643"/>
      <c r="AG367" s="643"/>
      <c r="AH367" s="1517"/>
      <c r="AI367" s="644"/>
      <c r="AJ367" s="643"/>
      <c r="AK367" s="643"/>
      <c r="AL367" s="643"/>
      <c r="AM367" s="643"/>
      <c r="AN367" s="643"/>
      <c r="AO367" s="643"/>
      <c r="AP367" s="643"/>
      <c r="AQ367" s="643"/>
      <c r="AR367" s="643"/>
      <c r="AS367" s="643"/>
      <c r="AT367" s="643"/>
      <c r="AU367" s="643"/>
      <c r="AV367" s="643"/>
      <c r="AW367" s="643"/>
      <c r="AX367" s="643"/>
      <c r="AY367" s="643"/>
      <c r="AZ367" s="643"/>
      <c r="BA367" s="643"/>
      <c r="BB367" s="643"/>
      <c r="BC367" s="643"/>
      <c r="BD367" s="643"/>
      <c r="BE367" s="643"/>
      <c r="BF367" s="643"/>
      <c r="BG367" s="643"/>
      <c r="BH367" s="643"/>
      <c r="BI367" s="643"/>
      <c r="BJ367" s="643"/>
      <c r="BK367" s="643"/>
      <c r="BL367" s="643"/>
      <c r="BM367" s="643"/>
      <c r="BN367" s="643"/>
      <c r="BO367" s="643"/>
      <c r="BP367" s="643"/>
      <c r="BQ367" s="643"/>
      <c r="BR367" s="643"/>
      <c r="BS367" s="643"/>
      <c r="BT367" s="643"/>
      <c r="BU367" s="643"/>
      <c r="BV367" s="643"/>
      <c r="BW367" s="643"/>
      <c r="BX367" s="643"/>
      <c r="BY367" s="643"/>
      <c r="BZ367" s="643"/>
      <c r="CA367" s="643"/>
      <c r="CB367" s="643"/>
      <c r="CC367" s="643"/>
      <c r="CD367" s="643"/>
      <c r="CE367" s="643"/>
      <c r="CF367" s="643"/>
      <c r="CG367" s="643"/>
      <c r="CH367" s="643"/>
      <c r="CI367" s="643"/>
      <c r="CJ367" s="643"/>
      <c r="CK367" s="643"/>
      <c r="CL367" s="643"/>
      <c r="CM367" s="643"/>
      <c r="CN367" s="643"/>
      <c r="CO367" s="643"/>
      <c r="CP367" s="643"/>
      <c r="CQ367" s="643"/>
      <c r="CR367" s="643"/>
      <c r="CS367" s="643"/>
      <c r="CT367" s="643"/>
      <c r="CU367" s="643"/>
      <c r="CV367" s="643"/>
      <c r="CW367" s="643"/>
      <c r="CX367" s="643"/>
      <c r="CY367" s="643"/>
      <c r="CZ367" s="643"/>
      <c r="DA367" s="643"/>
      <c r="DB367" s="643"/>
      <c r="DC367" s="643"/>
      <c r="DD367" s="643"/>
      <c r="DE367" s="643"/>
      <c r="DF367" s="643"/>
      <c r="DG367" s="643"/>
      <c r="DH367" s="643"/>
      <c r="DI367" s="643"/>
      <c r="DJ367" s="643"/>
      <c r="DK367" s="643"/>
      <c r="DL367" s="643"/>
      <c r="DM367" s="643"/>
      <c r="DN367" s="643"/>
      <c r="DO367" s="643"/>
      <c r="DP367" s="643"/>
      <c r="DQ367" s="643"/>
      <c r="DR367" s="643"/>
      <c r="DS367" s="643"/>
      <c r="DT367" s="643"/>
      <c r="DU367" s="643"/>
      <c r="DV367" s="643"/>
      <c r="DW367" s="643"/>
      <c r="DX367" s="643"/>
      <c r="DY367" s="643"/>
      <c r="DZ367" s="643"/>
      <c r="EA367" s="643"/>
      <c r="EB367" s="643"/>
      <c r="EC367" s="643"/>
      <c r="ED367" s="643"/>
      <c r="EE367" s="643"/>
      <c r="EF367" s="643"/>
      <c r="EG367" s="643"/>
      <c r="EH367" s="643"/>
      <c r="EI367" s="643"/>
      <c r="EJ367" s="643"/>
      <c r="EK367" s="643"/>
      <c r="EL367" s="643"/>
      <c r="EM367" s="643"/>
      <c r="EN367" s="643"/>
      <c r="EO367" s="643"/>
      <c r="EP367" s="643"/>
      <c r="EQ367" s="643"/>
      <c r="ER367" s="643"/>
    </row>
    <row r="369" spans="6:148" s="645" customFormat="1" ht="15.75" customHeight="1">
      <c r="F369" s="643"/>
      <c r="G369" s="643"/>
      <c r="H369" s="643"/>
      <c r="I369" s="643"/>
      <c r="J369" s="643"/>
      <c r="K369" s="643"/>
      <c r="L369" s="643"/>
      <c r="M369" s="643"/>
      <c r="N369" s="643"/>
      <c r="O369" s="643"/>
      <c r="P369" s="643"/>
      <c r="Q369" s="643"/>
      <c r="R369" s="643"/>
      <c r="S369" s="643"/>
      <c r="T369" s="643"/>
      <c r="U369" s="643"/>
      <c r="V369" s="643"/>
      <c r="W369" s="643"/>
      <c r="X369" s="643"/>
      <c r="Y369" s="643"/>
      <c r="AA369" s="643"/>
      <c r="AC369" s="643"/>
      <c r="AD369" s="643"/>
      <c r="AE369" s="643"/>
      <c r="AF369" s="643"/>
      <c r="AG369" s="643"/>
      <c r="AH369" s="1517"/>
      <c r="AI369" s="644"/>
      <c r="AJ369" s="643"/>
      <c r="AK369" s="643"/>
      <c r="AL369" s="643"/>
      <c r="AM369" s="643"/>
      <c r="AN369" s="643"/>
      <c r="AO369" s="643"/>
      <c r="AP369" s="643"/>
      <c r="AQ369" s="643"/>
      <c r="AR369" s="643"/>
      <c r="AS369" s="643"/>
      <c r="AT369" s="643"/>
      <c r="AU369" s="643"/>
      <c r="AV369" s="643"/>
      <c r="AW369" s="643"/>
      <c r="AX369" s="643"/>
      <c r="AY369" s="643"/>
      <c r="AZ369" s="643"/>
      <c r="BA369" s="643"/>
      <c r="BB369" s="643"/>
      <c r="BC369" s="643"/>
      <c r="BD369" s="643"/>
      <c r="BE369" s="643"/>
      <c r="BF369" s="643"/>
      <c r="BG369" s="643"/>
      <c r="BH369" s="643"/>
      <c r="BI369" s="643"/>
      <c r="BJ369" s="643"/>
      <c r="BK369" s="643"/>
      <c r="BL369" s="643"/>
      <c r="BM369" s="643"/>
      <c r="BN369" s="643"/>
      <c r="BO369" s="643"/>
      <c r="BP369" s="643"/>
      <c r="BQ369" s="643"/>
      <c r="BR369" s="643"/>
      <c r="BS369" s="643"/>
      <c r="BT369" s="643"/>
      <c r="BU369" s="643"/>
      <c r="BV369" s="643"/>
      <c r="BW369" s="643"/>
      <c r="BX369" s="643"/>
      <c r="BY369" s="643"/>
      <c r="BZ369" s="643"/>
      <c r="CA369" s="643"/>
      <c r="CB369" s="643"/>
      <c r="CC369" s="643"/>
      <c r="CD369" s="643"/>
      <c r="CE369" s="643"/>
      <c r="CF369" s="643"/>
      <c r="CG369" s="643"/>
      <c r="CH369" s="643"/>
      <c r="CI369" s="643"/>
      <c r="CJ369" s="643"/>
      <c r="CK369" s="643"/>
      <c r="CL369" s="643"/>
      <c r="CM369" s="643"/>
      <c r="CN369" s="643"/>
      <c r="CO369" s="643"/>
      <c r="CP369" s="643"/>
      <c r="CQ369" s="643"/>
      <c r="CR369" s="643"/>
      <c r="CS369" s="643"/>
      <c r="CT369" s="643"/>
      <c r="CU369" s="643"/>
      <c r="CV369" s="643"/>
      <c r="CW369" s="643"/>
      <c r="CX369" s="643"/>
      <c r="CY369" s="643"/>
      <c r="CZ369" s="643"/>
      <c r="DA369" s="643"/>
      <c r="DB369" s="643"/>
      <c r="DC369" s="643"/>
      <c r="DD369" s="643"/>
      <c r="DE369" s="643"/>
      <c r="DF369" s="643"/>
      <c r="DG369" s="643"/>
      <c r="DH369" s="643"/>
      <c r="DI369" s="643"/>
      <c r="DJ369" s="643"/>
      <c r="DK369" s="643"/>
      <c r="DL369" s="643"/>
      <c r="DM369" s="643"/>
      <c r="DN369" s="643"/>
      <c r="DO369" s="643"/>
      <c r="DP369" s="643"/>
      <c r="DQ369" s="643"/>
      <c r="DR369" s="643"/>
      <c r="DS369" s="643"/>
      <c r="DT369" s="643"/>
      <c r="DU369" s="643"/>
      <c r="DV369" s="643"/>
      <c r="DW369" s="643"/>
      <c r="DX369" s="643"/>
      <c r="DY369" s="643"/>
      <c r="DZ369" s="643"/>
      <c r="EA369" s="643"/>
      <c r="EB369" s="643"/>
      <c r="EC369" s="643"/>
      <c r="ED369" s="643"/>
      <c r="EE369" s="643"/>
      <c r="EF369" s="643"/>
      <c r="EG369" s="643"/>
      <c r="EH369" s="643"/>
      <c r="EI369" s="643"/>
      <c r="EJ369" s="643"/>
      <c r="EK369" s="643"/>
      <c r="EL369" s="643"/>
      <c r="EM369" s="643"/>
      <c r="EN369" s="643"/>
      <c r="EO369" s="643"/>
      <c r="EP369" s="643"/>
      <c r="EQ369" s="643"/>
      <c r="ER369" s="643"/>
    </row>
    <row r="371" spans="6:148" s="645" customFormat="1" ht="15.75" customHeight="1">
      <c r="F371" s="643"/>
      <c r="G371" s="643"/>
      <c r="H371" s="643"/>
      <c r="I371" s="643"/>
      <c r="J371" s="643"/>
      <c r="K371" s="643"/>
      <c r="L371" s="643"/>
      <c r="M371" s="643"/>
      <c r="N371" s="643"/>
      <c r="O371" s="643"/>
      <c r="P371" s="643"/>
      <c r="Q371" s="643"/>
      <c r="R371" s="643"/>
      <c r="S371" s="643"/>
      <c r="T371" s="643"/>
      <c r="U371" s="643"/>
      <c r="V371" s="643"/>
      <c r="W371" s="643"/>
      <c r="X371" s="643"/>
      <c r="Y371" s="643"/>
      <c r="AA371" s="643"/>
      <c r="AC371" s="643"/>
      <c r="AD371" s="643"/>
      <c r="AE371" s="643"/>
      <c r="AF371" s="643"/>
      <c r="AG371" s="643"/>
      <c r="AH371" s="1517"/>
      <c r="AI371" s="644"/>
      <c r="AJ371" s="643"/>
      <c r="AK371" s="643"/>
      <c r="AL371" s="643"/>
      <c r="AM371" s="643"/>
      <c r="AN371" s="643"/>
      <c r="AO371" s="643"/>
      <c r="AP371" s="643"/>
      <c r="AQ371" s="643"/>
      <c r="AR371" s="643"/>
      <c r="AS371" s="643"/>
      <c r="AT371" s="643"/>
      <c r="AU371" s="643"/>
      <c r="AV371" s="643"/>
      <c r="AW371" s="643"/>
      <c r="AX371" s="643"/>
      <c r="AY371" s="643"/>
      <c r="AZ371" s="643"/>
      <c r="BA371" s="643"/>
      <c r="BB371" s="643"/>
      <c r="BC371" s="643"/>
      <c r="BD371" s="643"/>
      <c r="BE371" s="643"/>
      <c r="BF371" s="643"/>
      <c r="BG371" s="643"/>
      <c r="BH371" s="643"/>
      <c r="BI371" s="643"/>
      <c r="BJ371" s="643"/>
      <c r="BK371" s="643"/>
      <c r="BL371" s="643"/>
      <c r="BM371" s="643"/>
      <c r="BN371" s="643"/>
      <c r="BO371" s="643"/>
      <c r="BP371" s="643"/>
      <c r="BQ371" s="643"/>
      <c r="BR371" s="643"/>
      <c r="BS371" s="643"/>
      <c r="BT371" s="643"/>
      <c r="BU371" s="643"/>
      <c r="BV371" s="643"/>
      <c r="BW371" s="643"/>
      <c r="BX371" s="643"/>
      <c r="BY371" s="643"/>
      <c r="BZ371" s="643"/>
      <c r="CA371" s="643"/>
      <c r="CB371" s="643"/>
      <c r="CC371" s="643"/>
      <c r="CD371" s="643"/>
      <c r="CE371" s="643"/>
      <c r="CF371" s="643"/>
      <c r="CG371" s="643"/>
      <c r="CH371" s="643"/>
      <c r="CI371" s="643"/>
      <c r="CJ371" s="643"/>
      <c r="CK371" s="643"/>
      <c r="CL371" s="643"/>
      <c r="CM371" s="643"/>
      <c r="CN371" s="643"/>
      <c r="CO371" s="643"/>
      <c r="CP371" s="643"/>
      <c r="CQ371" s="643"/>
      <c r="CR371" s="643"/>
      <c r="CS371" s="643"/>
      <c r="CT371" s="643"/>
      <c r="CU371" s="643"/>
      <c r="CV371" s="643"/>
      <c r="CW371" s="643"/>
      <c r="CX371" s="643"/>
      <c r="CY371" s="643"/>
      <c r="CZ371" s="643"/>
      <c r="DA371" s="643"/>
      <c r="DB371" s="643"/>
      <c r="DC371" s="643"/>
      <c r="DD371" s="643"/>
      <c r="DE371" s="643"/>
      <c r="DF371" s="643"/>
      <c r="DG371" s="643"/>
      <c r="DH371" s="643"/>
      <c r="DI371" s="643"/>
      <c r="DJ371" s="643"/>
      <c r="DK371" s="643"/>
      <c r="DL371" s="643"/>
      <c r="DM371" s="643"/>
      <c r="DN371" s="643"/>
      <c r="DO371" s="643"/>
      <c r="DP371" s="643"/>
      <c r="DQ371" s="643"/>
      <c r="DR371" s="643"/>
      <c r="DS371" s="643"/>
      <c r="DT371" s="643"/>
      <c r="DU371" s="643"/>
      <c r="DV371" s="643"/>
      <c r="DW371" s="643"/>
      <c r="DX371" s="643"/>
      <c r="DY371" s="643"/>
      <c r="DZ371" s="643"/>
      <c r="EA371" s="643"/>
      <c r="EB371" s="643"/>
      <c r="EC371" s="643"/>
      <c r="ED371" s="643"/>
      <c r="EE371" s="643"/>
      <c r="EF371" s="643"/>
      <c r="EG371" s="643"/>
      <c r="EH371" s="643"/>
      <c r="EI371" s="643"/>
      <c r="EJ371" s="643"/>
      <c r="EK371" s="643"/>
      <c r="EL371" s="643"/>
      <c r="EM371" s="643"/>
      <c r="EN371" s="643"/>
      <c r="EO371" s="643"/>
      <c r="EP371" s="643"/>
      <c r="EQ371" s="643"/>
      <c r="ER371" s="643"/>
    </row>
    <row r="373" spans="6:148" s="645" customFormat="1" ht="15.75" customHeight="1">
      <c r="F373" s="643"/>
      <c r="G373" s="643"/>
      <c r="H373" s="643"/>
      <c r="I373" s="643"/>
      <c r="J373" s="643"/>
      <c r="K373" s="643"/>
      <c r="L373" s="643"/>
      <c r="M373" s="643"/>
      <c r="N373" s="643"/>
      <c r="O373" s="643"/>
      <c r="P373" s="643"/>
      <c r="Q373" s="643"/>
      <c r="R373" s="643"/>
      <c r="S373" s="643"/>
      <c r="T373" s="643"/>
      <c r="U373" s="643"/>
      <c r="V373" s="643"/>
      <c r="W373" s="643"/>
      <c r="X373" s="643"/>
      <c r="Y373" s="643"/>
      <c r="AA373" s="643"/>
      <c r="AC373" s="643"/>
      <c r="AD373" s="643"/>
      <c r="AE373" s="643"/>
      <c r="AF373" s="643"/>
      <c r="AG373" s="643"/>
      <c r="AH373" s="1517"/>
      <c r="AI373" s="644"/>
      <c r="AJ373" s="643"/>
      <c r="AK373" s="643"/>
      <c r="AL373" s="643"/>
      <c r="AM373" s="643"/>
      <c r="AN373" s="643"/>
      <c r="AO373" s="643"/>
      <c r="AP373" s="643"/>
      <c r="AQ373" s="643"/>
      <c r="AR373" s="643"/>
      <c r="AS373" s="643"/>
      <c r="AT373" s="643"/>
      <c r="AU373" s="643"/>
      <c r="AV373" s="643"/>
      <c r="AW373" s="643"/>
      <c r="AX373" s="643"/>
      <c r="AY373" s="643"/>
      <c r="AZ373" s="643"/>
      <c r="BA373" s="643"/>
      <c r="BB373" s="643"/>
      <c r="BC373" s="643"/>
      <c r="BD373" s="643"/>
      <c r="BE373" s="643"/>
      <c r="BF373" s="643"/>
      <c r="BG373" s="643"/>
      <c r="BH373" s="643"/>
      <c r="BI373" s="643"/>
      <c r="BJ373" s="643"/>
      <c r="BK373" s="643"/>
      <c r="BL373" s="643"/>
      <c r="BM373" s="643"/>
      <c r="BN373" s="643"/>
      <c r="BO373" s="643"/>
      <c r="BP373" s="643"/>
      <c r="BQ373" s="643"/>
      <c r="BR373" s="643"/>
      <c r="BS373" s="643"/>
      <c r="BT373" s="643"/>
      <c r="BU373" s="643"/>
      <c r="BV373" s="643"/>
      <c r="BW373" s="643"/>
      <c r="BX373" s="643"/>
      <c r="BY373" s="643"/>
      <c r="BZ373" s="643"/>
      <c r="CA373" s="643"/>
      <c r="CB373" s="643"/>
      <c r="CC373" s="643"/>
      <c r="CD373" s="643"/>
      <c r="CE373" s="643"/>
      <c r="CF373" s="643"/>
      <c r="CG373" s="643"/>
      <c r="CH373" s="643"/>
      <c r="CI373" s="643"/>
      <c r="CJ373" s="643"/>
      <c r="CK373" s="643"/>
      <c r="CL373" s="643"/>
      <c r="CM373" s="643"/>
      <c r="CN373" s="643"/>
      <c r="CO373" s="643"/>
      <c r="CP373" s="643"/>
      <c r="CQ373" s="643"/>
      <c r="CR373" s="643"/>
      <c r="CS373" s="643"/>
      <c r="CT373" s="643"/>
      <c r="CU373" s="643"/>
      <c r="CV373" s="643"/>
      <c r="CW373" s="643"/>
      <c r="CX373" s="643"/>
      <c r="CY373" s="643"/>
      <c r="CZ373" s="643"/>
      <c r="DA373" s="643"/>
      <c r="DB373" s="643"/>
      <c r="DC373" s="643"/>
      <c r="DD373" s="643"/>
      <c r="DE373" s="643"/>
      <c r="DF373" s="643"/>
      <c r="DG373" s="643"/>
      <c r="DH373" s="643"/>
      <c r="DI373" s="643"/>
      <c r="DJ373" s="643"/>
      <c r="DK373" s="643"/>
      <c r="DL373" s="643"/>
      <c r="DM373" s="643"/>
      <c r="DN373" s="643"/>
      <c r="DO373" s="643"/>
      <c r="DP373" s="643"/>
      <c r="DQ373" s="643"/>
      <c r="DR373" s="643"/>
      <c r="DS373" s="643"/>
      <c r="DT373" s="643"/>
      <c r="DU373" s="643"/>
      <c r="DV373" s="643"/>
      <c r="DW373" s="643"/>
      <c r="DX373" s="643"/>
      <c r="DY373" s="643"/>
      <c r="DZ373" s="643"/>
      <c r="EA373" s="643"/>
      <c r="EB373" s="643"/>
      <c r="EC373" s="643"/>
      <c r="ED373" s="643"/>
      <c r="EE373" s="643"/>
      <c r="EF373" s="643"/>
      <c r="EG373" s="643"/>
      <c r="EH373" s="643"/>
      <c r="EI373" s="643"/>
      <c r="EJ373" s="643"/>
      <c r="EK373" s="643"/>
      <c r="EL373" s="643"/>
      <c r="EM373" s="643"/>
      <c r="EN373" s="643"/>
      <c r="EO373" s="643"/>
      <c r="EP373" s="643"/>
      <c r="EQ373" s="643"/>
      <c r="ER373" s="643"/>
    </row>
    <row r="375" spans="6:148" s="645" customFormat="1" ht="15.75" customHeight="1">
      <c r="F375" s="643"/>
      <c r="G375" s="643"/>
      <c r="H375" s="643"/>
      <c r="I375" s="643"/>
      <c r="J375" s="643"/>
      <c r="K375" s="643"/>
      <c r="L375" s="643"/>
      <c r="M375" s="643"/>
      <c r="N375" s="643"/>
      <c r="O375" s="643"/>
      <c r="P375" s="643"/>
      <c r="Q375" s="643"/>
      <c r="R375" s="643"/>
      <c r="S375" s="643"/>
      <c r="T375" s="643"/>
      <c r="U375" s="643"/>
      <c r="V375" s="643"/>
      <c r="W375" s="643"/>
      <c r="X375" s="643"/>
      <c r="Y375" s="643"/>
      <c r="AA375" s="643"/>
      <c r="AC375" s="643"/>
      <c r="AD375" s="643"/>
      <c r="AE375" s="643"/>
      <c r="AF375" s="643"/>
      <c r="AG375" s="643"/>
      <c r="AH375" s="1517"/>
      <c r="AI375" s="644"/>
      <c r="AJ375" s="643"/>
      <c r="AK375" s="643"/>
      <c r="AL375" s="643"/>
      <c r="AM375" s="643"/>
      <c r="AN375" s="643"/>
      <c r="AO375" s="643"/>
      <c r="AP375" s="643"/>
      <c r="AQ375" s="643"/>
      <c r="AR375" s="643"/>
      <c r="AS375" s="643"/>
      <c r="AT375" s="643"/>
      <c r="AU375" s="643"/>
      <c r="AV375" s="643"/>
      <c r="AW375" s="643"/>
      <c r="AX375" s="643"/>
      <c r="AY375" s="643"/>
      <c r="AZ375" s="643"/>
      <c r="BA375" s="643"/>
      <c r="BB375" s="643"/>
      <c r="BC375" s="643"/>
      <c r="BD375" s="643"/>
      <c r="BE375" s="643"/>
      <c r="BF375" s="643"/>
      <c r="BG375" s="643"/>
      <c r="BH375" s="643"/>
      <c r="BI375" s="643"/>
      <c r="BJ375" s="643"/>
      <c r="BK375" s="643"/>
      <c r="BL375" s="643"/>
      <c r="BM375" s="643"/>
      <c r="BN375" s="643"/>
      <c r="BO375" s="643"/>
      <c r="BP375" s="643"/>
      <c r="BQ375" s="643"/>
      <c r="BR375" s="643"/>
      <c r="BS375" s="643"/>
      <c r="BT375" s="643"/>
      <c r="BU375" s="643"/>
      <c r="BV375" s="643"/>
      <c r="BW375" s="643"/>
      <c r="BX375" s="643"/>
      <c r="BY375" s="643"/>
      <c r="BZ375" s="643"/>
      <c r="CA375" s="643"/>
      <c r="CB375" s="643"/>
      <c r="CC375" s="643"/>
      <c r="CD375" s="643"/>
      <c r="CE375" s="643"/>
      <c r="CF375" s="643"/>
      <c r="CG375" s="643"/>
      <c r="CH375" s="643"/>
      <c r="CI375" s="643"/>
      <c r="CJ375" s="643"/>
      <c r="CK375" s="643"/>
      <c r="CL375" s="643"/>
      <c r="CM375" s="643"/>
      <c r="CN375" s="643"/>
      <c r="CO375" s="643"/>
      <c r="CP375" s="643"/>
      <c r="CQ375" s="643"/>
      <c r="CR375" s="643"/>
      <c r="CS375" s="643"/>
      <c r="CT375" s="643"/>
      <c r="CU375" s="643"/>
      <c r="CV375" s="643"/>
      <c r="CW375" s="643"/>
      <c r="CX375" s="643"/>
      <c r="CY375" s="643"/>
      <c r="CZ375" s="643"/>
      <c r="DA375" s="643"/>
      <c r="DB375" s="643"/>
      <c r="DC375" s="643"/>
      <c r="DD375" s="643"/>
      <c r="DE375" s="643"/>
      <c r="DF375" s="643"/>
      <c r="DG375" s="643"/>
      <c r="DH375" s="643"/>
      <c r="DI375" s="643"/>
      <c r="DJ375" s="643"/>
      <c r="DK375" s="643"/>
      <c r="DL375" s="643"/>
      <c r="DM375" s="643"/>
      <c r="DN375" s="643"/>
      <c r="DO375" s="643"/>
      <c r="DP375" s="643"/>
      <c r="DQ375" s="643"/>
      <c r="DR375" s="643"/>
      <c r="DS375" s="643"/>
      <c r="DT375" s="643"/>
      <c r="DU375" s="643"/>
      <c r="DV375" s="643"/>
      <c r="DW375" s="643"/>
      <c r="DX375" s="643"/>
      <c r="DY375" s="643"/>
      <c r="DZ375" s="643"/>
      <c r="EA375" s="643"/>
      <c r="EB375" s="643"/>
      <c r="EC375" s="643"/>
      <c r="ED375" s="643"/>
      <c r="EE375" s="643"/>
      <c r="EF375" s="643"/>
      <c r="EG375" s="643"/>
      <c r="EH375" s="643"/>
      <c r="EI375" s="643"/>
      <c r="EJ375" s="643"/>
      <c r="EK375" s="643"/>
      <c r="EL375" s="643"/>
      <c r="EM375" s="643"/>
      <c r="EN375" s="643"/>
      <c r="EO375" s="643"/>
      <c r="EP375" s="643"/>
      <c r="EQ375" s="643"/>
      <c r="ER375" s="643"/>
    </row>
    <row r="377" spans="6:148" s="645" customFormat="1" ht="15.75" customHeight="1">
      <c r="F377" s="643"/>
      <c r="G377" s="643"/>
      <c r="H377" s="643"/>
      <c r="I377" s="643"/>
      <c r="J377" s="643"/>
      <c r="K377" s="643"/>
      <c r="L377" s="643"/>
      <c r="M377" s="643"/>
      <c r="N377" s="643"/>
      <c r="O377" s="643"/>
      <c r="P377" s="643"/>
      <c r="Q377" s="643"/>
      <c r="R377" s="643"/>
      <c r="S377" s="643"/>
      <c r="T377" s="643"/>
      <c r="U377" s="643"/>
      <c r="V377" s="643"/>
      <c r="W377" s="643"/>
      <c r="X377" s="643"/>
      <c r="Y377" s="643"/>
      <c r="AA377" s="643"/>
      <c r="AC377" s="643"/>
      <c r="AD377" s="643"/>
      <c r="AE377" s="643"/>
      <c r="AF377" s="643"/>
      <c r="AG377" s="643"/>
      <c r="AH377" s="1517"/>
      <c r="AI377" s="644"/>
      <c r="AJ377" s="643"/>
      <c r="AK377" s="643"/>
      <c r="AL377" s="643"/>
      <c r="AM377" s="643"/>
      <c r="AN377" s="643"/>
      <c r="AO377" s="643"/>
      <c r="AP377" s="643"/>
      <c r="AQ377" s="643"/>
      <c r="AR377" s="643"/>
      <c r="AS377" s="643"/>
      <c r="AT377" s="643"/>
      <c r="AU377" s="643"/>
      <c r="AV377" s="643"/>
      <c r="AW377" s="643"/>
      <c r="AX377" s="643"/>
      <c r="AY377" s="643"/>
      <c r="AZ377" s="643"/>
      <c r="BA377" s="643"/>
      <c r="BB377" s="643"/>
      <c r="BC377" s="643"/>
      <c r="BD377" s="643"/>
      <c r="BE377" s="643"/>
      <c r="BF377" s="643"/>
      <c r="BG377" s="643"/>
      <c r="BH377" s="643"/>
      <c r="BI377" s="643"/>
      <c r="BJ377" s="643"/>
      <c r="BK377" s="643"/>
      <c r="BL377" s="643"/>
      <c r="BM377" s="643"/>
      <c r="BN377" s="643"/>
      <c r="BO377" s="643"/>
      <c r="BP377" s="643"/>
      <c r="BQ377" s="643"/>
      <c r="BR377" s="643"/>
      <c r="BS377" s="643"/>
      <c r="BT377" s="643"/>
      <c r="BU377" s="643"/>
      <c r="BV377" s="643"/>
      <c r="BW377" s="643"/>
      <c r="BX377" s="643"/>
      <c r="BY377" s="643"/>
      <c r="BZ377" s="643"/>
      <c r="CA377" s="643"/>
      <c r="CB377" s="643"/>
      <c r="CC377" s="643"/>
      <c r="CD377" s="643"/>
      <c r="CE377" s="643"/>
      <c r="CF377" s="643"/>
      <c r="CG377" s="643"/>
      <c r="CH377" s="643"/>
      <c r="CI377" s="643"/>
      <c r="CJ377" s="643"/>
      <c r="CK377" s="643"/>
      <c r="CL377" s="643"/>
      <c r="CM377" s="643"/>
      <c r="CN377" s="643"/>
      <c r="CO377" s="643"/>
      <c r="CP377" s="643"/>
      <c r="CQ377" s="643"/>
      <c r="CR377" s="643"/>
      <c r="CS377" s="643"/>
      <c r="CT377" s="643"/>
      <c r="CU377" s="643"/>
      <c r="CV377" s="643"/>
      <c r="CW377" s="643"/>
      <c r="CX377" s="643"/>
      <c r="CY377" s="643"/>
      <c r="CZ377" s="643"/>
      <c r="DA377" s="643"/>
      <c r="DB377" s="643"/>
      <c r="DC377" s="643"/>
      <c r="DD377" s="643"/>
      <c r="DE377" s="643"/>
      <c r="DF377" s="643"/>
      <c r="DG377" s="643"/>
      <c r="DH377" s="643"/>
      <c r="DI377" s="643"/>
      <c r="DJ377" s="643"/>
      <c r="DK377" s="643"/>
      <c r="DL377" s="643"/>
      <c r="DM377" s="643"/>
      <c r="DN377" s="643"/>
      <c r="DO377" s="643"/>
      <c r="DP377" s="643"/>
      <c r="DQ377" s="643"/>
      <c r="DR377" s="643"/>
      <c r="DS377" s="643"/>
      <c r="DT377" s="643"/>
      <c r="DU377" s="643"/>
      <c r="DV377" s="643"/>
      <c r="DW377" s="643"/>
      <c r="DX377" s="643"/>
      <c r="DY377" s="643"/>
      <c r="DZ377" s="643"/>
      <c r="EA377" s="643"/>
      <c r="EB377" s="643"/>
      <c r="EC377" s="643"/>
      <c r="ED377" s="643"/>
      <c r="EE377" s="643"/>
      <c r="EF377" s="643"/>
      <c r="EG377" s="643"/>
      <c r="EH377" s="643"/>
      <c r="EI377" s="643"/>
      <c r="EJ377" s="643"/>
      <c r="EK377" s="643"/>
      <c r="EL377" s="643"/>
      <c r="EM377" s="643"/>
      <c r="EN377" s="643"/>
      <c r="EO377" s="643"/>
      <c r="EP377" s="643"/>
      <c r="EQ377" s="643"/>
      <c r="ER377" s="643"/>
    </row>
    <row r="379" spans="6:148" s="645" customFormat="1" ht="15.75" customHeight="1">
      <c r="F379" s="643"/>
      <c r="G379" s="643"/>
      <c r="H379" s="643"/>
      <c r="I379" s="643"/>
      <c r="J379" s="643"/>
      <c r="K379" s="643"/>
      <c r="L379" s="643"/>
      <c r="M379" s="643"/>
      <c r="N379" s="643"/>
      <c r="O379" s="643"/>
      <c r="P379" s="643"/>
      <c r="Q379" s="643"/>
      <c r="R379" s="643"/>
      <c r="S379" s="643"/>
      <c r="T379" s="643"/>
      <c r="U379" s="643"/>
      <c r="V379" s="643"/>
      <c r="W379" s="643"/>
      <c r="X379" s="643"/>
      <c r="Y379" s="643"/>
      <c r="AA379" s="643"/>
      <c r="AC379" s="643"/>
      <c r="AD379" s="643"/>
      <c r="AE379" s="643"/>
      <c r="AF379" s="643"/>
      <c r="AG379" s="643"/>
      <c r="AH379" s="1517"/>
      <c r="AI379" s="644"/>
      <c r="AJ379" s="643"/>
      <c r="AK379" s="643"/>
      <c r="AL379" s="643"/>
      <c r="AM379" s="643"/>
      <c r="AN379" s="643"/>
      <c r="AO379" s="643"/>
      <c r="AP379" s="643"/>
      <c r="AQ379" s="643"/>
      <c r="AR379" s="643"/>
      <c r="AS379" s="643"/>
      <c r="AT379" s="643"/>
      <c r="AU379" s="643"/>
      <c r="AV379" s="643"/>
      <c r="AW379" s="643"/>
      <c r="AX379" s="643"/>
      <c r="AY379" s="643"/>
      <c r="AZ379" s="643"/>
      <c r="BA379" s="643"/>
      <c r="BB379" s="643"/>
      <c r="BC379" s="643"/>
      <c r="BD379" s="643"/>
      <c r="BE379" s="643"/>
      <c r="BF379" s="643"/>
      <c r="BG379" s="643"/>
      <c r="BH379" s="643"/>
      <c r="BI379" s="643"/>
      <c r="BJ379" s="643"/>
      <c r="BK379" s="643"/>
      <c r="BL379" s="643"/>
      <c r="BM379" s="643"/>
      <c r="BN379" s="643"/>
      <c r="BO379" s="643"/>
      <c r="BP379" s="643"/>
      <c r="BQ379" s="643"/>
      <c r="BR379" s="643"/>
      <c r="BS379" s="643"/>
      <c r="BT379" s="643"/>
      <c r="BU379" s="643"/>
      <c r="BV379" s="643"/>
      <c r="BW379" s="643"/>
      <c r="BX379" s="643"/>
      <c r="BY379" s="643"/>
      <c r="BZ379" s="643"/>
      <c r="CA379" s="643"/>
      <c r="CB379" s="643"/>
      <c r="CC379" s="643"/>
      <c r="CD379" s="643"/>
      <c r="CE379" s="643"/>
      <c r="CF379" s="643"/>
      <c r="CG379" s="643"/>
      <c r="CH379" s="643"/>
      <c r="CI379" s="643"/>
      <c r="CJ379" s="643"/>
      <c r="CK379" s="643"/>
      <c r="CL379" s="643"/>
      <c r="CM379" s="643"/>
      <c r="CN379" s="643"/>
      <c r="CO379" s="643"/>
      <c r="CP379" s="643"/>
      <c r="CQ379" s="643"/>
      <c r="CR379" s="643"/>
      <c r="CS379" s="643"/>
      <c r="CT379" s="643"/>
      <c r="CU379" s="643"/>
      <c r="CV379" s="643"/>
      <c r="CW379" s="643"/>
      <c r="CX379" s="643"/>
      <c r="CY379" s="643"/>
      <c r="CZ379" s="643"/>
      <c r="DA379" s="643"/>
      <c r="DB379" s="643"/>
      <c r="DC379" s="643"/>
      <c r="DD379" s="643"/>
      <c r="DE379" s="643"/>
      <c r="DF379" s="643"/>
      <c r="DG379" s="643"/>
      <c r="DH379" s="643"/>
      <c r="DI379" s="643"/>
      <c r="DJ379" s="643"/>
      <c r="DK379" s="643"/>
      <c r="DL379" s="643"/>
      <c r="DM379" s="643"/>
      <c r="DN379" s="643"/>
      <c r="DO379" s="643"/>
      <c r="DP379" s="643"/>
      <c r="DQ379" s="643"/>
      <c r="DR379" s="643"/>
      <c r="DS379" s="643"/>
      <c r="DT379" s="643"/>
      <c r="DU379" s="643"/>
      <c r="DV379" s="643"/>
      <c r="DW379" s="643"/>
      <c r="DX379" s="643"/>
      <c r="DY379" s="643"/>
      <c r="DZ379" s="643"/>
      <c r="EA379" s="643"/>
      <c r="EB379" s="643"/>
      <c r="EC379" s="643"/>
      <c r="ED379" s="643"/>
      <c r="EE379" s="643"/>
      <c r="EF379" s="643"/>
      <c r="EG379" s="643"/>
      <c r="EH379" s="643"/>
      <c r="EI379" s="643"/>
      <c r="EJ379" s="643"/>
      <c r="EK379" s="643"/>
      <c r="EL379" s="643"/>
      <c r="EM379" s="643"/>
      <c r="EN379" s="643"/>
      <c r="EO379" s="643"/>
      <c r="EP379" s="643"/>
      <c r="EQ379" s="643"/>
      <c r="ER379" s="643"/>
    </row>
    <row r="381" spans="6:148" s="645" customFormat="1" ht="15.75" customHeight="1">
      <c r="F381" s="643"/>
      <c r="G381" s="643"/>
      <c r="H381" s="643"/>
      <c r="I381" s="643"/>
      <c r="J381" s="643"/>
      <c r="K381" s="643"/>
      <c r="L381" s="643"/>
      <c r="M381" s="643"/>
      <c r="N381" s="643"/>
      <c r="O381" s="643"/>
      <c r="P381" s="643"/>
      <c r="Q381" s="643"/>
      <c r="R381" s="643"/>
      <c r="S381" s="643"/>
      <c r="T381" s="643"/>
      <c r="U381" s="643"/>
      <c r="V381" s="643"/>
      <c r="W381" s="643"/>
      <c r="X381" s="643"/>
      <c r="Y381" s="643"/>
      <c r="AA381" s="643"/>
      <c r="AC381" s="643"/>
      <c r="AD381" s="643"/>
      <c r="AE381" s="643"/>
      <c r="AF381" s="643"/>
      <c r="AG381" s="643"/>
      <c r="AH381" s="1517"/>
      <c r="AI381" s="644"/>
      <c r="AJ381" s="643"/>
      <c r="AK381" s="643"/>
      <c r="AL381" s="643"/>
      <c r="AM381" s="643"/>
      <c r="AN381" s="643"/>
      <c r="AO381" s="643"/>
      <c r="AP381" s="643"/>
      <c r="AQ381" s="643"/>
      <c r="AR381" s="643"/>
      <c r="AS381" s="643"/>
      <c r="AT381" s="643"/>
      <c r="AU381" s="643"/>
      <c r="AV381" s="643"/>
      <c r="AW381" s="643"/>
      <c r="AX381" s="643"/>
      <c r="AY381" s="643"/>
      <c r="AZ381" s="643"/>
      <c r="BA381" s="643"/>
      <c r="BB381" s="643"/>
      <c r="BC381" s="643"/>
      <c r="BD381" s="643"/>
      <c r="BE381" s="643"/>
      <c r="BF381" s="643"/>
      <c r="BG381" s="643"/>
      <c r="BH381" s="643"/>
      <c r="BI381" s="643"/>
      <c r="BJ381" s="643"/>
      <c r="BK381" s="643"/>
      <c r="BL381" s="643"/>
      <c r="BM381" s="643"/>
      <c r="BN381" s="643"/>
      <c r="BO381" s="643"/>
      <c r="BP381" s="643"/>
      <c r="BQ381" s="643"/>
      <c r="BR381" s="643"/>
      <c r="BS381" s="643"/>
      <c r="BT381" s="643"/>
      <c r="BU381" s="643"/>
      <c r="BV381" s="643"/>
      <c r="BW381" s="643"/>
      <c r="BX381" s="643"/>
      <c r="BY381" s="643"/>
      <c r="BZ381" s="643"/>
      <c r="CA381" s="643"/>
      <c r="CB381" s="643"/>
      <c r="CC381" s="643"/>
      <c r="CD381" s="643"/>
      <c r="CE381" s="643"/>
      <c r="CF381" s="643"/>
      <c r="CG381" s="643"/>
      <c r="CH381" s="643"/>
      <c r="CI381" s="643"/>
      <c r="CJ381" s="643"/>
      <c r="CK381" s="643"/>
      <c r="CL381" s="643"/>
      <c r="CM381" s="643"/>
      <c r="CN381" s="643"/>
      <c r="CO381" s="643"/>
      <c r="CP381" s="643"/>
      <c r="CQ381" s="643"/>
      <c r="CR381" s="643"/>
      <c r="CS381" s="643"/>
      <c r="CT381" s="643"/>
      <c r="CU381" s="643"/>
      <c r="CV381" s="643"/>
      <c r="CW381" s="643"/>
      <c r="CX381" s="643"/>
      <c r="CY381" s="643"/>
      <c r="CZ381" s="643"/>
      <c r="DA381" s="643"/>
      <c r="DB381" s="643"/>
      <c r="DC381" s="643"/>
      <c r="DD381" s="643"/>
      <c r="DE381" s="643"/>
      <c r="DF381" s="643"/>
      <c r="DG381" s="643"/>
      <c r="DH381" s="643"/>
      <c r="DI381" s="643"/>
      <c r="DJ381" s="643"/>
      <c r="DK381" s="643"/>
      <c r="DL381" s="643"/>
      <c r="DM381" s="643"/>
      <c r="DN381" s="643"/>
      <c r="DO381" s="643"/>
      <c r="DP381" s="643"/>
      <c r="DQ381" s="643"/>
      <c r="DR381" s="643"/>
      <c r="DS381" s="643"/>
      <c r="DT381" s="643"/>
      <c r="DU381" s="643"/>
      <c r="DV381" s="643"/>
      <c r="DW381" s="643"/>
      <c r="DX381" s="643"/>
      <c r="DY381" s="643"/>
      <c r="DZ381" s="643"/>
      <c r="EA381" s="643"/>
      <c r="EB381" s="643"/>
      <c r="EC381" s="643"/>
      <c r="ED381" s="643"/>
      <c r="EE381" s="643"/>
      <c r="EF381" s="643"/>
      <c r="EG381" s="643"/>
      <c r="EH381" s="643"/>
      <c r="EI381" s="643"/>
      <c r="EJ381" s="643"/>
      <c r="EK381" s="643"/>
      <c r="EL381" s="643"/>
      <c r="EM381" s="643"/>
      <c r="EN381" s="643"/>
      <c r="EO381" s="643"/>
      <c r="EP381" s="643"/>
      <c r="EQ381" s="643"/>
      <c r="ER381" s="643"/>
    </row>
    <row r="383" spans="6:148" s="645" customFormat="1" ht="15.75" customHeight="1">
      <c r="F383" s="643"/>
      <c r="G383" s="643"/>
      <c r="H383" s="643"/>
      <c r="I383" s="643"/>
      <c r="J383" s="643"/>
      <c r="K383" s="643"/>
      <c r="L383" s="643"/>
      <c r="M383" s="643"/>
      <c r="N383" s="643"/>
      <c r="O383" s="643"/>
      <c r="P383" s="643"/>
      <c r="Q383" s="643"/>
      <c r="R383" s="643"/>
      <c r="S383" s="643"/>
      <c r="T383" s="643"/>
      <c r="U383" s="643"/>
      <c r="V383" s="643"/>
      <c r="W383" s="643"/>
      <c r="X383" s="643"/>
      <c r="Y383" s="643"/>
      <c r="AA383" s="643"/>
      <c r="AC383" s="643"/>
      <c r="AD383" s="643"/>
      <c r="AE383" s="643"/>
      <c r="AF383" s="643"/>
      <c r="AG383" s="643"/>
      <c r="AH383" s="1517"/>
      <c r="AI383" s="644"/>
      <c r="AJ383" s="643"/>
      <c r="AK383" s="643"/>
      <c r="AL383" s="643"/>
      <c r="AM383" s="643"/>
      <c r="AN383" s="643"/>
      <c r="AO383" s="643"/>
      <c r="AP383" s="643"/>
      <c r="AQ383" s="643"/>
      <c r="AR383" s="643"/>
      <c r="AS383" s="643"/>
      <c r="AT383" s="643"/>
      <c r="AU383" s="643"/>
      <c r="AV383" s="643"/>
      <c r="AW383" s="643"/>
      <c r="AX383" s="643"/>
      <c r="AY383" s="643"/>
      <c r="AZ383" s="643"/>
      <c r="BA383" s="643"/>
      <c r="BB383" s="643"/>
      <c r="BC383" s="643"/>
      <c r="BD383" s="643"/>
      <c r="BE383" s="643"/>
      <c r="BF383" s="643"/>
      <c r="BG383" s="643"/>
      <c r="BH383" s="643"/>
      <c r="BI383" s="643"/>
      <c r="BJ383" s="643"/>
      <c r="BK383" s="643"/>
      <c r="BL383" s="643"/>
      <c r="BM383" s="643"/>
      <c r="BN383" s="643"/>
      <c r="BO383" s="643"/>
      <c r="BP383" s="643"/>
      <c r="BQ383" s="643"/>
      <c r="BR383" s="643"/>
      <c r="BS383" s="643"/>
      <c r="BT383" s="643"/>
      <c r="BU383" s="643"/>
      <c r="BV383" s="643"/>
      <c r="BW383" s="643"/>
      <c r="BX383" s="643"/>
      <c r="BY383" s="643"/>
      <c r="BZ383" s="643"/>
      <c r="CA383" s="643"/>
      <c r="CB383" s="643"/>
      <c r="CC383" s="643"/>
      <c r="CD383" s="643"/>
      <c r="CE383" s="643"/>
      <c r="CF383" s="643"/>
      <c r="CG383" s="643"/>
      <c r="CH383" s="643"/>
      <c r="CI383" s="643"/>
      <c r="CJ383" s="643"/>
      <c r="CK383" s="643"/>
      <c r="CL383" s="643"/>
      <c r="CM383" s="643"/>
      <c r="CN383" s="643"/>
      <c r="CO383" s="643"/>
      <c r="CP383" s="643"/>
      <c r="CQ383" s="643"/>
      <c r="CR383" s="643"/>
      <c r="CS383" s="643"/>
      <c r="CT383" s="643"/>
      <c r="CU383" s="643"/>
      <c r="CV383" s="643"/>
      <c r="CW383" s="643"/>
      <c r="CX383" s="643"/>
      <c r="CY383" s="643"/>
      <c r="CZ383" s="643"/>
      <c r="DA383" s="643"/>
      <c r="DB383" s="643"/>
      <c r="DC383" s="643"/>
      <c r="DD383" s="643"/>
      <c r="DE383" s="643"/>
      <c r="DF383" s="643"/>
      <c r="DG383" s="643"/>
      <c r="DH383" s="643"/>
      <c r="DI383" s="643"/>
      <c r="DJ383" s="643"/>
      <c r="DK383" s="643"/>
      <c r="DL383" s="643"/>
      <c r="DM383" s="643"/>
      <c r="DN383" s="643"/>
      <c r="DO383" s="643"/>
      <c r="DP383" s="643"/>
      <c r="DQ383" s="643"/>
      <c r="DR383" s="643"/>
      <c r="DS383" s="643"/>
      <c r="DT383" s="643"/>
      <c r="DU383" s="643"/>
      <c r="DV383" s="643"/>
      <c r="DW383" s="643"/>
      <c r="DX383" s="643"/>
      <c r="DY383" s="643"/>
      <c r="DZ383" s="643"/>
      <c r="EA383" s="643"/>
      <c r="EB383" s="643"/>
      <c r="EC383" s="643"/>
      <c r="ED383" s="643"/>
      <c r="EE383" s="643"/>
      <c r="EF383" s="643"/>
      <c r="EG383" s="643"/>
      <c r="EH383" s="643"/>
      <c r="EI383" s="643"/>
      <c r="EJ383" s="643"/>
      <c r="EK383" s="643"/>
      <c r="EL383" s="643"/>
      <c r="EM383" s="643"/>
      <c r="EN383" s="643"/>
      <c r="EO383" s="643"/>
      <c r="EP383" s="643"/>
      <c r="EQ383" s="643"/>
      <c r="ER383" s="643"/>
    </row>
    <row r="385" spans="6:148" s="645" customFormat="1" ht="15.75" customHeight="1">
      <c r="F385" s="643"/>
      <c r="G385" s="643"/>
      <c r="H385" s="643"/>
      <c r="I385" s="643"/>
      <c r="J385" s="643"/>
      <c r="K385" s="643"/>
      <c r="L385" s="643"/>
      <c r="M385" s="643"/>
      <c r="N385" s="643"/>
      <c r="O385" s="643"/>
      <c r="P385" s="643"/>
      <c r="Q385" s="643"/>
      <c r="R385" s="643"/>
      <c r="S385" s="643"/>
      <c r="T385" s="643"/>
      <c r="U385" s="643"/>
      <c r="V385" s="643"/>
      <c r="W385" s="643"/>
      <c r="X385" s="643"/>
      <c r="Y385" s="643"/>
      <c r="AA385" s="643"/>
      <c r="AC385" s="643"/>
      <c r="AD385" s="643"/>
      <c r="AE385" s="643"/>
      <c r="AF385" s="643"/>
      <c r="AG385" s="643"/>
      <c r="AH385" s="1517"/>
      <c r="AI385" s="644"/>
      <c r="AJ385" s="643"/>
      <c r="AK385" s="643"/>
      <c r="AL385" s="643"/>
      <c r="AM385" s="643"/>
      <c r="AN385" s="643"/>
      <c r="AO385" s="643"/>
      <c r="AP385" s="643"/>
      <c r="AQ385" s="643"/>
      <c r="AR385" s="643"/>
      <c r="AS385" s="643"/>
      <c r="AT385" s="643"/>
      <c r="AU385" s="643"/>
      <c r="AV385" s="643"/>
      <c r="AW385" s="643"/>
      <c r="AX385" s="643"/>
      <c r="AY385" s="643"/>
      <c r="AZ385" s="643"/>
      <c r="BA385" s="643"/>
      <c r="BB385" s="643"/>
      <c r="BC385" s="643"/>
      <c r="BD385" s="643"/>
      <c r="BE385" s="643"/>
      <c r="BF385" s="643"/>
      <c r="BG385" s="643"/>
      <c r="BH385" s="643"/>
      <c r="BI385" s="643"/>
      <c r="BJ385" s="643"/>
      <c r="BK385" s="643"/>
      <c r="BL385" s="643"/>
      <c r="BM385" s="643"/>
      <c r="BN385" s="643"/>
      <c r="BO385" s="643"/>
      <c r="BP385" s="643"/>
      <c r="BQ385" s="643"/>
      <c r="BR385" s="643"/>
      <c r="BS385" s="643"/>
      <c r="BT385" s="643"/>
      <c r="BU385" s="643"/>
      <c r="BV385" s="643"/>
      <c r="BW385" s="643"/>
      <c r="BX385" s="643"/>
      <c r="BY385" s="643"/>
      <c r="BZ385" s="643"/>
      <c r="CA385" s="643"/>
      <c r="CB385" s="643"/>
      <c r="CC385" s="643"/>
      <c r="CD385" s="643"/>
      <c r="CE385" s="643"/>
      <c r="CF385" s="643"/>
      <c r="CG385" s="643"/>
      <c r="CH385" s="643"/>
      <c r="CI385" s="643"/>
      <c r="CJ385" s="643"/>
      <c r="CK385" s="643"/>
      <c r="CL385" s="643"/>
      <c r="CM385" s="643"/>
      <c r="CN385" s="643"/>
      <c r="CO385" s="643"/>
      <c r="CP385" s="643"/>
      <c r="CQ385" s="643"/>
      <c r="CR385" s="643"/>
      <c r="CS385" s="643"/>
      <c r="CT385" s="643"/>
      <c r="CU385" s="643"/>
      <c r="CV385" s="643"/>
      <c r="CW385" s="643"/>
      <c r="CX385" s="643"/>
      <c r="CY385" s="643"/>
      <c r="CZ385" s="643"/>
      <c r="DA385" s="643"/>
      <c r="DB385" s="643"/>
      <c r="DC385" s="643"/>
      <c r="DD385" s="643"/>
      <c r="DE385" s="643"/>
      <c r="DF385" s="643"/>
      <c r="DG385" s="643"/>
      <c r="DH385" s="643"/>
      <c r="DI385" s="643"/>
      <c r="DJ385" s="643"/>
      <c r="DK385" s="643"/>
      <c r="DL385" s="643"/>
      <c r="DM385" s="643"/>
      <c r="DN385" s="643"/>
      <c r="DO385" s="643"/>
      <c r="DP385" s="643"/>
      <c r="DQ385" s="643"/>
      <c r="DR385" s="643"/>
      <c r="DS385" s="643"/>
      <c r="DT385" s="643"/>
      <c r="DU385" s="643"/>
      <c r="DV385" s="643"/>
      <c r="DW385" s="643"/>
      <c r="DX385" s="643"/>
      <c r="DY385" s="643"/>
      <c r="DZ385" s="643"/>
      <c r="EA385" s="643"/>
      <c r="EB385" s="643"/>
      <c r="EC385" s="643"/>
      <c r="ED385" s="643"/>
      <c r="EE385" s="643"/>
      <c r="EF385" s="643"/>
      <c r="EG385" s="643"/>
      <c r="EH385" s="643"/>
      <c r="EI385" s="643"/>
      <c r="EJ385" s="643"/>
      <c r="EK385" s="643"/>
      <c r="EL385" s="643"/>
      <c r="EM385" s="643"/>
      <c r="EN385" s="643"/>
      <c r="EO385" s="643"/>
      <c r="EP385" s="643"/>
      <c r="EQ385" s="643"/>
      <c r="ER385" s="643"/>
    </row>
    <row r="387" spans="6:148" s="645" customFormat="1" ht="15.75" customHeight="1">
      <c r="F387" s="643"/>
      <c r="G387" s="643"/>
      <c r="H387" s="643"/>
      <c r="I387" s="643"/>
      <c r="J387" s="643"/>
      <c r="K387" s="643"/>
      <c r="L387" s="643"/>
      <c r="M387" s="643"/>
      <c r="N387" s="643"/>
      <c r="O387" s="643"/>
      <c r="P387" s="643"/>
      <c r="Q387" s="643"/>
      <c r="R387" s="643"/>
      <c r="S387" s="643"/>
      <c r="T387" s="643"/>
      <c r="U387" s="643"/>
      <c r="V387" s="643"/>
      <c r="W387" s="643"/>
      <c r="X387" s="643"/>
      <c r="Y387" s="643"/>
      <c r="AA387" s="643"/>
      <c r="AC387" s="643"/>
      <c r="AD387" s="643"/>
      <c r="AE387" s="643"/>
      <c r="AF387" s="643"/>
      <c r="AG387" s="643"/>
      <c r="AH387" s="1517"/>
      <c r="AI387" s="644"/>
      <c r="AJ387" s="643"/>
      <c r="AK387" s="643"/>
      <c r="AL387" s="643"/>
      <c r="AM387" s="643"/>
      <c r="AN387" s="643"/>
      <c r="AO387" s="643"/>
      <c r="AP387" s="643"/>
      <c r="AQ387" s="643"/>
      <c r="AR387" s="643"/>
      <c r="AS387" s="643"/>
      <c r="AT387" s="643"/>
      <c r="AU387" s="643"/>
      <c r="AV387" s="643"/>
      <c r="AW387" s="643"/>
      <c r="AX387" s="643"/>
      <c r="AY387" s="643"/>
      <c r="AZ387" s="643"/>
      <c r="BA387" s="643"/>
      <c r="BB387" s="643"/>
      <c r="BC387" s="643"/>
      <c r="BD387" s="643"/>
      <c r="BE387" s="643"/>
      <c r="BF387" s="643"/>
      <c r="BG387" s="643"/>
      <c r="BH387" s="643"/>
      <c r="BI387" s="643"/>
      <c r="BJ387" s="643"/>
      <c r="BK387" s="643"/>
      <c r="BL387" s="643"/>
      <c r="BM387" s="643"/>
      <c r="BN387" s="643"/>
      <c r="BO387" s="643"/>
      <c r="BP387" s="643"/>
      <c r="BQ387" s="643"/>
      <c r="BR387" s="643"/>
      <c r="BS387" s="643"/>
      <c r="BT387" s="643"/>
      <c r="BU387" s="643"/>
      <c r="BV387" s="643"/>
      <c r="BW387" s="643"/>
      <c r="BX387" s="643"/>
      <c r="BY387" s="643"/>
      <c r="BZ387" s="643"/>
      <c r="CA387" s="643"/>
      <c r="CB387" s="643"/>
      <c r="CC387" s="643"/>
      <c r="CD387" s="643"/>
      <c r="CE387" s="643"/>
      <c r="CF387" s="643"/>
      <c r="CG387" s="643"/>
      <c r="CH387" s="643"/>
      <c r="CI387" s="643"/>
      <c r="CJ387" s="643"/>
      <c r="CK387" s="643"/>
      <c r="CL387" s="643"/>
      <c r="CM387" s="643"/>
      <c r="CN387" s="643"/>
      <c r="CO387" s="643"/>
      <c r="CP387" s="643"/>
      <c r="CQ387" s="643"/>
      <c r="CR387" s="643"/>
      <c r="CS387" s="643"/>
      <c r="CT387" s="643"/>
      <c r="CU387" s="643"/>
      <c r="CV387" s="643"/>
      <c r="CW387" s="643"/>
      <c r="CX387" s="643"/>
      <c r="CY387" s="643"/>
      <c r="CZ387" s="643"/>
      <c r="DA387" s="643"/>
      <c r="DB387" s="643"/>
      <c r="DC387" s="643"/>
      <c r="DD387" s="643"/>
      <c r="DE387" s="643"/>
      <c r="DF387" s="643"/>
      <c r="DG387" s="643"/>
      <c r="DH387" s="643"/>
      <c r="DI387" s="643"/>
      <c r="DJ387" s="643"/>
      <c r="DK387" s="643"/>
      <c r="DL387" s="643"/>
      <c r="DM387" s="643"/>
      <c r="DN387" s="643"/>
      <c r="DO387" s="643"/>
      <c r="DP387" s="643"/>
      <c r="DQ387" s="643"/>
      <c r="DR387" s="643"/>
      <c r="DS387" s="643"/>
      <c r="DT387" s="643"/>
      <c r="DU387" s="643"/>
      <c r="DV387" s="643"/>
      <c r="DW387" s="643"/>
      <c r="DX387" s="643"/>
      <c r="DY387" s="643"/>
      <c r="DZ387" s="643"/>
      <c r="EA387" s="643"/>
      <c r="EB387" s="643"/>
      <c r="EC387" s="643"/>
      <c r="ED387" s="643"/>
      <c r="EE387" s="643"/>
      <c r="EF387" s="643"/>
      <c r="EG387" s="643"/>
      <c r="EH387" s="643"/>
      <c r="EI387" s="643"/>
      <c r="EJ387" s="643"/>
      <c r="EK387" s="643"/>
      <c r="EL387" s="643"/>
      <c r="EM387" s="643"/>
      <c r="EN387" s="643"/>
      <c r="EO387" s="643"/>
      <c r="EP387" s="643"/>
      <c r="EQ387" s="643"/>
      <c r="ER387" s="643"/>
    </row>
    <row r="389" spans="6:148" s="645" customFormat="1" ht="15.75" customHeight="1">
      <c r="F389" s="643"/>
      <c r="G389" s="643"/>
      <c r="H389" s="643"/>
      <c r="I389" s="643"/>
      <c r="J389" s="643"/>
      <c r="K389" s="643"/>
      <c r="L389" s="643"/>
      <c r="M389" s="643"/>
      <c r="N389" s="643"/>
      <c r="O389" s="643"/>
      <c r="P389" s="643"/>
      <c r="Q389" s="643"/>
      <c r="R389" s="643"/>
      <c r="S389" s="643"/>
      <c r="T389" s="643"/>
      <c r="U389" s="643"/>
      <c r="V389" s="643"/>
      <c r="W389" s="643"/>
      <c r="X389" s="643"/>
      <c r="Y389" s="643"/>
      <c r="AA389" s="643"/>
      <c r="AC389" s="643"/>
      <c r="AD389" s="643"/>
      <c r="AE389" s="643"/>
      <c r="AF389" s="643"/>
      <c r="AG389" s="643"/>
      <c r="AH389" s="1517"/>
      <c r="AI389" s="644"/>
      <c r="AJ389" s="643"/>
      <c r="AK389" s="643"/>
      <c r="AL389" s="643"/>
      <c r="AM389" s="643"/>
      <c r="AN389" s="643"/>
      <c r="AO389" s="643"/>
      <c r="AP389" s="643"/>
      <c r="AQ389" s="643"/>
      <c r="AR389" s="643"/>
      <c r="AS389" s="643"/>
      <c r="AT389" s="643"/>
      <c r="AU389" s="643"/>
      <c r="AV389" s="643"/>
      <c r="AW389" s="643"/>
      <c r="AX389" s="643"/>
      <c r="AY389" s="643"/>
      <c r="AZ389" s="643"/>
      <c r="BA389" s="643"/>
      <c r="BB389" s="643"/>
      <c r="BC389" s="643"/>
      <c r="BD389" s="643"/>
      <c r="BE389" s="643"/>
      <c r="BF389" s="643"/>
      <c r="BG389" s="643"/>
      <c r="BH389" s="643"/>
      <c r="BI389" s="643"/>
      <c r="BJ389" s="643"/>
      <c r="BK389" s="643"/>
      <c r="BL389" s="643"/>
      <c r="BM389" s="643"/>
      <c r="BN389" s="643"/>
      <c r="BO389" s="643"/>
      <c r="BP389" s="643"/>
      <c r="BQ389" s="643"/>
      <c r="BR389" s="643"/>
      <c r="BS389" s="643"/>
      <c r="BT389" s="643"/>
      <c r="BU389" s="643"/>
      <c r="BV389" s="643"/>
      <c r="BW389" s="643"/>
      <c r="BX389" s="643"/>
      <c r="BY389" s="643"/>
      <c r="BZ389" s="643"/>
      <c r="CA389" s="643"/>
      <c r="CB389" s="643"/>
      <c r="CC389" s="643"/>
      <c r="CD389" s="643"/>
      <c r="CE389" s="643"/>
      <c r="CF389" s="643"/>
      <c r="CG389" s="643"/>
      <c r="CH389" s="643"/>
      <c r="CI389" s="643"/>
      <c r="CJ389" s="643"/>
      <c r="CK389" s="643"/>
      <c r="CL389" s="643"/>
      <c r="CM389" s="643"/>
      <c r="CN389" s="643"/>
      <c r="CO389" s="643"/>
      <c r="CP389" s="643"/>
      <c r="CQ389" s="643"/>
      <c r="CR389" s="643"/>
      <c r="CS389" s="643"/>
      <c r="CT389" s="643"/>
      <c r="CU389" s="643"/>
      <c r="CV389" s="643"/>
      <c r="CW389" s="643"/>
      <c r="CX389" s="643"/>
      <c r="CY389" s="643"/>
      <c r="CZ389" s="643"/>
      <c r="DA389" s="643"/>
      <c r="DB389" s="643"/>
      <c r="DC389" s="643"/>
      <c r="DD389" s="643"/>
      <c r="DE389" s="643"/>
      <c r="DF389" s="643"/>
      <c r="DG389" s="643"/>
      <c r="DH389" s="643"/>
      <c r="DI389" s="643"/>
      <c r="DJ389" s="643"/>
      <c r="DK389" s="643"/>
      <c r="DL389" s="643"/>
      <c r="DM389" s="643"/>
      <c r="DN389" s="643"/>
      <c r="DO389" s="643"/>
      <c r="DP389" s="643"/>
      <c r="DQ389" s="643"/>
      <c r="DR389" s="643"/>
      <c r="DS389" s="643"/>
      <c r="DT389" s="643"/>
      <c r="DU389" s="643"/>
      <c r="DV389" s="643"/>
      <c r="DW389" s="643"/>
      <c r="DX389" s="643"/>
      <c r="DY389" s="643"/>
      <c r="DZ389" s="643"/>
      <c r="EA389" s="643"/>
      <c r="EB389" s="643"/>
      <c r="EC389" s="643"/>
      <c r="ED389" s="643"/>
      <c r="EE389" s="643"/>
      <c r="EF389" s="643"/>
      <c r="EG389" s="643"/>
      <c r="EH389" s="643"/>
      <c r="EI389" s="643"/>
      <c r="EJ389" s="643"/>
      <c r="EK389" s="643"/>
      <c r="EL389" s="643"/>
      <c r="EM389" s="643"/>
      <c r="EN389" s="643"/>
      <c r="EO389" s="643"/>
      <c r="EP389" s="643"/>
      <c r="EQ389" s="643"/>
      <c r="ER389" s="643"/>
    </row>
    <row r="391" spans="6:148" s="645" customFormat="1" ht="15.75" customHeight="1">
      <c r="F391" s="643"/>
      <c r="G391" s="643"/>
      <c r="H391" s="643"/>
      <c r="I391" s="643"/>
      <c r="J391" s="643"/>
      <c r="K391" s="643"/>
      <c r="L391" s="643"/>
      <c r="M391" s="643"/>
      <c r="N391" s="643"/>
      <c r="O391" s="643"/>
      <c r="P391" s="643"/>
      <c r="Q391" s="643"/>
      <c r="R391" s="643"/>
      <c r="S391" s="643"/>
      <c r="T391" s="643"/>
      <c r="U391" s="643"/>
      <c r="V391" s="643"/>
      <c r="W391" s="643"/>
      <c r="X391" s="643"/>
      <c r="Y391" s="643"/>
      <c r="AA391" s="643"/>
      <c r="AC391" s="643"/>
      <c r="AD391" s="643"/>
      <c r="AE391" s="643"/>
      <c r="AF391" s="643"/>
      <c r="AG391" s="643"/>
      <c r="AH391" s="1517"/>
      <c r="AI391" s="644"/>
      <c r="AJ391" s="643"/>
      <c r="AK391" s="643"/>
      <c r="AL391" s="643"/>
      <c r="AM391" s="643"/>
      <c r="AN391" s="643"/>
      <c r="AO391" s="643"/>
      <c r="AP391" s="643"/>
      <c r="AQ391" s="643"/>
      <c r="AR391" s="643"/>
      <c r="AS391" s="643"/>
      <c r="AT391" s="643"/>
      <c r="AU391" s="643"/>
      <c r="AV391" s="643"/>
      <c r="AW391" s="643"/>
      <c r="AX391" s="643"/>
      <c r="AY391" s="643"/>
      <c r="AZ391" s="643"/>
      <c r="BA391" s="643"/>
      <c r="BB391" s="643"/>
      <c r="BC391" s="643"/>
      <c r="BD391" s="643"/>
      <c r="BE391" s="643"/>
      <c r="BF391" s="643"/>
      <c r="BG391" s="643"/>
      <c r="BH391" s="643"/>
      <c r="BI391" s="643"/>
      <c r="BJ391" s="643"/>
      <c r="BK391" s="643"/>
      <c r="BL391" s="643"/>
      <c r="BM391" s="643"/>
      <c r="BN391" s="643"/>
      <c r="BO391" s="643"/>
      <c r="BP391" s="643"/>
      <c r="BQ391" s="643"/>
      <c r="BR391" s="643"/>
      <c r="BS391" s="643"/>
      <c r="BT391" s="643"/>
      <c r="BU391" s="643"/>
      <c r="BV391" s="643"/>
      <c r="BW391" s="643"/>
      <c r="BX391" s="643"/>
      <c r="BY391" s="643"/>
      <c r="BZ391" s="643"/>
      <c r="CA391" s="643"/>
      <c r="CB391" s="643"/>
      <c r="CC391" s="643"/>
      <c r="CD391" s="643"/>
      <c r="CE391" s="643"/>
      <c r="CF391" s="643"/>
      <c r="CG391" s="643"/>
      <c r="CH391" s="643"/>
      <c r="CI391" s="643"/>
      <c r="CJ391" s="643"/>
      <c r="CK391" s="643"/>
      <c r="CL391" s="643"/>
      <c r="CM391" s="643"/>
      <c r="CN391" s="643"/>
      <c r="CO391" s="643"/>
      <c r="CP391" s="643"/>
      <c r="CQ391" s="643"/>
      <c r="CR391" s="643"/>
      <c r="CS391" s="643"/>
      <c r="CT391" s="643"/>
      <c r="CU391" s="643"/>
      <c r="CV391" s="643"/>
      <c r="CW391" s="643"/>
      <c r="CX391" s="643"/>
      <c r="CY391" s="643"/>
      <c r="CZ391" s="643"/>
      <c r="DA391" s="643"/>
      <c r="DB391" s="643"/>
      <c r="DC391" s="643"/>
      <c r="DD391" s="643"/>
      <c r="DE391" s="643"/>
      <c r="DF391" s="643"/>
      <c r="DG391" s="643"/>
      <c r="DH391" s="643"/>
      <c r="DI391" s="643"/>
      <c r="DJ391" s="643"/>
      <c r="DK391" s="643"/>
      <c r="DL391" s="643"/>
      <c r="DM391" s="643"/>
      <c r="DN391" s="643"/>
      <c r="DO391" s="643"/>
      <c r="DP391" s="643"/>
      <c r="DQ391" s="643"/>
      <c r="DR391" s="643"/>
      <c r="DS391" s="643"/>
      <c r="DT391" s="643"/>
      <c r="DU391" s="643"/>
      <c r="DV391" s="643"/>
      <c r="DW391" s="643"/>
      <c r="DX391" s="643"/>
      <c r="DY391" s="643"/>
      <c r="DZ391" s="643"/>
      <c r="EA391" s="643"/>
      <c r="EB391" s="643"/>
      <c r="EC391" s="643"/>
      <c r="ED391" s="643"/>
      <c r="EE391" s="643"/>
      <c r="EF391" s="643"/>
      <c r="EG391" s="643"/>
      <c r="EH391" s="643"/>
      <c r="EI391" s="643"/>
      <c r="EJ391" s="643"/>
      <c r="EK391" s="643"/>
      <c r="EL391" s="643"/>
      <c r="EM391" s="643"/>
      <c r="EN391" s="643"/>
      <c r="EO391" s="643"/>
      <c r="EP391" s="643"/>
      <c r="EQ391" s="643"/>
      <c r="ER391" s="643"/>
    </row>
    <row r="393" spans="6:148" s="645" customFormat="1" ht="15.75" customHeight="1">
      <c r="F393" s="643"/>
      <c r="G393" s="643"/>
      <c r="H393" s="643"/>
      <c r="I393" s="643"/>
      <c r="J393" s="643"/>
      <c r="K393" s="643"/>
      <c r="L393" s="643"/>
      <c r="M393" s="643"/>
      <c r="N393" s="643"/>
      <c r="O393" s="643"/>
      <c r="P393" s="643"/>
      <c r="Q393" s="643"/>
      <c r="R393" s="643"/>
      <c r="S393" s="643"/>
      <c r="T393" s="643"/>
      <c r="U393" s="643"/>
      <c r="V393" s="643"/>
      <c r="W393" s="643"/>
      <c r="X393" s="643"/>
      <c r="Y393" s="643"/>
      <c r="AA393" s="643"/>
      <c r="AC393" s="643"/>
      <c r="AD393" s="643"/>
      <c r="AE393" s="643"/>
      <c r="AF393" s="643"/>
      <c r="AG393" s="643"/>
      <c r="AH393" s="1517"/>
      <c r="AI393" s="644"/>
      <c r="AJ393" s="643"/>
      <c r="AK393" s="643"/>
      <c r="AL393" s="643"/>
      <c r="AM393" s="643"/>
      <c r="AN393" s="643"/>
      <c r="AO393" s="643"/>
      <c r="AP393" s="643"/>
      <c r="AQ393" s="643"/>
      <c r="AR393" s="643"/>
      <c r="AS393" s="643"/>
      <c r="AT393" s="643"/>
      <c r="AU393" s="643"/>
      <c r="AV393" s="643"/>
      <c r="AW393" s="643"/>
      <c r="AX393" s="643"/>
      <c r="AY393" s="643"/>
      <c r="AZ393" s="643"/>
      <c r="BA393" s="643"/>
      <c r="BB393" s="643"/>
      <c r="BC393" s="643"/>
      <c r="BD393" s="643"/>
      <c r="BE393" s="643"/>
      <c r="BF393" s="643"/>
      <c r="BG393" s="643"/>
      <c r="BH393" s="643"/>
      <c r="BI393" s="643"/>
      <c r="BJ393" s="643"/>
      <c r="BK393" s="643"/>
      <c r="BL393" s="643"/>
      <c r="BM393" s="643"/>
      <c r="BN393" s="643"/>
      <c r="BO393" s="643"/>
      <c r="BP393" s="643"/>
      <c r="BQ393" s="643"/>
      <c r="BR393" s="643"/>
      <c r="BS393" s="643"/>
      <c r="BT393" s="643"/>
      <c r="BU393" s="643"/>
      <c r="BV393" s="643"/>
      <c r="BW393" s="643"/>
      <c r="BX393" s="643"/>
      <c r="BY393" s="643"/>
      <c r="BZ393" s="643"/>
      <c r="CA393" s="643"/>
      <c r="CB393" s="643"/>
      <c r="CC393" s="643"/>
      <c r="CD393" s="643"/>
      <c r="CE393" s="643"/>
      <c r="CF393" s="643"/>
      <c r="CG393" s="643"/>
      <c r="CH393" s="643"/>
      <c r="CI393" s="643"/>
      <c r="CJ393" s="643"/>
      <c r="CK393" s="643"/>
      <c r="CL393" s="643"/>
      <c r="CM393" s="643"/>
      <c r="CN393" s="643"/>
      <c r="CO393" s="643"/>
      <c r="CP393" s="643"/>
      <c r="CQ393" s="643"/>
      <c r="CR393" s="643"/>
      <c r="CS393" s="643"/>
      <c r="CT393" s="643"/>
      <c r="CU393" s="643"/>
      <c r="CV393" s="643"/>
      <c r="CW393" s="643"/>
      <c r="CX393" s="643"/>
      <c r="CY393" s="643"/>
      <c r="CZ393" s="643"/>
      <c r="DA393" s="643"/>
      <c r="DB393" s="643"/>
      <c r="DC393" s="643"/>
      <c r="DD393" s="643"/>
      <c r="DE393" s="643"/>
      <c r="DF393" s="643"/>
      <c r="DG393" s="643"/>
      <c r="DH393" s="643"/>
      <c r="DI393" s="643"/>
      <c r="DJ393" s="643"/>
      <c r="DK393" s="643"/>
      <c r="DL393" s="643"/>
      <c r="DM393" s="643"/>
      <c r="DN393" s="643"/>
      <c r="DO393" s="643"/>
      <c r="DP393" s="643"/>
      <c r="DQ393" s="643"/>
      <c r="DR393" s="643"/>
      <c r="DS393" s="643"/>
      <c r="DT393" s="643"/>
      <c r="DU393" s="643"/>
      <c r="DV393" s="643"/>
      <c r="DW393" s="643"/>
      <c r="DX393" s="643"/>
      <c r="DY393" s="643"/>
      <c r="DZ393" s="643"/>
      <c r="EA393" s="643"/>
      <c r="EB393" s="643"/>
      <c r="EC393" s="643"/>
      <c r="ED393" s="643"/>
      <c r="EE393" s="643"/>
      <c r="EF393" s="643"/>
      <c r="EG393" s="643"/>
      <c r="EH393" s="643"/>
      <c r="EI393" s="643"/>
      <c r="EJ393" s="643"/>
      <c r="EK393" s="643"/>
      <c r="EL393" s="643"/>
      <c r="EM393" s="643"/>
      <c r="EN393" s="643"/>
      <c r="EO393" s="643"/>
      <c r="EP393" s="643"/>
      <c r="EQ393" s="643"/>
      <c r="ER393" s="643"/>
    </row>
    <row r="395" spans="6:148" s="645" customFormat="1" ht="15.75" customHeight="1">
      <c r="F395" s="643"/>
      <c r="G395" s="643"/>
      <c r="H395" s="643"/>
      <c r="I395" s="643"/>
      <c r="J395" s="643"/>
      <c r="K395" s="643"/>
      <c r="L395" s="643"/>
      <c r="M395" s="643"/>
      <c r="N395" s="643"/>
      <c r="O395" s="643"/>
      <c r="P395" s="643"/>
      <c r="Q395" s="643"/>
      <c r="R395" s="643"/>
      <c r="S395" s="643"/>
      <c r="T395" s="643"/>
      <c r="U395" s="643"/>
      <c r="V395" s="643"/>
      <c r="W395" s="643"/>
      <c r="X395" s="643"/>
      <c r="Y395" s="643"/>
      <c r="AA395" s="643"/>
      <c r="AC395" s="643"/>
      <c r="AD395" s="643"/>
      <c r="AE395" s="643"/>
      <c r="AF395" s="643"/>
      <c r="AG395" s="643"/>
      <c r="AH395" s="1517"/>
      <c r="AI395" s="644"/>
      <c r="AJ395" s="643"/>
      <c r="AK395" s="643"/>
      <c r="AL395" s="643"/>
      <c r="AM395" s="643"/>
      <c r="AN395" s="643"/>
      <c r="AO395" s="643"/>
      <c r="AP395" s="643"/>
      <c r="AQ395" s="643"/>
      <c r="AR395" s="643"/>
      <c r="AS395" s="643"/>
      <c r="AT395" s="643"/>
      <c r="AU395" s="643"/>
      <c r="AV395" s="643"/>
      <c r="AW395" s="643"/>
      <c r="AX395" s="643"/>
      <c r="AY395" s="643"/>
      <c r="AZ395" s="643"/>
      <c r="BA395" s="643"/>
      <c r="BB395" s="643"/>
      <c r="BC395" s="643"/>
      <c r="BD395" s="643"/>
      <c r="BE395" s="643"/>
      <c r="BF395" s="643"/>
      <c r="BG395" s="643"/>
      <c r="BH395" s="643"/>
      <c r="BI395" s="643"/>
      <c r="BJ395" s="643"/>
      <c r="BK395" s="643"/>
      <c r="BL395" s="643"/>
      <c r="BM395" s="643"/>
      <c r="BN395" s="643"/>
      <c r="BO395" s="643"/>
      <c r="BP395" s="643"/>
      <c r="BQ395" s="643"/>
      <c r="BR395" s="643"/>
      <c r="BS395" s="643"/>
      <c r="BT395" s="643"/>
      <c r="BU395" s="643"/>
      <c r="BV395" s="643"/>
      <c r="BW395" s="643"/>
      <c r="BX395" s="643"/>
      <c r="BY395" s="643"/>
      <c r="BZ395" s="643"/>
      <c r="CA395" s="643"/>
      <c r="CB395" s="643"/>
      <c r="CC395" s="643"/>
      <c r="CD395" s="643"/>
      <c r="CE395" s="643"/>
      <c r="CF395" s="643"/>
      <c r="CG395" s="643"/>
      <c r="CH395" s="643"/>
      <c r="CI395" s="643"/>
      <c r="CJ395" s="643"/>
      <c r="CK395" s="643"/>
      <c r="CL395" s="643"/>
      <c r="CM395" s="643"/>
      <c r="CN395" s="643"/>
      <c r="CO395" s="643"/>
      <c r="CP395" s="643"/>
      <c r="CQ395" s="643"/>
      <c r="CR395" s="643"/>
      <c r="CS395" s="643"/>
      <c r="CT395" s="643"/>
      <c r="CU395" s="643"/>
      <c r="CV395" s="643"/>
      <c r="CW395" s="643"/>
      <c r="CX395" s="643"/>
      <c r="CY395" s="643"/>
      <c r="CZ395" s="643"/>
      <c r="DA395" s="643"/>
      <c r="DB395" s="643"/>
      <c r="DC395" s="643"/>
      <c r="DD395" s="643"/>
      <c r="DE395" s="643"/>
      <c r="DF395" s="643"/>
      <c r="DG395" s="643"/>
      <c r="DH395" s="643"/>
      <c r="DI395" s="643"/>
      <c r="DJ395" s="643"/>
      <c r="DK395" s="643"/>
      <c r="DL395" s="643"/>
      <c r="DM395" s="643"/>
      <c r="DN395" s="643"/>
      <c r="DO395" s="643"/>
      <c r="DP395" s="643"/>
      <c r="DQ395" s="643"/>
      <c r="DR395" s="643"/>
      <c r="DS395" s="643"/>
      <c r="DT395" s="643"/>
      <c r="DU395" s="643"/>
      <c r="DV395" s="643"/>
      <c r="DW395" s="643"/>
      <c r="DX395" s="643"/>
      <c r="DY395" s="643"/>
      <c r="DZ395" s="643"/>
      <c r="EA395" s="643"/>
      <c r="EB395" s="643"/>
      <c r="EC395" s="643"/>
      <c r="ED395" s="643"/>
      <c r="EE395" s="643"/>
      <c r="EF395" s="643"/>
      <c r="EG395" s="643"/>
      <c r="EH395" s="643"/>
      <c r="EI395" s="643"/>
      <c r="EJ395" s="643"/>
      <c r="EK395" s="643"/>
      <c r="EL395" s="643"/>
      <c r="EM395" s="643"/>
      <c r="EN395" s="643"/>
      <c r="EO395" s="643"/>
      <c r="EP395" s="643"/>
      <c r="EQ395" s="643"/>
      <c r="ER395" s="643"/>
    </row>
    <row r="397" spans="6:148" s="645" customFormat="1" ht="15.75" customHeight="1">
      <c r="F397" s="643"/>
      <c r="G397" s="643"/>
      <c r="H397" s="643"/>
      <c r="I397" s="643"/>
      <c r="J397" s="643"/>
      <c r="K397" s="643"/>
      <c r="L397" s="643"/>
      <c r="M397" s="643"/>
      <c r="N397" s="643"/>
      <c r="O397" s="643"/>
      <c r="P397" s="643"/>
      <c r="Q397" s="643"/>
      <c r="R397" s="643"/>
      <c r="S397" s="643"/>
      <c r="T397" s="643"/>
      <c r="U397" s="643"/>
      <c r="V397" s="643"/>
      <c r="W397" s="643"/>
      <c r="X397" s="643"/>
      <c r="Y397" s="643"/>
      <c r="AA397" s="643"/>
      <c r="AC397" s="643"/>
      <c r="AD397" s="643"/>
      <c r="AE397" s="643"/>
      <c r="AF397" s="643"/>
      <c r="AG397" s="643"/>
      <c r="AH397" s="1517"/>
      <c r="AI397" s="644"/>
      <c r="AJ397" s="643"/>
      <c r="AK397" s="643"/>
      <c r="AL397" s="643"/>
      <c r="AM397" s="643"/>
      <c r="AN397" s="643"/>
      <c r="AO397" s="643"/>
      <c r="AP397" s="643"/>
      <c r="AQ397" s="643"/>
      <c r="AR397" s="643"/>
      <c r="AS397" s="643"/>
      <c r="AT397" s="643"/>
      <c r="AU397" s="643"/>
      <c r="AV397" s="643"/>
      <c r="AW397" s="643"/>
      <c r="AX397" s="643"/>
      <c r="AY397" s="643"/>
      <c r="AZ397" s="643"/>
      <c r="BA397" s="643"/>
      <c r="BB397" s="643"/>
      <c r="BC397" s="643"/>
      <c r="BD397" s="643"/>
      <c r="BE397" s="643"/>
      <c r="BF397" s="643"/>
      <c r="BG397" s="643"/>
      <c r="BH397" s="643"/>
      <c r="BI397" s="643"/>
      <c r="BJ397" s="643"/>
      <c r="BK397" s="643"/>
      <c r="BL397" s="643"/>
      <c r="BM397" s="643"/>
      <c r="BN397" s="643"/>
      <c r="BO397" s="643"/>
      <c r="BP397" s="643"/>
      <c r="BQ397" s="643"/>
      <c r="BR397" s="643"/>
      <c r="BS397" s="643"/>
      <c r="BT397" s="643"/>
      <c r="BU397" s="643"/>
      <c r="BV397" s="643"/>
      <c r="BW397" s="643"/>
      <c r="BX397" s="643"/>
      <c r="BY397" s="643"/>
      <c r="BZ397" s="643"/>
      <c r="CA397" s="643"/>
      <c r="CB397" s="643"/>
      <c r="CC397" s="643"/>
      <c r="CD397" s="643"/>
      <c r="CE397" s="643"/>
      <c r="CF397" s="643"/>
      <c r="CG397" s="643"/>
      <c r="CH397" s="643"/>
      <c r="CI397" s="643"/>
      <c r="CJ397" s="643"/>
      <c r="CK397" s="643"/>
      <c r="CL397" s="643"/>
      <c r="CM397" s="643"/>
      <c r="CN397" s="643"/>
      <c r="CO397" s="643"/>
      <c r="CP397" s="643"/>
      <c r="CQ397" s="643"/>
      <c r="CR397" s="643"/>
      <c r="CS397" s="643"/>
      <c r="CT397" s="643"/>
      <c r="CU397" s="643"/>
      <c r="CV397" s="643"/>
      <c r="CW397" s="643"/>
      <c r="CX397" s="643"/>
      <c r="CY397" s="643"/>
      <c r="CZ397" s="643"/>
      <c r="DA397" s="643"/>
      <c r="DB397" s="643"/>
      <c r="DC397" s="643"/>
      <c r="DD397" s="643"/>
      <c r="DE397" s="643"/>
      <c r="DF397" s="643"/>
      <c r="DG397" s="643"/>
      <c r="DH397" s="643"/>
      <c r="DI397" s="643"/>
      <c r="DJ397" s="643"/>
      <c r="DK397" s="643"/>
      <c r="DL397" s="643"/>
      <c r="DM397" s="643"/>
      <c r="DN397" s="643"/>
      <c r="DO397" s="643"/>
      <c r="DP397" s="643"/>
      <c r="DQ397" s="643"/>
      <c r="DR397" s="643"/>
      <c r="DS397" s="643"/>
      <c r="DT397" s="643"/>
      <c r="DU397" s="643"/>
      <c r="DV397" s="643"/>
      <c r="DW397" s="643"/>
      <c r="DX397" s="643"/>
      <c r="DY397" s="643"/>
      <c r="DZ397" s="643"/>
      <c r="EA397" s="643"/>
      <c r="EB397" s="643"/>
      <c r="EC397" s="643"/>
      <c r="ED397" s="643"/>
      <c r="EE397" s="643"/>
      <c r="EF397" s="643"/>
      <c r="EG397" s="643"/>
      <c r="EH397" s="643"/>
      <c r="EI397" s="643"/>
      <c r="EJ397" s="643"/>
      <c r="EK397" s="643"/>
      <c r="EL397" s="643"/>
      <c r="EM397" s="643"/>
      <c r="EN397" s="643"/>
      <c r="EO397" s="643"/>
      <c r="EP397" s="643"/>
      <c r="EQ397" s="643"/>
      <c r="ER397" s="643"/>
    </row>
    <row r="399" spans="6:148" s="645" customFormat="1" ht="15.75" customHeight="1">
      <c r="F399" s="643"/>
      <c r="G399" s="643"/>
      <c r="H399" s="643"/>
      <c r="I399" s="643"/>
      <c r="J399" s="643"/>
      <c r="K399" s="643"/>
      <c r="L399" s="643"/>
      <c r="M399" s="643"/>
      <c r="N399" s="643"/>
      <c r="O399" s="643"/>
      <c r="P399" s="643"/>
      <c r="Q399" s="643"/>
      <c r="R399" s="643"/>
      <c r="S399" s="643"/>
      <c r="T399" s="643"/>
      <c r="U399" s="643"/>
      <c r="V399" s="643"/>
      <c r="W399" s="643"/>
      <c r="X399" s="643"/>
      <c r="Y399" s="643"/>
      <c r="AA399" s="643"/>
      <c r="AC399" s="643"/>
      <c r="AD399" s="643"/>
      <c r="AE399" s="643"/>
      <c r="AF399" s="643"/>
      <c r="AG399" s="643"/>
      <c r="AH399" s="1517"/>
      <c r="AI399" s="644"/>
      <c r="AJ399" s="643"/>
      <c r="AK399" s="643"/>
      <c r="AL399" s="643"/>
      <c r="AM399" s="643"/>
      <c r="AN399" s="643"/>
      <c r="AO399" s="643"/>
      <c r="AP399" s="643"/>
      <c r="AQ399" s="643"/>
      <c r="AR399" s="643"/>
      <c r="AS399" s="643"/>
      <c r="AT399" s="643"/>
      <c r="AU399" s="643"/>
      <c r="AV399" s="643"/>
      <c r="AW399" s="643"/>
      <c r="AX399" s="643"/>
      <c r="AY399" s="643"/>
      <c r="AZ399" s="643"/>
      <c r="BA399" s="643"/>
      <c r="BB399" s="643"/>
      <c r="BC399" s="643"/>
      <c r="BD399" s="643"/>
      <c r="BE399" s="643"/>
      <c r="BF399" s="643"/>
      <c r="BG399" s="643"/>
      <c r="BH399" s="643"/>
      <c r="BI399" s="643"/>
      <c r="BJ399" s="643"/>
      <c r="BK399" s="643"/>
      <c r="BL399" s="643"/>
      <c r="BM399" s="643"/>
      <c r="BN399" s="643"/>
      <c r="BO399" s="643"/>
      <c r="BP399" s="643"/>
      <c r="BQ399" s="643"/>
      <c r="BR399" s="643"/>
      <c r="BS399" s="643"/>
      <c r="BT399" s="643"/>
      <c r="BU399" s="643"/>
      <c r="BV399" s="643"/>
      <c r="BW399" s="643"/>
      <c r="BX399" s="643"/>
      <c r="BY399" s="643"/>
      <c r="BZ399" s="643"/>
      <c r="CA399" s="643"/>
      <c r="CB399" s="643"/>
      <c r="CC399" s="643"/>
      <c r="CD399" s="643"/>
      <c r="CE399" s="643"/>
      <c r="CF399" s="643"/>
      <c r="CG399" s="643"/>
      <c r="CH399" s="643"/>
      <c r="CI399" s="643"/>
      <c r="CJ399" s="643"/>
      <c r="CK399" s="643"/>
      <c r="CL399" s="643"/>
      <c r="CM399" s="643"/>
      <c r="CN399" s="643"/>
      <c r="CO399" s="643"/>
      <c r="CP399" s="643"/>
      <c r="CQ399" s="643"/>
      <c r="CR399" s="643"/>
      <c r="CS399" s="643"/>
      <c r="CT399" s="643"/>
      <c r="CU399" s="643"/>
      <c r="CV399" s="643"/>
      <c r="CW399" s="643"/>
      <c r="CX399" s="643"/>
      <c r="CY399" s="643"/>
      <c r="CZ399" s="643"/>
      <c r="DA399" s="643"/>
      <c r="DB399" s="643"/>
      <c r="DC399" s="643"/>
      <c r="DD399" s="643"/>
      <c r="DE399" s="643"/>
      <c r="DF399" s="643"/>
      <c r="DG399" s="643"/>
      <c r="DH399" s="643"/>
      <c r="DI399" s="643"/>
      <c r="DJ399" s="643"/>
      <c r="DK399" s="643"/>
      <c r="DL399" s="643"/>
      <c r="DM399" s="643"/>
      <c r="DN399" s="643"/>
      <c r="DO399" s="643"/>
      <c r="DP399" s="643"/>
      <c r="DQ399" s="643"/>
      <c r="DR399" s="643"/>
      <c r="DS399" s="643"/>
      <c r="DT399" s="643"/>
      <c r="DU399" s="643"/>
      <c r="DV399" s="643"/>
      <c r="DW399" s="643"/>
      <c r="DX399" s="643"/>
      <c r="DY399" s="643"/>
      <c r="DZ399" s="643"/>
      <c r="EA399" s="643"/>
      <c r="EB399" s="643"/>
      <c r="EC399" s="643"/>
      <c r="ED399" s="643"/>
      <c r="EE399" s="643"/>
      <c r="EF399" s="643"/>
      <c r="EG399" s="643"/>
      <c r="EH399" s="643"/>
      <c r="EI399" s="643"/>
      <c r="EJ399" s="643"/>
      <c r="EK399" s="643"/>
      <c r="EL399" s="643"/>
      <c r="EM399" s="643"/>
      <c r="EN399" s="643"/>
      <c r="EO399" s="643"/>
      <c r="EP399" s="643"/>
      <c r="EQ399" s="643"/>
      <c r="ER399" s="643"/>
    </row>
    <row r="401" spans="6:148" s="645" customFormat="1" ht="15.75" customHeight="1">
      <c r="F401" s="643"/>
      <c r="G401" s="643"/>
      <c r="H401" s="643"/>
      <c r="I401" s="643"/>
      <c r="J401" s="643"/>
      <c r="K401" s="643"/>
      <c r="L401" s="643"/>
      <c r="M401" s="643"/>
      <c r="N401" s="643"/>
      <c r="O401" s="643"/>
      <c r="P401" s="643"/>
      <c r="Q401" s="643"/>
      <c r="R401" s="643"/>
      <c r="S401" s="643"/>
      <c r="T401" s="643"/>
      <c r="U401" s="643"/>
      <c r="V401" s="643"/>
      <c r="W401" s="643"/>
      <c r="X401" s="643"/>
      <c r="Y401" s="643"/>
      <c r="AA401" s="643"/>
      <c r="AC401" s="643"/>
      <c r="AD401" s="643"/>
      <c r="AE401" s="643"/>
      <c r="AF401" s="643"/>
      <c r="AG401" s="643"/>
      <c r="AH401" s="1517"/>
      <c r="AI401" s="644"/>
      <c r="AJ401" s="643"/>
      <c r="AK401" s="643"/>
      <c r="AL401" s="643"/>
      <c r="AM401" s="643"/>
      <c r="AN401" s="643"/>
      <c r="AO401" s="643"/>
      <c r="AP401" s="643"/>
      <c r="AQ401" s="643"/>
      <c r="AR401" s="643"/>
      <c r="AS401" s="643"/>
      <c r="AT401" s="643"/>
      <c r="AU401" s="643"/>
      <c r="AV401" s="643"/>
      <c r="AW401" s="643"/>
      <c r="AX401" s="643"/>
      <c r="AY401" s="643"/>
      <c r="AZ401" s="643"/>
      <c r="BA401" s="643"/>
      <c r="BB401" s="643"/>
      <c r="BC401" s="643"/>
      <c r="BD401" s="643"/>
      <c r="BE401" s="643"/>
      <c r="BF401" s="643"/>
      <c r="BG401" s="643"/>
      <c r="BH401" s="643"/>
      <c r="BI401" s="643"/>
      <c r="BJ401" s="643"/>
      <c r="BK401" s="643"/>
      <c r="BL401" s="643"/>
      <c r="BM401" s="643"/>
      <c r="BN401" s="643"/>
      <c r="BO401" s="643"/>
      <c r="BP401" s="643"/>
      <c r="BQ401" s="643"/>
      <c r="BR401" s="643"/>
      <c r="BS401" s="643"/>
      <c r="BT401" s="643"/>
      <c r="BU401" s="643"/>
      <c r="BV401" s="643"/>
      <c r="BW401" s="643"/>
      <c r="BX401" s="643"/>
      <c r="BY401" s="643"/>
      <c r="BZ401" s="643"/>
      <c r="CA401" s="643"/>
      <c r="CB401" s="643"/>
      <c r="CC401" s="643"/>
      <c r="CD401" s="643"/>
      <c r="CE401" s="643"/>
      <c r="CF401" s="643"/>
      <c r="CG401" s="643"/>
      <c r="CH401" s="643"/>
      <c r="CI401" s="643"/>
      <c r="CJ401" s="643"/>
      <c r="CK401" s="643"/>
      <c r="CL401" s="643"/>
      <c r="CM401" s="643"/>
      <c r="CN401" s="643"/>
      <c r="CO401" s="643"/>
      <c r="CP401" s="643"/>
      <c r="CQ401" s="643"/>
      <c r="CR401" s="643"/>
      <c r="CS401" s="643"/>
      <c r="CT401" s="643"/>
      <c r="CU401" s="643"/>
      <c r="CV401" s="643"/>
      <c r="CW401" s="643"/>
      <c r="CX401" s="643"/>
      <c r="CY401" s="643"/>
      <c r="CZ401" s="643"/>
      <c r="DA401" s="643"/>
      <c r="DB401" s="643"/>
      <c r="DC401" s="643"/>
      <c r="DD401" s="643"/>
      <c r="DE401" s="643"/>
      <c r="DF401" s="643"/>
      <c r="DG401" s="643"/>
      <c r="DH401" s="643"/>
      <c r="DI401" s="643"/>
      <c r="DJ401" s="643"/>
      <c r="DK401" s="643"/>
      <c r="DL401" s="643"/>
      <c r="DM401" s="643"/>
      <c r="DN401" s="643"/>
      <c r="DO401" s="643"/>
      <c r="DP401" s="643"/>
      <c r="DQ401" s="643"/>
      <c r="DR401" s="643"/>
      <c r="DS401" s="643"/>
      <c r="DT401" s="643"/>
      <c r="DU401" s="643"/>
      <c r="DV401" s="643"/>
      <c r="DW401" s="643"/>
      <c r="DX401" s="643"/>
      <c r="DY401" s="643"/>
      <c r="DZ401" s="643"/>
      <c r="EA401" s="643"/>
      <c r="EB401" s="643"/>
      <c r="EC401" s="643"/>
      <c r="ED401" s="643"/>
      <c r="EE401" s="643"/>
      <c r="EF401" s="643"/>
      <c r="EG401" s="643"/>
      <c r="EH401" s="643"/>
      <c r="EI401" s="643"/>
      <c r="EJ401" s="643"/>
      <c r="EK401" s="643"/>
      <c r="EL401" s="643"/>
      <c r="EM401" s="643"/>
      <c r="EN401" s="643"/>
      <c r="EO401" s="643"/>
      <c r="EP401" s="643"/>
      <c r="EQ401" s="643"/>
      <c r="ER401" s="643"/>
    </row>
    <row r="403" spans="6:148" s="645" customFormat="1" ht="15.75" customHeight="1">
      <c r="F403" s="643"/>
      <c r="G403" s="643"/>
      <c r="H403" s="643"/>
      <c r="I403" s="643"/>
      <c r="J403" s="643"/>
      <c r="K403" s="643"/>
      <c r="L403" s="643"/>
      <c r="M403" s="643"/>
      <c r="N403" s="643"/>
      <c r="O403" s="643"/>
      <c r="P403" s="643"/>
      <c r="Q403" s="643"/>
      <c r="R403" s="643"/>
      <c r="S403" s="643"/>
      <c r="T403" s="643"/>
      <c r="U403" s="643"/>
      <c r="V403" s="643"/>
      <c r="W403" s="643"/>
      <c r="X403" s="643"/>
      <c r="Y403" s="643"/>
      <c r="AA403" s="643"/>
      <c r="AC403" s="643"/>
      <c r="AD403" s="643"/>
      <c r="AE403" s="643"/>
      <c r="AF403" s="643"/>
      <c r="AG403" s="643"/>
      <c r="AH403" s="1517"/>
      <c r="AI403" s="644"/>
      <c r="AJ403" s="643"/>
      <c r="AK403" s="643"/>
      <c r="AL403" s="643"/>
      <c r="AM403" s="643"/>
      <c r="AN403" s="643"/>
      <c r="AO403" s="643"/>
      <c r="AP403" s="643"/>
      <c r="AQ403" s="643"/>
      <c r="AR403" s="643"/>
      <c r="AS403" s="643"/>
      <c r="AT403" s="643"/>
      <c r="AU403" s="643"/>
      <c r="AV403" s="643"/>
      <c r="AW403" s="643"/>
      <c r="AX403" s="643"/>
      <c r="AY403" s="643"/>
      <c r="AZ403" s="643"/>
      <c r="BA403" s="643"/>
      <c r="BB403" s="643"/>
      <c r="BC403" s="643"/>
      <c r="BD403" s="643"/>
      <c r="BE403" s="643"/>
      <c r="BF403" s="643"/>
      <c r="BG403" s="643"/>
      <c r="BH403" s="643"/>
      <c r="BI403" s="643"/>
      <c r="BJ403" s="643"/>
      <c r="BK403" s="643"/>
      <c r="BL403" s="643"/>
      <c r="BM403" s="643"/>
      <c r="BN403" s="643"/>
      <c r="BO403" s="643"/>
      <c r="BP403" s="643"/>
      <c r="BQ403" s="643"/>
      <c r="BR403" s="643"/>
      <c r="BS403" s="643"/>
      <c r="BT403" s="643"/>
      <c r="BU403" s="643"/>
      <c r="BV403" s="643"/>
      <c r="BW403" s="643"/>
      <c r="BX403" s="643"/>
      <c r="BY403" s="643"/>
      <c r="BZ403" s="643"/>
      <c r="CA403" s="643"/>
      <c r="CB403" s="643"/>
      <c r="CC403" s="643"/>
      <c r="CD403" s="643"/>
      <c r="CE403" s="643"/>
      <c r="CF403" s="643"/>
      <c r="CG403" s="643"/>
      <c r="CH403" s="643"/>
      <c r="CI403" s="643"/>
      <c r="CJ403" s="643"/>
      <c r="CK403" s="643"/>
      <c r="CL403" s="643"/>
      <c r="CM403" s="643"/>
      <c r="CN403" s="643"/>
      <c r="CO403" s="643"/>
      <c r="CP403" s="643"/>
      <c r="CQ403" s="643"/>
      <c r="CR403" s="643"/>
      <c r="CS403" s="643"/>
      <c r="CT403" s="643"/>
      <c r="CU403" s="643"/>
      <c r="CV403" s="643"/>
      <c r="CW403" s="643"/>
      <c r="CX403" s="643"/>
      <c r="CY403" s="643"/>
      <c r="CZ403" s="643"/>
      <c r="DA403" s="643"/>
      <c r="DB403" s="643"/>
      <c r="DC403" s="643"/>
      <c r="DD403" s="643"/>
      <c r="DE403" s="643"/>
      <c r="DF403" s="643"/>
      <c r="DG403" s="643"/>
      <c r="DH403" s="643"/>
      <c r="DI403" s="643"/>
      <c r="DJ403" s="643"/>
      <c r="DK403" s="643"/>
      <c r="DL403" s="643"/>
      <c r="DM403" s="643"/>
      <c r="DN403" s="643"/>
      <c r="DO403" s="643"/>
      <c r="DP403" s="643"/>
      <c r="DQ403" s="643"/>
      <c r="DR403" s="643"/>
      <c r="DS403" s="643"/>
      <c r="DT403" s="643"/>
      <c r="DU403" s="643"/>
      <c r="DV403" s="643"/>
      <c r="DW403" s="643"/>
      <c r="DX403" s="643"/>
      <c r="DY403" s="643"/>
      <c r="DZ403" s="643"/>
      <c r="EA403" s="643"/>
      <c r="EB403" s="643"/>
      <c r="EC403" s="643"/>
      <c r="ED403" s="643"/>
      <c r="EE403" s="643"/>
      <c r="EF403" s="643"/>
      <c r="EG403" s="643"/>
      <c r="EH403" s="643"/>
      <c r="EI403" s="643"/>
      <c r="EJ403" s="643"/>
      <c r="EK403" s="643"/>
      <c r="EL403" s="643"/>
      <c r="EM403" s="643"/>
      <c r="EN403" s="643"/>
      <c r="EO403" s="643"/>
      <c r="EP403" s="643"/>
      <c r="EQ403" s="643"/>
      <c r="ER403" s="643"/>
    </row>
    <row r="405" spans="6:148" s="645" customFormat="1" ht="15.75" customHeight="1">
      <c r="F405" s="643"/>
      <c r="G405" s="643"/>
      <c r="H405" s="643"/>
      <c r="I405" s="643"/>
      <c r="J405" s="643"/>
      <c r="K405" s="643"/>
      <c r="L405" s="643"/>
      <c r="M405" s="643"/>
      <c r="N405" s="643"/>
      <c r="O405" s="643"/>
      <c r="P405" s="643"/>
      <c r="Q405" s="643"/>
      <c r="R405" s="643"/>
      <c r="S405" s="643"/>
      <c r="T405" s="643"/>
      <c r="U405" s="643"/>
      <c r="V405" s="643"/>
      <c r="W405" s="643"/>
      <c r="X405" s="643"/>
      <c r="Y405" s="643"/>
      <c r="AA405" s="643"/>
      <c r="AC405" s="643"/>
      <c r="AD405" s="643"/>
      <c r="AE405" s="643"/>
      <c r="AF405" s="643"/>
      <c r="AG405" s="643"/>
      <c r="AH405" s="1517"/>
      <c r="AI405" s="644"/>
      <c r="AJ405" s="643"/>
      <c r="AK405" s="643"/>
      <c r="AL405" s="643"/>
      <c r="AM405" s="643"/>
      <c r="AN405" s="643"/>
      <c r="AO405" s="643"/>
      <c r="AP405" s="643"/>
      <c r="AQ405" s="643"/>
      <c r="AR405" s="643"/>
      <c r="AS405" s="643"/>
      <c r="AT405" s="643"/>
      <c r="AU405" s="643"/>
      <c r="AV405" s="643"/>
      <c r="AW405" s="643"/>
      <c r="AX405" s="643"/>
      <c r="AY405" s="643"/>
      <c r="AZ405" s="643"/>
      <c r="BA405" s="643"/>
      <c r="BB405" s="643"/>
      <c r="BC405" s="643"/>
      <c r="BD405" s="643"/>
      <c r="BE405" s="643"/>
      <c r="BF405" s="643"/>
      <c r="BG405" s="643"/>
      <c r="BH405" s="643"/>
      <c r="BI405" s="643"/>
      <c r="BJ405" s="643"/>
      <c r="BK405" s="643"/>
      <c r="BL405" s="643"/>
      <c r="BM405" s="643"/>
      <c r="BN405" s="643"/>
      <c r="BO405" s="643"/>
      <c r="BP405" s="643"/>
      <c r="BQ405" s="643"/>
      <c r="BR405" s="643"/>
      <c r="BS405" s="643"/>
      <c r="BT405" s="643"/>
      <c r="BU405" s="643"/>
      <c r="BV405" s="643"/>
      <c r="BW405" s="643"/>
      <c r="BX405" s="643"/>
      <c r="BY405" s="643"/>
      <c r="BZ405" s="643"/>
      <c r="CA405" s="643"/>
      <c r="CB405" s="643"/>
      <c r="CC405" s="643"/>
      <c r="CD405" s="643"/>
      <c r="CE405" s="643"/>
      <c r="CF405" s="643"/>
      <c r="CG405" s="643"/>
      <c r="CH405" s="643"/>
      <c r="CI405" s="643"/>
      <c r="CJ405" s="643"/>
      <c r="CK405" s="643"/>
      <c r="CL405" s="643"/>
      <c r="CM405" s="643"/>
      <c r="CN405" s="643"/>
      <c r="CO405" s="643"/>
      <c r="CP405" s="643"/>
      <c r="CQ405" s="643"/>
      <c r="CR405" s="643"/>
      <c r="CS405" s="643"/>
      <c r="CT405" s="643"/>
      <c r="CU405" s="643"/>
      <c r="CV405" s="643"/>
      <c r="CW405" s="643"/>
      <c r="CX405" s="643"/>
      <c r="CY405" s="643"/>
      <c r="CZ405" s="643"/>
      <c r="DA405" s="643"/>
      <c r="DB405" s="643"/>
      <c r="DC405" s="643"/>
      <c r="DD405" s="643"/>
      <c r="DE405" s="643"/>
      <c r="DF405" s="643"/>
      <c r="DG405" s="643"/>
      <c r="DH405" s="643"/>
      <c r="DI405" s="643"/>
      <c r="DJ405" s="643"/>
      <c r="DK405" s="643"/>
      <c r="DL405" s="643"/>
      <c r="DM405" s="643"/>
      <c r="DN405" s="643"/>
      <c r="DO405" s="643"/>
      <c r="DP405" s="643"/>
      <c r="DQ405" s="643"/>
      <c r="DR405" s="643"/>
      <c r="DS405" s="643"/>
      <c r="DT405" s="643"/>
      <c r="DU405" s="643"/>
      <c r="DV405" s="643"/>
      <c r="DW405" s="643"/>
      <c r="DX405" s="643"/>
      <c r="DY405" s="643"/>
      <c r="DZ405" s="643"/>
      <c r="EA405" s="643"/>
      <c r="EB405" s="643"/>
      <c r="EC405" s="643"/>
      <c r="ED405" s="643"/>
      <c r="EE405" s="643"/>
      <c r="EF405" s="643"/>
      <c r="EG405" s="643"/>
      <c r="EH405" s="643"/>
      <c r="EI405" s="643"/>
      <c r="EJ405" s="643"/>
      <c r="EK405" s="643"/>
      <c r="EL405" s="643"/>
      <c r="EM405" s="643"/>
      <c r="EN405" s="643"/>
      <c r="EO405" s="643"/>
      <c r="EP405" s="643"/>
      <c r="EQ405" s="643"/>
      <c r="ER405" s="643"/>
    </row>
    <row r="407" spans="6:148" s="645" customFormat="1" ht="15.75" customHeight="1">
      <c r="F407" s="643"/>
      <c r="G407" s="643"/>
      <c r="H407" s="643"/>
      <c r="I407" s="643"/>
      <c r="J407" s="643"/>
      <c r="K407" s="643"/>
      <c r="L407" s="643"/>
      <c r="M407" s="643"/>
      <c r="N407" s="643"/>
      <c r="O407" s="643"/>
      <c r="P407" s="643"/>
      <c r="Q407" s="643"/>
      <c r="R407" s="643"/>
      <c r="S407" s="643"/>
      <c r="T407" s="643"/>
      <c r="U407" s="643"/>
      <c r="V407" s="643"/>
      <c r="W407" s="643"/>
      <c r="X407" s="643"/>
      <c r="Y407" s="643"/>
      <c r="AA407" s="643"/>
      <c r="AC407" s="643"/>
      <c r="AD407" s="643"/>
      <c r="AE407" s="643"/>
      <c r="AF407" s="643"/>
      <c r="AG407" s="643"/>
      <c r="AH407" s="1517"/>
      <c r="AI407" s="644"/>
      <c r="AJ407" s="643"/>
      <c r="AK407" s="643"/>
      <c r="AL407" s="643"/>
      <c r="AM407" s="643"/>
      <c r="AN407" s="643"/>
      <c r="AO407" s="643"/>
      <c r="AP407" s="643"/>
      <c r="AQ407" s="643"/>
      <c r="AR407" s="643"/>
      <c r="AS407" s="643"/>
      <c r="AT407" s="643"/>
      <c r="AU407" s="643"/>
      <c r="AV407" s="643"/>
      <c r="AW407" s="643"/>
      <c r="AX407" s="643"/>
      <c r="AY407" s="643"/>
      <c r="AZ407" s="643"/>
      <c r="BA407" s="643"/>
      <c r="BB407" s="643"/>
      <c r="BC407" s="643"/>
      <c r="BD407" s="643"/>
      <c r="BE407" s="643"/>
      <c r="BF407" s="643"/>
      <c r="BG407" s="643"/>
      <c r="BH407" s="643"/>
      <c r="BI407" s="643"/>
      <c r="BJ407" s="643"/>
      <c r="BK407" s="643"/>
      <c r="BL407" s="643"/>
      <c r="BM407" s="643"/>
      <c r="BN407" s="643"/>
      <c r="BO407" s="643"/>
      <c r="BP407" s="643"/>
      <c r="BQ407" s="643"/>
      <c r="BR407" s="643"/>
      <c r="BS407" s="643"/>
      <c r="BT407" s="643"/>
      <c r="BU407" s="643"/>
      <c r="BV407" s="643"/>
      <c r="BW407" s="643"/>
      <c r="BX407" s="643"/>
      <c r="BY407" s="643"/>
      <c r="BZ407" s="643"/>
      <c r="CA407" s="643"/>
      <c r="CB407" s="643"/>
      <c r="CC407" s="643"/>
      <c r="CD407" s="643"/>
      <c r="CE407" s="643"/>
      <c r="CF407" s="643"/>
      <c r="CG407" s="643"/>
      <c r="CH407" s="643"/>
      <c r="CI407" s="643"/>
      <c r="CJ407" s="643"/>
      <c r="CK407" s="643"/>
      <c r="CL407" s="643"/>
      <c r="CM407" s="643"/>
      <c r="CN407" s="643"/>
      <c r="CO407" s="643"/>
      <c r="CP407" s="643"/>
      <c r="CQ407" s="643"/>
      <c r="CR407" s="643"/>
      <c r="CS407" s="643"/>
      <c r="CT407" s="643"/>
      <c r="CU407" s="643"/>
      <c r="CV407" s="643"/>
      <c r="CW407" s="643"/>
      <c r="CX407" s="643"/>
      <c r="CY407" s="643"/>
      <c r="CZ407" s="643"/>
      <c r="DA407" s="643"/>
      <c r="DB407" s="643"/>
      <c r="DC407" s="643"/>
      <c r="DD407" s="643"/>
      <c r="DE407" s="643"/>
      <c r="DF407" s="643"/>
      <c r="DG407" s="643"/>
      <c r="DH407" s="643"/>
      <c r="DI407" s="643"/>
      <c r="DJ407" s="643"/>
      <c r="DK407" s="643"/>
      <c r="DL407" s="643"/>
      <c r="DM407" s="643"/>
      <c r="DN407" s="643"/>
      <c r="DO407" s="643"/>
      <c r="DP407" s="643"/>
      <c r="DQ407" s="643"/>
      <c r="DR407" s="643"/>
      <c r="DS407" s="643"/>
      <c r="DT407" s="643"/>
      <c r="DU407" s="643"/>
      <c r="DV407" s="643"/>
      <c r="DW407" s="643"/>
      <c r="DX407" s="643"/>
      <c r="DY407" s="643"/>
      <c r="DZ407" s="643"/>
      <c r="EA407" s="643"/>
      <c r="EB407" s="643"/>
      <c r="EC407" s="643"/>
      <c r="ED407" s="643"/>
      <c r="EE407" s="643"/>
      <c r="EF407" s="643"/>
      <c r="EG407" s="643"/>
      <c r="EH407" s="643"/>
      <c r="EI407" s="643"/>
      <c r="EJ407" s="643"/>
      <c r="EK407" s="643"/>
      <c r="EL407" s="643"/>
      <c r="EM407" s="643"/>
      <c r="EN407" s="643"/>
      <c r="EO407" s="643"/>
      <c r="EP407" s="643"/>
      <c r="EQ407" s="643"/>
      <c r="ER407" s="643"/>
    </row>
    <row r="409" spans="6:148" s="645" customFormat="1" ht="15.75" customHeight="1">
      <c r="F409" s="643"/>
      <c r="G409" s="643"/>
      <c r="H409" s="643"/>
      <c r="I409" s="643"/>
      <c r="J409" s="643"/>
      <c r="K409" s="643"/>
      <c r="L409" s="643"/>
      <c r="M409" s="643"/>
      <c r="N409" s="643"/>
      <c r="O409" s="643"/>
      <c r="P409" s="643"/>
      <c r="Q409" s="643"/>
      <c r="R409" s="643"/>
      <c r="S409" s="643"/>
      <c r="T409" s="643"/>
      <c r="U409" s="643"/>
      <c r="V409" s="643"/>
      <c r="W409" s="643"/>
      <c r="X409" s="643"/>
      <c r="Y409" s="643"/>
      <c r="AA409" s="643"/>
      <c r="AC409" s="643"/>
      <c r="AD409" s="643"/>
      <c r="AE409" s="643"/>
      <c r="AF409" s="643"/>
      <c r="AG409" s="643"/>
      <c r="AH409" s="1517"/>
      <c r="AI409" s="644"/>
      <c r="AJ409" s="643"/>
      <c r="AK409" s="643"/>
      <c r="AL409" s="643"/>
      <c r="AM409" s="643"/>
      <c r="AN409" s="643"/>
      <c r="AO409" s="643"/>
      <c r="AP409" s="643"/>
      <c r="AQ409" s="643"/>
      <c r="AR409" s="643"/>
      <c r="AS409" s="643"/>
      <c r="AT409" s="643"/>
      <c r="AU409" s="643"/>
      <c r="AV409" s="643"/>
      <c r="AW409" s="643"/>
      <c r="AX409" s="643"/>
      <c r="AY409" s="643"/>
      <c r="AZ409" s="643"/>
      <c r="BA409" s="643"/>
      <c r="BB409" s="643"/>
      <c r="BC409" s="643"/>
      <c r="BD409" s="643"/>
      <c r="BE409" s="643"/>
      <c r="BF409" s="643"/>
      <c r="BG409" s="643"/>
      <c r="BH409" s="643"/>
      <c r="BI409" s="643"/>
      <c r="BJ409" s="643"/>
      <c r="BK409" s="643"/>
      <c r="BL409" s="643"/>
      <c r="BM409" s="643"/>
      <c r="BN409" s="643"/>
      <c r="BO409" s="643"/>
      <c r="BP409" s="643"/>
      <c r="BQ409" s="643"/>
      <c r="BR409" s="643"/>
      <c r="BS409" s="643"/>
      <c r="BT409" s="643"/>
      <c r="BU409" s="643"/>
      <c r="BV409" s="643"/>
      <c r="BW409" s="643"/>
      <c r="BX409" s="643"/>
      <c r="BY409" s="643"/>
      <c r="BZ409" s="643"/>
      <c r="CA409" s="643"/>
      <c r="CB409" s="643"/>
      <c r="CC409" s="643"/>
      <c r="CD409" s="643"/>
      <c r="CE409" s="643"/>
      <c r="CF409" s="643"/>
      <c r="CG409" s="643"/>
      <c r="CH409" s="643"/>
      <c r="CI409" s="643"/>
      <c r="CJ409" s="643"/>
      <c r="CK409" s="643"/>
      <c r="CL409" s="643"/>
      <c r="CM409" s="643"/>
      <c r="CN409" s="643"/>
      <c r="CO409" s="643"/>
      <c r="CP409" s="643"/>
      <c r="CQ409" s="643"/>
      <c r="CR409" s="643"/>
      <c r="CS409" s="643"/>
      <c r="CT409" s="643"/>
      <c r="CU409" s="643"/>
      <c r="CV409" s="643"/>
      <c r="CW409" s="643"/>
      <c r="CX409" s="643"/>
      <c r="CY409" s="643"/>
      <c r="CZ409" s="643"/>
      <c r="DA409" s="643"/>
      <c r="DB409" s="643"/>
      <c r="DC409" s="643"/>
      <c r="DD409" s="643"/>
      <c r="DE409" s="643"/>
      <c r="DF409" s="643"/>
      <c r="DG409" s="643"/>
      <c r="DH409" s="643"/>
      <c r="DI409" s="643"/>
      <c r="DJ409" s="643"/>
      <c r="DK409" s="643"/>
      <c r="DL409" s="643"/>
      <c r="DM409" s="643"/>
      <c r="DN409" s="643"/>
      <c r="DO409" s="643"/>
      <c r="DP409" s="643"/>
      <c r="DQ409" s="643"/>
      <c r="DR409" s="643"/>
      <c r="DS409" s="643"/>
      <c r="DT409" s="643"/>
      <c r="DU409" s="643"/>
      <c r="DV409" s="643"/>
      <c r="DW409" s="643"/>
      <c r="DX409" s="643"/>
      <c r="DY409" s="643"/>
      <c r="DZ409" s="643"/>
      <c r="EA409" s="643"/>
      <c r="EB409" s="643"/>
      <c r="EC409" s="643"/>
      <c r="ED409" s="643"/>
      <c r="EE409" s="643"/>
      <c r="EF409" s="643"/>
      <c r="EG409" s="643"/>
      <c r="EH409" s="643"/>
      <c r="EI409" s="643"/>
      <c r="EJ409" s="643"/>
      <c r="EK409" s="643"/>
      <c r="EL409" s="643"/>
      <c r="EM409" s="643"/>
      <c r="EN409" s="643"/>
      <c r="EO409" s="643"/>
      <c r="EP409" s="643"/>
      <c r="EQ409" s="643"/>
      <c r="ER409" s="643"/>
    </row>
    <row r="411" spans="6:148" s="645" customFormat="1" ht="15.75" customHeight="1">
      <c r="F411" s="643"/>
      <c r="G411" s="643"/>
      <c r="H411" s="643"/>
      <c r="I411" s="643"/>
      <c r="J411" s="643"/>
      <c r="K411" s="643"/>
      <c r="L411" s="643"/>
      <c r="M411" s="643"/>
      <c r="N411" s="643"/>
      <c r="O411" s="643"/>
      <c r="P411" s="643"/>
      <c r="Q411" s="643"/>
      <c r="R411" s="643"/>
      <c r="S411" s="643"/>
      <c r="T411" s="643"/>
      <c r="U411" s="643"/>
      <c r="V411" s="643"/>
      <c r="W411" s="643"/>
      <c r="X411" s="643"/>
      <c r="Y411" s="643"/>
      <c r="AA411" s="643"/>
      <c r="AC411" s="643"/>
      <c r="AD411" s="643"/>
      <c r="AE411" s="643"/>
      <c r="AF411" s="643"/>
      <c r="AG411" s="643"/>
      <c r="AH411" s="1517"/>
      <c r="AI411" s="644"/>
      <c r="AJ411" s="643"/>
      <c r="AK411" s="643"/>
      <c r="AL411" s="643"/>
      <c r="AM411" s="643"/>
      <c r="AN411" s="643"/>
      <c r="AO411" s="643"/>
      <c r="AP411" s="643"/>
      <c r="AQ411" s="643"/>
      <c r="AR411" s="643"/>
      <c r="AS411" s="643"/>
      <c r="AT411" s="643"/>
      <c r="AU411" s="643"/>
      <c r="AV411" s="643"/>
      <c r="AW411" s="643"/>
      <c r="AX411" s="643"/>
      <c r="AY411" s="643"/>
      <c r="AZ411" s="643"/>
      <c r="BA411" s="643"/>
      <c r="BB411" s="643"/>
      <c r="BC411" s="643"/>
      <c r="BD411" s="643"/>
      <c r="BE411" s="643"/>
      <c r="BF411" s="643"/>
      <c r="BG411" s="643"/>
      <c r="BH411" s="643"/>
      <c r="BI411" s="643"/>
      <c r="BJ411" s="643"/>
      <c r="BK411" s="643"/>
      <c r="BL411" s="643"/>
      <c r="BM411" s="643"/>
      <c r="BN411" s="643"/>
      <c r="BO411" s="643"/>
      <c r="BP411" s="643"/>
      <c r="BQ411" s="643"/>
      <c r="BR411" s="643"/>
      <c r="BS411" s="643"/>
      <c r="BT411" s="643"/>
      <c r="BU411" s="643"/>
      <c r="BV411" s="643"/>
      <c r="BW411" s="643"/>
      <c r="BX411" s="643"/>
      <c r="BY411" s="643"/>
      <c r="BZ411" s="643"/>
      <c r="CA411" s="643"/>
      <c r="CB411" s="643"/>
      <c r="CC411" s="643"/>
      <c r="CD411" s="643"/>
      <c r="CE411" s="643"/>
      <c r="CF411" s="643"/>
      <c r="CG411" s="643"/>
      <c r="CH411" s="643"/>
      <c r="CI411" s="643"/>
      <c r="CJ411" s="643"/>
      <c r="CK411" s="643"/>
      <c r="CL411" s="643"/>
      <c r="CM411" s="643"/>
      <c r="CN411" s="643"/>
      <c r="CO411" s="643"/>
      <c r="CP411" s="643"/>
      <c r="CQ411" s="643"/>
      <c r="CR411" s="643"/>
      <c r="CS411" s="643"/>
      <c r="CT411" s="643"/>
      <c r="CU411" s="643"/>
      <c r="CV411" s="643"/>
      <c r="CW411" s="643"/>
      <c r="CX411" s="643"/>
      <c r="CY411" s="643"/>
      <c r="CZ411" s="643"/>
      <c r="DA411" s="643"/>
      <c r="DB411" s="643"/>
      <c r="DC411" s="643"/>
      <c r="DD411" s="643"/>
      <c r="DE411" s="643"/>
      <c r="DF411" s="643"/>
      <c r="DG411" s="643"/>
      <c r="DH411" s="643"/>
      <c r="DI411" s="643"/>
      <c r="DJ411" s="643"/>
      <c r="DK411" s="643"/>
      <c r="DL411" s="643"/>
      <c r="DM411" s="643"/>
      <c r="DN411" s="643"/>
      <c r="DO411" s="643"/>
      <c r="DP411" s="643"/>
      <c r="DQ411" s="643"/>
      <c r="DR411" s="643"/>
      <c r="DS411" s="643"/>
      <c r="DT411" s="643"/>
      <c r="DU411" s="643"/>
      <c r="DV411" s="643"/>
      <c r="DW411" s="643"/>
      <c r="DX411" s="643"/>
      <c r="DY411" s="643"/>
      <c r="DZ411" s="643"/>
      <c r="EA411" s="643"/>
      <c r="EB411" s="643"/>
      <c r="EC411" s="643"/>
      <c r="ED411" s="643"/>
      <c r="EE411" s="643"/>
      <c r="EF411" s="643"/>
      <c r="EG411" s="643"/>
      <c r="EH411" s="643"/>
      <c r="EI411" s="643"/>
      <c r="EJ411" s="643"/>
      <c r="EK411" s="643"/>
      <c r="EL411" s="643"/>
      <c r="EM411" s="643"/>
      <c r="EN411" s="643"/>
      <c r="EO411" s="643"/>
      <c r="EP411" s="643"/>
      <c r="EQ411" s="643"/>
      <c r="ER411" s="643"/>
    </row>
  </sheetData>
  <mergeCells count="9">
    <mergeCell ref="B200:D201"/>
    <mergeCell ref="C205:D208"/>
    <mergeCell ref="C209:D210"/>
    <mergeCell ref="B5:AH5"/>
    <mergeCell ref="F7:J7"/>
    <mergeCell ref="L7:P7"/>
    <mergeCell ref="R7:AF7"/>
    <mergeCell ref="B186:D196"/>
    <mergeCell ref="B197:D199"/>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298"/>
  <sheetViews>
    <sheetView view="pageBreakPreview" topLeftCell="A4" zoomScale="60" zoomScaleNormal="100" workbookViewId="0">
      <selection activeCell="A4" sqref="A1:XFD1048576"/>
    </sheetView>
  </sheetViews>
  <sheetFormatPr defaultRowHeight="14.5"/>
  <cols>
    <col min="1" max="2" width="4.7265625" customWidth="1"/>
    <col min="3" max="3" width="59.81640625" customWidth="1"/>
    <col min="4" max="4" width="3.1796875" customWidth="1"/>
    <col min="5" max="5" width="14.453125" style="13"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9" ht="18">
      <c r="A1" s="1788" t="str">
        <f>+'ATT H-3D'!A4</f>
        <v>Delmarva Power &amp; Light Company</v>
      </c>
      <c r="B1" s="1788"/>
      <c r="C1" s="1788"/>
      <c r="D1" s="1788"/>
      <c r="E1" s="1788"/>
      <c r="F1" s="1788"/>
      <c r="G1" s="1788"/>
      <c r="H1" s="1788"/>
      <c r="I1" s="1788"/>
    </row>
    <row r="2" spans="1:9" ht="15.5">
      <c r="A2" s="1789" t="s">
        <v>211</v>
      </c>
      <c r="B2" s="1789"/>
      <c r="C2" s="1789"/>
      <c r="D2" s="1789"/>
      <c r="E2" s="1789"/>
      <c r="F2" s="1789"/>
      <c r="G2" s="1789"/>
      <c r="H2" s="1789"/>
      <c r="I2" s="1789"/>
    </row>
    <row r="3" spans="1:9" ht="15.5">
      <c r="A3" s="771"/>
      <c r="B3" s="323"/>
      <c r="C3" s="323"/>
      <c r="D3" s="323"/>
      <c r="E3" s="323"/>
      <c r="F3" s="770"/>
      <c r="G3" s="770"/>
      <c r="H3" s="770"/>
    </row>
    <row r="4" spans="1:9" s="298" customFormat="1" ht="12.5">
      <c r="E4" s="504"/>
    </row>
    <row r="5" spans="1:9" s="298" customFormat="1" ht="13">
      <c r="D5" s="3"/>
      <c r="E5" s="504"/>
      <c r="G5" s="350"/>
    </row>
    <row r="6" spans="1:9" s="298" customFormat="1" ht="12.5">
      <c r="E6" s="504"/>
    </row>
    <row r="7" spans="1:9" s="298" customFormat="1" ht="13">
      <c r="D7" s="101"/>
      <c r="E7" s="101" t="s">
        <v>212</v>
      </c>
      <c r="F7" s="101"/>
      <c r="G7" s="101" t="s">
        <v>213</v>
      </c>
      <c r="H7" s="101"/>
    </row>
    <row r="8" spans="1:9" s="298" customFormat="1" ht="13">
      <c r="A8" s="102" t="s">
        <v>214</v>
      </c>
      <c r="B8" s="102"/>
      <c r="D8" s="101"/>
      <c r="E8" s="101" t="s">
        <v>215</v>
      </c>
      <c r="F8" s="101" t="s">
        <v>216</v>
      </c>
      <c r="G8" s="101" t="s">
        <v>106</v>
      </c>
      <c r="H8" s="101"/>
    </row>
    <row r="9" spans="1:9" s="298" customFormat="1" ht="13">
      <c r="A9" s="102"/>
      <c r="B9" s="102"/>
      <c r="D9" s="101"/>
      <c r="E9" s="103"/>
      <c r="F9" s="101"/>
      <c r="G9" s="101"/>
      <c r="H9" s="101"/>
    </row>
    <row r="10" spans="1:9" s="298" customFormat="1" ht="13">
      <c r="A10" s="102"/>
      <c r="B10" s="102"/>
      <c r="D10" s="101"/>
      <c r="E10" s="103"/>
      <c r="F10" s="101"/>
      <c r="G10" s="101"/>
      <c r="H10" s="101"/>
    </row>
    <row r="11" spans="1:9" s="298" customFormat="1" ht="13">
      <c r="D11" s="101"/>
      <c r="E11" s="103"/>
      <c r="G11" s="101"/>
      <c r="H11" s="104"/>
    </row>
    <row r="12" spans="1:9" s="298" customFormat="1" ht="13">
      <c r="B12" s="102" t="s">
        <v>107</v>
      </c>
      <c r="D12" s="101"/>
      <c r="E12" s="105"/>
      <c r="F12" s="106" t="s">
        <v>217</v>
      </c>
      <c r="G12" s="101"/>
      <c r="H12" s="104"/>
    </row>
    <row r="13" spans="1:9" s="298" customFormat="1" ht="13">
      <c r="D13" s="101"/>
      <c r="E13" s="105"/>
      <c r="F13" s="101"/>
      <c r="G13" s="101"/>
      <c r="H13" s="104"/>
    </row>
    <row r="14" spans="1:9" s="298" customFormat="1" ht="19.5" customHeight="1">
      <c r="B14" s="298">
        <v>1</v>
      </c>
      <c r="C14" s="1513" t="s">
        <v>1812</v>
      </c>
      <c r="E14" s="549">
        <v>33450211.510000005</v>
      </c>
      <c r="G14" s="481"/>
      <c r="H14" s="773"/>
    </row>
    <row r="15" spans="1:9" s="298" customFormat="1" ht="12.75" customHeight="1">
      <c r="B15" s="298">
        <v>2</v>
      </c>
      <c r="C15" s="1513" t="s">
        <v>1813</v>
      </c>
      <c r="E15" s="549"/>
      <c r="G15" s="481"/>
      <c r="H15" s="773"/>
    </row>
    <row r="16" spans="1:9" s="298" customFormat="1" ht="12.75" customHeight="1">
      <c r="B16" s="298">
        <v>3</v>
      </c>
      <c r="C16" s="545" t="s">
        <v>1814</v>
      </c>
      <c r="E16" s="549"/>
      <c r="G16" s="481"/>
      <c r="H16" s="773"/>
    </row>
    <row r="17" spans="2:9" s="298" customFormat="1" ht="12.75" customHeight="1">
      <c r="B17" s="298">
        <v>4</v>
      </c>
      <c r="C17" s="545"/>
      <c r="E17" s="549"/>
      <c r="G17" s="481"/>
      <c r="H17" s="773"/>
    </row>
    <row r="18" spans="2:9" s="298" customFormat="1" ht="12.75" customHeight="1">
      <c r="B18" s="298">
        <v>5</v>
      </c>
      <c r="C18" s="545"/>
      <c r="E18" s="549"/>
      <c r="G18" s="481"/>
      <c r="H18" s="773"/>
    </row>
    <row r="19" spans="2:9" s="298" customFormat="1" ht="12.75" customHeight="1">
      <c r="B19" s="298">
        <v>6</v>
      </c>
      <c r="C19" s="554"/>
      <c r="E19" s="555"/>
      <c r="G19" s="481"/>
      <c r="H19" s="773"/>
    </row>
    <row r="20" spans="2:9" s="298" customFormat="1" ht="12.75" customHeight="1">
      <c r="B20" s="102" t="s">
        <v>218</v>
      </c>
      <c r="D20" s="773"/>
      <c r="E20" s="774">
        <f>SUM(E14:E19)</f>
        <v>33450211.510000005</v>
      </c>
      <c r="F20" s="1729">
        <f>+'ATT H-3D'!H45</f>
        <v>0.37201518739184425</v>
      </c>
      <c r="G20" s="774">
        <f>+E20*F20</f>
        <v>12443986.703189477</v>
      </c>
      <c r="H20" s="773"/>
      <c r="I20" s="774"/>
    </row>
    <row r="21" spans="2:9" s="298" customFormat="1" ht="12.75" customHeight="1">
      <c r="D21" s="773"/>
      <c r="E21" s="775"/>
      <c r="F21" s="773"/>
      <c r="G21" s="773"/>
      <c r="H21" s="773"/>
    </row>
    <row r="22" spans="2:9" s="298" customFormat="1" ht="12.75" customHeight="1">
      <c r="D22" s="773"/>
      <c r="E22" s="775"/>
      <c r="F22" s="773"/>
      <c r="G22" s="773"/>
      <c r="H22" s="773"/>
    </row>
    <row r="23" spans="2:9" s="298" customFormat="1" ht="12.75" customHeight="1">
      <c r="B23" s="102" t="s">
        <v>219</v>
      </c>
      <c r="D23" s="773"/>
      <c r="E23" s="775"/>
      <c r="F23" s="107" t="s">
        <v>220</v>
      </c>
      <c r="G23" s="773"/>
      <c r="H23" s="773"/>
    </row>
    <row r="24" spans="2:9" s="298" customFormat="1" ht="12.75" customHeight="1">
      <c r="B24" s="102"/>
      <c r="D24" s="773"/>
      <c r="E24" s="775"/>
      <c r="F24" s="107"/>
      <c r="G24" s="773"/>
      <c r="H24" s="773"/>
    </row>
    <row r="25" spans="2:9" s="298" customFormat="1" ht="12.75" customHeight="1">
      <c r="B25" s="102"/>
      <c r="D25" s="773"/>
      <c r="E25" s="504"/>
      <c r="G25" s="773"/>
      <c r="H25" s="773"/>
    </row>
    <row r="26" spans="2:9" s="298" customFormat="1" ht="12.75" customHeight="1">
      <c r="B26" s="298">
        <v>7</v>
      </c>
      <c r="C26" s="554" t="s">
        <v>1815</v>
      </c>
      <c r="D26" s="776"/>
      <c r="E26" s="549">
        <f>3321877-E53</f>
        <v>3316691.55</v>
      </c>
      <c r="F26" s="777"/>
      <c r="G26" s="777"/>
      <c r="H26" s="777"/>
    </row>
    <row r="27" spans="2:9" s="298" customFormat="1" ht="12.75" customHeight="1">
      <c r="B27" s="298">
        <v>8</v>
      </c>
      <c r="C27" s="554"/>
      <c r="D27" s="776"/>
      <c r="E27" s="550"/>
      <c r="F27" s="777"/>
      <c r="G27" s="777"/>
      <c r="H27" s="777"/>
    </row>
    <row r="28" spans="2:9" s="298" customFormat="1" ht="12.75" customHeight="1">
      <c r="B28" s="298">
        <v>9</v>
      </c>
      <c r="C28" s="554"/>
      <c r="D28" s="776"/>
      <c r="E28" s="550"/>
      <c r="F28" s="777"/>
      <c r="G28" s="777"/>
      <c r="H28" s="777"/>
    </row>
    <row r="29" spans="2:9" s="298" customFormat="1" ht="12.75" customHeight="1">
      <c r="B29" s="298">
        <v>10</v>
      </c>
      <c r="C29" s="554"/>
      <c r="D29" s="776"/>
      <c r="E29" s="550"/>
      <c r="F29" s="777"/>
      <c r="G29" s="777"/>
      <c r="H29" s="777"/>
    </row>
    <row r="30" spans="2:9" s="298" customFormat="1" ht="12.5">
      <c r="B30" s="298">
        <v>11</v>
      </c>
      <c r="C30" s="545"/>
      <c r="D30" s="778"/>
      <c r="E30" s="546"/>
    </row>
    <row r="31" spans="2:9" s="298" customFormat="1" ht="13">
      <c r="B31" s="102" t="s">
        <v>221</v>
      </c>
      <c r="E31" s="774">
        <f>SUM(E26:E30)</f>
        <v>3316691.55</v>
      </c>
      <c r="F31" s="1729">
        <f>'ATT H-3D'!H24</f>
        <v>0.14625503638690887</v>
      </c>
      <c r="G31" s="774">
        <f>+F31*E31</f>
        <v>485082.84332940314</v>
      </c>
    </row>
    <row r="32" spans="2:9" s="298" customFormat="1" ht="13">
      <c r="B32" s="102"/>
      <c r="C32" s="775"/>
      <c r="E32" s="504"/>
      <c r="F32" s="688"/>
    </row>
    <row r="33" spans="2:10" s="298" customFormat="1" ht="12.5">
      <c r="E33" s="504"/>
    </row>
    <row r="34" spans="2:10" s="298" customFormat="1" ht="13">
      <c r="B34" s="102" t="s">
        <v>222</v>
      </c>
      <c r="E34" s="504"/>
      <c r="F34" s="106" t="s">
        <v>217</v>
      </c>
    </row>
    <row r="35" spans="2:10" s="298" customFormat="1" ht="12.5">
      <c r="E35" s="504"/>
    </row>
    <row r="36" spans="2:10" s="298" customFormat="1">
      <c r="B36" s="298">
        <v>12</v>
      </c>
      <c r="C36" s="1514" t="s">
        <v>1816</v>
      </c>
      <c r="E36" s="549">
        <v>21521</v>
      </c>
    </row>
    <row r="37" spans="2:10" s="298" customFormat="1" ht="13">
      <c r="B37" s="102" t="s">
        <v>223</v>
      </c>
      <c r="E37" s="774">
        <f>SUM(E36:E36)</f>
        <v>21521</v>
      </c>
      <c r="F37" s="1729">
        <f>'ATT H-3D'!H45</f>
        <v>0.37201518739184425</v>
      </c>
      <c r="G37" s="774">
        <f>+F37*E37</f>
        <v>8006.1388478598801</v>
      </c>
    </row>
    <row r="38" spans="2:10" s="298" customFormat="1" ht="12.5">
      <c r="E38" s="504"/>
    </row>
    <row r="39" spans="2:10" s="298" customFormat="1" ht="13">
      <c r="B39" s="102" t="s">
        <v>224</v>
      </c>
      <c r="E39" s="504"/>
      <c r="G39" s="774">
        <f>+G37+G31+G20</f>
        <v>12937075.68536674</v>
      </c>
    </row>
    <row r="40" spans="2:10" s="298" customFormat="1" ht="12.5">
      <c r="C40" s="108"/>
      <c r="E40" s="504"/>
    </row>
    <row r="41" spans="2:10" s="298" customFormat="1" ht="13">
      <c r="B41" s="547" t="s">
        <v>1156</v>
      </c>
      <c r="E41" s="548"/>
    </row>
    <row r="42" spans="2:10" s="298" customFormat="1" ht="12.5">
      <c r="B42" s="298">
        <v>13</v>
      </c>
      <c r="C42" s="1515" t="s">
        <v>1817</v>
      </c>
      <c r="D42" s="779"/>
      <c r="E42" s="772">
        <v>8833513</v>
      </c>
    </row>
    <row r="43" spans="2:10" s="298" customFormat="1" ht="12.5">
      <c r="B43" s="298">
        <v>14</v>
      </c>
      <c r="C43" s="1515" t="s">
        <v>1818</v>
      </c>
      <c r="D43" s="779"/>
      <c r="E43" s="772">
        <v>505028</v>
      </c>
    </row>
    <row r="44" spans="2:10" s="298" customFormat="1" ht="13">
      <c r="B44" s="298">
        <v>15</v>
      </c>
      <c r="C44" s="1515" t="s">
        <v>1819</v>
      </c>
      <c r="D44" s="779"/>
      <c r="E44" s="772">
        <v>74299</v>
      </c>
      <c r="G44" s="109"/>
      <c r="H44" s="688"/>
      <c r="I44" s="688"/>
      <c r="J44" s="780"/>
    </row>
    <row r="45" spans="2:10" s="298" customFormat="1" ht="13">
      <c r="B45" s="298">
        <v>16</v>
      </c>
      <c r="C45" s="1515" t="s">
        <v>1820</v>
      </c>
      <c r="D45" s="779"/>
      <c r="E45" s="772">
        <v>0</v>
      </c>
      <c r="G45" s="109"/>
      <c r="H45" s="688"/>
      <c r="I45" s="688"/>
      <c r="J45" s="780"/>
    </row>
    <row r="46" spans="2:10" s="298" customFormat="1" ht="13">
      <c r="B46" s="298">
        <v>17</v>
      </c>
      <c r="C46" s="1515" t="s">
        <v>1821</v>
      </c>
      <c r="D46" s="779"/>
      <c r="E46" s="772">
        <v>0</v>
      </c>
      <c r="G46" s="109"/>
      <c r="H46" s="688"/>
      <c r="I46" s="688"/>
      <c r="J46" s="780"/>
    </row>
    <row r="47" spans="2:10" s="298" customFormat="1" ht="13">
      <c r="B47" s="298">
        <v>18</v>
      </c>
      <c r="C47" s="1515" t="s">
        <v>1822</v>
      </c>
      <c r="D47" s="779"/>
      <c r="E47" s="772">
        <v>8015657</v>
      </c>
      <c r="G47" s="109"/>
      <c r="H47" s="688"/>
      <c r="I47" s="688"/>
      <c r="J47" s="780"/>
    </row>
    <row r="48" spans="2:10" s="298" customFormat="1" ht="13">
      <c r="B48" s="298">
        <v>19</v>
      </c>
      <c r="C48" s="1515" t="s">
        <v>1823</v>
      </c>
      <c r="D48" s="779"/>
      <c r="E48" s="772">
        <v>902989</v>
      </c>
      <c r="G48" s="109"/>
      <c r="H48" s="688"/>
      <c r="I48" s="688"/>
      <c r="J48" s="780"/>
    </row>
    <row r="49" spans="2:20" s="298" customFormat="1" ht="13">
      <c r="B49" s="298">
        <v>20</v>
      </c>
      <c r="C49" s="1515" t="s">
        <v>1824</v>
      </c>
      <c r="D49" s="779"/>
      <c r="E49" s="772">
        <v>600561</v>
      </c>
      <c r="G49" s="1666"/>
      <c r="H49" s="688"/>
      <c r="I49" s="688"/>
      <c r="J49" s="780"/>
    </row>
    <row r="50" spans="2:20" s="298" customFormat="1" ht="13">
      <c r="B50" s="298">
        <v>21</v>
      </c>
      <c r="C50" s="1515" t="s">
        <v>1990</v>
      </c>
      <c r="D50" s="779"/>
      <c r="E50" s="772">
        <v>1091018</v>
      </c>
      <c r="G50" s="1666"/>
      <c r="H50" s="688"/>
      <c r="I50" s="688"/>
      <c r="J50" s="780"/>
    </row>
    <row r="51" spans="2:20" s="298" customFormat="1" ht="13">
      <c r="B51" s="298">
        <v>22</v>
      </c>
      <c r="C51" s="1515" t="s">
        <v>1991</v>
      </c>
      <c r="D51" s="779"/>
      <c r="E51" s="772">
        <v>1611873</v>
      </c>
      <c r="G51" s="1666"/>
      <c r="H51" s="688"/>
      <c r="I51" s="688"/>
      <c r="J51" s="780"/>
    </row>
    <row r="52" spans="2:20" s="298" customFormat="1" ht="13">
      <c r="B52" s="298">
        <v>23</v>
      </c>
      <c r="C52" s="1515" t="s">
        <v>88</v>
      </c>
      <c r="D52" s="779"/>
      <c r="E52" s="556">
        <v>0</v>
      </c>
      <c r="G52" s="1666"/>
      <c r="H52" s="688"/>
      <c r="I52" s="688"/>
      <c r="J52" s="780"/>
    </row>
    <row r="53" spans="2:20" s="298" customFormat="1" ht="13">
      <c r="B53" s="298">
        <v>24</v>
      </c>
      <c r="C53" s="1515" t="s">
        <v>1825</v>
      </c>
      <c r="D53" s="779"/>
      <c r="E53" s="556">
        <v>5185.4499999999989</v>
      </c>
      <c r="G53" s="109"/>
      <c r="H53" s="688"/>
      <c r="I53" s="688"/>
      <c r="J53" s="780"/>
    </row>
    <row r="54" spans="2:20" s="298" customFormat="1" ht="12.5">
      <c r="C54" s="551"/>
      <c r="E54" s="548"/>
      <c r="F54" s="94"/>
      <c r="H54" s="108"/>
      <c r="I54" s="688"/>
      <c r="J54" s="780"/>
      <c r="K54" s="688"/>
      <c r="L54" s="688"/>
      <c r="M54" s="688"/>
      <c r="N54" s="688"/>
      <c r="O54" s="688"/>
      <c r="P54" s="688"/>
      <c r="Q54" s="688"/>
      <c r="R54" s="688"/>
      <c r="S54" s="688"/>
      <c r="T54" s="688"/>
    </row>
    <row r="55" spans="2:20" s="298" customFormat="1" ht="12.5">
      <c r="B55" s="298">
        <v>25</v>
      </c>
      <c r="C55" s="298" t="s">
        <v>225</v>
      </c>
      <c r="D55" s="778"/>
      <c r="E55" s="781">
        <f>SUM(E42:E53)+E37+E31+E20</f>
        <v>58428547.510000005</v>
      </c>
      <c r="H55" s="108"/>
      <c r="I55" s="688"/>
      <c r="J55" s="780"/>
      <c r="K55" s="688"/>
      <c r="L55" s="688"/>
      <c r="M55" s="688"/>
      <c r="N55" s="688"/>
      <c r="O55" s="688"/>
      <c r="P55" s="688"/>
      <c r="Q55" s="688"/>
      <c r="R55" s="688"/>
      <c r="S55" s="688"/>
      <c r="T55" s="688"/>
    </row>
    <row r="56" spans="2:20" s="298" customFormat="1" ht="12.5">
      <c r="C56" s="7"/>
      <c r="D56" s="778"/>
      <c r="E56" s="781"/>
      <c r="H56" s="108"/>
      <c r="I56" s="688"/>
      <c r="J56" s="780"/>
      <c r="K56" s="688"/>
      <c r="L56" s="688"/>
      <c r="M56" s="688"/>
      <c r="N56" s="688"/>
      <c r="O56" s="688"/>
      <c r="P56" s="688"/>
      <c r="Q56" s="688"/>
      <c r="R56" s="688"/>
      <c r="S56" s="688"/>
      <c r="T56" s="688"/>
    </row>
    <row r="57" spans="2:20" s="298" customFormat="1">
      <c r="B57" s="298">
        <v>26</v>
      </c>
      <c r="C57" s="298" t="s">
        <v>226</v>
      </c>
      <c r="D57" s="778"/>
      <c r="E57" s="782">
        <v>58428548</v>
      </c>
      <c r="F57"/>
      <c r="G57"/>
      <c r="H57"/>
    </row>
    <row r="58" spans="2:20" s="298" customFormat="1" ht="12.5">
      <c r="C58" s="778"/>
      <c r="D58" s="778"/>
      <c r="E58" s="781"/>
    </row>
    <row r="59" spans="2:20" s="298" customFormat="1" ht="12.5">
      <c r="B59" s="298">
        <v>27</v>
      </c>
      <c r="C59" s="778" t="s">
        <v>227</v>
      </c>
      <c r="D59" s="552"/>
      <c r="E59" s="781">
        <f>+E55-E57</f>
        <v>-0.48999999463558197</v>
      </c>
    </row>
    <row r="60" spans="2:20" s="298" customFormat="1" ht="12.5">
      <c r="C60" s="783"/>
      <c r="D60" s="111"/>
      <c r="E60" s="784"/>
      <c r="F60" s="785" t="s">
        <v>1384</v>
      </c>
      <c r="G60" s="785"/>
      <c r="H60" s="110"/>
    </row>
    <row r="61" spans="2:20" s="298" customFormat="1" ht="12.5">
      <c r="B61" s="298" t="s">
        <v>228</v>
      </c>
      <c r="C61" s="7"/>
      <c r="D61" s="688"/>
      <c r="E61" s="786"/>
      <c r="F61" s="94"/>
      <c r="G61" s="94"/>
      <c r="H61" s="94"/>
    </row>
    <row r="62" spans="2:20" s="298" customFormat="1" ht="12.5">
      <c r="B62" s="298" t="s">
        <v>9</v>
      </c>
      <c r="C62" s="7" t="s">
        <v>229</v>
      </c>
      <c r="D62" s="688"/>
      <c r="E62" s="786"/>
      <c r="F62" s="94"/>
      <c r="G62" s="94"/>
      <c r="H62" s="94"/>
    </row>
    <row r="63" spans="2:20" s="298" customFormat="1" ht="12.5">
      <c r="C63" s="787" t="s">
        <v>230</v>
      </c>
      <c r="D63" s="688"/>
      <c r="E63" s="786"/>
      <c r="F63" s="688"/>
      <c r="G63" s="94"/>
      <c r="H63" s="94"/>
    </row>
    <row r="64" spans="2:20" s="298" customFormat="1" ht="12.5">
      <c r="B64" s="298" t="s">
        <v>10</v>
      </c>
      <c r="C64" s="7" t="s">
        <v>231</v>
      </c>
      <c r="D64" s="688"/>
      <c r="E64" s="786"/>
      <c r="F64" s="688"/>
      <c r="G64" s="94"/>
      <c r="H64" s="94"/>
    </row>
    <row r="65" spans="1:8" s="298" customFormat="1" ht="12.5">
      <c r="C65" s="787" t="s">
        <v>230</v>
      </c>
      <c r="D65" s="688"/>
      <c r="E65" s="786"/>
      <c r="F65" s="688"/>
      <c r="G65" s="94"/>
      <c r="H65" s="94"/>
    </row>
    <row r="66" spans="1:8" s="298" customFormat="1" ht="12.5">
      <c r="B66" s="298" t="s">
        <v>11</v>
      </c>
      <c r="C66" s="7" t="s">
        <v>232</v>
      </c>
      <c r="D66" s="688"/>
      <c r="E66" s="786"/>
      <c r="F66" s="688"/>
      <c r="G66" s="94"/>
      <c r="H66" s="94"/>
    </row>
    <row r="67" spans="1:8" s="298" customFormat="1" ht="12.5">
      <c r="B67" s="298" t="s">
        <v>14</v>
      </c>
      <c r="C67" s="787" t="s">
        <v>233</v>
      </c>
      <c r="D67" s="688"/>
      <c r="E67" s="786"/>
      <c r="F67" s="688"/>
      <c r="G67" s="94"/>
      <c r="H67" s="94"/>
    </row>
    <row r="68" spans="1:8" s="298" customFormat="1" ht="12.5">
      <c r="C68" s="7" t="s">
        <v>234</v>
      </c>
      <c r="D68" s="688"/>
      <c r="E68" s="786"/>
      <c r="F68" s="688"/>
      <c r="G68" s="688"/>
      <c r="H68" s="688"/>
    </row>
    <row r="69" spans="1:8" s="298" customFormat="1" ht="12.5">
      <c r="C69" s="298" t="s">
        <v>235</v>
      </c>
      <c r="E69" s="504"/>
    </row>
    <row r="70" spans="1:8" s="298" customFormat="1" ht="12.5">
      <c r="B70" s="298" t="s">
        <v>134</v>
      </c>
      <c r="C70" s="7" t="s">
        <v>236</v>
      </c>
      <c r="E70" s="504"/>
    </row>
    <row r="71" spans="1:8" s="298" customFormat="1" ht="12.5">
      <c r="E71" s="504"/>
    </row>
    <row r="73" spans="1:8">
      <c r="A73" s="273"/>
    </row>
    <row r="298" spans="3:3" ht="15.5">
      <c r="C298" s="5"/>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I1"/>
    <mergeCell ref="A2:I2"/>
  </mergeCells>
  <pageMargins left="0.75" right="0.75" top="1" bottom="1" header="0.5" footer="0.5"/>
  <pageSetup scale="64"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90AE-36E0-4F19-B128-46A4DD2E3859}">
  <sheetPr>
    <pageSetUpPr fitToPage="1"/>
  </sheetPr>
  <dimension ref="A1:R284"/>
  <sheetViews>
    <sheetView view="pageBreakPreview" zoomScale="60" zoomScaleNormal="90" workbookViewId="0">
      <selection activeCell="A13" sqref="A1:XFD1048576"/>
    </sheetView>
  </sheetViews>
  <sheetFormatPr defaultColWidth="9.1796875" defaultRowHeight="14.5"/>
  <cols>
    <col min="1" max="1" width="4.1796875" style="670" customWidth="1"/>
    <col min="2" max="2" width="76.81640625" style="342" customWidth="1"/>
    <col min="3" max="3" width="23.453125" style="342" customWidth="1"/>
    <col min="4" max="4" width="15.54296875" style="342" customWidth="1"/>
    <col min="5" max="5" width="19.26953125" style="342" customWidth="1"/>
    <col min="6" max="6" width="11.7265625" style="342" customWidth="1"/>
    <col min="7" max="7" width="16.7265625" style="91" customWidth="1"/>
    <col min="8" max="9" width="15" style="342" customWidth="1"/>
    <col min="10" max="10" width="10.26953125" style="342" customWidth="1"/>
    <col min="11" max="11" width="16.81640625" style="342" customWidth="1"/>
    <col min="12" max="12" width="14" style="342" customWidth="1"/>
    <col min="13" max="13" width="16" style="342" customWidth="1"/>
    <col min="14" max="14" width="15" style="342" customWidth="1"/>
    <col min="15" max="16" width="12.26953125" style="342" customWidth="1"/>
    <col min="17" max="17" width="9.1796875" style="342"/>
    <col min="18" max="18" width="11" style="342" customWidth="1"/>
    <col min="19" max="16384" width="9.1796875" style="342"/>
  </cols>
  <sheetData>
    <row r="1" spans="1:15" ht="18">
      <c r="A1" s="1788" t="str">
        <f>+'ATT H-3D'!A4</f>
        <v>Delmarva Power &amp; Light Company</v>
      </c>
      <c r="B1" s="1788"/>
      <c r="C1" s="1788"/>
      <c r="D1" s="1788"/>
      <c r="E1" s="1788"/>
      <c r="F1" s="1788"/>
      <c r="G1" s="1788"/>
      <c r="H1" s="678"/>
      <c r="I1" s="678"/>
    </row>
    <row r="2" spans="1:15" ht="15.5">
      <c r="A2" s="1789" t="s">
        <v>157</v>
      </c>
      <c r="B2" s="1792"/>
      <c r="C2" s="1792"/>
      <c r="D2" s="1792"/>
      <c r="E2" s="1792"/>
      <c r="F2" s="1792"/>
      <c r="G2" s="1792"/>
    </row>
    <row r="3" spans="1:15" s="298" customFormat="1" ht="13">
      <c r="A3" s="1790"/>
      <c r="B3" s="1791"/>
      <c r="C3" s="1791"/>
      <c r="D3" s="1791"/>
      <c r="E3" s="1791"/>
      <c r="F3" s="1791"/>
      <c r="G3" s="1791"/>
    </row>
    <row r="4" spans="1:15" s="298" customFormat="1" ht="13">
      <c r="A4" s="352"/>
      <c r="B4" s="2"/>
      <c r="C4" s="352"/>
      <c r="D4" s="352"/>
      <c r="E4" s="352"/>
      <c r="F4" s="352"/>
      <c r="G4" s="798"/>
      <c r="H4" s="352"/>
    </row>
    <row r="5" spans="1:15" s="298" customFormat="1" ht="26">
      <c r="A5" s="352"/>
      <c r="B5" s="92"/>
      <c r="C5" s="352"/>
      <c r="D5" s="671" t="s">
        <v>999</v>
      </c>
      <c r="E5" s="671" t="s">
        <v>1000</v>
      </c>
      <c r="F5" s="671" t="s">
        <v>1001</v>
      </c>
      <c r="G5" s="671" t="s">
        <v>1002</v>
      </c>
      <c r="H5" s="352"/>
    </row>
    <row r="6" spans="1:15" s="298" customFormat="1" ht="13">
      <c r="B6" s="672" t="s">
        <v>187</v>
      </c>
      <c r="G6" s="799"/>
    </row>
    <row r="7" spans="1:15" s="298" customFormat="1" ht="12.5">
      <c r="A7" s="688">
        <v>1</v>
      </c>
      <c r="B7" s="800" t="s">
        <v>1495</v>
      </c>
      <c r="C7" s="7"/>
      <c r="D7" s="788"/>
      <c r="E7" s="789" t="s">
        <v>208</v>
      </c>
      <c r="F7" s="295">
        <v>1</v>
      </c>
      <c r="G7" s="296">
        <f>D7*F7</f>
        <v>0</v>
      </c>
      <c r="H7" s="790"/>
    </row>
    <row r="8" spans="1:15" s="2" customFormat="1" ht="12.5">
      <c r="A8" s="96">
        <v>2</v>
      </c>
      <c r="B8" s="800" t="s">
        <v>188</v>
      </c>
      <c r="C8" s="7" t="s">
        <v>189</v>
      </c>
      <c r="D8" s="348">
        <f>SUM(D7)</f>
        <v>0</v>
      </c>
      <c r="E8" s="7"/>
      <c r="F8" s="7"/>
      <c r="G8" s="296">
        <f>G7</f>
        <v>0</v>
      </c>
      <c r="H8" s="93"/>
      <c r="I8" s="298"/>
      <c r="J8" s="298"/>
      <c r="K8" s="298"/>
      <c r="L8" s="298"/>
      <c r="M8" s="298"/>
      <c r="N8" s="298"/>
      <c r="O8" s="298"/>
    </row>
    <row r="9" spans="1:15" s="298" customFormat="1" ht="12.5">
      <c r="A9" s="688"/>
      <c r="B9" s="688"/>
      <c r="G9" s="93"/>
      <c r="H9" s="93"/>
    </row>
    <row r="10" spans="1:15" s="298" customFormat="1" ht="13">
      <c r="A10" s="688"/>
      <c r="B10" s="684" t="s">
        <v>190</v>
      </c>
      <c r="G10" s="801"/>
      <c r="H10" s="801"/>
    </row>
    <row r="11" spans="1:15" s="298" customFormat="1" ht="12.5">
      <c r="A11" s="688"/>
      <c r="B11" s="802"/>
      <c r="C11" s="777"/>
      <c r="D11" s="777"/>
      <c r="E11" s="777"/>
      <c r="F11" s="777"/>
      <c r="G11" s="803"/>
      <c r="H11" s="803"/>
    </row>
    <row r="12" spans="1:15" s="298" customFormat="1" ht="12.5">
      <c r="A12" s="688">
        <v>3</v>
      </c>
      <c r="B12" s="800" t="s">
        <v>191</v>
      </c>
      <c r="C12" s="773"/>
      <c r="D12" s="794">
        <v>1494178.62</v>
      </c>
      <c r="E12" s="789" t="s">
        <v>208</v>
      </c>
      <c r="F12" s="295">
        <v>1</v>
      </c>
      <c r="G12" s="296">
        <f>D12*F12</f>
        <v>1494178.62</v>
      </c>
      <c r="H12" s="791"/>
    </row>
    <row r="13" spans="1:15" s="298" customFormat="1" ht="37.5">
      <c r="A13" s="804">
        <v>4</v>
      </c>
      <c r="B13" s="1475" t="s">
        <v>1557</v>
      </c>
      <c r="C13" s="773"/>
      <c r="D13" s="788"/>
      <c r="E13" s="789" t="s">
        <v>208</v>
      </c>
      <c r="F13" s="295">
        <v>1</v>
      </c>
      <c r="G13" s="296">
        <f>D13*F13</f>
        <v>0</v>
      </c>
      <c r="H13" s="7"/>
    </row>
    <row r="14" spans="1:15" s="298" customFormat="1" ht="12.5">
      <c r="A14" s="688">
        <v>5</v>
      </c>
      <c r="B14" s="688" t="s">
        <v>1558</v>
      </c>
      <c r="C14" s="773"/>
      <c r="D14" s="788">
        <v>2736714.21</v>
      </c>
      <c r="E14" s="789" t="s">
        <v>208</v>
      </c>
      <c r="F14" s="295">
        <v>1</v>
      </c>
      <c r="G14" s="296">
        <f>D14*F14</f>
        <v>2736714.21</v>
      </c>
      <c r="H14" s="7"/>
    </row>
    <row r="15" spans="1:15" s="298" customFormat="1" ht="13">
      <c r="A15" s="688">
        <v>6</v>
      </c>
      <c r="B15" s="688" t="s">
        <v>192</v>
      </c>
      <c r="C15" s="95"/>
      <c r="D15" s="788"/>
      <c r="E15" s="789" t="s">
        <v>208</v>
      </c>
      <c r="F15" s="295">
        <v>1</v>
      </c>
      <c r="G15" s="296">
        <f t="shared" ref="G15:G20" si="0">D15*F15</f>
        <v>0</v>
      </c>
      <c r="H15" s="792"/>
    </row>
    <row r="16" spans="1:15" s="298" customFormat="1" ht="12.5">
      <c r="A16" s="688">
        <v>7</v>
      </c>
      <c r="B16" s="688" t="s">
        <v>193</v>
      </c>
      <c r="C16" s="773"/>
      <c r="D16" s="788"/>
      <c r="E16" s="789" t="s">
        <v>208</v>
      </c>
      <c r="F16" s="295">
        <v>1</v>
      </c>
      <c r="G16" s="296">
        <f t="shared" si="0"/>
        <v>0</v>
      </c>
      <c r="H16" s="789"/>
    </row>
    <row r="17" spans="1:18" s="298" customFormat="1" ht="12.5">
      <c r="A17" s="688">
        <v>8</v>
      </c>
      <c r="B17" s="688" t="s">
        <v>1496</v>
      </c>
      <c r="C17" s="7"/>
      <c r="D17" s="788"/>
      <c r="E17" s="789" t="s">
        <v>208</v>
      </c>
      <c r="F17" s="295">
        <v>1</v>
      </c>
      <c r="G17" s="296">
        <f t="shared" si="0"/>
        <v>0</v>
      </c>
      <c r="H17" s="793"/>
    </row>
    <row r="18" spans="1:18" s="298" customFormat="1" ht="12.5">
      <c r="A18" s="688">
        <v>9</v>
      </c>
      <c r="B18" s="688" t="s">
        <v>194</v>
      </c>
      <c r="C18" s="7"/>
      <c r="D18" s="788">
        <v>4347285.3499999996</v>
      </c>
      <c r="E18" s="789" t="s">
        <v>208</v>
      </c>
      <c r="F18" s="295">
        <v>1</v>
      </c>
      <c r="G18" s="296">
        <f t="shared" si="0"/>
        <v>4347285.3499999996</v>
      </c>
      <c r="H18" s="793"/>
    </row>
    <row r="19" spans="1:18" s="298" customFormat="1" ht="12.5">
      <c r="A19" s="688">
        <v>10</v>
      </c>
      <c r="B19" s="688" t="s">
        <v>1497</v>
      </c>
      <c r="C19" s="7"/>
      <c r="D19" s="788"/>
      <c r="E19" s="789" t="s">
        <v>208</v>
      </c>
      <c r="F19" s="295">
        <v>1</v>
      </c>
      <c r="G19" s="296">
        <f t="shared" si="0"/>
        <v>0</v>
      </c>
      <c r="H19" s="793"/>
    </row>
    <row r="20" spans="1:18" s="298" customFormat="1" ht="12.5">
      <c r="A20" s="688">
        <f t="shared" ref="A20" si="1">+A19+1</f>
        <v>11</v>
      </c>
      <c r="B20" s="688" t="s">
        <v>1153</v>
      </c>
      <c r="C20" s="7"/>
      <c r="D20" s="794">
        <v>4417694</v>
      </c>
      <c r="E20" s="795" t="s">
        <v>1003</v>
      </c>
      <c r="F20" s="297">
        <f>'ATT H-3D'!H24</f>
        <v>0.14625503638690887</v>
      </c>
      <c r="G20" s="296">
        <f t="shared" si="0"/>
        <v>646109.99671622901</v>
      </c>
      <c r="H20" s="793"/>
    </row>
    <row r="21" spans="1:18" s="298" customFormat="1" ht="12.5">
      <c r="A21" s="688" t="s">
        <v>826</v>
      </c>
      <c r="B21" s="688" t="s">
        <v>1105</v>
      </c>
      <c r="C21" s="7"/>
      <c r="D21" s="7"/>
      <c r="E21" s="795" t="s">
        <v>1110</v>
      </c>
      <c r="F21" s="297"/>
      <c r="G21" s="296">
        <f>'5 - Cost Support 1'!G154</f>
        <v>160931.77170229572</v>
      </c>
      <c r="H21" s="793"/>
    </row>
    <row r="22" spans="1:18" s="298" customFormat="1" ht="12.5">
      <c r="A22" s="688"/>
      <c r="B22" s="688"/>
      <c r="C22" s="7"/>
      <c r="D22" s="7"/>
      <c r="E22" s="7"/>
      <c r="F22" s="7"/>
      <c r="G22" s="793"/>
      <c r="H22" s="793"/>
    </row>
    <row r="23" spans="1:18" s="298" customFormat="1" ht="12.5">
      <c r="A23" s="688">
        <v>12</v>
      </c>
      <c r="B23" s="688" t="s">
        <v>1498</v>
      </c>
      <c r="C23" s="96"/>
      <c r="D23" s="296">
        <f>+'3a - Shared Revenues'!E43</f>
        <v>508116.70890103374</v>
      </c>
      <c r="E23" s="96" t="s">
        <v>208</v>
      </c>
      <c r="F23" s="295">
        <v>1</v>
      </c>
      <c r="G23" s="296">
        <f>D23*F23</f>
        <v>508116.70890103374</v>
      </c>
      <c r="H23" s="793"/>
    </row>
    <row r="24" spans="1:18" s="298" customFormat="1" ht="12.5">
      <c r="A24" s="688"/>
      <c r="B24" s="688"/>
      <c r="C24" s="96"/>
      <c r="D24" s="96"/>
      <c r="E24" s="96"/>
      <c r="F24" s="96"/>
      <c r="G24" s="793"/>
      <c r="H24" s="793"/>
    </row>
    <row r="25" spans="1:18" s="298" customFormat="1" ht="12.5">
      <c r="A25" s="688">
        <v>13</v>
      </c>
      <c r="B25" s="688" t="s">
        <v>195</v>
      </c>
      <c r="C25" s="96" t="s">
        <v>1546</v>
      </c>
      <c r="D25" s="690">
        <f>SUM(D8:D23)</f>
        <v>13503988.888901033</v>
      </c>
      <c r="E25" s="96"/>
      <c r="F25" s="96"/>
      <c r="G25" s="296">
        <f>SUM(G8:G23)</f>
        <v>9893336.6573195569</v>
      </c>
      <c r="H25" s="801"/>
    </row>
    <row r="26" spans="1:18" s="298" customFormat="1" ht="12.5">
      <c r="A26" s="688"/>
      <c r="B26" s="688"/>
      <c r="C26" s="96"/>
      <c r="D26" s="796"/>
      <c r="E26" s="789"/>
      <c r="F26" s="295"/>
      <c r="G26" s="296"/>
      <c r="H26" s="801"/>
    </row>
    <row r="27" spans="1:18" s="298" customFormat="1" ht="12.5">
      <c r="A27" s="688"/>
      <c r="B27" s="688"/>
      <c r="C27" s="688"/>
      <c r="D27" s="688"/>
      <c r="E27" s="688"/>
      <c r="F27" s="688"/>
      <c r="G27" s="801"/>
      <c r="H27" s="801"/>
      <c r="P27" s="482"/>
      <c r="R27" s="482"/>
    </row>
    <row r="28" spans="1:18" s="298" customFormat="1" ht="13">
      <c r="A28" s="688"/>
      <c r="B28" s="685" t="s">
        <v>196</v>
      </c>
      <c r="G28" s="806"/>
      <c r="P28" s="482"/>
      <c r="R28" s="482"/>
    </row>
    <row r="29" spans="1:18" s="298" customFormat="1" ht="50">
      <c r="A29" s="804">
        <v>14</v>
      </c>
      <c r="B29" s="686" t="s">
        <v>197</v>
      </c>
      <c r="G29" s="801"/>
      <c r="P29" s="482"/>
    </row>
    <row r="30" spans="1:18" s="298" customFormat="1" ht="12.5">
      <c r="A30" s="804"/>
      <c r="B30" s="688"/>
      <c r="G30" s="799"/>
      <c r="H30" s="801"/>
      <c r="P30" s="482"/>
      <c r="R30" s="482"/>
    </row>
    <row r="31" spans="1:18" s="298" customFormat="1" ht="50">
      <c r="A31" s="804">
        <v>15</v>
      </c>
      <c r="B31" s="687" t="s">
        <v>198</v>
      </c>
      <c r="G31" s="797"/>
      <c r="H31" s="793"/>
      <c r="P31" s="482"/>
    </row>
    <row r="32" spans="1:18" s="298" customFormat="1" ht="12.5">
      <c r="A32" s="804"/>
      <c r="B32" s="688"/>
      <c r="C32" s="688"/>
      <c r="D32" s="688"/>
      <c r="E32" s="688"/>
      <c r="F32" s="688"/>
      <c r="G32" s="801"/>
      <c r="H32" s="801"/>
      <c r="P32" s="482"/>
    </row>
    <row r="33" spans="1:8" s="298" customFormat="1" ht="62.5">
      <c r="A33" s="807">
        <v>16</v>
      </c>
      <c r="B33" s="687" t="s">
        <v>1555</v>
      </c>
      <c r="C33" s="808"/>
      <c r="D33" s="673">
        <f>208595257-D25-D35</f>
        <v>7330117.6010989845</v>
      </c>
      <c r="E33" s="1667"/>
      <c r="F33" s="1667"/>
      <c r="G33" s="799"/>
      <c r="H33" s="7"/>
    </row>
    <row r="34" spans="1:8" s="298" customFormat="1" ht="12.5">
      <c r="A34" s="809"/>
      <c r="B34" s="688"/>
      <c r="C34" s="98"/>
      <c r="D34" s="799"/>
      <c r="E34" s="98"/>
      <c r="F34" s="98"/>
      <c r="G34" s="799"/>
      <c r="H34" s="801"/>
    </row>
    <row r="35" spans="1:8" s="298" customFormat="1" ht="12.5">
      <c r="A35" s="809">
        <v>17</v>
      </c>
      <c r="B35" s="688" t="s">
        <v>205</v>
      </c>
      <c r="C35" s="98"/>
      <c r="D35" s="673">
        <v>187761150.50999999</v>
      </c>
      <c r="E35" s="98"/>
      <c r="F35" s="98"/>
      <c r="G35" s="799"/>
      <c r="H35" s="97"/>
    </row>
    <row r="36" spans="1:8" s="298" customFormat="1" ht="12.5">
      <c r="A36" s="809"/>
      <c r="B36" s="688"/>
      <c r="D36" s="810"/>
      <c r="G36" s="799"/>
      <c r="H36" s="806"/>
    </row>
    <row r="37" spans="1:8" s="298" customFormat="1" ht="12.5">
      <c r="A37" s="809">
        <v>18</v>
      </c>
      <c r="B37" s="96" t="s">
        <v>206</v>
      </c>
      <c r="C37" s="7"/>
      <c r="D37" s="99">
        <f>+D25+D29+D33+D35</f>
        <v>208595257</v>
      </c>
      <c r="E37" s="7"/>
      <c r="F37" s="7"/>
      <c r="G37" s="799"/>
      <c r="H37" s="7"/>
    </row>
    <row r="38" spans="1:8" s="298" customFormat="1" ht="12.5">
      <c r="A38" s="809">
        <v>19</v>
      </c>
      <c r="B38" s="96" t="s">
        <v>1556</v>
      </c>
      <c r="G38" s="799"/>
      <c r="H38" s="478"/>
    </row>
    <row r="39" spans="1:8" s="298" customFormat="1" ht="12.5">
      <c r="A39" s="809"/>
      <c r="B39" s="688"/>
      <c r="G39" s="799"/>
      <c r="H39" s="811"/>
    </row>
    <row r="40" spans="1:8" s="298" customFormat="1" ht="12.5">
      <c r="A40" s="809"/>
      <c r="B40" s="688"/>
      <c r="G40" s="799"/>
    </row>
    <row r="41" spans="1:8" s="298" customFormat="1" ht="13">
      <c r="A41" s="809"/>
      <c r="B41" s="812"/>
      <c r="G41" s="799"/>
    </row>
    <row r="42" spans="1:8" s="298" customFormat="1" ht="12.5">
      <c r="A42" s="809"/>
      <c r="B42" s="688"/>
      <c r="C42" s="98"/>
      <c r="D42" s="98"/>
      <c r="E42" s="98"/>
      <c r="F42" s="98"/>
      <c r="G42" s="806"/>
    </row>
    <row r="43" spans="1:8" s="298" customFormat="1" ht="12.5">
      <c r="A43" s="809"/>
      <c r="B43" s="688"/>
      <c r="G43" s="806"/>
    </row>
    <row r="44" spans="1:8" s="298" customFormat="1" ht="12.5">
      <c r="A44" s="809"/>
      <c r="B44" s="688"/>
      <c r="G44" s="806"/>
    </row>
    <row r="45" spans="1:8" s="298" customFormat="1" ht="12.5">
      <c r="A45" s="809"/>
      <c r="B45" s="688"/>
      <c r="G45" s="806"/>
    </row>
    <row r="46" spans="1:8" s="298" customFormat="1" ht="12.5">
      <c r="A46" s="809"/>
      <c r="B46" s="688"/>
      <c r="G46" s="806"/>
    </row>
    <row r="47" spans="1:8" s="298" customFormat="1" ht="12.5">
      <c r="A47" s="809"/>
      <c r="B47" s="688"/>
      <c r="G47" s="799"/>
    </row>
    <row r="48" spans="1:8" s="298" customFormat="1" ht="12.5">
      <c r="A48" s="809"/>
      <c r="B48" s="688"/>
      <c r="G48" s="799"/>
    </row>
    <row r="49" spans="1:7" s="298" customFormat="1" ht="12.5">
      <c r="A49" s="809"/>
      <c r="B49" s="688"/>
      <c r="G49" s="799"/>
    </row>
    <row r="50" spans="1:7" s="298" customFormat="1" ht="12.5">
      <c r="A50" s="809"/>
      <c r="B50" s="688"/>
      <c r="G50" s="799"/>
    </row>
    <row r="51" spans="1:7" s="298" customFormat="1" ht="12.5">
      <c r="A51" s="809"/>
      <c r="B51" s="688"/>
      <c r="G51" s="799"/>
    </row>
    <row r="52" spans="1:7" s="298" customFormat="1" ht="12.5">
      <c r="A52" s="809"/>
      <c r="B52" s="688"/>
      <c r="G52" s="799"/>
    </row>
    <row r="53" spans="1:7" s="298" customFormat="1" ht="12.5">
      <c r="A53" s="809"/>
      <c r="B53" s="688"/>
      <c r="G53" s="799"/>
    </row>
    <row r="54" spans="1:7" s="298" customFormat="1" ht="12.5">
      <c r="A54" s="352"/>
      <c r="G54" s="799"/>
    </row>
    <row r="55" spans="1:7" s="298" customFormat="1" ht="12.5">
      <c r="A55" s="352"/>
      <c r="G55" s="799"/>
    </row>
    <row r="56" spans="1:7" s="298" customFormat="1" ht="12.5">
      <c r="A56" s="352"/>
      <c r="G56" s="799"/>
    </row>
    <row r="57" spans="1:7" s="298" customFormat="1" ht="12.5">
      <c r="A57" s="352"/>
      <c r="G57" s="799"/>
    </row>
    <row r="58" spans="1:7" s="298" customFormat="1" ht="12.5">
      <c r="A58" s="352"/>
      <c r="G58" s="799"/>
    </row>
    <row r="59" spans="1:7" s="298" customFormat="1" ht="12.5">
      <c r="A59" s="352"/>
      <c r="G59" s="799"/>
    </row>
    <row r="60" spans="1:7" s="298" customFormat="1" ht="12.5">
      <c r="A60" s="352"/>
      <c r="G60" s="799"/>
    </row>
    <row r="61" spans="1:7" s="298" customFormat="1" ht="12.5">
      <c r="A61" s="352"/>
      <c r="G61" s="799"/>
    </row>
    <row r="62" spans="1:7" s="298" customFormat="1" ht="12.5">
      <c r="A62" s="352"/>
      <c r="G62" s="799"/>
    </row>
    <row r="63" spans="1:7" s="298" customFormat="1" ht="12.5">
      <c r="A63" s="352"/>
      <c r="G63" s="799"/>
    </row>
    <row r="64" spans="1:7" s="298" customFormat="1" ht="12.5">
      <c r="A64" s="352"/>
      <c r="G64" s="799"/>
    </row>
    <row r="65" spans="1:7" s="298" customFormat="1" ht="12.5">
      <c r="A65" s="352"/>
      <c r="G65" s="799"/>
    </row>
    <row r="66" spans="1:7" s="298" customFormat="1" ht="12.5">
      <c r="A66" s="352"/>
      <c r="G66" s="799"/>
    </row>
    <row r="67" spans="1:7" s="298" customFormat="1" ht="12.5">
      <c r="A67" s="352"/>
      <c r="G67" s="799"/>
    </row>
    <row r="68" spans="1:7" s="298" customFormat="1" ht="12.5">
      <c r="A68" s="352"/>
      <c r="G68" s="799"/>
    </row>
    <row r="69" spans="1:7" s="298" customFormat="1" ht="12.5">
      <c r="A69" s="352"/>
      <c r="G69" s="799"/>
    </row>
    <row r="70" spans="1:7" s="298" customFormat="1" ht="12.5">
      <c r="A70" s="352"/>
      <c r="G70" s="799"/>
    </row>
    <row r="71" spans="1:7" s="298" customFormat="1" ht="12.5">
      <c r="A71" s="352"/>
      <c r="G71" s="799"/>
    </row>
    <row r="72" spans="1:7" s="298" customFormat="1" ht="12.5">
      <c r="A72" s="352"/>
      <c r="G72" s="799"/>
    </row>
    <row r="284" spans="3:6" ht="15.5">
      <c r="C284" s="674" t="s">
        <v>207</v>
      </c>
      <c r="D284" s="674"/>
      <c r="E284" s="674"/>
      <c r="F284" s="674"/>
    </row>
  </sheetData>
  <mergeCells count="3">
    <mergeCell ref="A1:G1"/>
    <mergeCell ref="A3:G3"/>
    <mergeCell ref="A2:G2"/>
  </mergeCells>
  <pageMargins left="0.5" right="0.5" top="1" bottom="1" header="0.5" footer="0.5"/>
  <pageSetup scale="3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23</vt:i4>
      </vt:variant>
    </vt:vector>
  </HeadingPairs>
  <TitlesOfParts>
    <vt:vector size="48" baseType="lpstr">
      <vt:lpstr>ATT H-3D</vt:lpstr>
      <vt:lpstr>1A - ADIT Summary</vt:lpstr>
      <vt:lpstr>1B - ADIT EOY</vt:lpstr>
      <vt:lpstr>1C - ADIT BOY</vt:lpstr>
      <vt:lpstr>1D - ADIT Rate Base Adjustment</vt:lpstr>
      <vt:lpstr>1E - EDIT Amortization</vt:lpstr>
      <vt:lpstr>1F - ADIT Remeasurement</vt:lpstr>
      <vt:lpstr>2 - Other Tax</vt:lpstr>
      <vt:lpstr>3 - Revenue Credits</vt:lpstr>
      <vt:lpstr>3a - Shared Revenues</vt:lpstr>
      <vt:lpstr>4 - 100 Basis Pt ROE</vt:lpstr>
      <vt:lpstr>5 - Cost Support 1</vt:lpstr>
      <vt:lpstr>5a Affiliate Allocations</vt:lpstr>
      <vt:lpstr>5b EBSC Affiliate Allocations</vt:lpstr>
      <vt:lpstr>6-Project Rev Req</vt:lpstr>
      <vt:lpstr>6A-Project True-up</vt:lpstr>
      <vt:lpstr>6B - True-Up Interest </vt:lpstr>
      <vt:lpstr>7 - Cap Add WS </vt:lpstr>
      <vt:lpstr>8 - Securitization</vt:lpstr>
      <vt:lpstr>9 - Rate Base</vt:lpstr>
      <vt:lpstr>9A - Gross Plant &amp; ARO</vt:lpstr>
      <vt:lpstr>10 - Merger Costs</vt:lpstr>
      <vt:lpstr>11A - O&amp;M</vt:lpstr>
      <vt:lpstr>11B - A&amp;G</vt:lpstr>
      <vt:lpstr>12- Depreciation Rates</vt:lpstr>
      <vt:lpstr>'9A - Gross Plant &amp; ARO'!a</vt:lpstr>
      <vt:lpstr>CTR</vt:lpstr>
      <vt:lpstr>CUSTP</vt:lpstr>
      <vt:lpstr>CUSTR</vt:lpstr>
      <vt:lpstr>FA</vt:lpstr>
      <vt:lpstr>'3a - Shared Revenues'!FIT</vt:lpstr>
      <vt:lpstr>GP</vt:lpstr>
      <vt:lpstr>NP</vt:lpstr>
      <vt:lpstr>'3a - Shared Revenues'!p</vt:lpstr>
      <vt:lpstr>'12- Depreciation Rates'!Print_Area</vt:lpstr>
      <vt:lpstr>'1A - ADIT Summary'!Print_Area</vt:lpstr>
      <vt:lpstr>'1C - ADIT BOY'!Print_Area</vt:lpstr>
      <vt:lpstr>'1D - ADIT Rate Base Adjustment'!Print_Area</vt:lpstr>
      <vt:lpstr>'1E - EDIT Amortization'!Print_Area</vt:lpstr>
      <vt:lpstr>'1F - ADIT Remeasurement'!Print_Area</vt:lpstr>
      <vt:lpstr>'3 - Revenue Credits'!Print_Area</vt:lpstr>
      <vt:lpstr>'5a Affiliate Allocations'!Print_Area</vt:lpstr>
      <vt:lpstr>'6-Project Rev Req'!Print_Area</vt:lpstr>
      <vt:lpstr>'7 - Cap Add WS '!Print_Area</vt:lpstr>
      <vt:lpstr>'ATT H-3D'!Print_Area</vt:lpstr>
      <vt:lpstr>'1A - ADIT Summary'!Print_Titles</vt:lpstr>
      <vt:lpstr>SIT</vt:lpstr>
      <vt:lpstr>'3a - Shared Revenues'!WS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Kennedy, Geneva:(BSC)</cp:lastModifiedBy>
  <cp:lastPrinted>2023-05-12T15:54:42Z</cp:lastPrinted>
  <dcterms:created xsi:type="dcterms:W3CDTF">2018-05-08T13:51:25Z</dcterms:created>
  <dcterms:modified xsi:type="dcterms:W3CDTF">2023-05-12T17:05:47Z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2022-04-08T15:11:18Z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0e94e4fc-9d02-423e-977a-fcae5a33ad34</vt:lpwstr>
  </property>
  <property fmtid="{D5CDD505-2E9C-101B-9397-08002B2CF9AE}" pid="17" name="MSIP_Label_c968b3d1-e05f-4796-9c23-acaf26d588cb_ContentBits">
    <vt:lpwstr>0</vt:lpwstr>
  </property>
</Properties>
</file>