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160" windowHeight="8784"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 name="9.1-Amort Deficient-Excess" sheetId="10" r:id="rId10"/>
    <sheet name="9.2-Unamort Def-Excess ADIT" sheetId="11" r:id="rId11"/>
    <sheet name="9.3 - TCJA 2017" sheetId="12" r:id="rId12"/>
  </sheets>
  <externalReferences>
    <externalReference r:id="rId15"/>
    <externalReference r:id="rId16"/>
  </externalReferences>
  <definedNames>
    <definedName name="_Hlk123805620" localSheetId="0">'Appendix A'!$H$306</definedName>
    <definedName name="_Hlk132987497" localSheetId="7">'7 - Cap Add WS'!$B$77</definedName>
    <definedName name="_xlfn.ARABIC" hidden="1">#NAME?</definedName>
    <definedName name="_xlfn.GAMMA" hidden="1">#NAME?</definedName>
    <definedName name="_xlfn.WEBSERVICE" hidden="1">#NAME?</definedName>
    <definedName name="_xlnm.Print_Area" localSheetId="1">#N/A</definedName>
    <definedName name="_xlnm.Print_Area" localSheetId="2">#N/A</definedName>
    <definedName name="_xlnm.Print_Area" localSheetId="3">'3 - Revenue Credits'!$A$1:$D$65</definedName>
    <definedName name="_xlnm.Print_Area" localSheetId="4">'4 - 100 Basis Pt ROE'!$A$1:$G$42</definedName>
    <definedName name="_xlnm.Print_Area" localSheetId="5">'5 - Cost Support 1'!$A$1:$M$350</definedName>
    <definedName name="_xlnm.Print_Area" localSheetId="6">'6- Est &amp; Reconcile WS'!$A$1:$AZ$127,'6- Est &amp; Reconcile WS'!$A$128:$AF$179,'6- Est &amp; Reconcile WS'!$A$180:$AZ$233</definedName>
    <definedName name="_xlnm.Print_Area" localSheetId="7">'7 - Cap Add WS'!$A$1:$CP$76</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0">'Appendix A'!$A$1:$G$307</definedName>
    <definedName name="solver_adj" localSheetId="0" hidden="1">#N/A</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#N/A</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#N/A</definedName>
    <definedName name="Z_3768C7C8_9953_11DA_B318_000FB55D51DC_.wvu.PrintArea" localSheetId="1" hidden="1">#N/A</definedName>
    <definedName name="Z_3768C7C8_9953_11DA_B318_000FB55D51DC_.wvu.PrintArea" localSheetId="2" hidden="1">#N/A</definedName>
    <definedName name="Z_3768C7C8_9953_11DA_B318_000FB55D51DC_.wvu.PrintArea" localSheetId="3" hidden="1">#N/A</definedName>
    <definedName name="Z_3768C7C8_9953_11DA_B318_000FB55D51DC_.wvu.PrintArea" localSheetId="4" hidden="1">#N/A</definedName>
    <definedName name="Z_3768C7C8_9953_11DA_B318_000FB55D51DC_.wvu.PrintArea" localSheetId="5" hidden="1">#N/A</definedName>
    <definedName name="Z_3768C7C8_9953_11DA_B318_000FB55D51DC_.wvu.PrintArea" localSheetId="0" hidden="1">#N/A</definedName>
    <definedName name="Z_3768C7C8_9953_11DA_B318_000FB55D51DC_.wvu.PrintTitles" localSheetId="5" hidden="1">#N/A</definedName>
    <definedName name="Z_3768C7C8_9953_11DA_B318_000FB55D51DC_.wvu.PrintTitles" localSheetId="7" hidden="1">#N/A</definedName>
    <definedName name="Z_3768C7C8_9953_11DA_B318_000FB55D51DC_.wvu.PrintTitles" localSheetId="0" hidden="1">#N/A</definedName>
    <definedName name="Z_3768C7C8_9953_11DA_B318_000FB55D51DC_.wvu.Rows" localSheetId="1" hidden="1">#N/A</definedName>
    <definedName name="Z_3768C7C8_9953_11DA_B318_000FB55D51DC_.wvu.Rows" localSheetId="5" hidden="1">#N/A</definedName>
    <definedName name="Z_3BDD6235_B127_4929_8311_BDAF7BB89818_.wvu.Cols" localSheetId="7" hidden="1">#N/A</definedName>
    <definedName name="Z_3BDD6235_B127_4929_8311_BDAF7BB89818_.wvu.PrintArea" localSheetId="1" hidden="1">#N/A</definedName>
    <definedName name="Z_3BDD6235_B127_4929_8311_BDAF7BB89818_.wvu.PrintArea" localSheetId="2" hidden="1">#N/A</definedName>
    <definedName name="Z_3BDD6235_B127_4929_8311_BDAF7BB89818_.wvu.PrintArea" localSheetId="3" hidden="1">#N/A</definedName>
    <definedName name="Z_3BDD6235_B127_4929_8311_BDAF7BB89818_.wvu.PrintArea" localSheetId="4" hidden="1">#N/A</definedName>
    <definedName name="Z_3BDD6235_B127_4929_8311_BDAF7BB89818_.wvu.PrintArea" localSheetId="5" hidden="1">#N/A</definedName>
    <definedName name="Z_3BDD6235_B127_4929_8311_BDAF7BB89818_.wvu.PrintArea" localSheetId="0" hidden="1">#N/A</definedName>
    <definedName name="Z_3BDD6235_B127_4929_8311_BDAF7BB89818_.wvu.PrintTitles" localSheetId="5" hidden="1">#N/A</definedName>
    <definedName name="Z_3BDD6235_B127_4929_8311_BDAF7BB89818_.wvu.PrintTitles" localSheetId="7" hidden="1">#N/A</definedName>
    <definedName name="Z_3BDD6235_B127_4929_8311_BDAF7BB89818_.wvu.PrintTitles" localSheetId="0" hidden="1">#N/A</definedName>
    <definedName name="Z_3BDD6235_B127_4929_8311_BDAF7BB89818_.wvu.Rows" localSheetId="1" hidden="1">#N/A</definedName>
    <definedName name="Z_3BDD6235_B127_4929_8311_BDAF7BB89818_.wvu.Rows" localSheetId="5" hidden="1">#N/A</definedName>
    <definedName name="Z_B0241363_5C8A_48FC_89A6_56D55586BABE_.wvu.Cols" localSheetId="7" hidden="1">#N/A</definedName>
    <definedName name="Z_B0241363_5C8A_48FC_89A6_56D55586BABE_.wvu.PrintArea" localSheetId="1" hidden="1">#N/A</definedName>
    <definedName name="Z_B0241363_5C8A_48FC_89A6_56D55586BABE_.wvu.PrintArea" localSheetId="2" hidden="1">#N/A</definedName>
    <definedName name="Z_B0241363_5C8A_48FC_89A6_56D55586BABE_.wvu.PrintArea" localSheetId="3" hidden="1">#N/A</definedName>
    <definedName name="Z_B0241363_5C8A_48FC_89A6_56D55586BABE_.wvu.PrintArea" localSheetId="4" hidden="1">#N/A</definedName>
    <definedName name="Z_B0241363_5C8A_48FC_89A6_56D55586BABE_.wvu.PrintArea" localSheetId="5" hidden="1">#N/A</definedName>
    <definedName name="Z_B0241363_5C8A_48FC_89A6_56D55586BABE_.wvu.PrintArea" localSheetId="0" hidden="1">#N/A</definedName>
    <definedName name="Z_B0241363_5C8A_48FC_89A6_56D55586BABE_.wvu.PrintTitles" localSheetId="5" hidden="1">#N/A</definedName>
    <definedName name="Z_B0241363_5C8A_48FC_89A6_56D55586BABE_.wvu.PrintTitles" localSheetId="7" hidden="1">#N/A</definedName>
    <definedName name="Z_B0241363_5C8A_48FC_89A6_56D55586BABE_.wvu.PrintTitles" localSheetId="0" hidden="1">#N/A</definedName>
    <definedName name="Z_B0241363_5C8A_48FC_89A6_56D55586BABE_.wvu.Rows" localSheetId="1" hidden="1">#N/A</definedName>
    <definedName name="Z_B0241363_5C8A_48FC_89A6_56D55586BABE_.wvu.Rows" localSheetId="5" hidden="1">#N/A</definedName>
    <definedName name="Z_C0EA0F9F_7310_4201_82C9_7B8FC8DB9137_.wvu.Cols" localSheetId="7" hidden="1">#N/A</definedName>
    <definedName name="Z_C0EA0F9F_7310_4201_82C9_7B8FC8DB9137_.wvu.PrintArea" localSheetId="1" hidden="1">#N/A</definedName>
    <definedName name="Z_C0EA0F9F_7310_4201_82C9_7B8FC8DB9137_.wvu.PrintArea" localSheetId="2" hidden="1">#N/A</definedName>
    <definedName name="Z_C0EA0F9F_7310_4201_82C9_7B8FC8DB9137_.wvu.PrintArea" localSheetId="3" hidden="1">#N/A</definedName>
    <definedName name="Z_C0EA0F9F_7310_4201_82C9_7B8FC8DB9137_.wvu.PrintArea" localSheetId="4" hidden="1">#N/A</definedName>
    <definedName name="Z_C0EA0F9F_7310_4201_82C9_7B8FC8DB9137_.wvu.PrintArea" localSheetId="5" hidden="1">#N/A</definedName>
    <definedName name="Z_C0EA0F9F_7310_4201_82C9_7B8FC8DB9137_.wvu.PrintArea" localSheetId="0" hidden="1">#N/A</definedName>
    <definedName name="Z_C0EA0F9F_7310_4201_82C9_7B8FC8DB9137_.wvu.PrintTitles" localSheetId="5" hidden="1">#N/A</definedName>
    <definedName name="Z_C0EA0F9F_7310_4201_82C9_7B8FC8DB9137_.wvu.PrintTitles" localSheetId="7" hidden="1">#N/A</definedName>
    <definedName name="Z_C0EA0F9F_7310_4201_82C9_7B8FC8DB9137_.wvu.PrintTitles" localSheetId="0" hidden="1">#N/A</definedName>
    <definedName name="Z_C0EA0F9F_7310_4201_82C9_7B8FC8DB9137_.wvu.Rows" localSheetId="1" hidden="1">#N/A</definedName>
    <definedName name="Z_C0EA0F9F_7310_4201_82C9_7B8FC8DB9137_.wvu.Rows" localSheetId="5" hidden="1">#N/A</definedName>
    <definedName name="Z_DAB86759_0C8B_4AEC_94DA_EE1E1E21424A_.wvu.PrintArea" localSheetId="1" hidden="1">#N/A</definedName>
    <definedName name="Z_DAB86759_0C8B_4AEC_94DA_EE1E1E21424A_.wvu.PrintArea" localSheetId="2" hidden="1">#N/A</definedName>
    <definedName name="Z_DAB86759_0C8B_4AEC_94DA_EE1E1E21424A_.wvu.PrintArea" localSheetId="3" hidden="1">#N/A</definedName>
    <definedName name="Z_DAB86759_0C8B_4AEC_94DA_EE1E1E21424A_.wvu.PrintArea" localSheetId="5" hidden="1">#N/A</definedName>
    <definedName name="Z_DAB86759_0C8B_4AEC_94DA_EE1E1E21424A_.wvu.PrintArea" localSheetId="6" hidden="1">#N/A</definedName>
    <definedName name="Z_DAB86759_0C8B_4AEC_94DA_EE1E1E21424A_.wvu.PrintArea" localSheetId="7" hidden="1">#N/A</definedName>
    <definedName name="Z_DAB86759_0C8B_4AEC_94DA_EE1E1E21424A_.wvu.PrintArea" localSheetId="8" hidden="1">#N/A</definedName>
    <definedName name="Z_DAB86759_0C8B_4AEC_94DA_EE1E1E21424A_.wvu.PrintArea" localSheetId="0" hidden="1">#N/A</definedName>
  </definedNames>
  <calcPr fullCalcOnLoad="1"/>
</workbook>
</file>

<file path=xl/sharedStrings.xml><?xml version="1.0" encoding="utf-8"?>
<sst xmlns="http://schemas.openxmlformats.org/spreadsheetml/2006/main" count="2730" uniqueCount="1219">
  <si>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</si>
  <si>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</si>
  <si>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</si>
  <si>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</si>
  <si>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</si>
  <si>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</si>
  <si>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</si>
  <si>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</si>
  <si>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</si>
  <si>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</si>
  <si>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</si>
  <si>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</si>
  <si>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</si>
  <si>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</si>
  <si>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</si>
  <si>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</si>
  <si>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</si>
  <si>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</si>
  <si>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</si>
  <si>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</si>
  <si>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</si>
  <si>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</si>
  <si>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</si>
  <si>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</si>
  <si>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</si>
  <si>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</si>
  <si>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</si>
  <si>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</si>
  <si>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</si>
  <si>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</si>
  <si>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</si>
  <si>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</si>
  <si>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</si>
  <si>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</si>
  <si>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</si>
  <si>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</si>
  <si>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</si>
  <si>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</si>
  <si>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</si>
  <si>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</si>
  <si>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</si>
  <si>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</si>
  <si>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</si>
  <si>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</si>
  <si>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</si>
  <si>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</si>
  <si>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</si>
  <si>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</si>
  <si>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</si>
  <si>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</si>
  <si>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</si>
  <si>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</si>
  <si>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</si>
  <si>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</si>
  <si>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</si>
  <si>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</si>
  <si>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</si>
  <si>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</si>
  <si>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</si>
  <si>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</si>
  <si>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</si>
  <si>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</si>
  <si>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</si>
  <si>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</si>
  <si>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</si>
  <si>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</si>
  <si>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</si>
  <si>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</si>
  <si>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</si>
  <si>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</si>
  <si>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</si>
  <si>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</si>
  <si>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</si>
  <si>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</si>
  <si>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</si>
  <si>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</si>
  <si>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</si>
  <si>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</si>
  <si>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</si>
  <si>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</si>
  <si>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</si>
  <si>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</si>
  <si>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</si>
  <si>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</si>
  <si>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</si>
  <si>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</si>
  <si>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</si>
  <si>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</si>
  <si>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</si>
  <si>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</si>
  <si>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</si>
  <si>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</si>
  <si>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</si>
  <si>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</si>
  <si>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</si>
  <si>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</si>
  <si>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</si>
  <si>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</si>
  <si>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F, Total*</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</si>
  <si>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</si>
  <si>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</si>
  <si>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</si>
  <si>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</si>
  <si>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</si>
  <si>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</si>
  <si>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</si>
  <si>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</si>
  <si>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</si>
  <si>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Allegheny S5 PIS</t>
  </si>
  <si>
    <t>Allegheny S5</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</si>
  <si>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</si>
  <si>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</si>
  <si>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</si>
  <si>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</si>
  <si>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</si>
  <si>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</si>
  <si>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</si>
  <si>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</si>
  <si>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</si>
  <si>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</si>
  <si>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</si>
  <si>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</si>
  <si>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</si>
  <si>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</si>
  <si>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</si>
  <si>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</si>
  <si>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</si>
  <si>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</si>
  <si>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</si>
  <si>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</si>
  <si>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</si>
  <si>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</si>
  <si>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</si>
  <si>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</si>
  <si>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</si>
  <si>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</si>
  <si>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</si>
  <si>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</si>
  <si>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</si>
  <si>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</si>
  <si>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</si>
  <si>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</si>
  <si>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</si>
  <si>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</si>
  <si>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</si>
  <si>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</si>
  <si>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</si>
  <si>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</si>
  <si>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</si>
  <si>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</si>
  <si>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</si>
  <si>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</si>
  <si>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</si>
  <si>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</si>
  <si>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</si>
  <si>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</si>
  <si>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</si>
  <si>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</si>
  <si>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</si>
  <si>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</si>
  <si>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</si>
  <si>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</si>
  <si>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</si>
  <si>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</si>
  <si>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</si>
  <si>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</si>
  <si>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</si>
  <si>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</si>
  <si>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</si>
  <si>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</si>
  <si>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</si>
  <si>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</si>
  <si>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</si>
  <si>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</si>
  <si>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</si>
  <si>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</si>
  <si>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</si>
  <si>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</si>
  <si>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</si>
  <si>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</si>
  <si>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</si>
  <si>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</si>
  <si>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</si>
  <si>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</si>
  <si>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</si>
  <si>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</si>
  <si>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</si>
  <si>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</si>
  <si>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</si>
  <si>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</si>
  <si>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</si>
  <si>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</si>
  <si>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</si>
  <si>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</si>
  <si>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</si>
  <si>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</si>
  <si>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</si>
  <si>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</si>
  <si>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</si>
  <si>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</si>
  <si>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</si>
  <si>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</si>
  <si>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</si>
  <si>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</si>
  <si>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</si>
  <si>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</si>
  <si>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</si>
  <si>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</si>
  <si>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</si>
  <si>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</si>
  <si>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</si>
  <si>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</si>
  <si>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</si>
  <si>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</si>
  <si>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</si>
  <si>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</si>
  <si>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</si>
  <si>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</si>
  <si>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</si>
  <si>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Total Excluded</t>
  </si>
  <si>
    <t>Legal reserve expensed for books, tax deduction when paid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</si>
  <si>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</si>
  <si>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</si>
  <si>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</si>
  <si>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</si>
  <si>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</si>
  <si>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</si>
  <si>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</si>
  <si>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</si>
  <si>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</si>
  <si>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</si>
  <si>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</si>
  <si>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</si>
  <si>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</si>
  <si>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</si>
  <si>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</si>
  <si>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</si>
  <si>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</si>
  <si>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</si>
  <si>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</si>
  <si>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</si>
  <si>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</si>
  <si>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</si>
  <si>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</si>
  <si>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</si>
  <si>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</si>
  <si>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</si>
  <si>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</si>
  <si>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</si>
  <si>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</si>
  <si>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</si>
  <si>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</si>
  <si>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</si>
  <si>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</si>
  <si>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</si>
  <si>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</si>
  <si>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</si>
  <si>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</si>
  <si>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</si>
  <si>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</si>
  <si>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</si>
  <si>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</si>
  <si>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</si>
  <si>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</si>
  <si>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</si>
  <si>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</si>
  <si>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</si>
  <si>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</si>
  <si>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</si>
  <si>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</si>
  <si>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</si>
  <si>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</si>
  <si>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</si>
  <si>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</si>
  <si>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</si>
  <si>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</si>
  <si>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</si>
  <si>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</si>
  <si>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</si>
  <si>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</si>
  <si>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</si>
  <si>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</si>
  <si>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</si>
  <si>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</si>
  <si>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</si>
  <si>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</si>
  <si>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</si>
  <si>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</si>
  <si>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</si>
  <si>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</si>
  <si>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</si>
  <si>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</si>
  <si>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</si>
  <si>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</si>
  <si>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</si>
  <si>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</si>
  <si>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</si>
  <si>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</si>
  <si>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</si>
  <si>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</si>
  <si>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</si>
  <si>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</si>
  <si>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</si>
  <si>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</si>
  <si>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</si>
  <si>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</si>
  <si>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</si>
  <si>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</si>
  <si>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</si>
  <si>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</si>
  <si>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</si>
  <si>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</si>
  <si>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</si>
  <si>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</si>
  <si>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</si>
  <si>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</si>
  <si>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</si>
  <si>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</si>
  <si>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</si>
  <si>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</si>
  <si>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</si>
  <si>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</si>
  <si>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</si>
  <si>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</si>
  <si>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</si>
  <si>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</si>
  <si>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</si>
  <si>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</si>
  <si>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</si>
  <si>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</si>
  <si>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</si>
  <si>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</si>
  <si>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</si>
  <si>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</si>
  <si>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</si>
  <si>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</si>
  <si>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</si>
  <si>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</si>
  <si>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</si>
  <si>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</si>
  <si>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</si>
  <si>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</si>
  <si>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</si>
  <si>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</si>
  <si>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</si>
  <si>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</si>
  <si>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</si>
  <si>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</si>
  <si>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</si>
  <si>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</si>
  <si>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</si>
  <si>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</si>
  <si>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</si>
  <si>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</si>
  <si>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</si>
  <si>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</si>
  <si>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</si>
  <si>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</si>
  <si>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</si>
  <si>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</si>
  <si>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</si>
  <si>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</si>
  <si>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</si>
  <si>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</si>
  <si>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</si>
  <si>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</si>
  <si>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</si>
  <si>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</si>
  <si>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</si>
  <si>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</si>
  <si>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</si>
  <si>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</si>
  <si>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</si>
  <si>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</si>
  <si>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</si>
  <si>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</si>
  <si>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</si>
  <si>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</si>
  <si>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</si>
  <si>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</si>
  <si>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</si>
  <si>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</si>
  <si>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</si>
  <si>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</si>
  <si>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</si>
  <si>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</si>
  <si>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</si>
  <si>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</si>
  <si>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</si>
  <si>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</si>
  <si>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</si>
  <si>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</si>
  <si>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</si>
  <si>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</si>
  <si>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</si>
  <si>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</si>
  <si>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</si>
  <si>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</si>
  <si>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</si>
  <si>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</si>
  <si>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</si>
  <si>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</si>
  <si>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</si>
  <si>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</si>
  <si>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</si>
  <si>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</si>
  <si>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</si>
  <si>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</si>
  <si>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</si>
  <si>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</si>
  <si>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</si>
  <si>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</si>
  <si>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</si>
  <si>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</si>
  <si>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</si>
  <si>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</si>
  <si>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</si>
  <si>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</si>
  <si>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</si>
  <si>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</si>
  <si>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</si>
  <si>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</si>
  <si>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</si>
  <si>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</si>
  <si>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</si>
  <si>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</si>
  <si>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</si>
  <si>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</si>
  <si>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</si>
  <si>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</si>
  <si>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</si>
  <si>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</si>
  <si>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</si>
  <si>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</si>
  <si>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</si>
  <si>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</si>
  <si>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</si>
  <si>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</si>
  <si>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</si>
  <si>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</si>
  <si>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</si>
  <si>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</si>
  <si>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</si>
  <si>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</si>
  <si>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</si>
  <si>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</si>
  <si>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</si>
  <si>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</si>
  <si>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</si>
  <si>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</si>
  <si>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</si>
  <si>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</si>
  <si>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</si>
  <si>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</si>
  <si>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</si>
  <si>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</si>
  <si>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</si>
  <si>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</si>
  <si>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</si>
  <si>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</si>
  <si>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</si>
  <si>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</si>
  <si>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</si>
  <si>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PA Fuel Use</t>
  </si>
  <si>
    <t>p214</t>
  </si>
  <si>
    <t>p219.25.c</t>
  </si>
  <si>
    <t>p207.104.g</t>
  </si>
  <si>
    <t>Include on line 36, the 13 monthly average CWIP balance on Attachment 6 for FERC authorized incentive transmission projects shown on Attachment 6.</t>
  </si>
  <si>
    <t>Cost of Long Term Debt</t>
  </si>
  <si>
    <r>
      <t xml:space="preserve">Enter the result at line 5 on Appendix A, line 62 </t>
    </r>
    <r>
      <rPr>
        <u val="single"/>
        <sz val="10"/>
        <rFont val="Arial"/>
        <family val="2"/>
      </rPr>
      <t>ONLY</t>
    </r>
    <r>
      <rPr>
        <sz val="10"/>
        <rFont val="Arial"/>
        <family val="2"/>
      </rPr>
      <t xml:space="preserve"> if it is positive; otherwise enter zero</t>
    </r>
  </si>
  <si>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</si>
  <si>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</si>
  <si>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</si>
  <si>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</si>
  <si>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</si>
  <si>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</si>
  <si>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</si>
  <si>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</si>
  <si>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</si>
  <si>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</si>
  <si>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</si>
  <si>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</si>
  <si>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</si>
  <si>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</si>
  <si>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</si>
  <si>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</si>
  <si>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</si>
  <si>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</si>
  <si>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</si>
  <si>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</si>
  <si>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</si>
  <si>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</si>
  <si>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</si>
  <si>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</si>
  <si>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</si>
  <si>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</si>
  <si>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</si>
  <si>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</si>
  <si>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</si>
  <si>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</si>
  <si>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</si>
  <si>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</si>
  <si>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</si>
  <si>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</si>
  <si>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</si>
  <si>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</si>
  <si>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</si>
  <si>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</si>
  <si>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</si>
  <si>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</si>
  <si>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</si>
  <si>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</si>
  <si>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</si>
  <si>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</si>
  <si>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</si>
  <si>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</si>
  <si>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</si>
  <si>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</si>
  <si>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</si>
  <si>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</si>
  <si>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</si>
  <si>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</si>
  <si>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</si>
  <si>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</si>
  <si>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</si>
  <si>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</si>
  <si>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</si>
  <si>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</si>
  <si>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</si>
  <si>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</si>
  <si>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</si>
  <si>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</si>
  <si>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</si>
  <si>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</si>
  <si>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</si>
  <si>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</si>
  <si>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</si>
  <si>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</si>
  <si>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</si>
  <si>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</si>
  <si>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</si>
  <si>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</si>
  <si>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</si>
  <si>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</si>
  <si>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</si>
  <si>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</si>
  <si>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</si>
  <si>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</si>
  <si>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</si>
  <si>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</si>
  <si>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</si>
  <si>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</si>
  <si>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</si>
  <si>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</si>
  <si>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</si>
  <si>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</si>
  <si>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</si>
  <si>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</si>
  <si>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</si>
  <si>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</si>
  <si>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</si>
  <si>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</si>
  <si>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</si>
  <si>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</si>
  <si>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</si>
  <si>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</si>
  <si>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</si>
  <si>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</si>
  <si>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</si>
  <si>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</si>
  <si>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</si>
  <si>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</si>
  <si>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</si>
  <si>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</si>
  <si>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</si>
  <si>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</si>
  <si>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</si>
  <si>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</si>
  <si>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</si>
  <si>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</si>
  <si>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</si>
  <si>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</si>
  <si>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</si>
  <si>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</si>
  <si>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</si>
  <si>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</si>
  <si>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</si>
  <si>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</si>
  <si>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</si>
  <si>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</si>
  <si>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</si>
  <si>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</si>
  <si>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</si>
  <si>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</si>
  <si>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</si>
  <si>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</si>
  <si>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</si>
  <si>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</si>
  <si>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</si>
  <si>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</si>
  <si>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</si>
  <si>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</si>
  <si>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</si>
  <si>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</si>
  <si>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</si>
  <si>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</si>
  <si>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</si>
  <si>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</si>
  <si>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</si>
  <si>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</si>
  <si>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</si>
  <si>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</si>
  <si>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</si>
  <si>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</si>
  <si>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</si>
  <si>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</si>
  <si>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</si>
  <si>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</si>
  <si>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</si>
  <si>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</si>
  <si>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</si>
  <si>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</si>
  <si>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</si>
  <si>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</si>
  <si>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</si>
  <si>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</si>
  <si>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</si>
  <si>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</si>
  <si>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</si>
  <si>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</si>
  <si>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</si>
  <si>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</si>
  <si>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</si>
  <si>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</si>
  <si>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</si>
  <si>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</si>
  <si>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</si>
  <si>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</si>
  <si>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</si>
  <si>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</si>
  <si>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</si>
  <si>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</si>
  <si>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</si>
  <si>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</si>
  <si>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</si>
  <si>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</si>
  <si>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</si>
  <si>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</si>
  <si>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</si>
  <si>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</si>
  <si>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</si>
  <si>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</si>
  <si>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</si>
  <si>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</si>
  <si>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</si>
  <si>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</si>
  <si>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</si>
  <si>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</si>
  <si>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</si>
  <si>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</si>
  <si>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</si>
  <si>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</si>
  <si>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</si>
  <si>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</si>
  <si>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</si>
  <si>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</si>
  <si>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</si>
  <si>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</si>
  <si>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</si>
  <si>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</si>
  <si>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</si>
  <si>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</si>
  <si>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</si>
  <si>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</si>
  <si>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</si>
  <si>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</si>
  <si>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</si>
  <si>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</si>
  <si>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</si>
  <si>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</si>
  <si>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</si>
  <si>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</si>
  <si>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</si>
  <si>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</si>
  <si>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</si>
  <si>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</si>
  <si>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</si>
  <si>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</si>
  <si>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</si>
  <si>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</si>
  <si>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</si>
  <si>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</si>
  <si>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</si>
  <si>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</si>
  <si>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</si>
  <si>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</si>
  <si>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</si>
  <si>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</si>
  <si>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</si>
  <si>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</si>
  <si>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</si>
  <si>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</si>
  <si>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</si>
  <si>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</si>
  <si>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</si>
  <si>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</si>
  <si>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</si>
  <si>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</si>
  <si>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</si>
  <si>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</si>
  <si>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</si>
  <si>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</si>
  <si>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</si>
  <si>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</si>
  <si>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</si>
  <si>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</si>
  <si>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</si>
  <si>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</si>
  <si>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</si>
  <si>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</si>
  <si>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</si>
  <si>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</si>
  <si>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</si>
  <si>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</si>
  <si>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</si>
  <si>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</si>
  <si>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</si>
  <si>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</si>
  <si>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</si>
  <si>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</si>
  <si>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</si>
  <si>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</si>
  <si>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</si>
  <si>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</si>
  <si>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</si>
  <si>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</si>
  <si>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</si>
  <si>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</si>
  <si>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</si>
  <si>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</si>
  <si>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</si>
  <si>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</si>
  <si>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</si>
  <si>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</si>
  <si>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</si>
  <si>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</si>
  <si>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</si>
  <si>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</si>
  <si>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</si>
  <si>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</si>
  <si>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</si>
  <si>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</si>
  <si>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</si>
  <si>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</si>
  <si>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</si>
  <si>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</si>
  <si>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</si>
  <si>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</si>
  <si>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</si>
  <si>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</si>
  <si>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</si>
  <si>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</si>
  <si>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</si>
  <si>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</si>
  <si>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</si>
  <si>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</si>
  <si>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</si>
  <si>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</si>
  <si>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</si>
  <si>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</si>
  <si>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</si>
  <si>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cell C57</t>
  </si>
  <si>
    <t>= Sum +D19+D20</t>
  </si>
  <si>
    <t xml:space="preserve">End of Year </t>
  </si>
  <si>
    <t>Current year vacation pay accrual</t>
  </si>
  <si>
    <t>Microwave tower wireless rentals</t>
  </si>
  <si>
    <t>= cell D54</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</si>
  <si>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</si>
  <si>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</si>
  <si>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</si>
  <si>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</si>
  <si>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</si>
  <si>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</si>
  <si>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</si>
  <si>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</si>
  <si>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</si>
  <si>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</si>
  <si>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</si>
  <si>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</si>
  <si>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</si>
  <si>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</si>
  <si>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</si>
  <si>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</si>
  <si>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</si>
  <si>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</si>
  <si>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Affordable Housing Tax Recapture Bond</t>
  </si>
  <si>
    <t>Property Insurance</t>
  </si>
  <si>
    <t>3.82% 1st Mort Bond due 10/03/2047</t>
  </si>
  <si>
    <t>(Q)</t>
  </si>
  <si>
    <t>(R)</t>
  </si>
  <si>
    <t>(S)</t>
  </si>
  <si>
    <t>(U)</t>
  </si>
  <si>
    <t>Beaver Valley</t>
  </si>
  <si>
    <t>(Y)</t>
  </si>
  <si>
    <t>Estimate - Attachment 6, Step 2, Column K, Total*</t>
  </si>
  <si>
    <t>3.89% 1st Mort Bond due 02/01/2048</t>
  </si>
  <si>
    <t>4.04% 1st Mort Bond due 02/01/2058</t>
  </si>
  <si>
    <t>(V)</t>
  </si>
  <si>
    <t>(W)</t>
  </si>
  <si>
    <t>(X)</t>
  </si>
  <si>
    <t>(Z)</t>
  </si>
  <si>
    <t>Dravosburg-Elrama</t>
  </si>
  <si>
    <t>Other Project</t>
  </si>
  <si>
    <t>Retirements</t>
  </si>
  <si>
    <t>CWIP</t>
  </si>
  <si>
    <t>Project X</t>
  </si>
  <si>
    <t>Brady</t>
  </si>
  <si>
    <t xml:space="preserve">Brady </t>
  </si>
  <si>
    <t xml:space="preserve">Beaver Valley </t>
  </si>
  <si>
    <t>Drovosburg-Elrama</t>
  </si>
  <si>
    <t xml:space="preserve">Project X </t>
  </si>
  <si>
    <t>Other Income Tax Adjustments</t>
  </si>
  <si>
    <t>132a</t>
  </si>
  <si>
    <t>R</t>
  </si>
  <si>
    <t>21a</t>
  </si>
  <si>
    <t>Tax Gross-up</t>
  </si>
  <si>
    <t>Percentage</t>
  </si>
  <si>
    <t>x</t>
  </si>
  <si>
    <t>=</t>
  </si>
  <si>
    <t>Federal Income Tax Rate</t>
  </si>
  <si>
    <t>State Income Tax Rate or Composite</t>
  </si>
  <si>
    <t>Federal Income Tax Deductible for State Purposes</t>
  </si>
  <si>
    <t>T</t>
  </si>
  <si>
    <t>T / (1-T)</t>
  </si>
  <si>
    <t>ARAM</t>
  </si>
  <si>
    <t>3 Years</t>
  </si>
  <si>
    <t>Non-Plant Related Items:</t>
  </si>
  <si>
    <t>Reg Asset - Pension</t>
  </si>
  <si>
    <t>Reg Asset - Comp Absences</t>
  </si>
  <si>
    <t>Amort on Reacquired Debt</t>
  </si>
  <si>
    <t>Liability - Accrued Misc Reserves</t>
  </si>
  <si>
    <t>Liability - Healthcare</t>
  </si>
  <si>
    <t>Liability - Legal</t>
  </si>
  <si>
    <t>Liability - OPEB</t>
  </si>
  <si>
    <t>Liability - Injuries &amp; Damages</t>
  </si>
  <si>
    <t>Liability - Comp Absences</t>
  </si>
  <si>
    <t>Liability - Accrued Vacation</t>
  </si>
  <si>
    <t>Liability - Pension</t>
  </si>
  <si>
    <t>Accelerated Depreciation - Transmission</t>
  </si>
  <si>
    <t>Accelerated Depreciation - Distribution/Other</t>
  </si>
  <si>
    <t>Operating Lease Right of Use (ROU)</t>
  </si>
  <si>
    <t>Attachment A Line #s, Descriptions, Notes, Form No. 1 Page #s and Instructions</t>
  </si>
  <si>
    <t>Change to zero to check to Appendix A.</t>
  </si>
  <si>
    <t>Temporary Difference</t>
  </si>
  <si>
    <t>ADIT Balance before TCJA Remeasurement</t>
  </si>
  <si>
    <t>ADIT Balance after TCJA Remeasurement</t>
  </si>
  <si>
    <t>Note A</t>
  </si>
  <si>
    <t>Note B</t>
  </si>
  <si>
    <t>Note C</t>
  </si>
  <si>
    <t>Note D</t>
  </si>
  <si>
    <t>Note E</t>
  </si>
  <si>
    <t>Category of Deficient or (Excess) 
Accumulated Deferred Income Taxes</t>
  </si>
  <si>
    <t xml:space="preserve">Amortization Period </t>
  </si>
  <si>
    <t>Note F</t>
  </si>
  <si>
    <t>Note G</t>
  </si>
  <si>
    <t>Deficient or (Excess)</t>
  </si>
  <si>
    <t>Impacts on Total Income Taxes</t>
  </si>
  <si>
    <t xml:space="preserve">ADIT Amortization </t>
  </si>
  <si>
    <t xml:space="preserve">TCJA 2017 Excess Deferred Income Taxes To Be Flowed Back To Transmission Customers </t>
  </si>
  <si>
    <t>[Reserved for future tax rate changes]</t>
  </si>
  <si>
    <t>Total Adjustments to Tax Expense (without Tax Gross-up)</t>
  </si>
  <si>
    <t>Amortization of Deficient or (Excess) Accumulated Deferred Income Taxes</t>
  </si>
  <si>
    <t xml:space="preserve">Appendix A (Note S) </t>
  </si>
  <si>
    <t>Appendix A, Line 132a</t>
  </si>
  <si>
    <t>S</t>
  </si>
  <si>
    <t>Effective June 1, 2020, includes amounts associated with the amortization of any deficient or (excess) deferred income taxes (resulting from changes in income tax laws, income tax rates, and other actions taken by a tax authority).  See Attachment 5 for detail of Other Income Tax Adjustments and Attachment 9 for detail of Amortization of Deficient or (Excess) Accumulated Deferred Income Taxes.</t>
  </si>
  <si>
    <t>Includes the transmission-allocated portions of the balances in Accounts 190, 281, 282 and 283 and the transmission-allocated portions of the tax-related portions of Accounts 182.3 and 254.  Accumulated deferred income tax amounts associated with asset or liability accounts excluded from rate base (such as ADIT related to other post-employment benefit costs and certain tax-related regulatory assets or liabilities) do not affect rate base.  To maintain rate base neutrality upon changes in income tax laws, income tax rates, and other actions taken by a tax authority, resulting unamortized deficient or (excess) ADIT is included without tax gross-up.  Supporting information is provided in Attachment 1.</t>
  </si>
  <si>
    <t>(Line 132 + Line 132a + Line 133)</t>
  </si>
  <si>
    <t>Other regulatory assets/liabilities - Transmission plant</t>
  </si>
  <si>
    <t>Tax gross-up on other regulatory assets/liabilities - Transmission plant</t>
  </si>
  <si>
    <t>Tax gross-up on excess ADIT regulatory liability - Transmission plant</t>
  </si>
  <si>
    <t>Other tax-related regulatory assets/liabilities - Distribution/other plant</t>
  </si>
  <si>
    <t>Tax gross-up on other tax-related regulatory assets/liabilities - Distribution/other plant</t>
  </si>
  <si>
    <t>Excess ADIT regulatory liability - Distribution/other plant</t>
  </si>
  <si>
    <t xml:space="preserve">Tax gross-up on excess ADIT regulatory liability - Distribution/other plant </t>
  </si>
  <si>
    <t xml:space="preserve">Tax Gross-up on excess ADIT regulatory liability – Transmission non-property-related </t>
  </si>
  <si>
    <t>Lease obligation recognized under ASC 842, not recognized for tax purposes until use of the leased property occurs.</t>
  </si>
  <si>
    <t>Asset recognized under ASC 842, not recognized for tax purposes.</t>
  </si>
  <si>
    <t>Prepaid Information Technology Hardware/Software Maint</t>
  </si>
  <si>
    <t>Toal Other Income Tax Adjustments</t>
  </si>
  <si>
    <t>(AD)</t>
  </si>
  <si>
    <t>(AH)</t>
  </si>
  <si>
    <t>(AJ)</t>
  </si>
  <si>
    <t>(AL)</t>
  </si>
  <si>
    <t>(AN)</t>
  </si>
  <si>
    <t>(AP)</t>
  </si>
  <si>
    <t>(AR)</t>
  </si>
  <si>
    <t>(AT)</t>
  </si>
  <si>
    <t>(AV)</t>
  </si>
  <si>
    <t>(AX)</t>
  </si>
  <si>
    <t>Estimate - Attachment 6, Step 2, Column I, Total*</t>
  </si>
  <si>
    <t>3.11% 1st Mort Bond due 05/05/2050</t>
  </si>
  <si>
    <t>Payroll Tax Deferral</t>
  </si>
  <si>
    <t>Deferred payment of employer payroll tax expenses permitted by COVID legislation, tax deductible when paid.</t>
  </si>
  <si>
    <t xml:space="preserve">I </t>
  </si>
  <si>
    <t>Excess ADIT regulatory liability - Transmission plant (from Attachment 9.2, Line 4, Columns F and H)</t>
  </si>
  <si>
    <t xml:space="preserve">Excess ADIT regulatory liability – Transmission non-property-related (from Attachment 9.2, Line 5, Columns F and H) </t>
  </si>
  <si>
    <t>Deficient ADIT regulatory asset – Transmission non-property-related (from Attachment 9.2, Line 9, Columns F and H)</t>
  </si>
  <si>
    <t xml:space="preserve">Tax Gross-up on deficient ADIT regulatory liability – Transmission non-property-related </t>
  </si>
  <si>
    <r>
      <t xml:space="preserve">Gross-up for income tax due on </t>
    </r>
    <r>
      <rPr>
        <sz val="10"/>
        <color indexed="8"/>
        <rFont val="Arial"/>
        <family val="2"/>
      </rPr>
      <t>non-plant transmission-related excess ADIT (line 20).  Corresponding amount recorded in account 182.3.  Removed from rate base as FASB 109 item below.</t>
    </r>
  </si>
  <si>
    <r>
      <t xml:space="preserve">Transmission-related </t>
    </r>
    <r>
      <rPr>
        <sz val="10"/>
        <color indexed="8"/>
        <rFont val="Arial"/>
        <family val="2"/>
      </rPr>
      <t>tax-related net regulatory assets/liabilities not related to tax law remeasurements (prior to gross-up).  Recorded in Account 254.  Removed from rate base as a FASB 109 item below.</t>
    </r>
  </si>
  <si>
    <r>
      <t>Gross-up for income tax due on transmission-related tax-related net regulatory assets/liabilities other than</t>
    </r>
    <r>
      <rPr>
        <sz val="10"/>
        <color indexed="8"/>
        <rFont val="Arial"/>
        <family val="2"/>
      </rPr>
      <t xml:space="preserve"> tax law change remeasurements (Line 10) excess ADIT. Formerly referred to as FAS 109 Tax Gross-Up.  Recorded in Account 254.  Removed from rate base as a FASB 109 item below.</t>
    </r>
  </si>
  <si>
    <r>
      <t xml:space="preserve">Remeasurement of deferred tax liabilities in account 282 for income tax rate changes on transmission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transmission using the wage and salary allocator.  Transmission excess ADIT agreed to Attachment 9.2. Removed from rate base as a FASB 109 item below. </t>
    </r>
  </si>
  <si>
    <r>
      <t xml:space="preserve">Gross-up for income tax </t>
    </r>
    <r>
      <rPr>
        <sz val="10"/>
        <color indexed="8"/>
        <rFont val="Arial"/>
        <family val="2"/>
      </rPr>
      <t>due on transmission plant-related excess ADIT (Line 12).  Recorded in Account 254.  Removed from rate base as a FASB 109 item below.</t>
    </r>
  </si>
  <si>
    <r>
      <t xml:space="preserve">Distribution/other-related tax-related net regulatory assets/liabilities not related to tax law </t>
    </r>
    <r>
      <rPr>
        <sz val="10"/>
        <color indexed="8"/>
        <rFont val="Arial"/>
        <family val="2"/>
      </rPr>
      <t>change remeasurements.  Recorded in Account 254.  Removed from rate base as a FASB 109 item below.</t>
    </r>
  </si>
  <si>
    <r>
      <t>Gross-up for income tax due on distribution/other-related tax-related net regulatory assets/liabilities othe</t>
    </r>
    <r>
      <rPr>
        <sz val="10"/>
        <color indexed="8"/>
        <rFont val="Arial"/>
        <family val="2"/>
      </rPr>
      <t>r than excess ADIT (Line 14). Formerly referred to as FAS 109 Tax Gross-Up.  Recorded in Account 254.  Removed from rate base as FASB 109 item below.</t>
    </r>
  </si>
  <si>
    <r>
      <t xml:space="preserve">Remeasurements of deferred tax liabilities in account 282 for income tax rate changes on distribution/other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distribution using the wage and salary allocator.  Removed from rate base as a FASB 109 item below. </t>
    </r>
  </si>
  <si>
    <r>
      <t xml:space="preserve">Gross-up for </t>
    </r>
    <r>
      <rPr>
        <sz val="10"/>
        <color indexed="8"/>
        <rFont val="Arial"/>
        <family val="2"/>
      </rPr>
      <t>income tax due on distribution/other-related excess ADIT (Line 16).  Formerly referred to as FAS 109 Tax Gross-Up.  Recorded in Account 254.  Removed from rate base as a FASB 109 item below.</t>
    </r>
  </si>
  <si>
    <r>
      <t xml:space="preserve">Remeasurement of deferred tax liabilities in </t>
    </r>
    <r>
      <rPr>
        <sz val="10"/>
        <color indexed="8"/>
        <rFont val="Arial"/>
        <family val="2"/>
      </rPr>
      <t>accounts 190 and 283 (prior to gross-up) for income tax rate changes on transmission-related book/tax differences not related to plant with an offset to regulatory liability account 254.  Non-plant excess ADIT allocated to transmission using the wage and salary allocator.  Transmission non-plant excess ADIT agreed to permanent worksheet Attachment 9.2. Removed from rate base as a FASB 109 item below.</t>
    </r>
  </si>
  <si>
    <r>
      <t>Gross-up for income tax due on non-plant transmission-related excess</t>
    </r>
    <r>
      <rPr>
        <sz val="10"/>
        <color indexed="8"/>
        <rFont val="Arial"/>
        <family val="2"/>
      </rPr>
      <t xml:space="preserve"> ADIT (Line 18).  Corresponding amount recorded in Account 254.  Removed from rate base as FASB 109 item below.</t>
    </r>
  </si>
  <si>
    <t>Differences between book and tax basis in transmission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12.</t>
  </si>
  <si>
    <t>Differences between book and tax basis in distribution/other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16.</t>
  </si>
  <si>
    <t>Attachment 9.1 - Amortization of Deficient or (Excess) Accumulated Deferred Income Taxes</t>
  </si>
  <si>
    <t>Impact on Income</t>
  </si>
  <si>
    <t>Tax Allowance</t>
  </si>
  <si>
    <t>Attachment 9.2, Line 7</t>
  </si>
  <si>
    <t xml:space="preserve">TCJA 2017 Deficient Deferred Income Taxes To Be Recovered From Transmission Customers </t>
  </si>
  <si>
    <t>Attachment 9.2, Line 9</t>
  </si>
  <si>
    <t>Total Impact on Tax Expense (with Tax Gross-up)</t>
  </si>
  <si>
    <t>To Attach. 5</t>
  </si>
  <si>
    <r>
      <rPr>
        <b/>
        <sz val="10"/>
        <rFont val="Arial"/>
        <family val="2"/>
      </rPr>
      <t>1 -</t>
    </r>
    <r>
      <rPr>
        <sz val="10"/>
        <rFont val="Arial"/>
        <family val="2"/>
      </rPr>
      <t xml:space="preserve"> Positive amounts in Column C are recorded in Account 410.1.  Corresponding amounts in Column E reduce Account 182.3 and increase the income tax allowance and ATRR.  The difference between the two amounts reduces Account 283.  Negative amounts in Column C are recorded in Account 411.1.  Corresponding amounts in Column E reduce Account 254 and decrease the income tax allowance and ATRR.  The difference between the two amounts reduces Account 190.
The total for Column E is reported on Attachment 5.</t>
    </r>
  </si>
  <si>
    <r>
      <rPr>
        <b/>
        <sz val="10"/>
        <rFont val="Arial"/>
        <family val="2"/>
      </rPr>
      <t xml:space="preserve">3 - </t>
    </r>
    <r>
      <rPr>
        <sz val="10"/>
        <rFont val="Arial"/>
        <family val="2"/>
      </rPr>
      <t xml:space="preserve">Tax gross-up calculation for TCJA 2017 amortization for the test period: </t>
    </r>
  </si>
  <si>
    <t>Tax Gross-up Percentage (1 / (1-T))</t>
  </si>
  <si>
    <r>
      <rPr>
        <b/>
        <sz val="10"/>
        <rFont val="Arial"/>
        <family val="2"/>
      </rPr>
      <t>4</t>
    </r>
    <r>
      <rPr>
        <sz val="10"/>
        <rFont val="Arial"/>
        <family val="2"/>
      </rPr>
      <t xml:space="preserve"> - [Reserved for future tax rate changes]</t>
    </r>
  </si>
  <si>
    <t>Attachment 9.2 - Unamortized Deficient or (Excess) Accumulated Deferred Income Taxes</t>
  </si>
  <si>
    <t>Tax Law Change</t>
  </si>
  <si>
    <t>Deficient / (Excess) ADIT 
(Prior to Amortization and without Tax Gross-up)</t>
  </si>
  <si>
    <t>Cumulative Excess / (Deficient) ADIT Amortization through the Beginning of the Test Year</t>
  </si>
  <si>
    <t>Deficient / (Excess) ADIT 
(without Tax Gross-up)
As of Beginning of Test Year</t>
  </si>
  <si>
    <t>Amortization of Excess / (Deficient) ADIT during Test Year
Debit / (Credit)</t>
  </si>
  <si>
    <t>Deficient / (Excess) ADIT 
(without Tax Gross-up)
As of End of Test Year</t>
  </si>
  <si>
    <t xml:space="preserve">Reference </t>
  </si>
  <si>
    <t>Note H</t>
  </si>
  <si>
    <t>ACCOUNT 254:</t>
  </si>
  <si>
    <t xml:space="preserve">Protected Plant-related (Excess) ADIT </t>
  </si>
  <si>
    <t>TCJA-2017</t>
  </si>
  <si>
    <t xml:space="preserve">Total Plant-related (Excess) ADIT </t>
  </si>
  <si>
    <t>Col. F to 1-ADIT, Line 12C, Col H to 1-ADIT, Line 12B</t>
  </si>
  <si>
    <t xml:space="preserve">Unprotected Non-plant-related (Excess) ADIT </t>
  </si>
  <si>
    <t>Col. F to 1-ADIT, Line 18C, Col H to 1-ADIT, Line 18B</t>
  </si>
  <si>
    <t>[Reserved for future changes]</t>
  </si>
  <si>
    <t>Total (Excess) ADIT (Account 254)</t>
  </si>
  <si>
    <t>ACCOUNT 182.3:</t>
  </si>
  <si>
    <t xml:space="preserve">Unprotected Non-plant-related Deficient ADIT </t>
  </si>
  <si>
    <t>Col. F to 1-ADIT, Line 20C, Col H to 1-ADIT, Line 20B</t>
  </si>
  <si>
    <t>Total (Excess) ADIT (Account 182.3)</t>
  </si>
  <si>
    <t>Net Deficient / (Excess) Deferred Taxes</t>
  </si>
  <si>
    <t>From Attach. 9.3</t>
  </si>
  <si>
    <t>To Attachment 9.1</t>
  </si>
  <si>
    <t>Attachment 9.3 - TCJA Remeasurement of Deficient or (Excess) Accumulated Deferred Income Taxes as of December 31, 2017</t>
  </si>
  <si>
    <t>Account 190, 281, 282 or 283</t>
  </si>
  <si>
    <t>Cumulative Temporary Difference at Enactment of TCJA (Pre-tax)</t>
  </si>
  <si>
    <t>Deficient or (Excess) ADIT Due to TCJA
( F = D - E )</t>
  </si>
  <si>
    <t>Protected Deficient or (Excess) ADIT
(Portion of F)</t>
  </si>
  <si>
    <t>Unprotected Deficient or (Excess) ADIT
(Portion of F)</t>
  </si>
  <si>
    <t>Deficient ADIT Recorded to Account 182.3 (prior to tax gross-up)</t>
  </si>
  <si>
    <t>Excess ADIT Recorded to Account 254 (prior to tax gross-up)</t>
  </si>
  <si>
    <t>Note I</t>
  </si>
  <si>
    <t>Note J</t>
  </si>
  <si>
    <t xml:space="preserve">Plant-related Items </t>
  </si>
  <si>
    <t>Federal Method/Life</t>
  </si>
  <si>
    <t xml:space="preserve">Basis / Other Differences </t>
  </si>
  <si>
    <t>Total Plant-related Excess Deferred Taxes</t>
  </si>
  <si>
    <t>Total Non-Plant Related Deficient or Excess Deferred Taxes</t>
  </si>
  <si>
    <t>Total Deficient and (Excess) ADIT (prior to gross-up or amortization)</t>
  </si>
  <si>
    <t>Col. G + Col. H =</t>
  </si>
  <si>
    <t>Col. I + Col. J =</t>
  </si>
  <si>
    <r>
      <rPr>
        <b/>
        <sz val="10"/>
        <rFont val="Arial"/>
        <family val="2"/>
      </rPr>
      <t>C.</t>
    </r>
    <r>
      <rPr>
        <sz val="10"/>
        <rFont val="Arial"/>
        <family val="2"/>
      </rPr>
      <t xml:space="preserve">  Amounts in Columns C-K are the transmission-related cumulative temporary differences between amounts reported for regulatory reporting purposes and amounts reported for tax reporting purposes as of the December 31, 2017, the effective date of the Tax Cuts and Jobs Act decrease in corporate federal income tax rate from 35 percent to 21 percent.  The amounts reflect the provision-to-return true-up adjustments recorded during 2018 to account for differences between the estimates used in 2017 financial reporting and amounts reported on the 2017 federal income tax return filed in 2018.  Plant-related transmission temporary differences specifically identified from underlying Company plant records.  Non-plant related transmission temporary differences are allocated based on the final 2017 applicable wage and salary allocator or gross plant allocator.</t>
    </r>
  </si>
  <si>
    <r>
      <rPr>
        <b/>
        <sz val="10"/>
        <rFont val="Arial"/>
        <family val="2"/>
      </rPr>
      <t>D.</t>
    </r>
    <r>
      <rPr>
        <sz val="10"/>
        <rFont val="Arial"/>
        <family val="2"/>
      </rPr>
      <t xml:space="preserve">  Amounts in Column D are the deferred tax assets or liabilities (ADIT) for each temporary difference as of December 31, 2017, measured at the federal income tax rate in effect until such date (35 percent).</t>
    </r>
  </si>
  <si>
    <r>
      <rPr>
        <b/>
        <sz val="10"/>
        <rFont val="Arial"/>
        <family val="2"/>
      </rPr>
      <t>E.</t>
    </r>
    <r>
      <rPr>
        <sz val="10"/>
        <rFont val="Arial"/>
        <family val="2"/>
      </rPr>
      <t xml:space="preserve">  Amounts in Column E are the ADIT amounts for each temporary difference as of December 31, 2017, re-measured at the federal income tax rate in effect after such date (21 percent).</t>
    </r>
  </si>
  <si>
    <r>
      <rPr>
        <b/>
        <sz val="10"/>
        <rFont val="Arial"/>
        <family val="2"/>
      </rPr>
      <t>G.</t>
    </r>
    <r>
      <rPr>
        <sz val="10"/>
        <rFont val="Arial"/>
        <family val="2"/>
      </rPr>
      <t xml:space="preserve">  Amounts in Column G relate to deficient or (excess) ADIT computed in Column F that is subject to (i.e., protected by) the normalization requirement provided in the Tax Cuts and Jobs Act.</t>
    </r>
  </si>
  <si>
    <r>
      <rPr>
        <b/>
        <sz val="10"/>
        <rFont val="Arial"/>
        <family val="2"/>
      </rPr>
      <t>H.</t>
    </r>
    <r>
      <rPr>
        <sz val="10"/>
        <rFont val="Arial"/>
        <family val="2"/>
      </rPr>
      <t xml:space="preserve">  Amounts in Column H relate to deficient or (excess) ADIT computed in Column F that is not subject to (i.e., not protected by) the normalization requirement provided in the Tax Cuts and Jobs Act.</t>
    </r>
  </si>
  <si>
    <r>
      <rPr>
        <b/>
        <sz val="10"/>
        <rFont val="Arial"/>
        <family val="2"/>
      </rPr>
      <t>2 -</t>
    </r>
    <r>
      <rPr>
        <sz val="10"/>
        <rFont val="Arial"/>
        <family val="2"/>
      </rPr>
      <t xml:space="preserve"> Attachment 9.1 reflects the amortization of both (excess) and deficient deferred income taxes.  A negative amount in column E reflects a net refund of (excess) deferred income taxes.  A positive amount in Column E reflects a net collection of deficient deferred income taxes.</t>
    </r>
  </si>
  <si>
    <t>Attachment 9.1, Column E, Line 5</t>
  </si>
  <si>
    <t xml:space="preserve">Unprotected Plant-related Deficient / (Excess) ADIT </t>
  </si>
  <si>
    <t>Duquesne Light Company</t>
  </si>
  <si>
    <t>Attachment H -17A</t>
  </si>
  <si>
    <r>
      <rPr>
        <b/>
        <sz val="10"/>
        <rFont val="Arial"/>
        <family val="2"/>
      </rPr>
      <t>A.</t>
    </r>
    <r>
      <rPr>
        <sz val="10"/>
        <rFont val="Arial"/>
        <family val="2"/>
      </rPr>
      <t xml:space="preserve">  Lists the transmission-related temporary differences as of the remeasurement date (December 31, 2017) for the TCJA reduction in corporate federal income tax rate. </t>
    </r>
  </si>
  <si>
    <r>
      <rPr>
        <b/>
        <sz val="10"/>
        <rFont val="Arial"/>
        <family val="2"/>
      </rPr>
      <t>B.</t>
    </r>
    <r>
      <rPr>
        <sz val="10"/>
        <rFont val="Arial"/>
        <family val="2"/>
      </rPr>
      <t xml:space="preserve">  Indicates the ADIT account for each temporary difference.  Note that the plant-related temporary difference is separated between protected federal method and life depreciation differences and other basis differences, that are recorded as a single ADIT amount in account 282.</t>
    </r>
  </si>
  <si>
    <r>
      <rPr>
        <b/>
        <sz val="10"/>
        <rFont val="Arial"/>
        <family val="2"/>
      </rPr>
      <t>F.</t>
    </r>
    <r>
      <rPr>
        <sz val="10"/>
        <rFont val="Arial"/>
        <family val="2"/>
      </rPr>
      <t xml:space="preserve">  Amounts in Column F are the deficient or (excess) ADIT amounts for each temporary difference as of December 31, 2017, prior to gross-up to the revenue requirement.  The deficient or (excess) ADIT amounts (prior to gross-up) attributable to Accounts 190, 281, 282 and 283 were recorded as a net debit to Account 190 and resulted in amounts recorded in Account 182.3 or Account 254 (as indicated in Columns I and J).  The amount of ADIT affecting rate base reflects the remeasurements as the deficient ADIT is recovered or the (excess) ADIT is refunded (detailed on Attachment 1 - ADIT).  The amounts in Column F, as classified in Columns G and H under the TCJA normalization rule and as classified in Columns I and J as deficient or excess, are reported on Attachment 9.2 for purposes of computing the unamortized deficient or (excess) ADIT and the rate base adjustment.</t>
    </r>
  </si>
  <si>
    <r>
      <rPr>
        <b/>
        <sz val="10"/>
        <rFont val="Arial"/>
        <family val="2"/>
      </rPr>
      <t>I.</t>
    </r>
    <r>
      <rPr>
        <sz val="10"/>
        <rFont val="Arial"/>
        <family val="2"/>
      </rPr>
      <t xml:space="preserve">  Deficient ADIT amounts due to remeasurements resulting from changes in tax law are recorded in Account 182.3.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</si>
  <si>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J. </t>
    </r>
    <r>
      <rPr>
        <sz val="10"/>
        <rFont val="Arial"/>
        <family val="2"/>
      </rPr>
      <t xml:space="preserve"> (Excess) ADIT amounts due to remeasurements resulting from changes in tax law are recorded in account 254.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</si>
  <si>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A.  </t>
    </r>
    <r>
      <rPr>
        <sz val="10"/>
        <rFont val="Arial"/>
        <family val="2"/>
      </rPr>
      <t>Lists the categories of transmission-allocated deficient or (excess) accumulated deferred income taxes (ADIT) due to re-measurements resulting from changes in tax law.  "Protected" means that normalization rules apply to the refund of excess deferred income taxes or the recovery of deficient deferred income taxes.  For TCJA-2017, normalization rules apply to certain depreciation-related excess deferred taxes and provide that such amounts may not be returned to customers more rapidly or to a greater extent than the Average Rate Assumption Method (ARAM) over the remaining book depreciable lives of the associated property.  Unprotected Deficient or (Excess) ADIT is not subject to normalization rules.  Amounts in Column D based on the re-measurements on Attachment 9.3 or similar attachments for other changes in tax law.  For TCJA-2017, amounts in Column D Lines 2, 3, 5, and 9 agree with amounts in Attachment 9.3 Lines 3-G, 3-H, 15-J, and 15-I, respectively.</t>
    </r>
  </si>
  <si>
    <r>
      <rPr>
        <b/>
        <sz val="10"/>
        <rFont val="Arial"/>
        <family val="2"/>
      </rPr>
      <t xml:space="preserve">B.  </t>
    </r>
    <r>
      <rPr>
        <sz val="10"/>
        <rFont val="Arial"/>
        <family val="2"/>
      </rPr>
      <t>Indicates the tax law change and the date of enactment.  "TCJA-2017" refers to the Tax Cuts and Jobs Act (P.L. 115-97) enacted on December 22, 2017.  Details of (excess) or deficient ADIT attributable to TCJA-2017 are reflected on Attachment 9.3.  The impacts of future changes in federal, state or local income tax rates, if any, will result in additional attachments to support the computation of future deficient or (excess) ADIT amounts impacting customer rates.</t>
    </r>
  </si>
  <si>
    <r>
      <rPr>
        <b/>
        <sz val="10"/>
        <rFont val="Arial"/>
        <family val="2"/>
      </rPr>
      <t xml:space="preserve">C.  </t>
    </r>
    <r>
      <rPr>
        <sz val="10"/>
        <rFont val="Arial"/>
        <family val="2"/>
      </rPr>
      <t xml:space="preserve">Amortization related to TCJA amounts described as 3 Years is computed ratably.  Amortization over the ARAM occurs over the remaining depreciable lives of the associated property. </t>
    </r>
  </si>
  <si>
    <r>
      <rPr>
        <b/>
        <sz val="10"/>
        <rFont val="Arial"/>
        <family val="2"/>
      </rPr>
      <t xml:space="preserve">D.  </t>
    </r>
    <r>
      <rPr>
        <sz val="10"/>
        <rFont val="Arial"/>
        <family val="2"/>
      </rPr>
      <t>Amounts in Column D are the deficient or (excess) ADIT for category of temporary differences as of the applicable remeasurement date, prior to any amortization (i.e., refund or recovery), before tax gross-up to the revenue requirement and reflecting subsequent provision-to-return true-up adjustments, amended returns and audit adjustments.  The applicable remeasurement date for TCJA-2017 was December 31, 2017, and amounts were recorded during 2018 to account for differences between the estimates used in 2017 financial reporting and amounts reported on the 2017 federal income tax return filed in 2018.  The TCJA amounts are computed on Attachment 9.3.</t>
    </r>
  </si>
  <si>
    <r>
      <rPr>
        <b/>
        <sz val="10"/>
        <rFont val="Arial"/>
        <family val="2"/>
      </rPr>
      <t xml:space="preserve">E.  </t>
    </r>
    <r>
      <rPr>
        <sz val="10"/>
        <rFont val="Arial"/>
        <family val="2"/>
      </rPr>
      <t xml:space="preserve">Positive amounts are the cumulative refund of excess ADIT prior to the test period (before gross-up to the revenue requirement).  Negative amounts are the cumulative recovery of deficient ADIT prior to the test period (before gross-up to the revenue requirement).  </t>
    </r>
  </si>
  <si>
    <r>
      <rPr>
        <b/>
        <sz val="10"/>
        <rFont val="Arial"/>
        <family val="2"/>
      </rPr>
      <t xml:space="preserve">F.  </t>
    </r>
    <r>
      <rPr>
        <sz val="10"/>
        <rFont val="Arial"/>
        <family val="2"/>
      </rPr>
      <t>Amounts in Column F are the deficient or (excess) ADIT for category of temporary differences as of the beginning of the test period, adjusted for cumulative refunds or recoveries before such date and before gross-up to the revenue requirement.  The impact of these amounts on rate base is reflected on Attachment 1 - ADIT.</t>
    </r>
  </si>
  <si>
    <r>
      <rPr>
        <b/>
        <sz val="10"/>
        <rFont val="Arial"/>
        <family val="2"/>
      </rPr>
      <t xml:space="preserve">G.  </t>
    </r>
    <r>
      <rPr>
        <sz val="10"/>
        <rFont val="Arial"/>
        <family val="2"/>
      </rPr>
      <t>Positive amounts are the annual refund of excess ADIT during the test period (before gross-up to the revenue requirement).  These amounts reduce Account 254 and are credited to Account 411.1.  Negative amounts are the annual recovery of deficient ADIT during the test period (before gross-up to the revenue requirement).  These amounts reduce Account 182.3 and are debited to Account 410.1.  The impact of these amounts on the income tax allowance, including tax gross-up, is computed on Attachment 9.1 - Amortization of Deficient or (Excess) ADIT.</t>
    </r>
  </si>
  <si>
    <r>
      <rPr>
        <b/>
        <sz val="10"/>
        <rFont val="Arial"/>
        <family val="2"/>
      </rPr>
      <t xml:space="preserve">H.  </t>
    </r>
    <r>
      <rPr>
        <sz val="10"/>
        <rFont val="Arial"/>
        <family val="2"/>
      </rPr>
      <t>Amounts in Column H are the deficient or (excess) ADIT for category of temporary differences as of the end of the test period, adjusted for cumulative refunds or recoveries before such date and before gross-up to the revenue requirement.  The impact of these amounts on rate base is reflected on Attachment 1 - ADIT.</t>
    </r>
  </si>
  <si>
    <r>
      <t xml:space="preserve">Remeasurement of deferred tax assets in account 190 (prior to tax gross-up) for income tax rate changes on transmission-related book/tax </t>
    </r>
    <r>
      <rPr>
        <sz val="10"/>
        <color indexed="8"/>
        <rFont val="Arial"/>
        <family val="2"/>
      </rPr>
      <t>differences not related to plant with an offset to regulatory asset account 182.3.  Non-plant deficient ADIT allocated to transmission using the wage and salary allocator.  Transmission non-plant deficient ADIT agreed to Attachment 9.2.  Removed from rate base as a FASB 109 item below.</t>
    </r>
  </si>
  <si>
    <t>Includes amounts on Lines 10 – 21.</t>
  </si>
  <si>
    <t>Includes amount on Line 26.</t>
  </si>
  <si>
    <t>= cell D51</t>
  </si>
  <si>
    <t>= cell C51</t>
  </si>
  <si>
    <t>= cell D55</t>
  </si>
  <si>
    <t>= cell C59 + C60 + C61</t>
  </si>
  <si>
    <t>= cell C58</t>
  </si>
  <si>
    <t>= Sum (D10:D17) + D3</t>
  </si>
  <si>
    <t>Joint tower attachments - transmission</t>
  </si>
  <si>
    <t>For 2021</t>
  </si>
  <si>
    <t>B3012.2</t>
  </si>
  <si>
    <t>B3015.2</t>
  </si>
  <si>
    <t>B1969</t>
  </si>
  <si>
    <t>B2689.1/B2689.2</t>
  </si>
  <si>
    <t>(AA)</t>
  </si>
  <si>
    <t>(AB)</t>
  </si>
  <si>
    <t>(AC)</t>
  </si>
  <si>
    <t>(AE)</t>
  </si>
  <si>
    <t>(AG)</t>
  </si>
  <si>
    <t>(AI)</t>
  </si>
  <si>
    <t>(AK)</t>
  </si>
  <si>
    <t>(AM)</t>
  </si>
  <si>
    <t>(AO)</t>
  </si>
  <si>
    <t>(AQ)</t>
  </si>
  <si>
    <t>(AS)</t>
  </si>
  <si>
    <t>(AZ)</t>
  </si>
  <si>
    <t>(BB)</t>
  </si>
  <si>
    <t>(BD)</t>
  </si>
  <si>
    <t>(BF)</t>
  </si>
  <si>
    <t>(BH)</t>
  </si>
  <si>
    <t>(BJ)</t>
  </si>
  <si>
    <t>(BL)</t>
  </si>
  <si>
    <t>(BN)</t>
  </si>
  <si>
    <t>(BP)</t>
  </si>
  <si>
    <t>(BR)</t>
  </si>
  <si>
    <t>(BT)</t>
  </si>
  <si>
    <t>(BV)</t>
  </si>
  <si>
    <t>(BX)</t>
  </si>
  <si>
    <t>(BZ)</t>
  </si>
  <si>
    <t>(CB)</t>
  </si>
  <si>
    <t>Project B3012.2 CWIP</t>
  </si>
  <si>
    <t>Project B3012.2 PIS</t>
  </si>
  <si>
    <t>Project B3015.2 CWIP</t>
  </si>
  <si>
    <t>Project B3015.2 PIS</t>
  </si>
  <si>
    <t>Project B2689.1/B2689.2 PIS</t>
  </si>
  <si>
    <t>Project B1969 PIS</t>
  </si>
  <si>
    <t>Estimate - Attachment 6, Step 2, Column AH, Avg mos*</t>
  </si>
  <si>
    <t>Estimate - Attachment 6, Step 2, Column W, Total*</t>
  </si>
  <si>
    <t>Project</t>
  </si>
  <si>
    <t>TBD</t>
  </si>
  <si>
    <t>Subtotal - p275</t>
  </si>
  <si>
    <t>Beaver Valley
w/o B3015.2</t>
  </si>
  <si>
    <t>Beaver Valley 
w/o B3015.2</t>
  </si>
  <si>
    <t>Dravosburg-Elrama
w/o B3012.2</t>
  </si>
  <si>
    <t>Drovosburg-Elrama
w/o B3012.2</t>
  </si>
  <si>
    <t>Beaver Valley Deactivation Project (w/o B3015.2) CWIP</t>
  </si>
  <si>
    <t>Beaver Valley Deactivation Project (w/o B3015.2) PIS</t>
  </si>
  <si>
    <t>Dravosburg-Elrama Project (w/o 3012.2) CWIP</t>
  </si>
  <si>
    <t>Dravosburg-Elrama Project (w/o B3012.2) PIS</t>
  </si>
  <si>
    <t>w/o B3012.2 PIS</t>
  </si>
  <si>
    <t>w/o 3015.5 PIS</t>
  </si>
  <si>
    <t>Less line 23</t>
  </si>
  <si>
    <t>Revenues associated with lines 19 thru 23 are to be included in lines 1-14 and total of those revenues entered here</t>
  </si>
  <si>
    <t>Income Taxes associated with revenues in line 18</t>
  </si>
  <si>
    <t>One half margin  (line 18 - line 19)/2</t>
  </si>
  <si>
    <t>All expenses (other than income taxes) associated with revenues in line 18 that are included in FERC accounts recovered through the formula times the allocator used to functionalize the amounts in the FERC account to the transmission service at issue.</t>
  </si>
  <si>
    <t>Line 20 plus line 21</t>
  </si>
  <si>
    <t>Line 18 less line 22</t>
  </si>
  <si>
    <t>Abandoned Transmission Projects</t>
  </si>
  <si>
    <t>(Note T)</t>
  </si>
  <si>
    <t>76a</t>
  </si>
  <si>
    <t>Amortization of Abandoned Plant Projects</t>
  </si>
  <si>
    <t>a  Beginning Balance of Unamortized Transmission Projects</t>
  </si>
  <si>
    <t>Per FERC Order</t>
  </si>
  <si>
    <t>b  Years remaining in Amortization Period</t>
  </si>
  <si>
    <t>c  Transmission Amortization Expense</t>
  </si>
  <si>
    <t>(Line a / Line b)</t>
  </si>
  <si>
    <t>Docket Number authorizing amount and period for recovery of Abandoned Transmission Project</t>
  </si>
  <si>
    <t>Abandoned Plant</t>
  </si>
  <si>
    <t>(AU)</t>
  </si>
  <si>
    <t>Beaver Valley Deactivation w/o 3015.2 Project Abandonment Costs</t>
  </si>
  <si>
    <t>Dravosburg-Elrama Project w/o 3012.2 Abandonment Costs</t>
  </si>
  <si>
    <t>B3015.2  Abandonment Costs</t>
  </si>
  <si>
    <t>B3012.2 Abandonment Costs</t>
  </si>
  <si>
    <t>Estimate - Attachment 6, Step 2, Column AK, Avg mos*</t>
  </si>
  <si>
    <t>Estimate - Attachment 6, Step 2, Column AJ Avg mos*</t>
  </si>
  <si>
    <t>Estimate - Attachment 6, Step 2, Column AQ, Avg mos*</t>
  </si>
  <si>
    <t>Estimate - Attachment 6, Step 2, Column AP Avg mos*</t>
  </si>
  <si>
    <t>Estimate - Attachment 6, Step 2, Column AV Avg mos*</t>
  </si>
  <si>
    <t>Beaver Valley Deactivation Transmission Project B3015.2 (Other Zone)</t>
  </si>
  <si>
    <t>Dravosburg-Elrama Expansion Project 
B3012.2 (Other Zone)</t>
  </si>
  <si>
    <t>Beaver Valley Deactivation Transmission Project
w/o B3015.2 (DLCo Zone)</t>
  </si>
  <si>
    <t>Dravosburg-Elrama Expansion Project
w/o B3012.2 (DLCo Zone)</t>
  </si>
  <si>
    <t>Revenue [(Beginning + Ending)/2* Line 11 + Amortization]</t>
  </si>
  <si>
    <t>Annual Amortization Exp.</t>
  </si>
  <si>
    <t>Estimate - Attachment 5 Abandoned Transmission Projects, Line c.</t>
  </si>
  <si>
    <t>Amortization = Annual Amortization Expense (specific for Abandoned Plant).</t>
  </si>
  <si>
    <t>Wages &amp; Salary Allocator -- Appendix A line 5</t>
  </si>
  <si>
    <t>Gross Plant Allocator -- Appendix A line 10</t>
  </si>
  <si>
    <t>Enter Column B as a negative on Appendix A, line 34.  (Column B = Sum of Columns F through H)</t>
  </si>
  <si>
    <t>Amortization to Line 129 of Appendix A</t>
  </si>
  <si>
    <t>Appendix A, Line 51</t>
  </si>
  <si>
    <t>(Line 109 / Line 112)</t>
  </si>
  <si>
    <t>Appendix A, Line 113</t>
  </si>
  <si>
    <t>(Line 110 / Line 112)</t>
  </si>
  <si>
    <t>Appendix A, Line 114</t>
  </si>
  <si>
    <t>(Line 111 / Line 112)</t>
  </si>
  <si>
    <t>Appendix A, Line 115</t>
  </si>
  <si>
    <t>(Line 98 / Line 109)</t>
  </si>
  <si>
    <t>Appendix A, Line 116</t>
  </si>
  <si>
    <t>(Line 99 / Line 110)</t>
  </si>
  <si>
    <t>Appendix A, Line 117</t>
  </si>
  <si>
    <t>Appendix A, Line 118 + 1%</t>
  </si>
  <si>
    <t>(Line 113 * Line 116)</t>
  </si>
  <si>
    <t>Appendix A, Line 119</t>
  </si>
  <si>
    <t>(Line 114 * Line 117)</t>
  </si>
  <si>
    <t>Appendix A, Line 120</t>
  </si>
  <si>
    <t>(Line 115 * Line 118)</t>
  </si>
  <si>
    <t>(Sum Lines 119 to 121)</t>
  </si>
  <si>
    <t>(Line 51 * Line 122)</t>
  </si>
  <si>
    <t>Appendix A, Line 124</t>
  </si>
  <si>
    <t>Appendix A, Line 125</t>
  </si>
  <si>
    <t>Appendix A, Line 126</t>
  </si>
  <si>
    <t>Appendix A, Line 127</t>
  </si>
  <si>
    <t>Appendix A, Line 128</t>
  </si>
  <si>
    <t>Appendix A, Line 129</t>
  </si>
  <si>
    <t>1 / (1 - Line 127)</t>
  </si>
  <si>
    <t>Appendix A, Line 130</t>
  </si>
  <si>
    <t>(Line 12)</t>
  </si>
  <si>
    <t>Appendix A, Line 131</t>
  </si>
  <si>
    <t>(Line 129 * (1 + Line 130) * Line 131)</t>
  </si>
  <si>
    <t>Appendix A, Line 132</t>
  </si>
  <si>
    <t>Attachment 1, Col B,  Line 9</t>
  </si>
  <si>
    <t>ERXX-XXXX</t>
  </si>
  <si>
    <t>For 2022</t>
  </si>
  <si>
    <t>BI-Carson Cheswick</t>
  </si>
  <si>
    <t>4.59% 1st Mort Bond due 10/03/2052</t>
  </si>
  <si>
    <t>BI Carson Cheswick Project CWIP</t>
  </si>
  <si>
    <t>BI Carson Cheswick Project PIS</t>
  </si>
  <si>
    <t>(AF)</t>
  </si>
  <si>
    <t>(AW) = AD</t>
  </si>
  <si>
    <t>(AY) = AW * AX</t>
  </si>
  <si>
    <t>13 month avg of new plant additions = Col AD + Col AF + Col AG + Col AI + Col AJ + Col AL + Col AN + Col AP + Col AR + Col AT + Col AV</t>
  </si>
  <si>
    <t>13 month avg of current year changes to CWIP = Col AE + Col AH + Col AK + Col AM + Col AO + Col AQ + Col AS</t>
  </si>
  <si>
    <t>(BA) = AF</t>
  </si>
  <si>
    <t>(BC) = BA * BB</t>
  </si>
  <si>
    <t>(BE) = AG</t>
  </si>
  <si>
    <t>(BG) = BE * BF</t>
  </si>
  <si>
    <t>(BI) = AI</t>
  </si>
  <si>
    <t>(BK) = BI * BJ</t>
  </si>
  <si>
    <t>(BM) = AJ</t>
  </si>
  <si>
    <t>(BO) = BM * BN</t>
  </si>
  <si>
    <t>(BQ) = AL</t>
  </si>
  <si>
    <t>(BS) = BQ * BR</t>
  </si>
  <si>
    <t>(BU) = AN</t>
  </si>
  <si>
    <t>(BW) = BU * BV</t>
  </si>
  <si>
    <t>(BY) = AP</t>
  </si>
  <si>
    <t>(CA) = BY * BZ</t>
  </si>
  <si>
    <t>(CD) = AR</t>
  </si>
  <si>
    <t>(CE)</t>
  </si>
  <si>
    <t>(CG)</t>
  </si>
  <si>
    <t>(CF) = CD * CE</t>
  </si>
  <si>
    <t>(CI)</t>
  </si>
  <si>
    <t>(CK)</t>
  </si>
  <si>
    <t>(CH) = AT</t>
  </si>
  <si>
    <t>(CJ) = CH * CI</t>
  </si>
  <si>
    <t>(CM)</t>
  </si>
  <si>
    <t>(CO)</t>
  </si>
  <si>
    <t>(CL) = AV</t>
  </si>
  <si>
    <t>(CN) = CL * CM</t>
  </si>
  <si>
    <t>Depreciation Expense = Col AY + Col BC + Col BG + Col BK + Col BO + Col BS + Col BW + Col CA + Col CF + Col CJ + Col CN</t>
  </si>
  <si>
    <t>13 mo. Avg accumulated depreciation = Col AZ + Col BD + Col BH + Col BL + Col BP + Col BT + Col BX + Col CB + Col CG + Col CK + Col CO</t>
  </si>
  <si>
    <t>End of Year balance new plant additions = Col A + Col D + Col F + Col I + Col K+ Col N + Col Q + Col T + Col W + Col Z + Col AB</t>
  </si>
  <si>
    <t>IF statement will need updated in next years file</t>
  </si>
  <si>
    <t>(Line 76 + Line 76a + Line 77)</t>
  </si>
  <si>
    <t>Total Transmission Depreciation and Amortization Expense</t>
  </si>
  <si>
    <t>Estimate - Attachment 6, Step 2, Column AE, Avg mos*</t>
  </si>
  <si>
    <t>Estimate - Attachment 6, Step 2, Column BD, Total*</t>
  </si>
  <si>
    <t>Estimate - Attachment 6, Step 2, Column AF Avg mos*</t>
  </si>
  <si>
    <t>Estimate - Attachment 6, Step 2, Column BH, Total*</t>
  </si>
  <si>
    <t>Estimate - Attachment 6, Step 2, Column AG Avg mos*</t>
  </si>
  <si>
    <t>Estimate - Attachment 6, Step 2, Column BL, Total*</t>
  </si>
  <si>
    <t>Estimate - Attachment 6, Step 2, Column AI, Avg mos*</t>
  </si>
  <si>
    <t>Estimate - Attachment 6, Step 2, Column BP, Total*</t>
  </si>
  <si>
    <t>Estimate - Attachment 6, Step 2, Column AM, Avg mos*</t>
  </si>
  <si>
    <t>Estimate - Attachment 6, Step 2, Column N, Total*</t>
  </si>
  <si>
    <t>Estimate - Attachment 6, Step 2, Column BT, Total*</t>
  </si>
  <si>
    <t>Estimate - Attachment 6, Step 2, Column AL Avg mos*</t>
  </si>
  <si>
    <t>Estimate - Attachment 6, Step 2, Column AO, Avg mos*</t>
  </si>
  <si>
    <t>Estimate - Attachment 6, Step 2, Column Q, Total*</t>
  </si>
  <si>
    <t>Estimate - Attachment 6, Step 2, Column BX, Total*</t>
  </si>
  <si>
    <t>Estimate - Attachment 6, Step 2, Column AN Avg mos*</t>
  </si>
  <si>
    <t>Estimate - Attachment 6, Step 2, Column T, Total*</t>
  </si>
  <si>
    <t>Estimate - Attachment 6, Step 2, Column CB, Total*</t>
  </si>
  <si>
    <t>Estimate - Attachment 6, Step 2, Column CG, Total*</t>
  </si>
  <si>
    <t>Estimate - Attachment 6, Step 2, Column AR Avg mos*</t>
  </si>
  <si>
    <t>Estimate - Attachment 6, Step 2, Column AS, Avg mos*</t>
  </si>
  <si>
    <t>Estimate - Attachment 6, Step 2, Column Z, Total*</t>
  </si>
  <si>
    <t>Estimate - Attachment 6, Step 2, Column CK, Total*</t>
  </si>
  <si>
    <t>Estimate - Attachment 6, Step 2, Column AT Avg mos*</t>
  </si>
  <si>
    <t>Estimate - Attachment 6, Step 2, Column AB, Total*</t>
  </si>
  <si>
    <t>Estimate - Attachment 6, Step 2, Column CO, Total*</t>
  </si>
  <si>
    <t>Amortization of Abandoned Plant may only be included pursuant to a Commission Order authorizing such inclusion.  The Company must submit a Section 205 filing to recover the cost of abandoned plant.</t>
  </si>
  <si>
    <t>(Lines 35 + 37 + 39 + 41 + 46 + 49)</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</si>
  <si>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</si>
  <si>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p111.71.c (Acct. 182.2)</t>
  </si>
  <si>
    <t>p114.10.c (Acct. 407)</t>
  </si>
  <si>
    <t>Beginning = 13 month avg Plant CWIP or Incentive Plant balance</t>
  </si>
  <si>
    <t>Total = Sum of Revenue for Projects</t>
  </si>
  <si>
    <t>Deprec = 13 month avg Accumulated Depreciation specific to Incentive Plant balances</t>
  </si>
  <si>
    <t>Revenue= FCR* (Beginning + Ending)/2 + Amortization Expense (specific for Abandoned Plant)</t>
  </si>
  <si>
    <r>
      <t>TO adds 13 month average Cap Adds and retirements (line 14), CWIP (line 36)</t>
    </r>
    <r>
      <rPr>
        <sz val="10"/>
        <color indexed="10"/>
        <rFont val="Arial"/>
        <family val="2"/>
      </rPr>
      <t xml:space="preserve">, </t>
    </r>
    <r>
      <rPr>
        <sz val="10"/>
        <rFont val="Arial"/>
        <family val="2"/>
      </rPr>
      <t>and associated depreciation (lines 23 and 77) to the Formula.</t>
    </r>
  </si>
  <si>
    <r>
      <t>TO estimates all transmission Cap Adds, Retirements, CWIP</t>
    </r>
    <r>
      <rPr>
        <sz val="10"/>
        <color indexed="10"/>
        <rFont val="Arial"/>
        <family val="2"/>
      </rPr>
      <t xml:space="preserve">, </t>
    </r>
    <r>
      <rPr>
        <sz val="10"/>
        <rFont val="Arial"/>
        <family val="2"/>
      </rPr>
      <t>and associated depreciation for Year 3 based on Months expected to be in service and monthly CWIP balances in Year 3.</t>
    </r>
  </si>
  <si>
    <t>TO adds 13 month average Cap Adds and retirements (line 14), CWIP (line 36), and associated depreciation (lines 23 and 77) to the Formula.</t>
  </si>
  <si>
    <r>
      <t>Detail of actual Cap Adds, Retirements, CWIP</t>
    </r>
    <r>
      <rPr>
        <sz val="10"/>
        <color indexed="10"/>
        <rFont val="Arial"/>
        <family val="2"/>
      </rPr>
      <t xml:space="preserve">, </t>
    </r>
    <r>
      <rPr>
        <sz val="10"/>
        <rFont val="Arial"/>
        <family val="2"/>
      </rPr>
      <t>and associated depreciation for Year 2 based on Months expected to be in service and monthly CWIP balances in Year 2.</t>
    </r>
  </si>
  <si>
    <t>Must run App A to get this # (with 13 mo. avg cap adds, CWIP, depreciation for Year 3 cap adds)</t>
  </si>
  <si>
    <t>Estimate - Attachment 6, Step 2, Column D, Total*</t>
  </si>
  <si>
    <t>** For abandoned plant, line 14 (annual amortization expense) will be sourced from Attachment 5 - Abandoned Transmission Projects.  Lines 10 &amp; 11 (carrying charge) and line 15 (13 month average plant) will remain zero until the Commission accepts or approves the future recovery of unamortized Abandoned Plant.  The Company will be required to submit a Section 205 filing to recover these costs.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</si>
</sst>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 numFmtId="216" formatCode="_(&quot;$&quot;* #,##0.0_);_(&quot;$&quot;* \(#,##0.0\);_(&quot;$&quot;* &quot;-&quot;?_);_(@_)"/>
    <numFmt numFmtId="217" formatCode="[$-409]dddd\,\ mmmm\ d\,\ yyyy"/>
    <numFmt numFmtId="218" formatCode="[$-409]h:mm:ss\ AM/PM"/>
  </numFmts>
  <fonts count="116">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name val="Calibri"/>
      <family val="2"/>
    </font>
    <font>
      <sz val="10"/>
      <color indexed="8"/>
      <name val="Arial"/>
      <family val="2"/>
    </font>
    <font>
      <sz val="8"/>
      <name val="Times New Roman"/>
      <family val="1"/>
    </font>
    <font>
      <b/>
      <sz val="8"/>
      <name val="Times New Roman"/>
      <family val="1"/>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b/>
      <sz val="10"/>
      <name val="Calibri"/>
      <family val="2"/>
    </font>
    <font>
      <sz val="12"/>
      <color indexed="10"/>
      <name val="Times New Roman"/>
      <family val="1"/>
    </font>
    <font>
      <sz val="11"/>
      <color indexed="10"/>
      <name val="Calibri"/>
      <family val="2"/>
    </font>
    <font>
      <sz val="10"/>
      <color indexed="9"/>
      <name val="Arial"/>
      <family val="2"/>
    </font>
    <font>
      <sz val="10"/>
      <color indexed="51"/>
      <name val="Arial"/>
      <family val="2"/>
    </font>
    <font>
      <sz val="10"/>
      <color indexed="10"/>
      <name val="Arial Narrow"/>
      <family val="2"/>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sz val="10"/>
      <color theme="1"/>
      <name val="Arial"/>
      <family val="2"/>
    </font>
    <font>
      <sz val="11"/>
      <color theme="1"/>
      <name val="Calibri"/>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2"/>
      <color rgb="FFFF0000"/>
      <name val="Arial"/>
      <family val="2"/>
    </font>
    <font>
      <sz val="10"/>
      <color rgb="FFFF0000"/>
      <name val="Arial"/>
      <family val="2"/>
    </font>
    <font>
      <sz val="12"/>
      <color rgb="FFFF0000"/>
      <name val="Arial"/>
      <family val="2"/>
    </font>
    <font>
      <b/>
      <sz val="10"/>
      <color rgb="FFFF0000"/>
      <name val="Arial"/>
      <family val="2"/>
    </font>
    <font>
      <sz val="12"/>
      <color rgb="FFFF0000"/>
      <name val="Times New Roman"/>
      <family val="1"/>
    </font>
    <font>
      <b/>
      <sz val="10"/>
      <color rgb="FFFF0000"/>
      <name val="Arial Narrow"/>
      <family val="2"/>
    </font>
    <font>
      <sz val="12"/>
      <color rgb="FFFF0000"/>
      <name val="Arial Narrow"/>
      <family val="2"/>
    </font>
    <font>
      <sz val="10"/>
      <color theme="0"/>
      <name val="Arial"/>
      <family val="2"/>
    </font>
    <font>
      <sz val="10"/>
      <color rgb="FFFFC000"/>
      <name val="Arial"/>
      <family val="2"/>
    </font>
    <font>
      <sz val="10"/>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top style="thin"/>
      <bottom style="thin"/>
    </border>
    <border>
      <left>
        <color indexed="63"/>
      </left>
      <right>
        <color indexed="63"/>
      </right>
      <top style="thin"/>
      <bottom style="medium"/>
    </border>
    <border>
      <left>
        <color indexed="63"/>
      </left>
      <right style="medium"/>
      <top style="thin"/>
      <bottom style="medium"/>
    </border>
    <border>
      <left/>
      <right/>
      <top style="thin"/>
      <bottom style="thin"/>
    </border>
    <border>
      <left>
        <color indexed="63"/>
      </left>
      <right>
        <color indexed="63"/>
      </right>
      <top>
        <color indexed="63"/>
      </top>
      <bottom style="double"/>
    </border>
    <border>
      <left style="thin"/>
      <right style="thin"/>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medium"/>
      <right style="medium"/>
      <top style="medium"/>
      <bottom>
        <color indexed="63"/>
      </bottom>
    </border>
    <border>
      <left style="thin"/>
      <right style="thin"/>
      <top style="thin"/>
      <bottom>
        <color indexed="63"/>
      </bottom>
    </border>
    <border>
      <left style="thin">
        <color rgb="FFC0C0C0"/>
      </left>
      <right style="thin">
        <color rgb="FFC0C0C0"/>
      </right>
      <top style="thin">
        <color rgb="FFC0C0C0"/>
      </top>
      <bottom style="thin">
        <color rgb="FFC0C0C0"/>
      </botto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color rgb="FF000000"/>
      </left>
      <right style="medium">
        <color rgb="FF000000"/>
      </right>
      <top style="medium">
        <color rgb="FF000000"/>
      </top>
      <bottom style="medium">
        <color rgb="FF000000"/>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9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93" fillId="0" borderId="0" applyFont="0" applyFill="0" applyBorder="0" applyAlignment="0" applyProtection="0"/>
    <xf numFmtId="43" fontId="0" fillId="0" borderId="0" applyFont="0" applyFill="0" applyBorder="0" applyAlignment="0" applyProtection="0"/>
    <xf numFmtId="43" fontId="93" fillId="0" borderId="0" applyFont="0" applyFill="0" applyBorder="0" applyAlignment="0" applyProtection="0"/>
    <xf numFmtId="43" fontId="54"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3" fillId="0" borderId="0" applyFont="0" applyFill="0" applyBorder="0" applyAlignment="0" applyProtection="0"/>
    <xf numFmtId="44" fontId="54" fillId="0" borderId="0" applyFill="0" applyBorder="0" applyAlignment="0" applyProtection="0"/>
    <xf numFmtId="0" fontId="94" fillId="0" borderId="0" applyNumberFormat="0" applyFill="0" applyBorder="0" applyAlignment="0" applyProtection="0"/>
    <xf numFmtId="0" fontId="2" fillId="0" borderId="0" applyNumberFormat="0" applyFill="0" applyBorder="0" applyAlignment="0" applyProtection="0"/>
    <xf numFmtId="215" fontId="55" fillId="0" borderId="0">
      <alignment/>
      <protection/>
    </xf>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93" fillId="0" borderId="0">
      <alignment/>
      <protection/>
    </xf>
    <xf numFmtId="0" fontId="93" fillId="0" borderId="0">
      <alignment/>
      <protection/>
    </xf>
    <xf numFmtId="0" fontId="54" fillId="0" borderId="0">
      <alignment/>
      <protection/>
    </xf>
    <xf numFmtId="0" fontId="93" fillId="0" borderId="0">
      <alignment/>
      <protection/>
    </xf>
    <xf numFmtId="0" fontId="93" fillId="0" borderId="0">
      <alignment/>
      <protection/>
    </xf>
    <xf numFmtId="0" fontId="54" fillId="0" borderId="0">
      <alignment/>
      <protection/>
    </xf>
    <xf numFmtId="0" fontId="0" fillId="0" borderId="0">
      <alignment/>
      <protection/>
    </xf>
    <xf numFmtId="0" fontId="0" fillId="0" borderId="0">
      <alignment/>
      <protection/>
    </xf>
    <xf numFmtId="0" fontId="93" fillId="0" borderId="0">
      <alignment/>
      <protection/>
    </xf>
    <xf numFmtId="0" fontId="54" fillId="0" borderId="0">
      <alignment/>
      <protection/>
    </xf>
    <xf numFmtId="0" fontId="60" fillId="0" borderId="0">
      <alignment/>
      <protection/>
    </xf>
    <xf numFmtId="0" fontId="93" fillId="0" borderId="0">
      <alignment/>
      <protection/>
    </xf>
    <xf numFmtId="0" fontId="54" fillId="0" borderId="0">
      <alignment/>
      <protection/>
    </xf>
    <xf numFmtId="170" fontId="11" fillId="0" borderId="0" applyProtection="0">
      <alignment/>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3" fillId="0" borderId="0" applyFont="0" applyFill="0" applyBorder="0" applyAlignment="0" applyProtection="0"/>
    <xf numFmtId="9" fontId="54" fillId="0" borderId="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631">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89"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89"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89"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89" applyNumberFormat="1" applyFont="1" applyFill="1" applyAlignment="1">
      <alignment/>
    </xf>
    <xf numFmtId="164" fontId="4" fillId="0" borderId="0" xfId="42" applyNumberFormat="1" applyFont="1" applyFill="1" applyAlignment="1">
      <alignment/>
    </xf>
    <xf numFmtId="3" fontId="12" fillId="0" borderId="13" xfId="0" applyNumberFormat="1" applyFont="1" applyBorder="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19" fillId="33"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0" xfId="0" applyFont="1" applyBorder="1" applyAlignment="1">
      <alignment horizontal="center"/>
    </xf>
    <xf numFmtId="164" fontId="28" fillId="0" borderId="0"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17"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4" fontId="13" fillId="0" borderId="0" xfId="0" applyNumberFormat="1" applyFont="1" applyFill="1" applyAlignment="1">
      <alignment horizontal="righ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17" xfId="0" applyNumberFormat="1" applyFont="1" applyFill="1" applyBorder="1" applyAlignment="1">
      <alignment wrapText="1"/>
    </xf>
    <xf numFmtId="0" fontId="0" fillId="34" borderId="17" xfId="0" applyFont="1" applyFill="1" applyBorder="1" applyAlignment="1">
      <alignment/>
    </xf>
    <xf numFmtId="0" fontId="0" fillId="0" borderId="17"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0" fontId="6" fillId="0" borderId="0" xfId="0" applyFont="1" applyFill="1" applyAlignment="1" quotePrefix="1">
      <alignment/>
    </xf>
    <xf numFmtId="0" fontId="12" fillId="0" borderId="14" xfId="0" applyNumberFormat="1" applyFont="1" applyFill="1" applyBorder="1" applyAlignment="1">
      <alignment horizontal="center"/>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17" xfId="0" applyFont="1" applyBorder="1" applyAlignment="1">
      <alignment/>
    </xf>
    <xf numFmtId="37" fontId="0" fillId="0" borderId="17" xfId="0" applyNumberFormat="1" applyFont="1" applyFill="1" applyBorder="1" applyAlignment="1">
      <alignment/>
    </xf>
    <xf numFmtId="0" fontId="30" fillId="0" borderId="17" xfId="0" applyFont="1" applyFill="1" applyBorder="1" applyAlignment="1">
      <alignment/>
    </xf>
    <xf numFmtId="37" fontId="0" fillId="34" borderId="17" xfId="0" applyNumberFormat="1" applyFont="1" applyFill="1" applyBorder="1" applyAlignment="1">
      <alignment/>
    </xf>
    <xf numFmtId="0" fontId="0" fillId="34" borderId="17"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Alignment="1">
      <alignment/>
    </xf>
    <xf numFmtId="37" fontId="0" fillId="34" borderId="17" xfId="0" applyNumberFormat="1"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17" xfId="0" applyFont="1" applyBorder="1" applyAlignment="1">
      <alignment/>
    </xf>
    <xf numFmtId="164" fontId="0" fillId="0" borderId="17" xfId="42" applyNumberFormat="1" applyFont="1" applyFill="1" applyBorder="1" applyAlignment="1">
      <alignment horizontal="right"/>
    </xf>
    <xf numFmtId="0" fontId="0" fillId="0" borderId="17" xfId="0" applyFont="1" applyBorder="1" applyAlignment="1">
      <alignment horizontal="left"/>
    </xf>
    <xf numFmtId="164" fontId="0" fillId="34" borderId="17" xfId="42" applyNumberFormat="1" applyFont="1" applyFill="1" applyBorder="1" applyAlignment="1">
      <alignment/>
    </xf>
    <xf numFmtId="164" fontId="0" fillId="0" borderId="17" xfId="42" applyNumberFormat="1"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67" fontId="0" fillId="0" borderId="0" xfId="55" applyNumberFormat="1" applyFont="1" applyAlignment="1">
      <alignment horizontal="left" wrapText="1"/>
    </xf>
    <xf numFmtId="167" fontId="0" fillId="0" borderId="0" xfId="55" applyNumberFormat="1" applyFont="1" applyAlignment="1">
      <alignment horizontal="right" wrapText="1"/>
    </xf>
    <xf numFmtId="167" fontId="0" fillId="0" borderId="0" xfId="55" applyNumberFormat="1" applyFont="1" applyAlignment="1">
      <alignment horizontal="left" vertical="center" wrapText="1"/>
    </xf>
    <xf numFmtId="167" fontId="0" fillId="0" borderId="0" xfId="55" applyNumberFormat="1" applyFont="1" applyAlignment="1">
      <alignment/>
    </xf>
    <xf numFmtId="0" fontId="0" fillId="0" borderId="0" xfId="0" applyFill="1" applyAlignment="1">
      <alignment horizontal="center" vertical="top"/>
    </xf>
    <xf numFmtId="0" fontId="0" fillId="0" borderId="0" xfId="0" applyFont="1" applyFill="1" applyBorder="1" applyAlignment="1">
      <alignment horizontal="center"/>
    </xf>
    <xf numFmtId="0" fontId="0" fillId="0" borderId="0" xfId="0" applyFont="1" applyFill="1" applyAlignment="1">
      <alignment horizontal="left"/>
    </xf>
    <xf numFmtId="167" fontId="0" fillId="0" borderId="0" xfId="55"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0" xfId="42" applyNumberFormat="1" applyFont="1" applyFill="1" applyBorder="1" applyAlignment="1">
      <alignment/>
    </xf>
    <xf numFmtId="0" fontId="1" fillId="0" borderId="0" xfId="0" applyFont="1" applyFill="1" applyAlignment="1">
      <alignment/>
    </xf>
    <xf numFmtId="0" fontId="0" fillId="0" borderId="18" xfId="0"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19" xfId="0" applyFont="1" applyFill="1" applyBorder="1" applyAlignment="1">
      <alignment/>
    </xf>
    <xf numFmtId="164" fontId="0" fillId="0" borderId="0" xfId="0" applyNumberFormat="1" applyFont="1" applyFill="1" applyBorder="1" applyAlignment="1">
      <alignment/>
    </xf>
    <xf numFmtId="0" fontId="1" fillId="0" borderId="10" xfId="0" applyFont="1" applyBorder="1" applyAlignment="1">
      <alignment horizontal="left"/>
    </xf>
    <xf numFmtId="0" fontId="0" fillId="0" borderId="0" xfId="0" applyFont="1" applyBorder="1" applyAlignment="1">
      <alignment/>
    </xf>
    <xf numFmtId="0" fontId="1" fillId="0" borderId="18"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18" xfId="0" applyFont="1" applyFill="1" applyBorder="1" applyAlignment="1">
      <alignment horizontal="center" wrapText="1"/>
    </xf>
    <xf numFmtId="0" fontId="0" fillId="0" borderId="20"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18"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18" xfId="89" applyNumberFormat="1" applyFont="1" applyBorder="1" applyAlignment="1">
      <alignment horizontal="center"/>
    </xf>
    <xf numFmtId="9" fontId="0" fillId="0" borderId="18" xfId="89" applyFont="1" applyBorder="1" applyAlignment="1">
      <alignment horizontal="center"/>
    </xf>
    <xf numFmtId="164" fontId="0" fillId="0" borderId="18" xfId="0" applyNumberFormat="1" applyFont="1" applyFill="1" applyBorder="1" applyAlignment="1">
      <alignment horizontal="center" wrapText="1"/>
    </xf>
    <xf numFmtId="0" fontId="5" fillId="36" borderId="21" xfId="0" applyFont="1" applyFill="1" applyBorder="1" applyAlignment="1">
      <alignment horizontal="center" wrapText="1"/>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22" xfId="0" applyFont="1" applyBorder="1" applyAlignment="1">
      <alignment/>
    </xf>
    <xf numFmtId="0" fontId="0" fillId="0" borderId="18" xfId="0" applyFont="1" applyBorder="1" applyAlignment="1">
      <alignment/>
    </xf>
    <xf numFmtId="0" fontId="0" fillId="0" borderId="20" xfId="0" applyFont="1" applyBorder="1" applyAlignment="1">
      <alignment/>
    </xf>
    <xf numFmtId="0" fontId="10" fillId="0" borderId="18"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89" applyFont="1" applyBorder="1" applyAlignment="1">
      <alignment horizontal="center"/>
    </xf>
    <xf numFmtId="164" fontId="0" fillId="0" borderId="18" xfId="0" applyNumberFormat="1" applyFont="1" applyFill="1" applyBorder="1" applyAlignment="1">
      <alignment horizontal="center"/>
    </xf>
    <xf numFmtId="0" fontId="0" fillId="0" borderId="15"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1" xfId="0" applyFont="1" applyBorder="1" applyAlignment="1">
      <alignment/>
    </xf>
    <xf numFmtId="0" fontId="0" fillId="0" borderId="18"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22" xfId="0" applyNumberFormat="1" applyFont="1" applyFill="1" applyBorder="1" applyAlignment="1">
      <alignment horizontal="center"/>
    </xf>
    <xf numFmtId="0" fontId="0" fillId="0" borderId="18" xfId="0" applyNumberFormat="1" applyFont="1" applyFill="1" applyBorder="1" applyAlignment="1">
      <alignment horizontal="left"/>
    </xf>
    <xf numFmtId="0" fontId="0" fillId="0" borderId="18" xfId="0" applyFont="1" applyFill="1" applyBorder="1" applyAlignment="1">
      <alignment/>
    </xf>
    <xf numFmtId="0" fontId="37" fillId="0" borderId="18" xfId="0" applyNumberFormat="1" applyFont="1" applyFill="1" applyBorder="1" applyAlignment="1">
      <alignment horizontal="center"/>
    </xf>
    <xf numFmtId="0" fontId="0" fillId="0" borderId="18" xfId="0" applyNumberFormat="1" applyFont="1" applyFill="1" applyBorder="1" applyAlignment="1">
      <alignment horizontal="center"/>
    </xf>
    <xf numFmtId="0" fontId="0" fillId="0" borderId="20" xfId="0" applyNumberFormat="1" applyFont="1" applyFill="1" applyBorder="1" applyAlignment="1">
      <alignment horizontal="left"/>
    </xf>
    <xf numFmtId="0" fontId="37"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7" fillId="0" borderId="0" xfId="0" applyNumberFormat="1" applyFont="1" applyBorder="1" applyAlignment="1">
      <alignment horizontal="center"/>
    </xf>
    <xf numFmtId="3" fontId="0" fillId="0" borderId="15" xfId="0" applyNumberFormat="1" applyFont="1" applyBorder="1" applyAlignment="1">
      <alignment horizontal="left"/>
    </xf>
    <xf numFmtId="0" fontId="37" fillId="0" borderId="18" xfId="0" applyNumberFormat="1" applyFont="1" applyBorder="1" applyAlignment="1">
      <alignment horizontal="center"/>
    </xf>
    <xf numFmtId="0" fontId="0" fillId="0" borderId="20" xfId="0" applyNumberFormat="1" applyFont="1" applyBorder="1" applyAlignment="1">
      <alignment horizontal="left"/>
    </xf>
    <xf numFmtId="3" fontId="0" fillId="0" borderId="15" xfId="0" applyNumberFormat="1" applyFont="1" applyBorder="1" applyAlignment="1">
      <alignment/>
    </xf>
    <xf numFmtId="170" fontId="0" fillId="0" borderId="18" xfId="0" applyNumberFormat="1" applyFont="1" applyBorder="1" applyAlignment="1">
      <alignment/>
    </xf>
    <xf numFmtId="0" fontId="1" fillId="0" borderId="16" xfId="0" applyNumberFormat="1" applyFont="1" applyBorder="1" applyAlignment="1">
      <alignment horizontal="center"/>
    </xf>
    <xf numFmtId="0" fontId="0" fillId="0" borderId="0" xfId="0" applyNumberFormat="1" applyFont="1" applyFill="1" applyBorder="1" applyAlignment="1">
      <alignment/>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0" fontId="0" fillId="0" borderId="21"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164" fontId="0" fillId="0" borderId="15" xfId="42" applyNumberFormat="1" applyFont="1" applyFill="1" applyBorder="1" applyAlignment="1">
      <alignment horizontal="righ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3"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22" xfId="0" applyFont="1" applyFill="1" applyBorder="1" applyAlignment="1">
      <alignment/>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4" fillId="37" borderId="24"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8" fillId="36" borderId="21" xfId="0" applyFont="1" applyFill="1" applyBorder="1" applyAlignment="1">
      <alignment horizontal="center" wrapText="1"/>
    </xf>
    <xf numFmtId="0" fontId="22" fillId="0" borderId="0" xfId="0" applyNumberFormat="1" applyFont="1" applyFill="1" applyBorder="1" applyAlignment="1">
      <alignment horizontal="left"/>
    </xf>
    <xf numFmtId="0" fontId="39"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8"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3" fontId="40" fillId="0" borderId="0" xfId="0" applyNumberFormat="1" applyFont="1" applyFill="1" applyBorder="1" applyAlignment="1">
      <alignment horizontal="center"/>
    </xf>
    <xf numFmtId="3" fontId="28" fillId="0" borderId="15" xfId="0" applyNumberFormat="1" applyFont="1" applyFill="1" applyBorder="1" applyAlignment="1">
      <alignment/>
    </xf>
    <xf numFmtId="3" fontId="40"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18" xfId="0" applyFont="1" applyFill="1" applyBorder="1" applyAlignment="1">
      <alignment/>
    </xf>
    <xf numFmtId="0" fontId="28" fillId="0" borderId="21" xfId="0" applyFont="1" applyBorder="1" applyAlignment="1">
      <alignment horizontal="center" wrapText="1"/>
    </xf>
    <xf numFmtId="0" fontId="28" fillId="0" borderId="25" xfId="0" applyFont="1" applyBorder="1" applyAlignment="1">
      <alignment horizontal="center" wrapText="1"/>
    </xf>
    <xf numFmtId="0" fontId="38"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18" xfId="0" applyFont="1" applyFill="1" applyBorder="1" applyAlignment="1">
      <alignment horizontal="left" wrapText="1"/>
    </xf>
    <xf numFmtId="0" fontId="28" fillId="0" borderId="20" xfId="0" applyFont="1" applyFill="1" applyBorder="1" applyAlignment="1">
      <alignment horizontal="left" wrapText="1"/>
    </xf>
    <xf numFmtId="3" fontId="37"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18" xfId="0" applyNumberFormat="1" applyFont="1" applyFill="1" applyBorder="1" applyAlignment="1">
      <alignment horizontal="center"/>
    </xf>
    <xf numFmtId="0" fontId="1" fillId="0" borderId="0" xfId="0" applyFont="1" applyFill="1" applyBorder="1" applyAlignment="1">
      <alignment horizontal="center" wrapText="1"/>
    </xf>
    <xf numFmtId="164" fontId="0" fillId="0" borderId="0" xfId="0" applyNumberFormat="1" applyAlignment="1">
      <alignment/>
    </xf>
    <xf numFmtId="0" fontId="5" fillId="36" borderId="26"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2"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3" fillId="0" borderId="0" xfId="0" applyFont="1" applyAlignment="1">
      <alignment/>
    </xf>
    <xf numFmtId="164" fontId="0" fillId="0" borderId="0" xfId="0" applyNumberFormat="1" applyFont="1" applyAlignment="1">
      <alignment/>
    </xf>
    <xf numFmtId="3" fontId="0" fillId="0" borderId="20" xfId="0" applyNumberFormat="1" applyFont="1" applyFill="1" applyBorder="1" applyAlignment="1">
      <alignment horizontal="left"/>
    </xf>
    <xf numFmtId="167" fontId="0" fillId="0" borderId="0" xfId="55"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22" xfId="42" applyNumberFormat="1" applyFont="1" applyFill="1" applyBorder="1" applyAlignment="1">
      <alignment horizontal="center"/>
    </xf>
    <xf numFmtId="164" fontId="0" fillId="0" borderId="18"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89" applyNumberFormat="1" applyFont="1" applyFill="1" applyBorder="1" applyAlignment="1">
      <alignment/>
    </xf>
    <xf numFmtId="168" fontId="0" fillId="0" borderId="18" xfId="89" applyNumberFormat="1" applyFont="1" applyFill="1" applyBorder="1" applyAlignment="1">
      <alignment/>
    </xf>
    <xf numFmtId="164" fontId="0" fillId="0" borderId="18" xfId="42" applyNumberFormat="1" applyFont="1" applyFill="1" applyBorder="1" applyAlignment="1">
      <alignment horizontal="left"/>
    </xf>
    <xf numFmtId="0" fontId="0" fillId="0" borderId="2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4" fillId="0" borderId="0" xfId="0" applyNumberFormat="1" applyFont="1" applyFill="1" applyAlignment="1">
      <alignment/>
    </xf>
    <xf numFmtId="164" fontId="47" fillId="0" borderId="0" xfId="42" applyNumberFormat="1" applyFont="1" applyAlignment="1">
      <alignment/>
    </xf>
    <xf numFmtId="164" fontId="47"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0" fontId="47" fillId="0" borderId="0" xfId="0" applyFont="1" applyFill="1" applyAlignment="1">
      <alignment horizontal="left"/>
    </xf>
    <xf numFmtId="164" fontId="47" fillId="0" borderId="0" xfId="42" applyNumberFormat="1" applyFont="1" applyFill="1" applyAlignment="1">
      <alignment horizontal="left"/>
    </xf>
    <xf numFmtId="10" fontId="0" fillId="0" borderId="0" xfId="89" applyNumberFormat="1" applyFont="1" applyFill="1" applyBorder="1" applyAlignment="1">
      <alignment/>
    </xf>
    <xf numFmtId="43" fontId="0" fillId="0" borderId="0" xfId="0" applyNumberFormat="1" applyFont="1" applyFill="1" applyBorder="1" applyAlignment="1">
      <alignment horizontal="center" wrapText="1"/>
    </xf>
    <xf numFmtId="0" fontId="0" fillId="0" borderId="20" xfId="0" applyFont="1" applyFill="1" applyBorder="1" applyAlignment="1">
      <alignment/>
    </xf>
    <xf numFmtId="164" fontId="0" fillId="34" borderId="0" xfId="42" applyNumberFormat="1" applyFont="1" applyFill="1" applyAlignment="1">
      <alignment/>
    </xf>
    <xf numFmtId="0" fontId="28" fillId="34" borderId="17"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8" xfId="0" applyFont="1" applyBorder="1" applyAlignment="1">
      <alignment/>
    </xf>
    <xf numFmtId="0" fontId="0" fillId="0" borderId="12" xfId="0" applyFont="1" applyBorder="1" applyAlignment="1">
      <alignment/>
    </xf>
    <xf numFmtId="0" fontId="0" fillId="0" borderId="29" xfId="0" applyFont="1" applyBorder="1" applyAlignment="1">
      <alignment/>
    </xf>
    <xf numFmtId="164" fontId="0" fillId="0" borderId="17" xfId="42" applyNumberFormat="1" applyFont="1" applyFill="1" applyBorder="1" applyAlignment="1">
      <alignment/>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Border="1" applyAlignment="1">
      <alignment/>
    </xf>
    <xf numFmtId="0" fontId="22" fillId="0" borderId="16" xfId="0" applyFont="1" applyBorder="1" applyAlignment="1">
      <alignment/>
    </xf>
    <xf numFmtId="0" fontId="22" fillId="0" borderId="18"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55" applyNumberFormat="1" applyFont="1" applyBorder="1" applyAlignment="1">
      <alignment/>
    </xf>
    <xf numFmtId="0" fontId="22" fillId="0" borderId="18" xfId="0" applyNumberFormat="1" applyFont="1" applyFill="1" applyBorder="1" applyAlignment="1">
      <alignment horizontal="center"/>
    </xf>
    <xf numFmtId="0" fontId="39" fillId="0" borderId="18" xfId="0" applyNumberFormat="1" applyFont="1" applyFill="1" applyBorder="1" applyAlignment="1">
      <alignment horizontal="center"/>
    </xf>
    <xf numFmtId="0" fontId="22" fillId="0" borderId="20" xfId="0" applyNumberFormat="1" applyFont="1" applyFill="1" applyBorder="1" applyAlignment="1">
      <alignment horizontal="center"/>
    </xf>
    <xf numFmtId="0" fontId="22" fillId="0" borderId="22"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7" fillId="0" borderId="0" xfId="0" applyNumberFormat="1" applyFont="1" applyFill="1" applyBorder="1" applyAlignment="1">
      <alignment horizontal="center"/>
    </xf>
    <xf numFmtId="0" fontId="0" fillId="34" borderId="12" xfId="0" applyFill="1" applyBorder="1" applyAlignment="1">
      <alignment/>
    </xf>
    <xf numFmtId="0" fontId="31" fillId="0" borderId="0" xfId="0"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0" fontId="0" fillId="34" borderId="22" xfId="89"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0" fillId="0" borderId="0" xfId="89" applyNumberFormat="1" applyFont="1" applyAlignment="1">
      <alignment/>
    </xf>
    <xf numFmtId="167" fontId="0" fillId="0" borderId="0" xfId="55"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7"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49" fillId="0" borderId="0" xfId="0" applyFont="1" applyFill="1" applyBorder="1" applyAlignment="1">
      <alignment horizontal="center"/>
    </xf>
    <xf numFmtId="0" fontId="30" fillId="0" borderId="0" xfId="0" applyFont="1" applyFill="1" applyBorder="1" applyAlignment="1">
      <alignment/>
    </xf>
    <xf numFmtId="0" fontId="49"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18"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1" xfId="0" applyFont="1" applyFill="1" applyBorder="1" applyAlignment="1">
      <alignment horizontal="center" wrapText="1"/>
    </xf>
    <xf numFmtId="0" fontId="30" fillId="36" borderId="26" xfId="0" applyFont="1" applyFill="1" applyBorder="1" applyAlignment="1">
      <alignment horizontal="center" wrapText="1"/>
    </xf>
    <xf numFmtId="0" fontId="30" fillId="36" borderId="21" xfId="0" applyFont="1" applyFill="1" applyBorder="1" applyAlignment="1">
      <alignment horizontal="center" wrapText="1"/>
    </xf>
    <xf numFmtId="0" fontId="1" fillId="36" borderId="13" xfId="0" applyFont="1" applyFill="1" applyBorder="1" applyAlignment="1">
      <alignment horizontal="center" wrapText="1"/>
    </xf>
    <xf numFmtId="0" fontId="0" fillId="0" borderId="18" xfId="0" applyNumberFormat="1" applyFont="1" applyFill="1" applyBorder="1" applyAlignment="1">
      <alignment/>
    </xf>
    <xf numFmtId="3" fontId="0" fillId="0" borderId="18" xfId="0" applyNumberFormat="1" applyFont="1" applyFill="1" applyBorder="1" applyAlignment="1">
      <alignment/>
    </xf>
    <xf numFmtId="3" fontId="37" fillId="0" borderId="18" xfId="0" applyNumberFormat="1" applyFont="1" applyBorder="1" applyAlignment="1">
      <alignment horizontal="center"/>
    </xf>
    <xf numFmtId="164" fontId="0" fillId="0" borderId="20" xfId="42" applyNumberFormat="1" applyFont="1" applyBorder="1" applyAlignment="1">
      <alignment horizontal="right"/>
    </xf>
    <xf numFmtId="164" fontId="0" fillId="0" borderId="18" xfId="42" applyNumberFormat="1" applyFont="1" applyFill="1" applyBorder="1" applyAlignment="1">
      <alignment horizontal="right"/>
    </xf>
    <xf numFmtId="0" fontId="48" fillId="0" borderId="18" xfId="0" applyFont="1" applyBorder="1" applyAlignment="1">
      <alignment/>
    </xf>
    <xf numFmtId="0" fontId="0" fillId="0" borderId="20" xfId="0" applyFont="1" applyBorder="1" applyAlignment="1">
      <alignment/>
    </xf>
    <xf numFmtId="164" fontId="0" fillId="0" borderId="16" xfId="0" applyNumberFormat="1" applyFont="1" applyBorder="1" applyAlignment="1">
      <alignment/>
    </xf>
    <xf numFmtId="164" fontId="0" fillId="34" borderId="23" xfId="0" applyNumberFormat="1" applyFont="1" applyFill="1" applyBorder="1" applyAlignment="1">
      <alignment horizontal="center"/>
    </xf>
    <xf numFmtId="164" fontId="0" fillId="0" borderId="30" xfId="0" applyNumberFormat="1" applyFont="1" applyFill="1" applyBorder="1" applyAlignment="1">
      <alignment horizontal="center"/>
    </xf>
    <xf numFmtId="164" fontId="0" fillId="0" borderId="16" xfId="0" applyNumberFormat="1" applyFont="1" applyFill="1" applyBorder="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37" fontId="15" fillId="0" borderId="0" xfId="0" applyNumberFormat="1" applyFont="1" applyFill="1" applyBorder="1" applyAlignment="1">
      <alignment horizontal="left"/>
    </xf>
    <xf numFmtId="10" fontId="16" fillId="0" borderId="0" xfId="89" applyNumberFormat="1" applyFont="1" applyFill="1" applyBorder="1" applyAlignment="1">
      <alignment horizontal="right"/>
    </xf>
    <xf numFmtId="37" fontId="15" fillId="0" borderId="0" xfId="0" applyNumberFormat="1" applyFont="1" applyFill="1" applyBorder="1" applyAlignment="1">
      <alignment horizontal="right"/>
    </xf>
    <xf numFmtId="208" fontId="31" fillId="0" borderId="0" xfId="0" applyNumberFormat="1" applyFont="1" applyBorder="1" applyAlignment="1">
      <alignment horizontal="right"/>
    </xf>
    <xf numFmtId="164" fontId="0" fillId="34" borderId="17" xfId="42" applyNumberFormat="1" applyFont="1" applyFill="1" applyBorder="1" applyAlignment="1">
      <alignment/>
    </xf>
    <xf numFmtId="164" fontId="0" fillId="34" borderId="17" xfId="42" applyNumberFormat="1" applyFont="1" applyFill="1" applyBorder="1" applyAlignment="1">
      <alignment/>
    </xf>
    <xf numFmtId="164" fontId="0" fillId="34" borderId="17"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0" borderId="10" xfId="42" applyNumberFormat="1" applyFont="1" applyFill="1" applyBorder="1" applyAlignment="1">
      <alignment/>
    </xf>
    <xf numFmtId="172" fontId="6" fillId="0" borderId="0" xfId="89"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89" applyNumberFormat="1" applyFont="1" applyBorder="1" applyAlignment="1">
      <alignment/>
    </xf>
    <xf numFmtId="172" fontId="6" fillId="0" borderId="0" xfId="0" applyNumberFormat="1" applyFont="1" applyFill="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89" applyNumberFormat="1" applyFont="1" applyFill="1" applyAlignment="1">
      <alignment/>
    </xf>
    <xf numFmtId="173" fontId="6" fillId="0" borderId="0" xfId="89" applyNumberFormat="1" applyFont="1" applyFill="1" applyAlignment="1">
      <alignment horizontal="right"/>
    </xf>
    <xf numFmtId="164" fontId="12" fillId="0" borderId="0" xfId="42" applyNumberFormat="1" applyFont="1" applyBorder="1" applyAlignment="1">
      <alignment/>
    </xf>
    <xf numFmtId="10" fontId="6" fillId="0" borderId="0" xfId="89"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0" fontId="37" fillId="0" borderId="0" xfId="0"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0" borderId="0" xfId="0" applyNumberFormat="1" applyFill="1" applyAlignment="1">
      <alignment/>
    </xf>
    <xf numFmtId="164" fontId="0" fillId="34" borderId="18" xfId="0" applyNumberFormat="1" applyFont="1" applyFill="1" applyBorder="1" applyAlignment="1">
      <alignment horizontal="center" wrapText="1"/>
    </xf>
    <xf numFmtId="164" fontId="37" fillId="0" borderId="18" xfId="0" applyNumberFormat="1" applyFont="1" applyFill="1" applyBorder="1" applyAlignment="1">
      <alignment/>
    </xf>
    <xf numFmtId="0" fontId="8" fillId="38" borderId="31" xfId="0"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89" applyNumberFormat="1" applyFont="1" applyFill="1" applyBorder="1" applyAlignment="1">
      <alignment/>
    </xf>
    <xf numFmtId="164" fontId="0" fillId="0" borderId="0" xfId="42" applyNumberFormat="1" applyFont="1" applyFill="1" applyBorder="1" applyAlignment="1">
      <alignment horizontal="right"/>
    </xf>
    <xf numFmtId="0" fontId="1" fillId="36" borderId="13" xfId="0" applyFont="1" applyFill="1" applyBorder="1" applyAlignment="1">
      <alignment horizontal="center"/>
    </xf>
    <xf numFmtId="0" fontId="1" fillId="36" borderId="24" xfId="0" applyFont="1" applyFill="1" applyBorder="1" applyAlignment="1">
      <alignment horizontal="center"/>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24"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24"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0" fontId="1" fillId="0" borderId="32" xfId="0" applyFont="1" applyFill="1" applyBorder="1" applyAlignment="1">
      <alignment/>
    </xf>
    <xf numFmtId="37" fontId="0" fillId="34" borderId="17" xfId="0" applyNumberFormat="1" applyFont="1" applyFill="1" applyBorder="1" applyAlignment="1">
      <alignment/>
    </xf>
    <xf numFmtId="0" fontId="0" fillId="34" borderId="0" xfId="0"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1" fontId="37" fillId="0" borderId="0" xfId="0" applyNumberFormat="1" applyFont="1" applyFill="1" applyBorder="1" applyAlignment="1">
      <alignment horizontal="left"/>
    </xf>
    <xf numFmtId="168" fontId="6" fillId="0" borderId="31" xfId="0" applyNumberFormat="1" applyFont="1" applyFill="1" applyBorder="1" applyAlignment="1">
      <alignment/>
    </xf>
    <xf numFmtId="168" fontId="6" fillId="0" borderId="12" xfId="0" applyNumberFormat="1" applyFont="1" applyFill="1" applyBorder="1" applyAlignment="1">
      <alignment/>
    </xf>
    <xf numFmtId="0" fontId="12" fillId="0" borderId="0" xfId="0" applyFont="1" applyFill="1" applyBorder="1" applyAlignment="1">
      <alignment horizontal="center"/>
    </xf>
    <xf numFmtId="164" fontId="35" fillId="0" borderId="0" xfId="0" applyNumberFormat="1" applyFont="1" applyFill="1" applyBorder="1" applyAlignment="1">
      <alignmen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23"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18" xfId="0" applyFont="1" applyFill="1" applyBorder="1" applyAlignment="1">
      <alignment horizontal="center"/>
    </xf>
    <xf numFmtId="164" fontId="0" fillId="0" borderId="0" xfId="0" applyNumberFormat="1" applyFont="1" applyFill="1" applyBorder="1" applyAlignment="1">
      <alignment/>
    </xf>
    <xf numFmtId="164" fontId="0" fillId="0" borderId="0" xfId="42" applyNumberFormat="1" applyFont="1" applyFill="1" applyAlignment="1">
      <alignment/>
    </xf>
    <xf numFmtId="0" fontId="4" fillId="0" borderId="16" xfId="0" applyFont="1" applyFill="1" applyBorder="1" applyAlignment="1">
      <alignment horizontal="center"/>
    </xf>
    <xf numFmtId="164" fontId="0" fillId="0" borderId="23" xfId="0" applyNumberFormat="1" applyFont="1" applyFill="1" applyBorder="1" applyAlignment="1">
      <alignment/>
    </xf>
    <xf numFmtId="164" fontId="0" fillId="0" borderId="23" xfId="42" applyNumberFormat="1" applyFont="1" applyFill="1" applyBorder="1" applyAlignment="1">
      <alignment horizontal="right"/>
    </xf>
    <xf numFmtId="3" fontId="106" fillId="0" borderId="0" xfId="0" applyNumberFormat="1" applyFont="1" applyFill="1" applyBorder="1" applyAlignment="1">
      <alignment/>
    </xf>
    <xf numFmtId="164" fontId="106" fillId="0" borderId="0" xfId="42" applyNumberFormat="1" applyFont="1" applyFill="1" applyBorder="1" applyAlignment="1">
      <alignment/>
    </xf>
    <xf numFmtId="0" fontId="106" fillId="0" borderId="0" xfId="0" applyFont="1" applyFill="1" applyAlignment="1">
      <alignment/>
    </xf>
    <xf numFmtId="0" fontId="106" fillId="0" borderId="0" xfId="0" applyFont="1" applyAlignment="1">
      <alignment/>
    </xf>
    <xf numFmtId="164" fontId="107" fillId="34" borderId="17"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8" applyNumberFormat="1" applyFont="1" applyFill="1" applyBorder="1" applyAlignment="1">
      <alignment/>
    </xf>
    <xf numFmtId="0" fontId="0" fillId="0" borderId="0" xfId="0" applyFill="1" applyBorder="1" applyAlignment="1">
      <alignment horizontal="center"/>
    </xf>
    <xf numFmtId="43" fontId="0" fillId="0" borderId="0" xfId="48"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0" fontId="107" fillId="0" borderId="0" xfId="0" applyFont="1" applyAlignment="1">
      <alignment/>
    </xf>
    <xf numFmtId="164" fontId="107" fillId="0" borderId="0" xfId="48" applyNumberFormat="1" applyFont="1" applyAlignment="1">
      <alignment/>
    </xf>
    <xf numFmtId="37" fontId="0" fillId="0" borderId="0" xfId="0" applyNumberFormat="1" applyFont="1" applyFill="1" applyBorder="1" applyAlignment="1">
      <alignment/>
    </xf>
    <xf numFmtId="1" fontId="37" fillId="34" borderId="12" xfId="0" applyNumberFormat="1" applyFont="1" applyFill="1" applyBorder="1" applyAlignment="1">
      <alignment horizontal="center"/>
    </xf>
    <xf numFmtId="164" fontId="0" fillId="34" borderId="15" xfId="0" applyNumberFormat="1" applyFill="1" applyBorder="1" applyAlignment="1">
      <alignment horizontal="right"/>
    </xf>
    <xf numFmtId="164" fontId="0" fillId="34" borderId="33"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3" xfId="42" applyNumberFormat="1" applyFont="1" applyFill="1" applyBorder="1" applyAlignment="1">
      <alignment horizontal="right"/>
    </xf>
    <xf numFmtId="164" fontId="0" fillId="34" borderId="33" xfId="42" applyNumberFormat="1" applyFont="1" applyFill="1" applyBorder="1" applyAlignment="1">
      <alignment/>
    </xf>
    <xf numFmtId="164" fontId="6" fillId="0" borderId="0" xfId="48"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8" fillId="34" borderId="0" xfId="48" applyNumberFormat="1" applyFont="1" applyFill="1" applyAlignment="1">
      <alignment/>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8" applyNumberFormat="1" applyFont="1" applyAlignment="1">
      <alignment horizontal="right" wrapText="1"/>
    </xf>
    <xf numFmtId="164" fontId="0" fillId="0" borderId="0" xfId="48" applyNumberFormat="1" applyFont="1" applyAlignment="1">
      <alignment horizontal="right"/>
    </xf>
    <xf numFmtId="164" fontId="0" fillId="0" borderId="0" xfId="48" applyNumberFormat="1" applyFont="1" applyFill="1" applyAlignment="1">
      <alignment horizontal="right"/>
    </xf>
    <xf numFmtId="164" fontId="109" fillId="0" borderId="0" xfId="0" applyNumberFormat="1" applyFont="1" applyBorder="1" applyAlignment="1">
      <alignment horizontal="right"/>
    </xf>
    <xf numFmtId="0" fontId="0" fillId="0" borderId="0" xfId="0" applyBorder="1" applyAlignment="1">
      <alignment horizontal="left"/>
    </xf>
    <xf numFmtId="38" fontId="55" fillId="0" borderId="0" xfId="63" applyNumberFormat="1" applyBorder="1">
      <alignment/>
      <protection/>
    </xf>
    <xf numFmtId="0" fontId="81" fillId="0" borderId="0" xfId="0" applyFont="1" applyFill="1" applyBorder="1" applyAlignment="1">
      <alignment horizontal="left"/>
    </xf>
    <xf numFmtId="38" fontId="0" fillId="0" borderId="0" xfId="0" applyNumberFormat="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43" fontId="1" fillId="0" borderId="0" xfId="48" applyFont="1" applyFill="1" applyBorder="1" applyAlignment="1">
      <alignment/>
    </xf>
    <xf numFmtId="0" fontId="5" fillId="0" borderId="0" xfId="0" applyFont="1" applyFill="1" applyBorder="1" applyAlignment="1">
      <alignment/>
    </xf>
    <xf numFmtId="164" fontId="1" fillId="0" borderId="0" xfId="48" applyNumberFormat="1" applyFont="1" applyFill="1" applyBorder="1" applyAlignment="1">
      <alignment/>
    </xf>
    <xf numFmtId="164" fontId="0" fillId="0" borderId="0" xfId="0" applyNumberFormat="1" applyFill="1" applyBorder="1" applyAlignment="1">
      <alignment/>
    </xf>
    <xf numFmtId="164" fontId="1" fillId="0" borderId="0" xfId="0" applyNumberFormat="1" applyFont="1" applyFill="1" applyBorder="1" applyAlignment="1">
      <alignment/>
    </xf>
    <xf numFmtId="164" fontId="107" fillId="0" borderId="0" xfId="0" applyNumberFormat="1" applyFont="1" applyFill="1" applyAlignment="1">
      <alignment/>
    </xf>
    <xf numFmtId="0" fontId="4" fillId="0" borderId="0" xfId="0" applyNumberFormat="1" applyFont="1" applyFill="1" applyAlignment="1">
      <alignment horizontal="left"/>
    </xf>
    <xf numFmtId="0" fontId="56"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39" borderId="0" xfId="0" applyNumberFormat="1" applyFont="1" applyFill="1" applyBorder="1" applyAlignment="1">
      <alignment/>
    </xf>
    <xf numFmtId="164" fontId="28" fillId="39" borderId="0" xfId="0" applyNumberFormat="1" applyFont="1" applyFill="1" applyBorder="1" applyAlignment="1">
      <alignment horizontal="center"/>
    </xf>
    <xf numFmtId="164" fontId="0" fillId="39" borderId="18" xfId="0" applyNumberFormat="1" applyFont="1" applyFill="1" applyBorder="1" applyAlignment="1">
      <alignment horizontal="center"/>
    </xf>
    <xf numFmtId="164" fontId="1" fillId="39" borderId="0" xfId="0" applyNumberFormat="1" applyFont="1" applyFill="1" applyBorder="1" applyAlignment="1">
      <alignment/>
    </xf>
    <xf numFmtId="164" fontId="1" fillId="39" borderId="22" xfId="0" applyNumberFormat="1" applyFont="1" applyFill="1" applyBorder="1" applyAlignment="1">
      <alignment/>
    </xf>
    <xf numFmtId="164" fontId="1" fillId="39" borderId="18" xfId="0" applyNumberFormat="1" applyFont="1" applyFill="1" applyBorder="1" applyAlignment="1">
      <alignment/>
    </xf>
    <xf numFmtId="164" fontId="1" fillId="39" borderId="18" xfId="42" applyNumberFormat="1" applyFont="1" applyFill="1" applyBorder="1" applyAlignment="1">
      <alignment/>
    </xf>
    <xf numFmtId="37" fontId="0" fillId="39" borderId="17" xfId="0" applyNumberFormat="1" applyFont="1" applyFill="1" applyBorder="1" applyAlignment="1">
      <alignment wrapText="1"/>
    </xf>
    <xf numFmtId="37" fontId="0" fillId="39" borderId="17" xfId="0" applyNumberFormat="1" applyFont="1" applyFill="1" applyBorder="1" applyAlignment="1">
      <alignment/>
    </xf>
    <xf numFmtId="164" fontId="0" fillId="39" borderId="17" xfId="42" applyNumberFormat="1" applyFont="1" applyFill="1" applyBorder="1" applyAlignment="1">
      <alignment/>
    </xf>
    <xf numFmtId="164" fontId="0" fillId="39" borderId="17"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8" applyNumberFormat="1" applyFont="1" applyFill="1" applyBorder="1" applyAlignment="1">
      <alignment/>
    </xf>
    <xf numFmtId="164" fontId="0" fillId="39" borderId="12" xfId="48" applyNumberFormat="1" applyFont="1" applyFill="1" applyBorder="1" applyAlignment="1">
      <alignment/>
    </xf>
    <xf numFmtId="0" fontId="0" fillId="39" borderId="0" xfId="0" applyFont="1" applyFill="1" applyAlignment="1">
      <alignment/>
    </xf>
    <xf numFmtId="0" fontId="0" fillId="39" borderId="0" xfId="0"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89" applyNumberFormat="1" applyFont="1" applyFill="1" applyAlignment="1">
      <alignment/>
    </xf>
    <xf numFmtId="0" fontId="108" fillId="0" borderId="0" xfId="0" applyFont="1" applyFill="1" applyBorder="1" applyAlignment="1">
      <alignment/>
    </xf>
    <xf numFmtId="3" fontId="0" fillId="0" borderId="0" xfId="0" applyNumberFormat="1" applyFont="1" applyFill="1" applyBorder="1" applyAlignment="1">
      <alignment horizontal="left"/>
    </xf>
    <xf numFmtId="164" fontId="0" fillId="0" borderId="0" xfId="48" applyNumberFormat="1" applyFont="1" applyFill="1" applyBorder="1" applyAlignment="1">
      <alignment horizontal="center"/>
    </xf>
    <xf numFmtId="43" fontId="0" fillId="0" borderId="0" xfId="48" applyFont="1" applyFill="1" applyBorder="1" applyAlignment="1">
      <alignment/>
    </xf>
    <xf numFmtId="43" fontId="0" fillId="0" borderId="0" xfId="48" applyFont="1" applyFill="1" applyBorder="1" applyAlignment="1">
      <alignment horizontal="center" wrapText="1"/>
    </xf>
    <xf numFmtId="164" fontId="109" fillId="0" borderId="0" xfId="48" applyNumberFormat="1" applyFont="1" applyFill="1" applyBorder="1" applyAlignment="1">
      <alignment/>
    </xf>
    <xf numFmtId="0" fontId="0" fillId="0" borderId="0" xfId="0" applyFont="1" applyFill="1" applyBorder="1" applyAlignment="1">
      <alignment/>
    </xf>
    <xf numFmtId="0" fontId="4" fillId="39" borderId="31" xfId="0" applyFont="1" applyFill="1" applyBorder="1" applyAlignment="1">
      <alignment horizontal="center" wrapText="1"/>
    </xf>
    <xf numFmtId="164" fontId="108"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57" fillId="0" borderId="0" xfId="0" applyNumberFormat="1" applyFont="1" applyFill="1" applyBorder="1" applyAlignment="1">
      <alignment/>
    </xf>
    <xf numFmtId="164" fontId="57" fillId="0" borderId="0" xfId="0"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3" fillId="0" borderId="0" xfId="42" applyNumberFormat="1" applyFont="1" applyFill="1" applyBorder="1" applyAlignment="1">
      <alignment/>
    </xf>
    <xf numFmtId="164" fontId="53" fillId="0" borderId="0" xfId="48" applyNumberFormat="1" applyFont="1" applyFill="1" applyAlignment="1">
      <alignment/>
    </xf>
    <xf numFmtId="164" fontId="6" fillId="0" borderId="0" xfId="0" applyNumberFormat="1" applyFont="1" applyFill="1" applyAlignment="1">
      <alignment/>
    </xf>
    <xf numFmtId="0" fontId="110" fillId="0" borderId="0" xfId="0" applyFont="1" applyFill="1" applyBorder="1" applyAlignment="1">
      <alignment horizontal="right"/>
    </xf>
    <xf numFmtId="43" fontId="107" fillId="0" borderId="0" xfId="0" applyNumberFormat="1" applyFont="1" applyFill="1" applyBorder="1" applyAlignment="1">
      <alignment/>
    </xf>
    <xf numFmtId="3" fontId="6" fillId="0" borderId="0" xfId="0" applyNumberFormat="1" applyFont="1" applyFill="1" applyAlignment="1">
      <alignment/>
    </xf>
    <xf numFmtId="167" fontId="0" fillId="0" borderId="0" xfId="55" applyNumberFormat="1" applyFont="1" applyFill="1" applyBorder="1" applyAlignment="1">
      <alignment/>
    </xf>
    <xf numFmtId="0" fontId="40" fillId="0" borderId="0" xfId="0" applyFont="1" applyFill="1" applyBorder="1" applyAlignment="1">
      <alignment horizontal="center"/>
    </xf>
    <xf numFmtId="164" fontId="0" fillId="0" borderId="20" xfId="0" applyNumberFormat="1" applyFont="1" applyFill="1" applyBorder="1" applyAlignment="1">
      <alignment horizontal="center"/>
    </xf>
    <xf numFmtId="164" fontId="53" fillId="0" borderId="0" xfId="48" applyNumberFormat="1" applyFont="1" applyFill="1" applyBorder="1" applyAlignment="1">
      <alignment horizontal="left"/>
    </xf>
    <xf numFmtId="164" fontId="53" fillId="0" borderId="0" xfId="48" applyNumberFormat="1" applyFont="1" applyFill="1" applyBorder="1" applyAlignment="1">
      <alignment/>
    </xf>
    <xf numFmtId="164" fontId="110" fillId="0" borderId="0" xfId="48" applyNumberFormat="1" applyFont="1" applyFill="1" applyBorder="1" applyAlignment="1">
      <alignment/>
    </xf>
    <xf numFmtId="164" fontId="53" fillId="0" borderId="0" xfId="48" applyNumberFormat="1" applyFont="1" applyFill="1" applyBorder="1" applyAlignment="1" quotePrefix="1">
      <alignment/>
    </xf>
    <xf numFmtId="3" fontId="0" fillId="0" borderId="0" xfId="0" applyNumberFormat="1" applyBorder="1" applyAlignment="1">
      <alignment/>
    </xf>
    <xf numFmtId="0" fontId="0" fillId="0" borderId="0" xfId="0" applyFont="1" applyAlignment="1">
      <alignment vertical="center"/>
    </xf>
    <xf numFmtId="6" fontId="0" fillId="0" borderId="0" xfId="0" applyNumberFormat="1" applyFont="1" applyFill="1" applyBorder="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21" fillId="0" borderId="0" xfId="0" applyFont="1" applyFill="1" applyBorder="1" applyAlignment="1">
      <alignment/>
    </xf>
    <xf numFmtId="164" fontId="58" fillId="0" borderId="0" xfId="48" applyNumberFormat="1" applyFont="1" applyFill="1" applyBorder="1" applyAlignment="1">
      <alignment/>
    </xf>
    <xf numFmtId="164" fontId="59" fillId="0" borderId="0" xfId="42" applyNumberFormat="1" applyFont="1" applyFill="1" applyBorder="1" applyAlignment="1">
      <alignment/>
    </xf>
    <xf numFmtId="0" fontId="1" fillId="0" borderId="0" xfId="0" applyFont="1" applyFill="1" applyBorder="1" applyAlignment="1" quotePrefix="1">
      <alignment/>
    </xf>
    <xf numFmtId="164" fontId="0" fillId="0" borderId="0" xfId="48" applyNumberFormat="1" applyFont="1" applyFill="1" applyAlignment="1">
      <alignment/>
    </xf>
    <xf numFmtId="164" fontId="0" fillId="0" borderId="0" xfId="48" applyNumberFormat="1" applyFont="1" applyFill="1" applyAlignment="1">
      <alignment horizontal="center"/>
    </xf>
    <xf numFmtId="164" fontId="0" fillId="0" borderId="12" xfId="48" applyNumberFormat="1" applyFont="1" applyFill="1" applyBorder="1" applyAlignment="1">
      <alignment horizontal="center"/>
    </xf>
    <xf numFmtId="0" fontId="108" fillId="0" borderId="0" xfId="0" applyNumberFormat="1" applyFont="1" applyAlignment="1">
      <alignment horizontal="center"/>
    </xf>
    <xf numFmtId="0" fontId="4" fillId="0" borderId="0" xfId="0" applyFont="1" applyBorder="1" applyAlignment="1">
      <alignment horizontal="left"/>
    </xf>
    <xf numFmtId="0" fontId="9" fillId="0" borderId="0" xfId="0" applyFont="1" applyFill="1" applyBorder="1" applyAlignment="1">
      <alignment horizontal="center"/>
    </xf>
    <xf numFmtId="3" fontId="6" fillId="0" borderId="0" xfId="0" applyNumberFormat="1" applyFont="1" applyAlignment="1">
      <alignment horizontal="left"/>
    </xf>
    <xf numFmtId="0" fontId="6" fillId="0" borderId="0" xfId="0" applyFont="1" applyBorder="1" applyAlignment="1">
      <alignment horizontal="left"/>
    </xf>
    <xf numFmtId="164" fontId="14" fillId="0" borderId="0" xfId="0" applyNumberFormat="1" applyFont="1" applyBorder="1" applyAlignment="1">
      <alignment horizontal="right"/>
    </xf>
    <xf numFmtId="3" fontId="6" fillId="0" borderId="0" xfId="0" applyNumberFormat="1" applyFont="1" applyBorder="1" applyAlignment="1">
      <alignment/>
    </xf>
    <xf numFmtId="0" fontId="108" fillId="0" borderId="0" xfId="0" applyFont="1" applyAlignment="1">
      <alignment horizontal="center"/>
    </xf>
    <xf numFmtId="0" fontId="108" fillId="0" borderId="0" xfId="0" applyFont="1" applyAlignment="1">
      <alignment/>
    </xf>
    <xf numFmtId="0" fontId="108" fillId="0" borderId="0" xfId="0" applyFont="1" applyAlignment="1">
      <alignment/>
    </xf>
    <xf numFmtId="37" fontId="0" fillId="34" borderId="17" xfId="83" applyNumberFormat="1" applyFont="1" applyFill="1" applyBorder="1">
      <alignment/>
      <protection/>
    </xf>
    <xf numFmtId="164" fontId="0" fillId="34" borderId="17" xfId="45" applyNumberFormat="1" applyFont="1" applyFill="1" applyBorder="1" applyAlignment="1">
      <alignment/>
    </xf>
    <xf numFmtId="0" fontId="0" fillId="34" borderId="17" xfId="83" applyFont="1" applyFill="1" applyBorder="1" applyAlignment="1">
      <alignment wrapText="1"/>
      <protection/>
    </xf>
    <xf numFmtId="164" fontId="0" fillId="34" borderId="34" xfId="45" applyNumberFormat="1" applyFont="1" applyFill="1" applyBorder="1" applyAlignment="1">
      <alignment/>
    </xf>
    <xf numFmtId="0" fontId="0" fillId="34" borderId="17" xfId="83" applyFont="1" applyFill="1" applyBorder="1">
      <alignment/>
      <protection/>
    </xf>
    <xf numFmtId="164" fontId="53" fillId="0" borderId="0" xfId="45" applyNumberFormat="1" applyFont="1" applyFill="1" applyBorder="1" applyAlignment="1">
      <alignment/>
    </xf>
    <xf numFmtId="164" fontId="47" fillId="0" borderId="0" xfId="45" applyNumberFormat="1" applyFont="1" applyFill="1" applyBorder="1" applyAlignment="1">
      <alignment/>
    </xf>
    <xf numFmtId="164" fontId="110" fillId="0" borderId="0" xfId="45" applyNumberFormat="1" applyFont="1" applyFill="1" applyBorder="1" applyAlignment="1">
      <alignment/>
    </xf>
    <xf numFmtId="164" fontId="22" fillId="34" borderId="22" xfId="42" applyNumberFormat="1" applyFont="1" applyFill="1" applyBorder="1" applyAlignment="1">
      <alignment horizontal="center"/>
    </xf>
    <xf numFmtId="0" fontId="21" fillId="0" borderId="0" xfId="0" applyFont="1" applyAlignment="1">
      <alignment/>
    </xf>
    <xf numFmtId="164" fontId="22" fillId="34" borderId="0" xfId="45" applyNumberFormat="1" applyFont="1" applyFill="1" applyAlignment="1">
      <alignment/>
    </xf>
    <xf numFmtId="0" fontId="6" fillId="40" borderId="0" xfId="0" applyFont="1" applyFill="1" applyAlignment="1">
      <alignment/>
    </xf>
    <xf numFmtId="188" fontId="6" fillId="0" borderId="0" xfId="0" applyNumberFormat="1" applyFont="1" applyAlignment="1">
      <alignment/>
    </xf>
    <xf numFmtId="0" fontId="60" fillId="0" borderId="0" xfId="0" applyFont="1" applyAlignment="1">
      <alignment vertical="center"/>
    </xf>
    <xf numFmtId="0" fontId="111" fillId="0" borderId="0" xfId="0" applyFont="1" applyFill="1" applyBorder="1" applyAlignment="1">
      <alignment/>
    </xf>
    <xf numFmtId="0" fontId="0" fillId="0" borderId="35" xfId="0" applyNumberFormat="1" applyFont="1" applyFill="1" applyBorder="1" applyAlignment="1">
      <alignment horizontal="left"/>
    </xf>
    <xf numFmtId="0" fontId="22" fillId="0" borderId="35" xfId="0" applyFont="1" applyFill="1" applyBorder="1" applyAlignment="1">
      <alignment/>
    </xf>
    <xf numFmtId="0" fontId="39" fillId="0" borderId="35" xfId="0" applyNumberFormat="1" applyFont="1" applyFill="1" applyBorder="1" applyAlignment="1">
      <alignment horizontal="center"/>
    </xf>
    <xf numFmtId="0" fontId="0" fillId="0" borderId="36" xfId="0" applyNumberFormat="1" applyFont="1" applyFill="1" applyBorder="1" applyAlignment="1">
      <alignment horizontal="left"/>
    </xf>
    <xf numFmtId="10" fontId="6" fillId="0" borderId="0" xfId="0" applyNumberFormat="1" applyFont="1" applyFill="1" applyAlignment="1">
      <alignment/>
    </xf>
    <xf numFmtId="0" fontId="30" fillId="0" borderId="0" xfId="0" applyFont="1" applyFill="1" applyBorder="1" applyAlignment="1" quotePrefix="1">
      <alignment/>
    </xf>
    <xf numFmtId="164" fontId="0" fillId="0" borderId="0" xfId="0" applyNumberFormat="1" applyFont="1" applyBorder="1" applyAlignment="1" quotePrefix="1">
      <alignment/>
    </xf>
    <xf numFmtId="164" fontId="6" fillId="0" borderId="0" xfId="42" applyNumberFormat="1" applyFont="1" applyFill="1" applyBorder="1" applyAlignment="1">
      <alignment horizontal="right"/>
    </xf>
    <xf numFmtId="164" fontId="4" fillId="0" borderId="0" xfId="42" applyNumberFormat="1" applyFont="1" applyFill="1" applyAlignment="1">
      <alignment horizontal="right"/>
    </xf>
    <xf numFmtId="164" fontId="4" fillId="0" borderId="0" xfId="42" applyNumberFormat="1" applyFont="1" applyBorder="1" applyAlignment="1">
      <alignment horizontal="right"/>
    </xf>
    <xf numFmtId="43" fontId="4" fillId="0" borderId="0" xfId="42" applyNumberFormat="1" applyFont="1" applyBorder="1" applyAlignment="1">
      <alignment horizontal="right"/>
    </xf>
    <xf numFmtId="0" fontId="4" fillId="0" borderId="0" xfId="0" applyFont="1" applyFill="1" applyBorder="1" applyAlignment="1">
      <alignment vertical="center"/>
    </xf>
    <xf numFmtId="0" fontId="106" fillId="0" borderId="0" xfId="0" applyNumberFormat="1" applyFont="1" applyFill="1" applyAlignment="1">
      <alignment horizontal="center" vertical="center"/>
    </xf>
    <xf numFmtId="0" fontId="106" fillId="0" borderId="0" xfId="0" applyFont="1" applyFill="1" applyAlignment="1">
      <alignment vertical="center"/>
    </xf>
    <xf numFmtId="0" fontId="106" fillId="0" borderId="0" xfId="0" applyFont="1" applyFill="1" applyAlignment="1">
      <alignment horizontal="center" vertical="center"/>
    </xf>
    <xf numFmtId="0" fontId="4" fillId="37" borderId="13" xfId="0" applyNumberFormat="1" applyFont="1" applyFill="1" applyBorder="1" applyAlignment="1">
      <alignment horizontal="center"/>
    </xf>
    <xf numFmtId="0" fontId="1" fillId="0" borderId="0" xfId="0" applyFont="1" applyFill="1" applyBorder="1" applyAlignment="1">
      <alignment horizontal="right"/>
    </xf>
    <xf numFmtId="0" fontId="30" fillId="0" borderId="0" xfId="0" applyFont="1" applyFill="1" applyBorder="1" applyAlignment="1">
      <alignment horizontal="right"/>
    </xf>
    <xf numFmtId="164" fontId="30" fillId="0" borderId="0" xfId="42" applyNumberFormat="1" applyFont="1" applyFill="1" applyBorder="1" applyAlignment="1">
      <alignment/>
    </xf>
    <xf numFmtId="164" fontId="0" fillId="0" borderId="0" xfId="42" applyNumberFormat="1" applyFont="1" applyFill="1" applyAlignment="1">
      <alignment/>
    </xf>
    <xf numFmtId="3" fontId="0" fillId="0" borderId="0" xfId="0" applyNumberFormat="1" applyFill="1" applyBorder="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20" xfId="0" applyNumberFormat="1" applyFont="1" applyFill="1" applyBorder="1" applyAlignment="1">
      <alignment/>
    </xf>
    <xf numFmtId="0" fontId="1" fillId="0" borderId="18" xfId="0" applyFont="1" applyFill="1" applyBorder="1" applyAlignment="1">
      <alignment/>
    </xf>
    <xf numFmtId="43" fontId="4" fillId="0" borderId="0" xfId="0" applyNumberFormat="1" applyFont="1" applyAlignment="1">
      <alignment/>
    </xf>
    <xf numFmtId="43" fontId="6" fillId="0" borderId="0" xfId="0" applyNumberFormat="1" applyFont="1" applyFill="1" applyAlignment="1">
      <alignment/>
    </xf>
    <xf numFmtId="164" fontId="4" fillId="0" borderId="0" xfId="0" applyNumberFormat="1" applyFont="1" applyFill="1" applyAlignment="1">
      <alignment/>
    </xf>
    <xf numFmtId="43" fontId="4" fillId="0" borderId="0" xfId="0" applyNumberFormat="1" applyFont="1" applyFill="1" applyAlignment="1">
      <alignment/>
    </xf>
    <xf numFmtId="0" fontId="0" fillId="0" borderId="12" xfId="0" applyFont="1" applyFill="1" applyBorder="1" applyAlignment="1">
      <alignment horizontal="center" vertical="center"/>
    </xf>
    <xf numFmtId="0" fontId="22" fillId="0" borderId="0" xfId="0" applyFont="1" applyFill="1" applyAlignment="1">
      <alignment horizontal="center" vertical="top"/>
    </xf>
    <xf numFmtId="0" fontId="0" fillId="0" borderId="0" xfId="0"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164" fontId="0" fillId="0" borderId="0" xfId="49" applyNumberFormat="1" applyFont="1" applyAlignment="1">
      <alignment/>
    </xf>
    <xf numFmtId="164" fontId="0" fillId="34" borderId="12" xfId="42" applyNumberFormat="1" applyFont="1" applyFill="1" applyBorder="1" applyAlignment="1">
      <alignment horizontal="right"/>
    </xf>
    <xf numFmtId="164" fontId="0" fillId="34" borderId="0" xfId="42" applyNumberFormat="1" applyFont="1" applyFill="1" applyBorder="1" applyAlignment="1">
      <alignment horizontal="right"/>
    </xf>
    <xf numFmtId="164" fontId="0" fillId="0" borderId="0" xfId="45" applyNumberFormat="1" applyFont="1" applyFill="1" applyAlignment="1">
      <alignment/>
    </xf>
    <xf numFmtId="0" fontId="0" fillId="0" borderId="0" xfId="0" applyFont="1" applyFill="1" applyAlignment="1" quotePrefix="1">
      <alignment/>
    </xf>
    <xf numFmtId="3" fontId="28" fillId="0" borderId="0" xfId="0" applyNumberFormat="1" applyFont="1" applyFill="1" applyBorder="1" applyAlignment="1">
      <alignment/>
    </xf>
    <xf numFmtId="164" fontId="28" fillId="0" borderId="0" xfId="0" applyNumberFormat="1" applyFont="1" applyFill="1" applyBorder="1" applyAlignment="1">
      <alignment horizontal="right"/>
    </xf>
    <xf numFmtId="37" fontId="0" fillId="0" borderId="0" xfId="0" applyNumberFormat="1" applyFont="1" applyFill="1" applyBorder="1" applyAlignment="1">
      <alignment horizontal="right"/>
    </xf>
    <xf numFmtId="164" fontId="0" fillId="0" borderId="12" xfId="42" applyNumberFormat="1" applyFont="1" applyFill="1" applyBorder="1" applyAlignment="1" quotePrefix="1">
      <alignment/>
    </xf>
    <xf numFmtId="164" fontId="0" fillId="0" borderId="0" xfId="42" applyNumberFormat="1" applyFont="1" applyFill="1" applyBorder="1" applyAlignment="1" quotePrefix="1">
      <alignment horizontal="left"/>
    </xf>
    <xf numFmtId="0" fontId="37" fillId="0" borderId="21" xfId="0" applyFont="1" applyFill="1" applyBorder="1" applyAlignment="1">
      <alignment/>
    </xf>
    <xf numFmtId="0" fontId="22" fillId="0" borderId="18" xfId="0" applyFont="1" applyFill="1" applyBorder="1" applyAlignment="1">
      <alignment/>
    </xf>
    <xf numFmtId="37" fontId="0" fillId="34" borderId="17" xfId="83" applyNumberFormat="1" applyFont="1" applyFill="1" applyBorder="1" applyAlignment="1">
      <alignment wrapText="1"/>
      <protection/>
    </xf>
    <xf numFmtId="0" fontId="0" fillId="0" borderId="0" xfId="80" applyFont="1" applyAlignment="1">
      <alignment horizontal="center"/>
      <protection/>
    </xf>
    <xf numFmtId="0" fontId="1" fillId="0" borderId="0" xfId="85" applyFont="1">
      <alignment/>
      <protection/>
    </xf>
    <xf numFmtId="0" fontId="0" fillId="0" borderId="0" xfId="85" applyFont="1">
      <alignment/>
      <protection/>
    </xf>
    <xf numFmtId="0" fontId="0" fillId="0" borderId="0" xfId="80">
      <alignment/>
      <protection/>
    </xf>
    <xf numFmtId="0" fontId="1" fillId="0" borderId="0" xfId="85" applyFont="1" applyAlignment="1">
      <alignment horizontal="center"/>
      <protection/>
    </xf>
    <xf numFmtId="0" fontId="1" fillId="0" borderId="12" xfId="85" applyFont="1" applyBorder="1">
      <alignment/>
      <protection/>
    </xf>
    <xf numFmtId="0" fontId="1" fillId="0" borderId="12" xfId="85" applyFont="1" applyBorder="1" applyAlignment="1">
      <alignment horizontal="center"/>
      <protection/>
    </xf>
    <xf numFmtId="0" fontId="0" fillId="0" borderId="0" xfId="78" applyFont="1" applyAlignment="1">
      <alignment horizontal="left"/>
      <protection/>
    </xf>
    <xf numFmtId="0" fontId="0" fillId="34" borderId="0" xfId="85" applyFont="1" applyFill="1" applyAlignment="1">
      <alignment horizontal="center"/>
      <protection/>
    </xf>
    <xf numFmtId="167" fontId="0" fillId="34" borderId="0" xfId="60" applyNumberFormat="1" applyFont="1" applyFill="1" applyAlignment="1">
      <alignment/>
    </xf>
    <xf numFmtId="0" fontId="0" fillId="0" borderId="0" xfId="85" applyFont="1" applyAlignment="1">
      <alignment horizontal="center"/>
      <protection/>
    </xf>
    <xf numFmtId="10" fontId="0" fillId="0" borderId="0" xfId="85" applyNumberFormat="1" applyFont="1" applyAlignment="1" quotePrefix="1">
      <alignment horizontal="center"/>
      <protection/>
    </xf>
    <xf numFmtId="167" fontId="0" fillId="0" borderId="0" xfId="85" applyNumberFormat="1" applyFont="1">
      <alignment/>
      <protection/>
    </xf>
    <xf numFmtId="0" fontId="0" fillId="34" borderId="0" xfId="85" applyFont="1" applyFill="1" applyAlignment="1">
      <alignment horizontal="center"/>
      <protection/>
    </xf>
    <xf numFmtId="0" fontId="0" fillId="34" borderId="0" xfId="85" applyFont="1" applyFill="1" applyAlignment="1">
      <alignment horizontal="left"/>
      <protection/>
    </xf>
    <xf numFmtId="167" fontId="0" fillId="34" borderId="12" xfId="60" applyNumberFormat="1" applyFont="1" applyFill="1" applyBorder="1" applyAlignment="1">
      <alignment/>
    </xf>
    <xf numFmtId="10" fontId="0" fillId="34" borderId="0" xfId="85" applyNumberFormat="1" applyFont="1" applyFill="1" applyAlignment="1" quotePrefix="1">
      <alignment horizontal="center"/>
      <protection/>
    </xf>
    <xf numFmtId="167" fontId="0" fillId="0" borderId="11" xfId="85" applyNumberFormat="1" applyFont="1" applyBorder="1">
      <alignment/>
      <protection/>
    </xf>
    <xf numFmtId="167" fontId="0" fillId="0" borderId="12" xfId="85" applyNumberFormat="1" applyFont="1" applyBorder="1">
      <alignment/>
      <protection/>
    </xf>
    <xf numFmtId="0" fontId="26" fillId="0" borderId="0" xfId="85" applyFont="1">
      <alignment/>
      <protection/>
    </xf>
    <xf numFmtId="167" fontId="0" fillId="0" borderId="0" xfId="85" applyNumberFormat="1" applyFont="1" applyAlignment="1">
      <alignment horizontal="center"/>
      <protection/>
    </xf>
    <xf numFmtId="0" fontId="0" fillId="0" borderId="12" xfId="85" applyFont="1" applyBorder="1">
      <alignment/>
      <protection/>
    </xf>
    <xf numFmtId="0" fontId="0" fillId="34" borderId="0" xfId="82" applyFont="1" applyFill="1">
      <alignment/>
      <protection/>
    </xf>
    <xf numFmtId="0" fontId="0" fillId="0" borderId="0" xfId="82" applyFont="1">
      <alignment/>
      <protection/>
    </xf>
    <xf numFmtId="0" fontId="0" fillId="0" borderId="0" xfId="82" applyFont="1" applyAlignment="1">
      <alignment horizontal="right"/>
      <protection/>
    </xf>
    <xf numFmtId="10" fontId="0" fillId="34" borderId="0" xfId="92" applyNumberFormat="1" applyFont="1" applyFill="1" applyBorder="1" applyAlignment="1">
      <alignment/>
    </xf>
    <xf numFmtId="10" fontId="0" fillId="0" borderId="0" xfId="92" applyNumberFormat="1" applyFont="1" applyFill="1" applyBorder="1" applyAlignment="1">
      <alignment/>
    </xf>
    <xf numFmtId="0" fontId="1" fillId="0" borderId="0" xfId="82" applyFont="1" applyAlignment="1">
      <alignment horizontal="right"/>
      <protection/>
    </xf>
    <xf numFmtId="0" fontId="1" fillId="0" borderId="0" xfId="82" applyFont="1">
      <alignment/>
      <protection/>
    </xf>
    <xf numFmtId="10" fontId="1" fillId="0" borderId="0" xfId="92" applyNumberFormat="1" applyFont="1" applyFill="1" applyBorder="1" applyAlignment="1">
      <alignment/>
    </xf>
    <xf numFmtId="0" fontId="61" fillId="0" borderId="0" xfId="85" applyFont="1">
      <alignment/>
      <protection/>
    </xf>
    <xf numFmtId="0" fontId="5" fillId="0" borderId="0" xfId="82" applyFont="1">
      <alignment/>
      <protection/>
    </xf>
    <xf numFmtId="0" fontId="0" fillId="34" borderId="0" xfId="80" applyFill="1">
      <alignment/>
      <protection/>
    </xf>
    <xf numFmtId="0" fontId="0" fillId="0" borderId="0" xfId="80" applyFont="1">
      <alignment/>
      <protection/>
    </xf>
    <xf numFmtId="0" fontId="0" fillId="0" borderId="0" xfId="80" applyAlignment="1">
      <alignment horizontal="center" vertical="top"/>
      <protection/>
    </xf>
    <xf numFmtId="0" fontId="1" fillId="0" borderId="0" xfId="80" applyFont="1">
      <alignment/>
      <protection/>
    </xf>
    <xf numFmtId="0" fontId="1" fillId="0" borderId="0" xfId="80" applyFont="1" applyAlignment="1">
      <alignment horizontal="center"/>
      <protection/>
    </xf>
    <xf numFmtId="0" fontId="0" fillId="0" borderId="0" xfId="82" applyFont="1" applyAlignment="1">
      <alignment horizontal="center"/>
      <protection/>
    </xf>
    <xf numFmtId="0" fontId="1" fillId="0" borderId="18" xfId="82" applyFont="1" applyBorder="1" applyAlignment="1">
      <alignment horizontal="center" wrapText="1"/>
      <protection/>
    </xf>
    <xf numFmtId="164" fontId="33" fillId="0" borderId="0" xfId="53" applyNumberFormat="1" applyFont="1" applyFill="1" applyAlignment="1">
      <alignment horizontal="center" wrapText="1"/>
    </xf>
    <xf numFmtId="0" fontId="1" fillId="0" borderId="0" xfId="82" applyFont="1" applyAlignment="1">
      <alignment horizontal="center" wrapText="1"/>
      <protection/>
    </xf>
    <xf numFmtId="0" fontId="0" fillId="0" borderId="0" xfId="80" applyFont="1" applyAlignment="1">
      <alignment horizontal="left" indent="1"/>
      <protection/>
    </xf>
    <xf numFmtId="164" fontId="0" fillId="0" borderId="0" xfId="52" applyNumberFormat="1" applyFont="1" applyFill="1" applyAlignment="1">
      <alignment horizontal="center"/>
    </xf>
    <xf numFmtId="167" fontId="0" fillId="34" borderId="0" xfId="57" applyNumberFormat="1" applyFont="1" applyFill="1" applyAlignment="1">
      <alignment/>
    </xf>
    <xf numFmtId="5" fontId="0" fillId="34" borderId="0" xfId="53" applyNumberFormat="1" applyFont="1" applyFill="1" applyAlignment="1">
      <alignment/>
    </xf>
    <xf numFmtId="5" fontId="0" fillId="0" borderId="0" xfId="53" applyNumberFormat="1" applyFont="1" applyFill="1" applyAlignment="1">
      <alignment/>
    </xf>
    <xf numFmtId="164" fontId="0" fillId="34" borderId="0" xfId="46" applyNumberFormat="1" applyFont="1" applyFill="1" applyBorder="1" applyAlignment="1">
      <alignment/>
    </xf>
    <xf numFmtId="164" fontId="0" fillId="0" borderId="12" xfId="46" applyNumberFormat="1" applyFont="1" applyFill="1" applyBorder="1" applyAlignment="1">
      <alignment/>
    </xf>
    <xf numFmtId="164" fontId="0" fillId="34" borderId="12" xfId="46" applyNumberFormat="1" applyFont="1" applyFill="1" applyBorder="1" applyAlignment="1">
      <alignment/>
    </xf>
    <xf numFmtId="164" fontId="0" fillId="0" borderId="12" xfId="53" applyNumberFormat="1" applyFont="1" applyFill="1" applyBorder="1" applyAlignment="1">
      <alignment/>
    </xf>
    <xf numFmtId="0" fontId="0" fillId="34" borderId="0" xfId="82" applyFont="1" applyFill="1" applyAlignment="1">
      <alignment horizontal="left"/>
      <protection/>
    </xf>
    <xf numFmtId="167" fontId="0" fillId="0" borderId="10" xfId="57" applyNumberFormat="1" applyFont="1" applyFill="1" applyBorder="1" applyAlignment="1">
      <alignment/>
    </xf>
    <xf numFmtId="0" fontId="0" fillId="0" borderId="0" xfId="82" applyFont="1" applyAlignment="1">
      <alignment horizontal="center" vertical="center" wrapText="1"/>
      <protection/>
    </xf>
    <xf numFmtId="164" fontId="0" fillId="0" borderId="0" xfId="46" applyNumberFormat="1" applyFont="1" applyFill="1" applyBorder="1" applyAlignment="1">
      <alignment/>
    </xf>
    <xf numFmtId="164" fontId="0" fillId="0" borderId="0" xfId="53" applyNumberFormat="1" applyFont="1" applyFill="1" applyBorder="1" applyAlignment="1">
      <alignment/>
    </xf>
    <xf numFmtId="164" fontId="0" fillId="34" borderId="0" xfId="80" applyNumberFormat="1" applyFill="1">
      <alignment/>
      <protection/>
    </xf>
    <xf numFmtId="0" fontId="0" fillId="34" borderId="0" xfId="85" applyFont="1" applyFill="1" applyAlignment="1">
      <alignment horizontal="left" indent="1"/>
      <protection/>
    </xf>
    <xf numFmtId="0" fontId="1" fillId="34" borderId="0" xfId="82" applyFont="1" applyFill="1" applyAlignment="1">
      <alignment horizontal="left"/>
      <protection/>
    </xf>
    <xf numFmtId="43" fontId="0" fillId="34" borderId="0" xfId="80" applyNumberFormat="1" applyFill="1">
      <alignment/>
      <protection/>
    </xf>
    <xf numFmtId="167" fontId="0" fillId="0" borderId="0" xfId="57" applyNumberFormat="1" applyFont="1" applyFill="1" applyBorder="1" applyAlignment="1">
      <alignment/>
    </xf>
    <xf numFmtId="0" fontId="1" fillId="0" borderId="0" xfId="82" applyFont="1" applyAlignment="1">
      <alignment horizontal="left"/>
      <protection/>
    </xf>
    <xf numFmtId="43" fontId="0" fillId="0" borderId="0" xfId="80" applyNumberFormat="1">
      <alignment/>
      <protection/>
    </xf>
    <xf numFmtId="167" fontId="0" fillId="0" borderId="37" xfId="57" applyNumberFormat="1" applyFont="1" applyFill="1" applyBorder="1" applyAlignment="1">
      <alignment/>
    </xf>
    <xf numFmtId="164" fontId="0" fillId="0" borderId="0" xfId="46" applyNumberFormat="1" applyFont="1" applyFill="1" applyAlignment="1">
      <alignment/>
    </xf>
    <xf numFmtId="0" fontId="0" fillId="0" borderId="0" xfId="82" applyFont="1" applyAlignment="1">
      <alignment horizontal="left"/>
      <protection/>
    </xf>
    <xf numFmtId="167" fontId="1" fillId="0" borderId="11" xfId="57" applyNumberFormat="1" applyFont="1" applyFill="1" applyBorder="1" applyAlignment="1">
      <alignment/>
    </xf>
    <xf numFmtId="0" fontId="0" fillId="34" borderId="0" xfId="80" applyFont="1" applyFill="1" applyAlignment="1">
      <alignment horizontal="center"/>
      <protection/>
    </xf>
    <xf numFmtId="164" fontId="5" fillId="0" borderId="0" xfId="52" applyNumberFormat="1" applyFont="1" applyFill="1" applyAlignment="1">
      <alignment vertical="center"/>
    </xf>
    <xf numFmtId="0" fontId="1" fillId="0" borderId="18" xfId="82" applyFont="1" applyBorder="1" applyAlignment="1">
      <alignment horizontal="left" wrapText="1"/>
      <protection/>
    </xf>
    <xf numFmtId="0" fontId="0" fillId="0" borderId="0" xfId="80" applyFont="1" applyAlignment="1">
      <alignment horizontal="center" vertical="top"/>
      <protection/>
    </xf>
    <xf numFmtId="164" fontId="5" fillId="0" borderId="0" xfId="52" applyNumberFormat="1" applyFont="1" applyFill="1" applyAlignment="1">
      <alignment/>
    </xf>
    <xf numFmtId="0" fontId="83" fillId="0" borderId="0" xfId="75" applyFont="1">
      <alignment/>
      <protection/>
    </xf>
    <xf numFmtId="0" fontId="83" fillId="0" borderId="0" xfId="75" applyFont="1" applyAlignment="1">
      <alignment wrapText="1"/>
      <protection/>
    </xf>
    <xf numFmtId="0" fontId="5" fillId="0" borderId="0" xfId="80" applyFont="1" applyAlignment="1">
      <alignment horizontal="center"/>
      <protection/>
    </xf>
    <xf numFmtId="0" fontId="5" fillId="0" borderId="0" xfId="80" applyFont="1">
      <alignment/>
      <protection/>
    </xf>
    <xf numFmtId="0" fontId="5" fillId="0" borderId="0" xfId="82" applyFont="1" applyAlignment="1">
      <alignment vertical="top" wrapText="1"/>
      <protection/>
    </xf>
    <xf numFmtId="0" fontId="0" fillId="0" borderId="0" xfId="82" applyFont="1" applyAlignment="1">
      <alignment horizontal="left" vertical="top"/>
      <protection/>
    </xf>
    <xf numFmtId="0" fontId="5" fillId="0" borderId="0" xfId="82" applyFont="1" applyAlignment="1">
      <alignment horizontal="left" vertical="top"/>
      <protection/>
    </xf>
    <xf numFmtId="0" fontId="54" fillId="0" borderId="0" xfId="75">
      <alignment/>
      <protection/>
    </xf>
    <xf numFmtId="0" fontId="0" fillId="0" borderId="0" xfId="80" applyFont="1">
      <alignment/>
      <protection/>
    </xf>
    <xf numFmtId="0" fontId="10" fillId="0" borderId="0" xfId="80" applyFont="1">
      <alignment/>
      <protection/>
    </xf>
    <xf numFmtId="164" fontId="1" fillId="0" borderId="12" xfId="53" applyNumberFormat="1" applyFont="1" applyFill="1" applyBorder="1" applyAlignment="1">
      <alignment horizontal="center" wrapText="1"/>
    </xf>
    <xf numFmtId="0" fontId="33" fillId="0" borderId="0" xfId="80" applyFont="1" applyAlignment="1">
      <alignment horizontal="center"/>
      <protection/>
    </xf>
    <xf numFmtId="0" fontId="0" fillId="0" borderId="0" xfId="80" applyFont="1" applyAlignment="1">
      <alignment horizontal="center" wrapText="1"/>
      <protection/>
    </xf>
    <xf numFmtId="5" fontId="0" fillId="0" borderId="0" xfId="80" applyNumberFormat="1" applyFont="1" applyAlignment="1">
      <alignment horizontal="center" wrapText="1"/>
      <protection/>
    </xf>
    <xf numFmtId="164" fontId="1" fillId="0" borderId="37" xfId="53" applyNumberFormat="1" applyFont="1" applyFill="1" applyBorder="1" applyAlignment="1">
      <alignment/>
    </xf>
    <xf numFmtId="8" fontId="0" fillId="0" borderId="0" xfId="80" applyNumberFormat="1" applyFont="1">
      <alignment/>
      <protection/>
    </xf>
    <xf numFmtId="164" fontId="0" fillId="0" borderId="0" xfId="53" applyNumberFormat="1" applyFont="1" applyFill="1" applyAlignment="1">
      <alignment horizontal="center"/>
    </xf>
    <xf numFmtId="5" fontId="0" fillId="0" borderId="0" xfId="80" applyNumberFormat="1">
      <alignment/>
      <protection/>
    </xf>
    <xf numFmtId="164" fontId="0" fillId="0" borderId="0" xfId="46" applyNumberFormat="1" applyFont="1" applyFill="1" applyAlignment="1">
      <alignment horizontal="center"/>
    </xf>
    <xf numFmtId="164" fontId="0" fillId="0" borderId="0" xfId="46" applyNumberFormat="1" applyFont="1" applyAlignment="1">
      <alignment/>
    </xf>
    <xf numFmtId="0" fontId="1" fillId="0" borderId="0" xfId="80" applyFont="1" applyAlignment="1">
      <alignment wrapText="1"/>
      <protection/>
    </xf>
    <xf numFmtId="5" fontId="1" fillId="0" borderId="37" xfId="53" applyNumberFormat="1" applyFont="1" applyFill="1" applyBorder="1" applyAlignment="1">
      <alignment/>
    </xf>
    <xf numFmtId="5" fontId="0" fillId="0" borderId="0" xfId="53" applyNumberFormat="1" applyFont="1" applyFill="1" applyBorder="1" applyAlignment="1">
      <alignment/>
    </xf>
    <xf numFmtId="7" fontId="0" fillId="0" borderId="0" xfId="80" applyNumberFormat="1">
      <alignment/>
      <protection/>
    </xf>
    <xf numFmtId="164" fontId="1" fillId="0" borderId="38" xfId="53" applyNumberFormat="1" applyFont="1" applyFill="1" applyBorder="1" applyAlignment="1">
      <alignment/>
    </xf>
    <xf numFmtId="0" fontId="0" fillId="0" borderId="0" xfId="80" applyFont="1" applyAlignment="1">
      <alignment horizontal="right"/>
      <protection/>
    </xf>
    <xf numFmtId="0" fontId="0" fillId="0" borderId="0" xfId="80" applyFont="1" applyAlignment="1">
      <alignment horizontal="center" vertical="center"/>
      <protection/>
    </xf>
    <xf numFmtId="0" fontId="1" fillId="0" borderId="12" xfId="80" applyFont="1" applyBorder="1" applyAlignment="1">
      <alignment wrapText="1"/>
      <protection/>
    </xf>
    <xf numFmtId="0" fontId="0" fillId="0" borderId="12" xfId="80" applyFont="1" applyBorder="1">
      <alignment/>
      <protection/>
    </xf>
    <xf numFmtId="0" fontId="0" fillId="0" borderId="0" xfId="80" applyAlignment="1">
      <alignment vertical="top"/>
      <protection/>
    </xf>
    <xf numFmtId="0" fontId="107" fillId="0" borderId="0" xfId="80" applyFont="1" applyAlignment="1">
      <alignment vertical="top"/>
      <protection/>
    </xf>
    <xf numFmtId="164" fontId="0" fillId="34" borderId="0" xfId="46" applyNumberFormat="1" applyFont="1" applyFill="1" applyAlignment="1">
      <alignment/>
    </xf>
    <xf numFmtId="43" fontId="0" fillId="0" borderId="0" xfId="46" applyFont="1" applyFill="1" applyAlignment="1">
      <alignment/>
    </xf>
    <xf numFmtId="0" fontId="0" fillId="41" borderId="0" xfId="80" applyFill="1">
      <alignment/>
      <protection/>
    </xf>
    <xf numFmtId="0" fontId="0" fillId="0" borderId="0" xfId="80" applyFont="1" applyBorder="1" applyAlignment="1">
      <alignment horizontal="left" vertical="top" wrapText="1"/>
      <protection/>
    </xf>
    <xf numFmtId="37" fontId="0" fillId="34" borderId="39" xfId="0" applyNumberFormat="1" applyFont="1" applyFill="1" applyBorder="1" applyAlignment="1">
      <alignment wrapText="1"/>
    </xf>
    <xf numFmtId="0" fontId="0" fillId="39" borderId="39" xfId="0" applyFont="1" applyFill="1" applyBorder="1" applyAlignment="1">
      <alignment vertical="center" wrapText="1"/>
    </xf>
    <xf numFmtId="0" fontId="0" fillId="39" borderId="17" xfId="0" applyFont="1" applyFill="1" applyBorder="1" applyAlignment="1">
      <alignment vertical="center" wrapText="1"/>
    </xf>
    <xf numFmtId="0" fontId="1" fillId="0" borderId="10" xfId="0" applyFont="1" applyFill="1" applyBorder="1" applyAlignment="1">
      <alignment/>
    </xf>
    <xf numFmtId="0" fontId="1" fillId="0" borderId="40" xfId="0" applyFont="1" applyFill="1" applyBorder="1" applyAlignment="1">
      <alignment horizontal="left"/>
    </xf>
    <xf numFmtId="0" fontId="1" fillId="0" borderId="40" xfId="0" applyFont="1" applyBorder="1" applyAlignment="1">
      <alignment/>
    </xf>
    <xf numFmtId="0" fontId="1" fillId="0" borderId="40" xfId="0" applyFont="1" applyBorder="1" applyAlignment="1">
      <alignment wrapText="1"/>
    </xf>
    <xf numFmtId="3" fontId="0" fillId="0" borderId="0" xfId="0" applyNumberFormat="1" applyFont="1" applyFill="1" applyAlignment="1" quotePrefix="1">
      <alignment horizontal="left"/>
    </xf>
    <xf numFmtId="164" fontId="0" fillId="0" borderId="0" xfId="45" applyNumberFormat="1" applyFont="1" applyFill="1" applyAlignment="1" quotePrefix="1">
      <alignment/>
    </xf>
    <xf numFmtId="1" fontId="37" fillId="34" borderId="0" xfId="0" applyNumberFormat="1" applyFont="1" applyFill="1" applyAlignment="1">
      <alignment horizontal="center"/>
    </xf>
    <xf numFmtId="164" fontId="0" fillId="34" borderId="15" xfId="45" applyNumberFormat="1" applyFont="1" applyFill="1" applyBorder="1" applyAlignment="1">
      <alignment horizontal="right"/>
    </xf>
    <xf numFmtId="164" fontId="1" fillId="0" borderId="0" xfId="0" applyNumberFormat="1" applyFont="1" applyFill="1" applyBorder="1" applyAlignment="1">
      <alignment horizontal="right"/>
    </xf>
    <xf numFmtId="164" fontId="6" fillId="0" borderId="0" xfId="42" applyNumberFormat="1" applyFont="1" applyAlignment="1">
      <alignment horizontal="center" wrapText="1"/>
    </xf>
    <xf numFmtId="164" fontId="7" fillId="34" borderId="0" xfId="48" applyNumberFormat="1" applyFont="1" applyFill="1" applyAlignment="1">
      <alignment/>
    </xf>
    <xf numFmtId="167" fontId="0" fillId="0" borderId="0" xfId="53" applyNumberFormat="1" applyFont="1" applyFill="1" applyAlignment="1">
      <alignment/>
    </xf>
    <xf numFmtId="0" fontId="4" fillId="0" borderId="0" xfId="0" applyFont="1" applyFill="1" applyBorder="1" applyAlignment="1">
      <alignment/>
    </xf>
    <xf numFmtId="172" fontId="6" fillId="0" borderId="0" xfId="89" applyNumberFormat="1" applyFont="1" applyFill="1" applyAlignment="1">
      <alignment horizontal="right"/>
    </xf>
    <xf numFmtId="164" fontId="4" fillId="0" borderId="10" xfId="42" applyNumberFormat="1" applyFont="1" applyBorder="1" applyAlignment="1">
      <alignment horizontal="right"/>
    </xf>
    <xf numFmtId="164" fontId="6" fillId="34" borderId="12" xfId="42" applyNumberFormat="1" applyFont="1" applyFill="1" applyBorder="1" applyAlignment="1">
      <alignment horizontal="right"/>
    </xf>
    <xf numFmtId="0" fontId="1" fillId="0" borderId="0" xfId="0" applyFont="1" applyFill="1" applyAlignment="1">
      <alignment horizontal="left" indent="1"/>
    </xf>
    <xf numFmtId="0" fontId="0" fillId="0" borderId="0" xfId="0" applyFill="1" applyAlignment="1" quotePrefix="1">
      <alignment/>
    </xf>
    <xf numFmtId="0" fontId="0" fillId="0" borderId="12" xfId="0" applyFont="1" applyFill="1" applyBorder="1" applyAlignment="1">
      <alignment horizontal="center"/>
    </xf>
    <xf numFmtId="0" fontId="0" fillId="0" borderId="33" xfId="0" applyNumberFormat="1" applyFont="1" applyFill="1" applyBorder="1" applyAlignment="1">
      <alignment horizontal="right"/>
    </xf>
    <xf numFmtId="164" fontId="1" fillId="0" borderId="16" xfId="0" applyNumberFormat="1" applyFont="1" applyFill="1" applyBorder="1" applyAlignment="1">
      <alignment horizontal="center"/>
    </xf>
    <xf numFmtId="164" fontId="1" fillId="0" borderId="0" xfId="0" applyNumberFormat="1" applyFont="1" applyFill="1" applyBorder="1" applyAlignment="1">
      <alignment horizontal="center"/>
    </xf>
    <xf numFmtId="0" fontId="37" fillId="0" borderId="18" xfId="0" applyFont="1" applyFill="1" applyBorder="1" applyAlignment="1">
      <alignment horizontal="center"/>
    </xf>
    <xf numFmtId="164" fontId="0" fillId="0" borderId="0" xfId="0" applyNumberFormat="1" applyFont="1" applyFill="1" applyAlignment="1">
      <alignment/>
    </xf>
    <xf numFmtId="0" fontId="22" fillId="0" borderId="0" xfId="0" applyFont="1" applyFill="1" applyAlignment="1">
      <alignment horizontal="left" vertical="center" wrapText="1"/>
    </xf>
    <xf numFmtId="3" fontId="6" fillId="0" borderId="11" xfId="0" applyNumberFormat="1" applyFont="1" applyBorder="1" applyAlignment="1">
      <alignment/>
    </xf>
    <xf numFmtId="0" fontId="107" fillId="0" borderId="21" xfId="0" applyFont="1" applyBorder="1" applyAlignment="1">
      <alignment/>
    </xf>
    <xf numFmtId="0" fontId="112" fillId="0" borderId="21" xfId="0" applyFont="1" applyBorder="1" applyAlignment="1">
      <alignment/>
    </xf>
    <xf numFmtId="0" fontId="107" fillId="0" borderId="25" xfId="0" applyFont="1" applyBorder="1" applyAlignment="1">
      <alignment/>
    </xf>
    <xf numFmtId="0" fontId="113" fillId="0" borderId="0" xfId="0" applyFont="1" applyAlignment="1">
      <alignment/>
    </xf>
    <xf numFmtId="0" fontId="107" fillId="14" borderId="0" xfId="0" applyFont="1" applyFill="1" applyAlignment="1">
      <alignment/>
    </xf>
    <xf numFmtId="0" fontId="107" fillId="0" borderId="16" xfId="0" applyFont="1" applyBorder="1" applyAlignment="1">
      <alignment/>
    </xf>
    <xf numFmtId="0" fontId="112" fillId="0" borderId="0" xfId="0" applyFont="1" applyAlignment="1">
      <alignment/>
    </xf>
    <xf numFmtId="0" fontId="112" fillId="0" borderId="0" xfId="0" applyFont="1" applyAlignment="1">
      <alignment horizontal="center"/>
    </xf>
    <xf numFmtId="0" fontId="113" fillId="0" borderId="0" xfId="0" applyFont="1" applyAlignment="1">
      <alignment horizontal="center"/>
    </xf>
    <xf numFmtId="0" fontId="112" fillId="0" borderId="41" xfId="0" applyFont="1" applyBorder="1" applyAlignment="1">
      <alignment/>
    </xf>
    <xf numFmtId="0" fontId="107" fillId="0" borderId="22" xfId="0" applyFont="1" applyBorder="1" applyAlignment="1">
      <alignment horizontal="center"/>
    </xf>
    <xf numFmtId="0" fontId="107" fillId="0" borderId="18" xfId="0" applyFont="1" applyBorder="1" applyAlignment="1">
      <alignment horizontal="center"/>
    </xf>
    <xf numFmtId="164" fontId="112" fillId="0" borderId="42" xfId="45" applyNumberFormat="1" applyFont="1" applyFill="1" applyBorder="1" applyAlignment="1">
      <alignment horizontal="center"/>
    </xf>
    <xf numFmtId="0" fontId="1" fillId="0" borderId="18" xfId="0" applyFont="1" applyBorder="1" applyAlignment="1">
      <alignment wrapText="1"/>
    </xf>
    <xf numFmtId="0" fontId="1" fillId="0" borderId="20" xfId="0" applyFont="1" applyBorder="1" applyAlignment="1">
      <alignment wrapText="1"/>
    </xf>
    <xf numFmtId="0" fontId="1" fillId="0" borderId="0" xfId="79" applyFont="1" applyAlignment="1">
      <alignment horizontal="left"/>
      <protection/>
    </xf>
    <xf numFmtId="0" fontId="0" fillId="0" borderId="0" xfId="79" applyAlignment="1">
      <alignment horizontal="center"/>
      <protection/>
    </xf>
    <xf numFmtId="0" fontId="0" fillId="0" borderId="0" xfId="79">
      <alignment/>
      <protection/>
    </xf>
    <xf numFmtId="0" fontId="0" fillId="0" borderId="0" xfId="79" applyAlignment="1">
      <alignment horizontal="left"/>
      <protection/>
    </xf>
    <xf numFmtId="16" fontId="0" fillId="0" borderId="0" xfId="79" applyNumberFormat="1" applyAlignment="1">
      <alignment horizontal="center"/>
      <protection/>
    </xf>
    <xf numFmtId="0" fontId="0" fillId="0" borderId="0" xfId="79" applyAlignment="1">
      <alignment horizontal="left" wrapText="1"/>
      <protection/>
    </xf>
    <xf numFmtId="0" fontId="0" fillId="0" borderId="0" xfId="79" applyAlignment="1">
      <alignment wrapText="1"/>
      <protection/>
    </xf>
    <xf numFmtId="210" fontId="0" fillId="0" borderId="0" xfId="79" applyNumberFormat="1">
      <alignment/>
      <protection/>
    </xf>
    <xf numFmtId="164" fontId="0" fillId="0" borderId="0" xfId="45" applyNumberFormat="1" applyFont="1" applyFill="1" applyAlignment="1">
      <alignment/>
    </xf>
    <xf numFmtId="0" fontId="10" fillId="0" borderId="0" xfId="79" applyFont="1" applyAlignment="1">
      <alignment horizontal="left"/>
      <protection/>
    </xf>
    <xf numFmtId="0" fontId="10" fillId="0" borderId="0" xfId="79" applyFont="1" applyAlignment="1">
      <alignment horizontal="center"/>
      <protection/>
    </xf>
    <xf numFmtId="167" fontId="0" fillId="34" borderId="0" xfId="79" applyNumberFormat="1" applyFill="1">
      <alignment/>
      <protection/>
    </xf>
    <xf numFmtId="0" fontId="1" fillId="0" borderId="34" xfId="79" applyFont="1" applyBorder="1">
      <alignment/>
      <protection/>
    </xf>
    <xf numFmtId="0" fontId="0" fillId="0" borderId="37" xfId="79" applyBorder="1">
      <alignment/>
      <protection/>
    </xf>
    <xf numFmtId="0" fontId="0" fillId="0" borderId="0" xfId="79" applyAlignment="1">
      <alignment horizontal="center" wrapText="1"/>
      <protection/>
    </xf>
    <xf numFmtId="0" fontId="107" fillId="0" borderId="0" xfId="79" applyFont="1" applyAlignment="1">
      <alignment horizontal="center"/>
      <protection/>
    </xf>
    <xf numFmtId="0" fontId="0" fillId="0" borderId="43" xfId="79" applyBorder="1" applyAlignment="1">
      <alignment horizontal="center"/>
      <protection/>
    </xf>
    <xf numFmtId="0" fontId="0" fillId="0" borderId="39" xfId="79" applyBorder="1" applyAlignment="1">
      <alignment horizontal="center"/>
      <protection/>
    </xf>
    <xf numFmtId="0" fontId="1" fillId="0" borderId="0" xfId="79" applyFont="1" applyAlignment="1">
      <alignment horizontal="center"/>
      <protection/>
    </xf>
    <xf numFmtId="0" fontId="107" fillId="0" borderId="0" xfId="79" applyFont="1">
      <alignment/>
      <protection/>
    </xf>
    <xf numFmtId="164" fontId="0" fillId="0" borderId="0" xfId="79" applyNumberFormat="1">
      <alignment/>
      <protection/>
    </xf>
    <xf numFmtId="0" fontId="1" fillId="0" borderId="0" xfId="79" applyFont="1">
      <alignment/>
      <protection/>
    </xf>
    <xf numFmtId="164" fontId="0" fillId="34" borderId="0" xfId="45" applyNumberFormat="1" applyFont="1" applyFill="1" applyAlignment="1">
      <alignment/>
    </xf>
    <xf numFmtId="164" fontId="0" fillId="34" borderId="0" xfId="79" applyNumberFormat="1" applyFill="1">
      <alignment/>
      <protection/>
    </xf>
    <xf numFmtId="0" fontId="0" fillId="0" borderId="12" xfId="79" applyBorder="1">
      <alignment/>
      <protection/>
    </xf>
    <xf numFmtId="164" fontId="0" fillId="34" borderId="12" xfId="45" applyNumberFormat="1" applyFont="1" applyFill="1" applyBorder="1" applyAlignment="1">
      <alignment/>
    </xf>
    <xf numFmtId="164" fontId="0" fillId="34" borderId="12" xfId="79" applyNumberFormat="1" applyFill="1" applyBorder="1">
      <alignment/>
      <protection/>
    </xf>
    <xf numFmtId="164" fontId="0" fillId="0" borderId="12" xfId="79" applyNumberFormat="1" applyBorder="1">
      <alignment/>
      <protection/>
    </xf>
    <xf numFmtId="164" fontId="0" fillId="0" borderId="12" xfId="45" applyNumberFormat="1" applyFont="1" applyFill="1" applyBorder="1" applyAlignment="1">
      <alignment/>
    </xf>
    <xf numFmtId="3" fontId="0" fillId="0" borderId="0" xfId="79" applyNumberFormat="1" applyAlignment="1">
      <alignment horizontal="center"/>
      <protection/>
    </xf>
    <xf numFmtId="10" fontId="0" fillId="34" borderId="0" xfId="90" applyNumberFormat="1" applyFont="1" applyFill="1" applyAlignment="1">
      <alignment/>
    </xf>
    <xf numFmtId="164" fontId="0" fillId="0" borderId="0" xfId="45" applyNumberFormat="1" applyFont="1" applyFill="1" applyAlignment="1">
      <alignment horizontal="center"/>
    </xf>
    <xf numFmtId="10" fontId="0" fillId="0" borderId="0" xfId="90" applyNumberFormat="1" applyFont="1" applyFill="1" applyAlignment="1">
      <alignment/>
    </xf>
    <xf numFmtId="3" fontId="0" fillId="0" borderId="12" xfId="79" applyNumberFormat="1" applyBorder="1" applyAlignment="1">
      <alignment horizontal="center"/>
      <protection/>
    </xf>
    <xf numFmtId="10" fontId="0" fillId="0" borderId="12" xfId="90" applyNumberFormat="1" applyFont="1" applyFill="1" applyBorder="1" applyAlignment="1">
      <alignment/>
    </xf>
    <xf numFmtId="164" fontId="0" fillId="0" borderId="12" xfId="45" applyNumberFormat="1" applyFont="1" applyFill="1" applyBorder="1" applyAlignment="1">
      <alignment horizontal="center"/>
    </xf>
    <xf numFmtId="167" fontId="0" fillId="0" borderId="0" xfId="79" applyNumberFormat="1">
      <alignment/>
      <protection/>
    </xf>
    <xf numFmtId="0" fontId="5" fillId="0" borderId="0" xfId="79" applyFont="1">
      <alignment/>
      <protection/>
    </xf>
    <xf numFmtId="167" fontId="0" fillId="0" borderId="0" xfId="58" applyNumberFormat="1" applyFont="1" applyFill="1" applyAlignment="1">
      <alignment/>
    </xf>
    <xf numFmtId="209" fontId="0" fillId="34" borderId="0" xfId="79" applyNumberFormat="1" applyFill="1" applyAlignment="1">
      <alignment horizontal="center"/>
      <protection/>
    </xf>
    <xf numFmtId="0" fontId="109" fillId="0" borderId="0" xfId="79" applyFont="1" applyAlignment="1">
      <alignment horizontal="left"/>
      <protection/>
    </xf>
    <xf numFmtId="0" fontId="109" fillId="0" borderId="0" xfId="79" applyFont="1">
      <alignment/>
      <protection/>
    </xf>
    <xf numFmtId="0" fontId="1" fillId="0" borderId="0" xfId="79" applyFont="1" applyAlignment="1" quotePrefix="1">
      <alignment horizontal="left"/>
      <protection/>
    </xf>
    <xf numFmtId="164" fontId="0" fillId="0" borderId="0" xfId="79" applyNumberFormat="1" applyAlignment="1">
      <alignment horizontal="center"/>
      <protection/>
    </xf>
    <xf numFmtId="3" fontId="0" fillId="0" borderId="0" xfId="79" applyNumberFormat="1" applyAlignment="1">
      <alignment horizontal="right"/>
      <protection/>
    </xf>
    <xf numFmtId="167" fontId="0" fillId="0" borderId="0" xfId="58" applyNumberFormat="1" applyFont="1" applyFill="1" applyAlignment="1">
      <alignment horizontal="left"/>
    </xf>
    <xf numFmtId="167" fontId="107" fillId="0" borderId="0" xfId="58" applyNumberFormat="1" applyFont="1" applyFill="1" applyAlignment="1">
      <alignment/>
    </xf>
    <xf numFmtId="0" fontId="107" fillId="0" borderId="0" xfId="79" applyFont="1" applyAlignment="1">
      <alignment wrapText="1"/>
      <protection/>
    </xf>
    <xf numFmtId="214" fontId="1" fillId="0" borderId="0" xfId="79" applyNumberFormat="1" applyFont="1" quotePrefix="1">
      <alignment/>
      <protection/>
    </xf>
    <xf numFmtId="0" fontId="1" fillId="0" borderId="0" xfId="79" applyFont="1" quotePrefix="1">
      <alignment/>
      <protection/>
    </xf>
    <xf numFmtId="167" fontId="107" fillId="0" borderId="0" xfId="79" applyNumberFormat="1" applyFont="1">
      <alignment/>
      <protection/>
    </xf>
    <xf numFmtId="172" fontId="0" fillId="34" borderId="0" xfId="90" applyNumberFormat="1" applyFont="1" applyFill="1" applyAlignment="1">
      <alignment/>
    </xf>
    <xf numFmtId="0" fontId="1" fillId="0" borderId="0" xfId="79" applyFont="1" applyAlignment="1">
      <alignment wrapText="1"/>
      <protection/>
    </xf>
    <xf numFmtId="164" fontId="1" fillId="0" borderId="0" xfId="45" applyNumberFormat="1" applyFont="1" applyFill="1" applyAlignment="1">
      <alignment/>
    </xf>
    <xf numFmtId="164" fontId="0" fillId="0" borderId="0" xfId="79" applyNumberFormat="1" applyAlignment="1">
      <alignment horizontal="center" wrapText="1"/>
      <protection/>
    </xf>
    <xf numFmtId="0" fontId="5" fillId="0" borderId="0" xfId="79" applyFont="1" applyAlignment="1">
      <alignment horizontal="center"/>
      <protection/>
    </xf>
    <xf numFmtId="172" fontId="0" fillId="0" borderId="0" xfId="90" applyNumberFormat="1" applyFont="1" applyFill="1" applyAlignment="1">
      <alignment/>
    </xf>
    <xf numFmtId="172" fontId="0" fillId="0" borderId="0" xfId="79" applyNumberFormat="1">
      <alignment/>
      <protection/>
    </xf>
    <xf numFmtId="168" fontId="0" fillId="0" borderId="0" xfId="90" applyNumberFormat="1" applyFont="1" applyFill="1" applyAlignment="1">
      <alignment/>
    </xf>
    <xf numFmtId="164" fontId="0" fillId="0" borderId="0" xfId="79" applyNumberFormat="1" applyAlignment="1">
      <alignment horizontal="left"/>
      <protection/>
    </xf>
    <xf numFmtId="0" fontId="114" fillId="0" borderId="0" xfId="79" applyFont="1">
      <alignment/>
      <protection/>
    </xf>
    <xf numFmtId="0" fontId="1" fillId="0" borderId="19" xfId="79" applyFont="1" applyBorder="1">
      <alignment/>
      <protection/>
    </xf>
    <xf numFmtId="0" fontId="0" fillId="0" borderId="10" xfId="79" applyBorder="1">
      <alignment/>
      <protection/>
    </xf>
    <xf numFmtId="0" fontId="0" fillId="0" borderId="27" xfId="79" applyBorder="1">
      <alignment/>
      <protection/>
    </xf>
    <xf numFmtId="164" fontId="0" fillId="0" borderId="0" xfId="45" applyNumberFormat="1" applyFont="1" applyFill="1" applyBorder="1" applyAlignment="1">
      <alignment/>
    </xf>
    <xf numFmtId="164" fontId="0" fillId="34" borderId="0" xfId="45" applyNumberFormat="1" applyFont="1" applyFill="1" applyBorder="1" applyAlignment="1">
      <alignment/>
    </xf>
    <xf numFmtId="164" fontId="0" fillId="39" borderId="0" xfId="45" applyNumberFormat="1" applyFont="1" applyFill="1" applyBorder="1" applyAlignment="1">
      <alignment/>
    </xf>
    <xf numFmtId="10" fontId="0" fillId="0" borderId="0" xfId="79" applyNumberFormat="1">
      <alignment/>
      <protection/>
    </xf>
    <xf numFmtId="10" fontId="0" fillId="0" borderId="12" xfId="79" applyNumberFormat="1" applyBorder="1">
      <alignment/>
      <protection/>
    </xf>
    <xf numFmtId="167" fontId="0" fillId="0" borderId="0" xfId="79" applyNumberFormat="1" applyAlignment="1">
      <alignment horizontal="center"/>
      <protection/>
    </xf>
    <xf numFmtId="167" fontId="1" fillId="0" borderId="0" xfId="58" applyNumberFormat="1" applyFont="1" applyFill="1" applyAlignment="1">
      <alignment horizontal="left"/>
    </xf>
    <xf numFmtId="0" fontId="22" fillId="0" borderId="0" xfId="79" applyFont="1" applyAlignment="1">
      <alignment horizontal="center"/>
      <protection/>
    </xf>
    <xf numFmtId="0" fontId="22" fillId="0" borderId="0" xfId="79" applyFont="1">
      <alignment/>
      <protection/>
    </xf>
    <xf numFmtId="0" fontId="0" fillId="0" borderId="0" xfId="79" applyAlignment="1">
      <alignment horizontal="center" vertical="top"/>
      <protection/>
    </xf>
    <xf numFmtId="164" fontId="0" fillId="0" borderId="0" xfId="45" applyNumberFormat="1" applyFont="1" applyAlignment="1">
      <alignment/>
    </xf>
    <xf numFmtId="172" fontId="0" fillId="0" borderId="0" xfId="90" applyNumberFormat="1" applyFont="1" applyAlignment="1">
      <alignment/>
    </xf>
    <xf numFmtId="172" fontId="0" fillId="0" borderId="0" xfId="90" applyNumberFormat="1" applyFont="1" applyFill="1" applyBorder="1" applyAlignment="1">
      <alignment/>
    </xf>
    <xf numFmtId="164" fontId="28" fillId="0" borderId="0" xfId="45" applyNumberFormat="1" applyFont="1" applyFill="1" applyBorder="1" applyAlignment="1">
      <alignment/>
    </xf>
    <xf numFmtId="164" fontId="109" fillId="0" borderId="0" xfId="45" applyNumberFormat="1" applyFont="1" applyAlignment="1">
      <alignment/>
    </xf>
    <xf numFmtId="164" fontId="0" fillId="0" borderId="0" xfId="45" applyNumberFormat="1" applyFont="1" applyBorder="1" applyAlignment="1">
      <alignment/>
    </xf>
    <xf numFmtId="0" fontId="0" fillId="0" borderId="18" xfId="79" applyBorder="1">
      <alignment/>
      <protection/>
    </xf>
    <xf numFmtId="164" fontId="0" fillId="0" borderId="18" xfId="45" applyNumberFormat="1" applyFont="1" applyBorder="1" applyAlignment="1">
      <alignment/>
    </xf>
    <xf numFmtId="0" fontId="28" fillId="0" borderId="26" xfId="79" applyFont="1" applyBorder="1">
      <alignment/>
      <protection/>
    </xf>
    <xf numFmtId="0" fontId="28" fillId="0" borderId="21" xfId="79" applyFont="1" applyBorder="1" applyAlignment="1">
      <alignment horizontal="center"/>
      <protection/>
    </xf>
    <xf numFmtId="0" fontId="0" fillId="0" borderId="15" xfId="79" applyBorder="1" applyAlignment="1">
      <alignment horizontal="center"/>
      <protection/>
    </xf>
    <xf numFmtId="0" fontId="30" fillId="0" borderId="26" xfId="79" applyFont="1" applyBorder="1" applyAlignment="1">
      <alignment horizontal="center"/>
      <protection/>
    </xf>
    <xf numFmtId="0" fontId="28" fillId="0" borderId="25" xfId="79" applyFont="1" applyBorder="1">
      <alignment/>
      <protection/>
    </xf>
    <xf numFmtId="0" fontId="28" fillId="0" borderId="0" xfId="79" applyFont="1">
      <alignment/>
      <protection/>
    </xf>
    <xf numFmtId="0" fontId="28" fillId="0" borderId="16" xfId="79" applyFont="1" applyBorder="1">
      <alignment/>
      <protection/>
    </xf>
    <xf numFmtId="0" fontId="28" fillId="0" borderId="0" xfId="79" applyFont="1" applyAlignment="1">
      <alignment horizontal="center"/>
      <protection/>
    </xf>
    <xf numFmtId="0" fontId="28" fillId="34" borderId="16" xfId="79" applyFont="1" applyFill="1" applyBorder="1" applyAlignment="1">
      <alignment horizontal="center"/>
      <protection/>
    </xf>
    <xf numFmtId="0" fontId="107" fillId="0" borderId="15" xfId="79" applyFont="1" applyBorder="1" applyAlignment="1">
      <alignment horizontal="center"/>
      <protection/>
    </xf>
    <xf numFmtId="0" fontId="28" fillId="0" borderId="15" xfId="79" applyFont="1" applyBorder="1">
      <alignment/>
      <protection/>
    </xf>
    <xf numFmtId="164" fontId="28" fillId="0" borderId="15" xfId="45" applyNumberFormat="1" applyFont="1" applyFill="1" applyBorder="1" applyAlignment="1">
      <alignment horizontal="center"/>
    </xf>
    <xf numFmtId="164" fontId="28" fillId="0" borderId="0" xfId="45" applyNumberFormat="1" applyFont="1" applyFill="1" applyBorder="1" applyAlignment="1">
      <alignment horizontal="center"/>
    </xf>
    <xf numFmtId="0" fontId="28" fillId="0" borderId="0" xfId="79" applyFont="1" applyAlignment="1">
      <alignment horizontal="left"/>
      <protection/>
    </xf>
    <xf numFmtId="0" fontId="115" fillId="0" borderId="0" xfId="79" applyFont="1" applyAlignment="1">
      <alignment horizontal="center"/>
      <protection/>
    </xf>
    <xf numFmtId="164" fontId="115" fillId="0" borderId="15" xfId="45" applyNumberFormat="1" applyFont="1" applyFill="1" applyBorder="1" applyAlignment="1">
      <alignment horizontal="center"/>
    </xf>
    <xf numFmtId="168" fontId="28" fillId="0" borderId="16" xfId="90" applyNumberFormat="1" applyFont="1" applyFill="1" applyBorder="1" applyAlignment="1">
      <alignment horizontal="right"/>
    </xf>
    <xf numFmtId="164" fontId="28" fillId="0" borderId="15" xfId="45" applyNumberFormat="1" applyFont="1" applyFill="1" applyBorder="1" applyAlignment="1">
      <alignment/>
    </xf>
    <xf numFmtId="0" fontId="111" fillId="0" borderId="0" xfId="79" applyFont="1" applyAlignment="1">
      <alignment horizontal="left"/>
      <protection/>
    </xf>
    <xf numFmtId="0" fontId="111" fillId="0" borderId="0" xfId="79" applyFont="1" applyAlignment="1">
      <alignment horizontal="center"/>
      <protection/>
    </xf>
    <xf numFmtId="164" fontId="111" fillId="0" borderId="15" xfId="45" applyNumberFormat="1" applyFont="1" applyFill="1" applyBorder="1" applyAlignment="1">
      <alignment horizontal="center"/>
    </xf>
    <xf numFmtId="164" fontId="111" fillId="0" borderId="0" xfId="45" applyNumberFormat="1" applyFont="1" applyFill="1" applyBorder="1" applyAlignment="1">
      <alignment horizontal="center"/>
    </xf>
    <xf numFmtId="0" fontId="115" fillId="0" borderId="0" xfId="79" applyFont="1">
      <alignment/>
      <protection/>
    </xf>
    <xf numFmtId="164" fontId="115" fillId="0" borderId="15" xfId="45" applyNumberFormat="1" applyFont="1" applyFill="1" applyBorder="1" applyAlignment="1">
      <alignment/>
    </xf>
    <xf numFmtId="164" fontId="28" fillId="33" borderId="16" xfId="45" applyNumberFormat="1" applyFont="1" applyFill="1" applyBorder="1" applyAlignment="1">
      <alignment/>
    </xf>
    <xf numFmtId="164" fontId="28" fillId="0" borderId="16" xfId="45" applyNumberFormat="1" applyFont="1" applyFill="1" applyBorder="1" applyAlignment="1">
      <alignment/>
    </xf>
    <xf numFmtId="164" fontId="115" fillId="0" borderId="0" xfId="45" applyNumberFormat="1" applyFont="1" applyFill="1" applyBorder="1" applyAlignment="1">
      <alignment/>
    </xf>
    <xf numFmtId="164" fontId="28" fillId="42" borderId="16" xfId="45" applyNumberFormat="1" applyFont="1" applyFill="1" applyBorder="1" applyAlignment="1">
      <alignment/>
    </xf>
    <xf numFmtId="176" fontId="28" fillId="0" borderId="0" xfId="45" applyNumberFormat="1" applyFont="1" applyFill="1" applyBorder="1" applyAlignment="1">
      <alignment/>
    </xf>
    <xf numFmtId="176" fontId="115" fillId="0" borderId="0" xfId="45" applyNumberFormat="1" applyFont="1" applyFill="1" applyBorder="1" applyAlignment="1">
      <alignment/>
    </xf>
    <xf numFmtId="0" fontId="28" fillId="0" borderId="22" xfId="79" applyFont="1" applyBorder="1">
      <alignment/>
      <protection/>
    </xf>
    <xf numFmtId="0" fontId="28" fillId="0" borderId="18" xfId="79" applyFont="1" applyBorder="1" applyAlignment="1">
      <alignment horizontal="center"/>
      <protection/>
    </xf>
    <xf numFmtId="0" fontId="28" fillId="0" borderId="20" xfId="79" applyFont="1" applyBorder="1">
      <alignment/>
      <protection/>
    </xf>
    <xf numFmtId="0" fontId="30" fillId="0" borderId="44" xfId="79" applyFont="1" applyBorder="1" applyAlignment="1">
      <alignment horizontal="center"/>
      <protection/>
    </xf>
    <xf numFmtId="0" fontId="30" fillId="0" borderId="21" xfId="79" applyFont="1" applyBorder="1" applyAlignment="1">
      <alignment horizontal="center"/>
      <protection/>
    </xf>
    <xf numFmtId="164" fontId="30" fillId="0" borderId="25" xfId="45" applyNumberFormat="1" applyFont="1" applyFill="1" applyBorder="1" applyAlignment="1">
      <alignment horizontal="center" wrapText="1"/>
    </xf>
    <xf numFmtId="0" fontId="30" fillId="0" borderId="0" xfId="79" applyFont="1" applyAlignment="1">
      <alignment horizontal="center"/>
      <protection/>
    </xf>
    <xf numFmtId="164" fontId="30" fillId="0" borderId="15" xfId="45" applyNumberFormat="1" applyFont="1" applyFill="1" applyBorder="1" applyAlignment="1">
      <alignment horizontal="center" wrapText="1"/>
    </xf>
    <xf numFmtId="0" fontId="30" fillId="0" borderId="25" xfId="79" applyFont="1" applyBorder="1" applyAlignment="1">
      <alignment horizontal="center"/>
      <protection/>
    </xf>
    <xf numFmtId="0" fontId="28" fillId="0" borderId="41" xfId="79" applyFont="1" applyBorder="1" applyAlignment="1">
      <alignment horizontal="center"/>
      <protection/>
    </xf>
    <xf numFmtId="164" fontId="28" fillId="0" borderId="0" xfId="79" applyNumberFormat="1" applyFont="1">
      <alignment/>
      <protection/>
    </xf>
    <xf numFmtId="164" fontId="28" fillId="0" borderId="16" xfId="79" applyNumberFormat="1" applyFont="1" applyBorder="1">
      <alignment/>
      <protection/>
    </xf>
    <xf numFmtId="167" fontId="28" fillId="0" borderId="41" xfId="58" applyNumberFormat="1" applyFont="1" applyBorder="1" applyAlignment="1">
      <alignment/>
    </xf>
    <xf numFmtId="167" fontId="28" fillId="0" borderId="15" xfId="79" applyNumberFormat="1" applyFont="1" applyBorder="1">
      <alignment/>
      <protection/>
    </xf>
    <xf numFmtId="167" fontId="28" fillId="0" borderId="0" xfId="79" applyNumberFormat="1" applyFont="1">
      <alignment/>
      <protection/>
    </xf>
    <xf numFmtId="0" fontId="28" fillId="0" borderId="41" xfId="79" applyFont="1" applyBorder="1">
      <alignment/>
      <protection/>
    </xf>
    <xf numFmtId="164" fontId="30" fillId="0" borderId="41" xfId="79" applyNumberFormat="1" applyFont="1" applyBorder="1">
      <alignment/>
      <protection/>
    </xf>
    <xf numFmtId="164" fontId="30" fillId="0" borderId="0" xfId="79" applyNumberFormat="1" applyFont="1">
      <alignment/>
      <protection/>
    </xf>
    <xf numFmtId="164" fontId="30" fillId="0" borderId="15" xfId="45" applyNumberFormat="1" applyFont="1" applyBorder="1" applyAlignment="1">
      <alignment/>
    </xf>
    <xf numFmtId="0" fontId="28" fillId="0" borderId="42" xfId="79" applyFont="1" applyBorder="1">
      <alignment/>
      <protection/>
    </xf>
    <xf numFmtId="164" fontId="30" fillId="0" borderId="42" xfId="79" applyNumberFormat="1" applyFont="1" applyBorder="1">
      <alignment/>
      <protection/>
    </xf>
    <xf numFmtId="164" fontId="30" fillId="0" borderId="18" xfId="79" applyNumberFormat="1" applyFont="1" applyBorder="1">
      <alignment/>
      <protection/>
    </xf>
    <xf numFmtId="164" fontId="30" fillId="0" borderId="20" xfId="45" applyNumberFormat="1" applyFont="1" applyBorder="1" applyAlignment="1">
      <alignment/>
    </xf>
    <xf numFmtId="164" fontId="30" fillId="0" borderId="22" xfId="45" applyNumberFormat="1" applyFont="1" applyBorder="1" applyAlignment="1">
      <alignment/>
    </xf>
    <xf numFmtId="164" fontId="30" fillId="0" borderId="18" xfId="45" applyNumberFormat="1" applyFont="1" applyBorder="1" applyAlignment="1">
      <alignment/>
    </xf>
    <xf numFmtId="167" fontId="28" fillId="0" borderId="42" xfId="58" applyNumberFormat="1" applyFont="1" applyFill="1" applyBorder="1" applyAlignment="1">
      <alignment/>
    </xf>
    <xf numFmtId="167" fontId="28" fillId="0" borderId="20" xfId="58" applyNumberFormat="1" applyFont="1" applyFill="1" applyBorder="1" applyAlignment="1">
      <alignment/>
    </xf>
    <xf numFmtId="164" fontId="28" fillId="0" borderId="0" xfId="45" applyNumberFormat="1" applyFont="1" applyAlignment="1">
      <alignment/>
    </xf>
    <xf numFmtId="167" fontId="28" fillId="0" borderId="0" xfId="58" applyNumberFormat="1" applyFont="1" applyAlignment="1">
      <alignment/>
    </xf>
    <xf numFmtId="43" fontId="0" fillId="0" borderId="0" xfId="79" applyNumberFormat="1">
      <alignment/>
      <protection/>
    </xf>
    <xf numFmtId="164" fontId="22" fillId="0" borderId="0" xfId="45" applyNumberFormat="1" applyFont="1" applyAlignment="1">
      <alignment/>
    </xf>
    <xf numFmtId="0" fontId="0" fillId="0" borderId="45" xfId="79" applyBorder="1" applyAlignment="1">
      <alignment horizontal="center" wrapText="1"/>
      <protection/>
    </xf>
    <xf numFmtId="164" fontId="30" fillId="0" borderId="21" xfId="45" applyNumberFormat="1" applyFont="1" applyFill="1" applyBorder="1" applyAlignment="1">
      <alignment horizontal="center" wrapText="1"/>
    </xf>
    <xf numFmtId="164" fontId="107" fillId="0" borderId="0" xfId="0" applyNumberFormat="1" applyFont="1" applyAlignment="1">
      <alignment horizontal="right"/>
    </xf>
    <xf numFmtId="0" fontId="107" fillId="0" borderId="0" xfId="79" applyFont="1" applyAlignment="1">
      <alignment horizontal="center" wrapText="1"/>
      <protection/>
    </xf>
    <xf numFmtId="164" fontId="107" fillId="34" borderId="0" xfId="79" applyNumberFormat="1" applyFont="1" applyFill="1">
      <alignment/>
      <protection/>
    </xf>
    <xf numFmtId="164" fontId="107" fillId="34" borderId="12" xfId="79" applyNumberFormat="1" applyFont="1" applyFill="1" applyBorder="1">
      <alignment/>
      <protection/>
    </xf>
    <xf numFmtId="164" fontId="107" fillId="0" borderId="0" xfId="79" applyNumberFormat="1" applyFont="1">
      <alignment/>
      <protection/>
    </xf>
    <xf numFmtId="164" fontId="107" fillId="0" borderId="0" xfId="45" applyNumberFormat="1" applyFont="1" applyFill="1" applyAlignment="1">
      <alignment/>
    </xf>
    <xf numFmtId="0" fontId="107" fillId="0" borderId="0" xfId="0" applyFont="1" applyAlignment="1">
      <alignment horizontal="center"/>
    </xf>
    <xf numFmtId="0" fontId="107" fillId="0" borderId="15" xfId="0" applyFont="1" applyBorder="1" applyAlignment="1">
      <alignment horizontal="center"/>
    </xf>
    <xf numFmtId="0" fontId="115" fillId="0" borderId="0" xfId="0" applyFont="1" applyAlignment="1">
      <alignment/>
    </xf>
    <xf numFmtId="164" fontId="115" fillId="42" borderId="16" xfId="45" applyNumberFormat="1" applyFont="1" applyFill="1" applyBorder="1" applyAlignment="1">
      <alignment/>
    </xf>
    <xf numFmtId="164" fontId="0" fillId="0" borderId="0" xfId="42" applyNumberFormat="1" applyFont="1" applyAlignment="1">
      <alignment/>
    </xf>
    <xf numFmtId="0" fontId="0" fillId="0" borderId="0" xfId="0" applyFont="1" applyAlignment="1">
      <alignment horizontal="right"/>
    </xf>
    <xf numFmtId="164" fontId="6" fillId="34" borderId="0" xfId="45" applyNumberFormat="1" applyFont="1" applyFill="1" applyBorder="1" applyAlignment="1">
      <alignment/>
    </xf>
    <xf numFmtId="164" fontId="6" fillId="34" borderId="0" xfId="45" applyNumberFormat="1" applyFont="1" applyFill="1" applyAlignment="1">
      <alignment/>
    </xf>
    <xf numFmtId="164" fontId="6" fillId="34" borderId="12" xfId="45" applyNumberFormat="1" applyFont="1" applyFill="1" applyBorder="1" applyAlignment="1">
      <alignment/>
    </xf>
    <xf numFmtId="164" fontId="4" fillId="0" borderId="0" xfId="45" applyNumberFormat="1" applyFont="1" applyFill="1" applyAlignment="1">
      <alignment/>
    </xf>
    <xf numFmtId="164" fontId="6" fillId="0" borderId="0" xfId="45" applyNumberFormat="1" applyFont="1" applyFill="1" applyAlignment="1">
      <alignment/>
    </xf>
    <xf numFmtId="164" fontId="6" fillId="34" borderId="0" xfId="45" applyNumberFormat="1" applyFont="1" applyFill="1" applyBorder="1" applyAlignment="1">
      <alignment horizontal="right"/>
    </xf>
    <xf numFmtId="164" fontId="6" fillId="34" borderId="0" xfId="45" applyNumberFormat="1" applyFont="1" applyFill="1" applyAlignment="1">
      <alignment horizontal="right"/>
    </xf>
    <xf numFmtId="164" fontId="6" fillId="39" borderId="0" xfId="45" applyNumberFormat="1" applyFont="1" applyFill="1" applyAlignment="1">
      <alignment/>
    </xf>
    <xf numFmtId="164" fontId="14" fillId="34" borderId="0" xfId="45" applyNumberFormat="1" applyFont="1" applyFill="1" applyAlignment="1">
      <alignment horizontal="right"/>
    </xf>
    <xf numFmtId="164" fontId="14" fillId="34" borderId="12" xfId="45" applyNumberFormat="1" applyFont="1" applyFill="1" applyBorder="1" applyAlignment="1">
      <alignment horizontal="right"/>
    </xf>
    <xf numFmtId="164" fontId="6" fillId="34" borderId="12" xfId="45" applyNumberFormat="1" applyFont="1" applyFill="1" applyBorder="1" applyAlignment="1">
      <alignment horizontal="right"/>
    </xf>
    <xf numFmtId="164" fontId="6" fillId="39" borderId="12" xfId="45" applyNumberFormat="1" applyFont="1" applyFill="1" applyBorder="1" applyAlignment="1">
      <alignment/>
    </xf>
    <xf numFmtId="164" fontId="6" fillId="0" borderId="0" xfId="45" applyNumberFormat="1" applyFont="1" applyFill="1" applyAlignment="1">
      <alignment/>
    </xf>
    <xf numFmtId="164" fontId="6" fillId="34" borderId="0" xfId="45" applyNumberFormat="1" applyFont="1" applyFill="1" applyAlignment="1">
      <alignment/>
    </xf>
    <xf numFmtId="37" fontId="6" fillId="0" borderId="0" xfId="0" applyNumberFormat="1" applyFont="1" applyAlignment="1">
      <alignment horizontal="right"/>
    </xf>
    <xf numFmtId="164" fontId="4" fillId="34" borderId="0" xfId="45" applyNumberFormat="1" applyFont="1" applyFill="1" applyBorder="1" applyAlignment="1">
      <alignment/>
    </xf>
    <xf numFmtId="164" fontId="4" fillId="34" borderId="0" xfId="45" applyNumberFormat="1" applyFont="1" applyFill="1" applyBorder="1" applyAlignment="1">
      <alignment/>
    </xf>
    <xf numFmtId="43" fontId="4" fillId="34" borderId="0" xfId="45" applyFont="1" applyFill="1" applyBorder="1" applyAlignment="1">
      <alignment horizontal="right"/>
    </xf>
    <xf numFmtId="172" fontId="0" fillId="0" borderId="0" xfId="0" applyNumberFormat="1" applyFont="1" applyAlignment="1">
      <alignment/>
    </xf>
    <xf numFmtId="164" fontId="0" fillId="39" borderId="17" xfId="45" applyNumberFormat="1" applyFont="1" applyFill="1" applyBorder="1" applyAlignment="1">
      <alignment/>
    </xf>
    <xf numFmtId="164" fontId="0" fillId="39" borderId="17" xfId="45" applyNumberFormat="1" applyFont="1" applyFill="1" applyBorder="1" applyAlignment="1">
      <alignment/>
    </xf>
    <xf numFmtId="172" fontId="0" fillId="0" borderId="0" xfId="0" applyNumberFormat="1" applyAlignment="1">
      <alignment horizontal="center" wrapText="1"/>
    </xf>
    <xf numFmtId="164" fontId="22" fillId="34" borderId="0" xfId="45" applyNumberFormat="1" applyFont="1" applyFill="1" applyAlignment="1">
      <alignment vertical="center" wrapText="1"/>
    </xf>
    <xf numFmtId="0" fontId="6" fillId="0" borderId="0" xfId="0" applyFont="1" applyAlignment="1">
      <alignment wrapText="1"/>
    </xf>
    <xf numFmtId="171" fontId="6" fillId="0" borderId="0" xfId="0" applyNumberFormat="1" applyFont="1" applyAlignment="1">
      <alignment/>
    </xf>
    <xf numFmtId="10" fontId="6" fillId="0" borderId="0" xfId="90" applyNumberFormat="1" applyFont="1" applyFill="1" applyAlignment="1">
      <alignment/>
    </xf>
    <xf numFmtId="177" fontId="6" fillId="0" borderId="0" xfId="45" applyNumberFormat="1" applyFont="1" applyFill="1" applyAlignment="1">
      <alignment/>
    </xf>
    <xf numFmtId="177" fontId="6" fillId="0" borderId="12" xfId="45" applyNumberFormat="1" applyFont="1" applyFill="1" applyBorder="1" applyAlignment="1">
      <alignment/>
    </xf>
    <xf numFmtId="177" fontId="4" fillId="0" borderId="0" xfId="45" applyNumberFormat="1" applyFont="1" applyFill="1" applyAlignment="1">
      <alignment/>
    </xf>
    <xf numFmtId="164" fontId="4" fillId="0" borderId="11" xfId="45" applyNumberFormat="1" applyFont="1" applyFill="1" applyBorder="1" applyAlignment="1">
      <alignment/>
    </xf>
    <xf numFmtId="10" fontId="11" fillId="0" borderId="0" xfId="0" applyNumberFormat="1" applyFont="1" applyAlignment="1">
      <alignment/>
    </xf>
    <xf numFmtId="10" fontId="6" fillId="0" borderId="0" xfId="0" applyNumberFormat="1" applyFont="1" applyAlignment="1">
      <alignment horizontal="right"/>
    </xf>
    <xf numFmtId="164" fontId="15" fillId="0" borderId="10" xfId="45" applyNumberFormat="1" applyFont="1" applyFill="1" applyBorder="1" applyAlignment="1">
      <alignment horizontal="right"/>
    </xf>
    <xf numFmtId="164" fontId="15" fillId="0" borderId="0" xfId="45" applyNumberFormat="1" applyFont="1" applyFill="1" applyBorder="1" applyAlignment="1">
      <alignment horizontal="right"/>
    </xf>
    <xf numFmtId="164" fontId="4" fillId="0" borderId="0" xfId="45" applyNumberFormat="1" applyFont="1" applyFill="1" applyBorder="1" applyAlignment="1">
      <alignment horizontal="right"/>
    </xf>
    <xf numFmtId="3" fontId="14" fillId="0" borderId="0" xfId="0" applyNumberFormat="1" applyFont="1" applyAlignment="1">
      <alignment horizontal="right"/>
    </xf>
    <xf numFmtId="164" fontId="4" fillId="0" borderId="11" xfId="45" applyNumberFormat="1" applyFont="1" applyFill="1" applyBorder="1" applyAlignment="1">
      <alignment horizontal="right"/>
    </xf>
    <xf numFmtId="0" fontId="0" fillId="0" borderId="22" xfId="0" applyFont="1" applyBorder="1" applyAlignment="1">
      <alignment horizontal="center"/>
    </xf>
    <xf numFmtId="0" fontId="28" fillId="0" borderId="22" xfId="0" applyFont="1" applyBorder="1" applyAlignment="1">
      <alignment horizontal="center"/>
    </xf>
    <xf numFmtId="0" fontId="0" fillId="0" borderId="26" xfId="0" applyFont="1" applyBorder="1" applyAlignment="1">
      <alignment horizontal="center"/>
    </xf>
    <xf numFmtId="0" fontId="1" fillId="0" borderId="16" xfId="0" applyFont="1" applyBorder="1" applyAlignment="1">
      <alignment/>
    </xf>
    <xf numFmtId="164" fontId="0" fillId="0" borderId="0" xfId="45" applyNumberFormat="1" applyFont="1" applyFill="1" applyBorder="1" applyAlignment="1">
      <alignment horizontal="right"/>
    </xf>
    <xf numFmtId="164" fontId="0" fillId="0" borderId="0" xfId="45" applyNumberFormat="1" applyFont="1" applyFill="1" applyBorder="1" applyAlignment="1">
      <alignment horizontal="center"/>
    </xf>
    <xf numFmtId="0" fontId="33" fillId="0" borderId="0" xfId="0" applyFont="1" applyAlignment="1">
      <alignment horizontal="left"/>
    </xf>
    <xf numFmtId="0" fontId="0" fillId="0" borderId="0" xfId="0" applyFont="1" applyAlignment="1">
      <alignment horizontal="left"/>
    </xf>
    <xf numFmtId="0" fontId="0" fillId="0" borderId="12" xfId="0" applyFont="1" applyBorder="1" applyAlignment="1">
      <alignment horizontal="left"/>
    </xf>
    <xf numFmtId="0" fontId="1" fillId="0" borderId="0" xfId="0" applyFont="1" applyAlignment="1">
      <alignment horizontal="left"/>
    </xf>
    <xf numFmtId="0" fontId="1" fillId="0" borderId="18" xfId="0" applyFont="1" applyBorder="1" applyAlignment="1">
      <alignment horizontal="left"/>
    </xf>
    <xf numFmtId="0" fontId="30"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30" fillId="0" borderId="0" xfId="0" applyFont="1" applyAlignment="1">
      <alignment horizontal="left"/>
    </xf>
    <xf numFmtId="0" fontId="28" fillId="0" borderId="0" xfId="0" applyFont="1" applyAlignment="1">
      <alignment horizontal="right"/>
    </xf>
    <xf numFmtId="0" fontId="28" fillId="0" borderId="18" xfId="0" applyFont="1" applyBorder="1" applyAlignment="1">
      <alignment horizontal="right"/>
    </xf>
    <xf numFmtId="0" fontId="28" fillId="0" borderId="18" xfId="0" applyFont="1" applyBorder="1" applyAlignment="1">
      <alignment horizontal="left"/>
    </xf>
    <xf numFmtId="0" fontId="1" fillId="0" borderId="21" xfId="0" applyFont="1" applyBorder="1" applyAlignment="1">
      <alignment horizontal="left"/>
    </xf>
    <xf numFmtId="0" fontId="0" fillId="0" borderId="18" xfId="0" applyFont="1" applyBorder="1" applyAlignment="1">
      <alignment horizontal="left"/>
    </xf>
    <xf numFmtId="0" fontId="0" fillId="0" borderId="18" xfId="0" applyFont="1" applyBorder="1" applyAlignment="1">
      <alignment horizontal="right"/>
    </xf>
    <xf numFmtId="168" fontId="1" fillId="0" borderId="0" xfId="0" applyNumberFormat="1" applyFont="1" applyAlignment="1">
      <alignment horizontal="left"/>
    </xf>
    <xf numFmtId="3" fontId="1" fillId="0" borderId="0" xfId="0" applyNumberFormat="1" applyFont="1" applyAlignment="1">
      <alignment horizontal="center"/>
    </xf>
    <xf numFmtId="3" fontId="1" fillId="0" borderId="15" xfId="0" applyNumberFormat="1" applyFont="1" applyBorder="1" applyAlignment="1">
      <alignment/>
    </xf>
    <xf numFmtId="0" fontId="37" fillId="0" borderId="0" xfId="0" applyFont="1" applyAlignment="1">
      <alignment horizontal="center"/>
    </xf>
    <xf numFmtId="3" fontId="37" fillId="0" borderId="0" xfId="0" applyNumberFormat="1" applyFont="1" applyAlignment="1">
      <alignment horizontal="center"/>
    </xf>
    <xf numFmtId="3" fontId="0" fillId="0" borderId="15" xfId="0" applyNumberFormat="1" applyFont="1" applyBorder="1" applyAlignment="1">
      <alignment/>
    </xf>
    <xf numFmtId="0" fontId="0" fillId="0" borderId="0" xfId="0" applyFont="1" applyAlignment="1">
      <alignment horizontal="center" vertical="top"/>
    </xf>
    <xf numFmtId="0" fontId="1" fillId="0" borderId="0" xfId="0" applyFont="1" applyAlignment="1">
      <alignment horizontal="center"/>
    </xf>
    <xf numFmtId="164" fontId="1" fillId="0" borderId="0" xfId="0" applyNumberFormat="1" applyFont="1" applyAlignment="1">
      <alignment horizontal="left"/>
    </xf>
    <xf numFmtId="0" fontId="5" fillId="0" borderId="0" xfId="0" applyFont="1" applyAlignment="1">
      <alignment/>
    </xf>
    <xf numFmtId="0" fontId="5" fillId="0" borderId="0" xfId="0" applyFont="1" applyAlignment="1">
      <alignment horizontal="right"/>
    </xf>
    <xf numFmtId="164" fontId="37" fillId="0" borderId="18" xfId="0" applyNumberFormat="1" applyFont="1" applyBorder="1" applyAlignment="1">
      <alignment/>
    </xf>
    <xf numFmtId="0" fontId="36" fillId="0" borderId="0" xfId="0" applyFont="1" applyAlignment="1">
      <alignment/>
    </xf>
    <xf numFmtId="3" fontId="1" fillId="0" borderId="0" xfId="0" applyNumberFormat="1" applyFont="1" applyAlignment="1">
      <alignment horizontal="left"/>
    </xf>
    <xf numFmtId="164" fontId="0" fillId="0" borderId="0" xfId="0" applyNumberFormat="1" applyFont="1" applyAlignment="1">
      <alignment horizontal="center"/>
    </xf>
    <xf numFmtId="9" fontId="0" fillId="0" borderId="0" xfId="90" applyFont="1" applyBorder="1" applyAlignment="1">
      <alignment horizontal="center"/>
    </xf>
    <xf numFmtId="164" fontId="0" fillId="0" borderId="12" xfId="0" applyNumberFormat="1" applyFont="1" applyBorder="1" applyAlignment="1">
      <alignment horizontal="center"/>
    </xf>
    <xf numFmtId="9" fontId="0" fillId="0" borderId="0" xfId="90" applyFont="1" applyFill="1" applyBorder="1" applyAlignment="1">
      <alignment horizontal="center"/>
    </xf>
    <xf numFmtId="10" fontId="0" fillId="0" borderId="0" xfId="90" applyNumberFormat="1" applyFont="1" applyFill="1" applyBorder="1" applyAlignment="1">
      <alignment horizontal="center"/>
    </xf>
    <xf numFmtId="10" fontId="0" fillId="0" borderId="0" xfId="90" applyNumberFormat="1" applyFont="1" applyBorder="1" applyAlignment="1">
      <alignment horizontal="center"/>
    </xf>
    <xf numFmtId="164" fontId="0" fillId="0" borderId="18" xfId="0" applyNumberFormat="1" applyFont="1" applyBorder="1" applyAlignment="1">
      <alignment horizontal="center"/>
    </xf>
    <xf numFmtId="168" fontId="0" fillId="0" borderId="18" xfId="90" applyNumberFormat="1" applyFont="1" applyBorder="1" applyAlignment="1">
      <alignment horizontal="center"/>
    </xf>
    <xf numFmtId="3" fontId="0" fillId="0" borderId="0" xfId="0" applyNumberFormat="1" applyFont="1" applyAlignment="1">
      <alignment/>
    </xf>
    <xf numFmtId="168" fontId="0" fillId="0" borderId="0" xfId="90" applyNumberFormat="1" applyFont="1" applyBorder="1" applyAlignment="1">
      <alignment/>
    </xf>
    <xf numFmtId="164" fontId="0" fillId="0" borderId="0" xfId="45" applyNumberFormat="1" applyFont="1" applyFill="1" applyBorder="1" applyAlignment="1">
      <alignment horizontal="left"/>
    </xf>
    <xf numFmtId="168" fontId="0" fillId="0" borderId="12" xfId="90" applyNumberFormat="1" applyFont="1" applyBorder="1" applyAlignment="1">
      <alignment/>
    </xf>
    <xf numFmtId="164" fontId="0" fillId="0" borderId="12" xfId="45" applyNumberFormat="1" applyFont="1" applyFill="1" applyBorder="1" applyAlignment="1">
      <alignment horizontal="left"/>
    </xf>
    <xf numFmtId="164" fontId="1" fillId="0" borderId="18" xfId="45" applyNumberFormat="1" applyFont="1" applyBorder="1" applyAlignment="1">
      <alignment/>
    </xf>
    <xf numFmtId="164" fontId="0" fillId="0" borderId="18" xfId="45" applyNumberFormat="1" applyFont="1" applyBorder="1" applyAlignment="1">
      <alignment/>
    </xf>
    <xf numFmtId="164" fontId="0" fillId="34" borderId="0" xfId="0" applyNumberFormat="1" applyFont="1" applyFill="1" applyAlignment="1">
      <alignment horizontal="center"/>
    </xf>
    <xf numFmtId="164" fontId="0" fillId="0" borderId="0" xfId="0" applyNumberFormat="1" applyFont="1" applyAlignment="1">
      <alignment horizontal="center" wrapText="1"/>
    </xf>
    <xf numFmtId="167" fontId="28" fillId="0" borderId="18" xfId="0" applyNumberFormat="1" applyFont="1" applyBorder="1" applyAlignment="1">
      <alignment/>
    </xf>
    <xf numFmtId="164" fontId="53" fillId="0" borderId="0" xfId="45" applyNumberFormat="1" applyFont="1" applyFill="1" applyBorder="1" applyAlignment="1">
      <alignment/>
    </xf>
    <xf numFmtId="164" fontId="47" fillId="0" borderId="0" xfId="45" applyNumberFormat="1" applyFont="1" applyFill="1" applyBorder="1" applyAlignment="1">
      <alignment/>
    </xf>
    <xf numFmtId="0" fontId="110" fillId="0" borderId="0" xfId="0" applyFont="1" applyAlignment="1">
      <alignment horizontal="right"/>
    </xf>
    <xf numFmtId="0" fontId="47" fillId="0" borderId="0" xfId="0" applyFont="1" applyAlignment="1">
      <alignment/>
    </xf>
    <xf numFmtId="0" fontId="1" fillId="0" borderId="0" xfId="0" applyFont="1" applyFill="1" applyAlignment="1" quotePrefix="1">
      <alignment/>
    </xf>
    <xf numFmtId="164" fontId="1" fillId="39" borderId="0" xfId="0" applyNumberFormat="1" applyFont="1" applyFill="1" applyAlignment="1">
      <alignment/>
    </xf>
    <xf numFmtId="0" fontId="1" fillId="0" borderId="0" xfId="0" applyFont="1" applyAlignment="1">
      <alignment horizontal="right"/>
    </xf>
    <xf numFmtId="164" fontId="0" fillId="39" borderId="0" xfId="0" applyNumberFormat="1" applyFill="1" applyAlignment="1">
      <alignment/>
    </xf>
    <xf numFmtId="164" fontId="0" fillId="39" borderId="0" xfId="0" applyNumberFormat="1" applyFont="1" applyFill="1" applyAlignment="1">
      <alignment/>
    </xf>
    <xf numFmtId="0" fontId="0" fillId="0" borderId="46" xfId="0" applyBorder="1" applyAlignment="1" applyProtection="1" quotePrefix="1">
      <alignment/>
      <protection locked="0"/>
    </xf>
    <xf numFmtId="43" fontId="1" fillId="0" borderId="46" xfId="45" applyFont="1" applyFill="1" applyBorder="1" applyAlignment="1" applyProtection="1">
      <alignment/>
      <protection locked="0"/>
    </xf>
    <xf numFmtId="43" fontId="0" fillId="0" borderId="0" xfId="0" applyNumberFormat="1" applyAlignment="1">
      <alignment/>
    </xf>
    <xf numFmtId="0" fontId="0" fillId="0" borderId="46" xfId="0" applyBorder="1" applyAlignment="1" applyProtection="1">
      <alignment/>
      <protection locked="0"/>
    </xf>
    <xf numFmtId="43" fontId="0" fillId="0" borderId="46" xfId="45" applyFont="1" applyFill="1" applyBorder="1" applyAlignment="1" applyProtection="1">
      <alignment/>
      <protection locked="0"/>
    </xf>
    <xf numFmtId="0" fontId="28" fillId="0" borderId="16" xfId="79" applyFont="1" applyFill="1" applyBorder="1" applyAlignment="1">
      <alignment horizontal="center"/>
      <protection/>
    </xf>
    <xf numFmtId="0" fontId="107" fillId="0" borderId="15" xfId="79" applyFont="1" applyFill="1" applyBorder="1" applyAlignment="1">
      <alignment horizontal="center"/>
      <protection/>
    </xf>
    <xf numFmtId="0" fontId="0" fillId="0" borderId="0" xfId="79" applyFill="1" applyAlignment="1">
      <alignment horizontal="center"/>
      <protection/>
    </xf>
    <xf numFmtId="0" fontId="30" fillId="0" borderId="0" xfId="79" applyFont="1" applyFill="1" applyAlignment="1">
      <alignment horizontal="center"/>
      <protection/>
    </xf>
    <xf numFmtId="164" fontId="28" fillId="0" borderId="0" xfId="79" applyNumberFormat="1" applyFont="1" applyFill="1">
      <alignment/>
      <protection/>
    </xf>
    <xf numFmtId="164" fontId="28" fillId="0" borderId="16" xfId="79" applyNumberFormat="1" applyFont="1" applyFill="1" applyBorder="1">
      <alignment/>
      <protection/>
    </xf>
    <xf numFmtId="164" fontId="30" fillId="0" borderId="22" xfId="45" applyNumberFormat="1" applyFont="1" applyFill="1" applyBorder="1" applyAlignment="1">
      <alignment/>
    </xf>
    <xf numFmtId="164" fontId="30" fillId="0" borderId="18" xfId="45" applyNumberFormat="1" applyFont="1" applyFill="1" applyBorder="1" applyAlignment="1">
      <alignment/>
    </xf>
    <xf numFmtId="164" fontId="30" fillId="0" borderId="20" xfId="45" applyNumberFormat="1" applyFont="1" applyFill="1" applyBorder="1" applyAlignment="1">
      <alignment/>
    </xf>
    <xf numFmtId="164" fontId="28" fillId="0" borderId="0" xfId="0" applyNumberFormat="1" applyFont="1" applyAlignment="1">
      <alignment/>
    </xf>
    <xf numFmtId="164" fontId="28" fillId="0" borderId="15" xfId="42" applyNumberFormat="1" applyFont="1" applyFill="1" applyBorder="1" applyAlignment="1">
      <alignment/>
    </xf>
    <xf numFmtId="164" fontId="0" fillId="0" borderId="0" xfId="79" applyNumberFormat="1" applyFill="1">
      <alignment/>
      <protection/>
    </xf>
    <xf numFmtId="164" fontId="107" fillId="0" borderId="0" xfId="0" applyNumberFormat="1" applyFont="1" applyFill="1" applyAlignment="1">
      <alignment horizontal="right"/>
    </xf>
    <xf numFmtId="0" fontId="0" fillId="0" borderId="0" xfId="79" applyFill="1">
      <alignment/>
      <protection/>
    </xf>
    <xf numFmtId="0" fontId="6" fillId="0" borderId="12" xfId="0" applyFont="1" applyBorder="1" applyAlignment="1">
      <alignment horizontal="left"/>
    </xf>
    <xf numFmtId="43" fontId="4" fillId="0" borderId="0" xfId="0" applyNumberFormat="1" applyFont="1" applyFill="1" applyAlignment="1">
      <alignment/>
    </xf>
    <xf numFmtId="5" fontId="51" fillId="0" borderId="0" xfId="42" applyNumberFormat="1" applyFont="1" applyFill="1" applyAlignment="1">
      <alignment/>
    </xf>
    <xf numFmtId="164" fontId="6" fillId="0" borderId="0" xfId="0" applyNumberFormat="1" applyFont="1" applyFill="1" applyBorder="1" applyAlignment="1">
      <alignment/>
    </xf>
    <xf numFmtId="210" fontId="6" fillId="0" borderId="0" xfId="0" applyNumberFormat="1" applyFont="1" applyFill="1" applyAlignment="1">
      <alignment/>
    </xf>
    <xf numFmtId="0" fontId="22" fillId="0" borderId="0" xfId="0" applyFont="1" applyAlignment="1">
      <alignment horizontal="center" vertical="top"/>
    </xf>
    <xf numFmtId="0" fontId="22" fillId="0" borderId="0" xfId="0" applyFont="1" applyAlignment="1">
      <alignment horizontal="left" vertical="top" wrapText="1"/>
    </xf>
    <xf numFmtId="0" fontId="62" fillId="0" borderId="0" xfId="0" applyFont="1" applyAlignment="1">
      <alignment vertical="center" wrapText="1"/>
    </xf>
    <xf numFmtId="0" fontId="63" fillId="0" borderId="0" xfId="0" applyFont="1" applyAlignment="1">
      <alignment horizontal="center" vertical="center"/>
    </xf>
    <xf numFmtId="0" fontId="62" fillId="0" borderId="0" xfId="0" applyFont="1" applyAlignment="1">
      <alignment vertical="center"/>
    </xf>
    <xf numFmtId="164" fontId="6" fillId="0" borderId="0" xfId="45" applyNumberFormat="1" applyFont="1" applyFill="1" applyBorder="1" applyAlignment="1">
      <alignment horizontal="right"/>
    </xf>
    <xf numFmtId="172" fontId="0" fillId="0" borderId="0" xfId="0" applyNumberFormat="1" applyFill="1" applyAlignment="1">
      <alignment horizontal="center" wrapText="1"/>
    </xf>
    <xf numFmtId="3" fontId="0" fillId="0" borderId="0" xfId="0" applyNumberFormat="1" applyFont="1" applyFill="1" applyAlignment="1">
      <alignment horizontal="left"/>
    </xf>
    <xf numFmtId="0" fontId="0" fillId="0" borderId="46" xfId="0" applyFill="1" applyBorder="1" applyAlignment="1" applyProtection="1" quotePrefix="1">
      <alignment/>
      <protection locked="0"/>
    </xf>
    <xf numFmtId="0" fontId="1" fillId="0" borderId="46" xfId="0" applyFont="1" applyFill="1" applyBorder="1" applyAlignment="1" applyProtection="1" quotePrefix="1">
      <alignment/>
      <protection locked="0"/>
    </xf>
    <xf numFmtId="3" fontId="0" fillId="0" borderId="0" xfId="0" applyNumberFormat="1" applyFont="1" applyFill="1" applyAlignment="1">
      <alignment horizontal="right"/>
    </xf>
    <xf numFmtId="43" fontId="0" fillId="0" borderId="0" xfId="0" applyNumberFormat="1" applyFill="1" applyAlignment="1">
      <alignment/>
    </xf>
    <xf numFmtId="43" fontId="0" fillId="0" borderId="0" xfId="0" applyNumberFormat="1" applyFill="1" applyAlignment="1">
      <alignment horizontal="center"/>
    </xf>
    <xf numFmtId="3" fontId="1" fillId="0" borderId="0" xfId="0" applyNumberFormat="1" applyFont="1" applyFill="1" applyBorder="1" applyAlignment="1">
      <alignment horizontal="left"/>
    </xf>
    <xf numFmtId="3" fontId="28" fillId="0" borderId="18" xfId="0" applyNumberFormat="1" applyFont="1" applyFill="1" applyBorder="1" applyAlignment="1">
      <alignment horizontal="center"/>
    </xf>
    <xf numFmtId="0" fontId="0" fillId="0" borderId="21" xfId="0" applyNumberFormat="1" applyFont="1" applyFill="1" applyBorder="1" applyAlignment="1">
      <alignment horizontal="left"/>
    </xf>
    <xf numFmtId="0" fontId="1" fillId="0" borderId="0" xfId="0" applyFont="1" applyFill="1" applyAlignment="1">
      <alignment horizontal="center"/>
    </xf>
    <xf numFmtId="3" fontId="37" fillId="0" borderId="0" xfId="0" applyNumberFormat="1" applyFont="1" applyFill="1" applyAlignment="1">
      <alignment horizontal="center"/>
    </xf>
    <xf numFmtId="0" fontId="1" fillId="0" borderId="18" xfId="0" applyFont="1" applyFill="1" applyBorder="1" applyAlignment="1">
      <alignment horizontal="center"/>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0" fontId="22" fillId="0" borderId="12" xfId="0" applyFont="1" applyFill="1" applyBorder="1" applyAlignment="1">
      <alignment horizontal="right"/>
    </xf>
    <xf numFmtId="164" fontId="0" fillId="0" borderId="33" xfId="0" applyNumberFormat="1" applyFont="1" applyFill="1" applyBorder="1" applyAlignment="1">
      <alignment horizontal="center"/>
    </xf>
    <xf numFmtId="0" fontId="1" fillId="0" borderId="26" xfId="0" applyFont="1" applyBorder="1" applyAlignment="1">
      <alignment horizontal="left"/>
    </xf>
    <xf numFmtId="0" fontId="22" fillId="0" borderId="21" xfId="0" applyFont="1" applyBorder="1" applyAlignment="1">
      <alignment/>
    </xf>
    <xf numFmtId="0" fontId="22" fillId="0" borderId="0" xfId="0" applyFont="1" applyFill="1" applyAlignment="1">
      <alignment horizontal="center"/>
    </xf>
    <xf numFmtId="164" fontId="0" fillId="0" borderId="41" xfId="0" applyNumberFormat="1" applyFont="1" applyFill="1" applyBorder="1" applyAlignment="1">
      <alignment horizontal="center"/>
    </xf>
    <xf numFmtId="180" fontId="0" fillId="0" borderId="41" xfId="0" applyNumberFormat="1" applyFont="1" applyFill="1" applyBorder="1" applyAlignment="1">
      <alignment horizontal="center"/>
    </xf>
    <xf numFmtId="164" fontId="0" fillId="34" borderId="42" xfId="0" applyNumberFormat="1" applyFont="1" applyFill="1" applyBorder="1" applyAlignment="1">
      <alignment horizontal="center"/>
    </xf>
    <xf numFmtId="0" fontId="31" fillId="36" borderId="31" xfId="0" applyFont="1" applyFill="1" applyBorder="1" applyAlignment="1">
      <alignment horizontal="center" vertical="center" wrapText="1"/>
    </xf>
    <xf numFmtId="0" fontId="31" fillId="36" borderId="31" xfId="0" applyFont="1" applyFill="1" applyBorder="1" applyAlignment="1">
      <alignment horizontal="center"/>
    </xf>
    <xf numFmtId="164" fontId="0" fillId="34" borderId="47" xfId="0" applyNumberFormat="1" applyFont="1" applyFill="1" applyBorder="1" applyAlignment="1">
      <alignment horizontal="center"/>
    </xf>
    <xf numFmtId="167" fontId="0" fillId="34" borderId="48" xfId="55" applyNumberFormat="1" applyFont="1" applyFill="1" applyBorder="1" applyAlignment="1">
      <alignment horizontal="center"/>
    </xf>
    <xf numFmtId="164" fontId="0" fillId="34" borderId="49" xfId="0" applyNumberFormat="1" applyFont="1" applyFill="1" applyBorder="1" applyAlignment="1">
      <alignment horizontal="center"/>
    </xf>
    <xf numFmtId="167" fontId="0" fillId="34" borderId="49" xfId="55" applyNumberFormat="1" applyFont="1" applyFill="1" applyBorder="1" applyAlignment="1">
      <alignment horizontal="center"/>
    </xf>
    <xf numFmtId="0" fontId="0" fillId="0" borderId="16" xfId="0" applyFont="1" applyBorder="1" applyAlignment="1">
      <alignment horizontal="center" vertical="center"/>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43" fontId="0" fillId="0" borderId="0" xfId="48" applyFont="1" applyFill="1" applyBorder="1" applyAlignment="1">
      <alignment horizontal="center" wrapText="1"/>
    </xf>
    <xf numFmtId="164" fontId="0" fillId="0" borderId="0" xfId="48" applyNumberFormat="1" applyFont="1" applyFill="1" applyBorder="1" applyAlignment="1">
      <alignment/>
    </xf>
    <xf numFmtId="164" fontId="58" fillId="0" borderId="0" xfId="45" applyNumberFormat="1" applyFont="1" applyFill="1" applyBorder="1" applyAlignment="1">
      <alignment/>
    </xf>
    <xf numFmtId="164" fontId="59" fillId="0" borderId="0" xfId="45" applyNumberFormat="1" applyFont="1" applyFill="1" applyBorder="1" applyAlignment="1">
      <alignment/>
    </xf>
    <xf numFmtId="0" fontId="0" fillId="0" borderId="0" xfId="79" applyFont="1">
      <alignment/>
      <protection/>
    </xf>
    <xf numFmtId="0" fontId="0" fillId="0" borderId="0" xfId="79" applyFont="1" applyFill="1">
      <alignment/>
      <protection/>
    </xf>
    <xf numFmtId="0" fontId="0" fillId="0" borderId="0" xfId="79" applyFont="1" applyAlignment="1">
      <alignment horizontal="center"/>
      <protection/>
    </xf>
    <xf numFmtId="164" fontId="0" fillId="0" borderId="0" xfId="79" applyNumberFormat="1" applyFont="1">
      <alignment/>
      <protection/>
    </xf>
    <xf numFmtId="0" fontId="0" fillId="0" borderId="0" xfId="79" applyFont="1" applyAlignment="1">
      <alignment horizontal="left"/>
      <protection/>
    </xf>
    <xf numFmtId="0" fontId="28" fillId="0" borderId="0" xfId="45" applyNumberFormat="1" applyFont="1" applyFill="1" applyBorder="1" applyAlignment="1">
      <alignment/>
    </xf>
    <xf numFmtId="0" fontId="28" fillId="0" borderId="18" xfId="0" applyFont="1" applyFill="1" applyBorder="1" applyAlignment="1">
      <alignment/>
    </xf>
    <xf numFmtId="164" fontId="28" fillId="0" borderId="18" xfId="45" applyNumberFormat="1" applyFont="1" applyFill="1" applyBorder="1" applyAlignment="1">
      <alignment/>
    </xf>
    <xf numFmtId="164" fontId="28" fillId="0" borderId="20" xfId="45" applyNumberFormat="1" applyFont="1" applyFill="1" applyBorder="1" applyAlignment="1">
      <alignment/>
    </xf>
    <xf numFmtId="43" fontId="28" fillId="0" borderId="22" xfId="42" applyFont="1" applyFill="1" applyBorder="1" applyAlignment="1">
      <alignment horizontal="right"/>
    </xf>
    <xf numFmtId="0" fontId="30" fillId="0" borderId="26" xfId="0" applyFont="1" applyBorder="1" applyAlignment="1">
      <alignment horizontal="center"/>
    </xf>
    <xf numFmtId="0" fontId="28" fillId="34" borderId="16" xfId="0" applyFont="1" applyFill="1" applyBorder="1" applyAlignment="1">
      <alignment horizontal="center"/>
    </xf>
    <xf numFmtId="43" fontId="28" fillId="34" borderId="16" xfId="42" applyFont="1" applyFill="1" applyBorder="1" applyAlignment="1">
      <alignment horizontal="center"/>
    </xf>
    <xf numFmtId="0" fontId="30" fillId="0" borderId="21" xfId="0" applyFont="1" applyBorder="1" applyAlignment="1">
      <alignment horizontal="center"/>
    </xf>
    <xf numFmtId="164" fontId="28" fillId="0" borderId="22" xfId="45" applyNumberFormat="1" applyFont="1" applyFill="1" applyBorder="1" applyAlignment="1">
      <alignment/>
    </xf>
    <xf numFmtId="164" fontId="28" fillId="0" borderId="16" xfId="0" applyNumberFormat="1" applyFont="1" applyBorder="1" applyAlignment="1">
      <alignment/>
    </xf>
    <xf numFmtId="164" fontId="28" fillId="0" borderId="16" xfId="0" applyNumberFormat="1" applyFont="1" applyFill="1" applyBorder="1" applyAlignment="1">
      <alignment/>
    </xf>
    <xf numFmtId="43" fontId="28" fillId="0" borderId="0" xfId="45" applyFont="1" applyFill="1" applyBorder="1" applyAlignment="1">
      <alignment/>
    </xf>
    <xf numFmtId="164" fontId="28" fillId="0" borderId="0" xfId="0" applyNumberFormat="1" applyFont="1" applyFill="1" applyAlignment="1">
      <alignment/>
    </xf>
    <xf numFmtId="0" fontId="30" fillId="0" borderId="0" xfId="0" applyFont="1" applyAlignment="1">
      <alignment horizontal="center"/>
    </xf>
    <xf numFmtId="0" fontId="30" fillId="0" borderId="0" xfId="0" applyFont="1" applyFill="1" applyAlignment="1">
      <alignment horizontal="center"/>
    </xf>
    <xf numFmtId="0" fontId="30" fillId="0" borderId="21" xfId="0" applyFont="1" applyFill="1" applyBorder="1" applyAlignment="1">
      <alignment horizontal="center"/>
    </xf>
    <xf numFmtId="0" fontId="30" fillId="0" borderId="26" xfId="0" applyFont="1" applyFill="1" applyBorder="1" applyAlignment="1">
      <alignment horizontal="center"/>
    </xf>
    <xf numFmtId="0" fontId="28" fillId="0" borderId="15" xfId="79" applyFont="1" applyFill="1" applyBorder="1">
      <alignment/>
      <protection/>
    </xf>
    <xf numFmtId="0" fontId="28" fillId="0" borderId="20" xfId="79" applyFont="1" applyFill="1" applyBorder="1">
      <alignment/>
      <protection/>
    </xf>
    <xf numFmtId="164" fontId="30" fillId="0" borderId="15" xfId="45" applyNumberFormat="1" applyFont="1" applyFill="1" applyBorder="1" applyAlignment="1">
      <alignment horizontal="center"/>
    </xf>
    <xf numFmtId="0" fontId="28" fillId="0" borderId="0" xfId="0" applyFont="1" applyFill="1" applyAlignment="1">
      <alignment/>
    </xf>
    <xf numFmtId="43" fontId="28" fillId="0" borderId="16" xfId="42" applyFont="1" applyFill="1" applyBorder="1" applyAlignment="1">
      <alignment horizontal="right"/>
    </xf>
    <xf numFmtId="164" fontId="0" fillId="0" borderId="0" xfId="0" applyNumberFormat="1" applyFont="1" applyFill="1" applyAlignment="1">
      <alignment horizontal="right"/>
    </xf>
    <xf numFmtId="0" fontId="0" fillId="0" borderId="0" xfId="79" applyFont="1" applyFill="1" applyAlignment="1">
      <alignment horizontal="right"/>
      <protection/>
    </xf>
    <xf numFmtId="164" fontId="0" fillId="0" borderId="0" xfId="79" applyNumberFormat="1" applyFont="1" applyFill="1">
      <alignment/>
      <protection/>
    </xf>
    <xf numFmtId="164" fontId="0" fillId="0" borderId="0" xfId="79" applyNumberFormat="1" applyFont="1" applyFill="1" applyAlignment="1">
      <alignment horizontal="right"/>
      <protection/>
    </xf>
    <xf numFmtId="0" fontId="0" fillId="0" borderId="0" xfId="79" applyFill="1" applyAlignment="1">
      <alignment horizontal="center" wrapText="1"/>
      <protection/>
    </xf>
    <xf numFmtId="164" fontId="0" fillId="0" borderId="12" xfId="79" applyNumberFormat="1" applyFill="1" applyBorder="1">
      <alignment/>
      <protection/>
    </xf>
    <xf numFmtId="0" fontId="30" fillId="0" borderId="16" xfId="79" applyFont="1" applyBorder="1" applyAlignment="1">
      <alignment horizontal="center"/>
      <protection/>
    </xf>
    <xf numFmtId="0" fontId="107" fillId="0" borderId="0" xfId="79" applyFont="1" applyBorder="1" applyAlignment="1">
      <alignment horizontal="center"/>
      <protection/>
    </xf>
    <xf numFmtId="0" fontId="115" fillId="0" borderId="0" xfId="79" applyFont="1" applyBorder="1" applyAlignment="1">
      <alignment horizontal="center"/>
      <protection/>
    </xf>
    <xf numFmtId="0" fontId="115" fillId="0" borderId="0" xfId="79" applyFont="1" applyBorder="1">
      <alignment/>
      <protection/>
    </xf>
    <xf numFmtId="0" fontId="30" fillId="0" borderId="0" xfId="79" applyFont="1" applyBorder="1" applyAlignment="1">
      <alignment horizontal="center"/>
      <protection/>
    </xf>
    <xf numFmtId="164" fontId="28" fillId="0" borderId="0" xfId="79" applyNumberFormat="1" applyFont="1" applyBorder="1">
      <alignment/>
      <protection/>
    </xf>
    <xf numFmtId="164" fontId="28" fillId="0" borderId="0" xfId="79" applyNumberFormat="1" applyFont="1" applyFill="1" applyBorder="1">
      <alignment/>
      <protection/>
    </xf>
    <xf numFmtId="0" fontId="107" fillId="0" borderId="0" xfId="79" applyFont="1" applyFill="1" applyBorder="1" applyAlignment="1">
      <alignment horizontal="center"/>
      <protection/>
    </xf>
    <xf numFmtId="0" fontId="115" fillId="0" borderId="0" xfId="79" applyFont="1" applyFill="1" applyBorder="1" applyAlignment="1">
      <alignment horizontal="center"/>
      <protection/>
    </xf>
    <xf numFmtId="0" fontId="115" fillId="0" borderId="0" xfId="79" applyFont="1" applyFill="1" applyBorder="1">
      <alignment/>
      <protection/>
    </xf>
    <xf numFmtId="0" fontId="30" fillId="0" borderId="16" xfId="79" applyFont="1" applyFill="1" applyBorder="1" applyAlignment="1">
      <alignment horizontal="center"/>
      <protection/>
    </xf>
    <xf numFmtId="0" fontId="30" fillId="0" borderId="0" xfId="79" applyFont="1" applyFill="1" applyBorder="1" applyAlignment="1">
      <alignment horizontal="center"/>
      <protection/>
    </xf>
    <xf numFmtId="0" fontId="0" fillId="0" borderId="0" xfId="79" applyFill="1" applyBorder="1" applyAlignment="1">
      <alignment horizontal="center"/>
      <protection/>
    </xf>
    <xf numFmtId="0" fontId="28" fillId="0" borderId="0" xfId="79" applyFont="1" applyFill="1" applyBorder="1" applyAlignment="1">
      <alignment horizontal="center"/>
      <protection/>
    </xf>
    <xf numFmtId="0" fontId="111" fillId="0" borderId="0" xfId="79" applyFont="1" applyFill="1" applyBorder="1" applyAlignment="1">
      <alignment horizontal="left"/>
      <protection/>
    </xf>
    <xf numFmtId="0" fontId="111" fillId="0" borderId="0" xfId="79" applyFont="1" applyFill="1" applyBorder="1" applyAlignment="1">
      <alignment horizontal="center"/>
      <protection/>
    </xf>
    <xf numFmtId="0" fontId="0" fillId="0" borderId="0" xfId="79" applyBorder="1" applyAlignment="1">
      <alignment horizontal="center"/>
      <protection/>
    </xf>
    <xf numFmtId="0" fontId="28" fillId="0" borderId="0" xfId="79" applyFont="1" applyBorder="1" applyAlignment="1">
      <alignment horizontal="center"/>
      <protection/>
    </xf>
    <xf numFmtId="0" fontId="111" fillId="0" borderId="0" xfId="79" applyFont="1" applyBorder="1" applyAlignment="1">
      <alignment horizontal="left"/>
      <protection/>
    </xf>
    <xf numFmtId="0" fontId="111" fillId="0" borderId="0" xfId="79" applyFont="1" applyBorder="1" applyAlignment="1">
      <alignment horizontal="center"/>
      <protection/>
    </xf>
    <xf numFmtId="0" fontId="107" fillId="0" borderId="0" xfId="0" applyFont="1" applyBorder="1" applyAlignment="1">
      <alignment horizontal="center"/>
    </xf>
    <xf numFmtId="0" fontId="30" fillId="0" borderId="0" xfId="0" applyFont="1" applyFill="1" applyBorder="1" applyAlignment="1">
      <alignment horizontal="center"/>
    </xf>
    <xf numFmtId="0" fontId="30" fillId="0" borderId="16" xfId="0" applyFont="1" applyFill="1" applyBorder="1" applyAlignment="1">
      <alignment horizontal="center"/>
    </xf>
    <xf numFmtId="164" fontId="28" fillId="0" borderId="0" xfId="0" applyNumberFormat="1" applyFont="1" applyBorder="1" applyAlignment="1">
      <alignment/>
    </xf>
    <xf numFmtId="164" fontId="28" fillId="0" borderId="0" xfId="0" applyNumberFormat="1" applyFont="1" applyFill="1" applyBorder="1" applyAlignment="1">
      <alignment/>
    </xf>
    <xf numFmtId="0" fontId="115" fillId="0" borderId="0" xfId="0" applyFont="1" applyBorder="1" applyAlignment="1">
      <alignment horizontal="center"/>
    </xf>
    <xf numFmtId="0" fontId="115" fillId="0" borderId="0" xfId="0" applyFont="1" applyFill="1" applyBorder="1" applyAlignment="1">
      <alignment/>
    </xf>
    <xf numFmtId="0" fontId="111" fillId="0" borderId="0" xfId="0" applyFont="1" applyFill="1" applyBorder="1" applyAlignment="1">
      <alignment horizontal="center"/>
    </xf>
    <xf numFmtId="0" fontId="115" fillId="0" borderId="0" xfId="0" applyFont="1" applyBorder="1" applyAlignment="1">
      <alignment/>
    </xf>
    <xf numFmtId="0" fontId="111" fillId="0" borderId="0" xfId="0" applyFont="1" applyBorder="1" applyAlignment="1">
      <alignment horizontal="left"/>
    </xf>
    <xf numFmtId="0" fontId="111" fillId="0" borderId="0" xfId="0" applyFont="1" applyBorder="1" applyAlignment="1">
      <alignment horizontal="center"/>
    </xf>
    <xf numFmtId="170" fontId="22" fillId="0" borderId="0" xfId="86" applyFont="1" applyFill="1" applyAlignment="1" applyProtection="1">
      <alignment vertical="top" wrapText="1"/>
      <protection/>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22" fillId="0" borderId="0" xfId="0" applyFont="1" applyAlignment="1">
      <alignment horizontal="left" vertical="top" wrapText="1"/>
    </xf>
    <xf numFmtId="0" fontId="22" fillId="0" borderId="0" xfId="0" applyFont="1" applyFill="1" applyAlignment="1">
      <alignment horizontal="left" vertical="top" wrapText="1"/>
    </xf>
    <xf numFmtId="3" fontId="6" fillId="0" borderId="0" xfId="0" applyNumberFormat="1" applyFont="1" applyFill="1" applyBorder="1" applyAlignment="1">
      <alignment horizontal="right"/>
    </xf>
    <xf numFmtId="0" fontId="22" fillId="0" borderId="0" xfId="0" applyFont="1" applyFill="1" applyAlignment="1">
      <alignment horizontal="left" wrapText="1"/>
    </xf>
    <xf numFmtId="0" fontId="22" fillId="0" borderId="0" xfId="0" applyFont="1" applyFill="1" applyAlignment="1">
      <alignment wrapText="1"/>
    </xf>
    <xf numFmtId="0" fontId="22" fillId="0" borderId="0" xfId="0" applyFont="1" applyFill="1" applyAlignment="1">
      <alignment/>
    </xf>
    <xf numFmtId="0" fontId="1" fillId="0" borderId="40" xfId="0" applyFont="1" applyFill="1" applyBorder="1" applyAlignment="1">
      <alignment horizontal="left" wrapText="1"/>
    </xf>
    <xf numFmtId="0" fontId="0" fillId="0" borderId="0" xfId="0" applyFont="1" applyBorder="1" applyAlignment="1">
      <alignment/>
    </xf>
    <xf numFmtId="0" fontId="0" fillId="0" borderId="28"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3" xfId="0" applyFont="1" applyFill="1" applyBorder="1" applyAlignment="1">
      <alignment horizontal="center" wrapText="1"/>
    </xf>
    <xf numFmtId="0" fontId="1" fillId="36" borderId="24" xfId="0" applyFont="1" applyFill="1" applyBorder="1" applyAlignment="1">
      <alignment horizontal="center" wrapText="1"/>
    </xf>
    <xf numFmtId="0" fontId="0" fillId="0" borderId="18" xfId="0" applyFont="1" applyFill="1" applyBorder="1" applyAlignment="1">
      <alignment horizontal="center" wrapText="1"/>
    </xf>
    <xf numFmtId="0" fontId="0" fillId="0" borderId="20" xfId="0" applyFont="1" applyFill="1" applyBorder="1" applyAlignment="1">
      <alignment horizontal="center" wrapText="1"/>
    </xf>
    <xf numFmtId="0" fontId="1" fillId="36" borderId="21" xfId="0" applyFont="1" applyFill="1" applyBorder="1" applyAlignment="1">
      <alignment horizontal="center" wrapText="1"/>
    </xf>
    <xf numFmtId="0" fontId="1" fillId="36" borderId="25" xfId="0" applyFont="1" applyFill="1" applyBorder="1" applyAlignment="1">
      <alignment horizontal="center" wrapText="1"/>
    </xf>
    <xf numFmtId="164" fontId="0" fillId="0" borderId="18" xfId="42" applyNumberFormat="1" applyFont="1" applyFill="1" applyBorder="1" applyAlignment="1">
      <alignment horizontal="center" wrapText="1"/>
    </xf>
    <xf numFmtId="164" fontId="0" fillId="0" borderId="20" xfId="42"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25" xfId="0" applyFont="1" applyFill="1" applyBorder="1" applyAlignment="1">
      <alignment horizontal="center" wrapText="1"/>
    </xf>
    <xf numFmtId="0" fontId="0" fillId="0" borderId="18" xfId="0" applyFont="1" applyBorder="1" applyAlignment="1">
      <alignment horizontal="lef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1" fillId="0" borderId="18" xfId="0" applyFont="1" applyFill="1" applyBorder="1" applyAlignment="1" quotePrefix="1">
      <alignment horizontal="left"/>
    </xf>
    <xf numFmtId="0" fontId="0" fillId="0" borderId="18" xfId="0" applyFont="1" applyFill="1" applyBorder="1" applyAlignment="1" quotePrefix="1">
      <alignment horizontal="left"/>
    </xf>
    <xf numFmtId="0" fontId="1" fillId="36" borderId="26" xfId="0" applyFont="1" applyFill="1" applyBorder="1" applyAlignment="1">
      <alignment horizontal="center"/>
    </xf>
    <xf numFmtId="0" fontId="1" fillId="36" borderId="21" xfId="0" applyFont="1" applyFill="1" applyBorder="1" applyAlignment="1">
      <alignment horizontal="center"/>
    </xf>
    <xf numFmtId="0" fontId="1" fillId="36" borderId="25" xfId="0" applyFont="1" applyFill="1" applyBorder="1" applyAlignment="1">
      <alignment horizontal="center"/>
    </xf>
    <xf numFmtId="0" fontId="1" fillId="36" borderId="14" xfId="0" applyFont="1" applyFill="1" applyBorder="1" applyAlignment="1">
      <alignment horizontal="center"/>
    </xf>
    <xf numFmtId="0" fontId="1" fillId="36" borderId="13" xfId="0" applyFont="1" applyFill="1" applyBorder="1" applyAlignment="1">
      <alignment horizontal="center"/>
    </xf>
    <xf numFmtId="0" fontId="1" fillId="36" borderId="24" xfId="0" applyFont="1" applyFill="1" applyBorder="1" applyAlignment="1">
      <alignment horizontal="center"/>
    </xf>
    <xf numFmtId="164" fontId="0" fillId="0" borderId="18" xfId="0" applyNumberFormat="1" applyFont="1" applyFill="1" applyBorder="1" applyAlignment="1">
      <alignment horizontal="center" wrapText="1"/>
    </xf>
    <xf numFmtId="164" fontId="0" fillId="0" borderId="2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0" fillId="36" borderId="26" xfId="0" applyFont="1" applyFill="1" applyBorder="1" applyAlignment="1">
      <alignment horizontal="center"/>
    </xf>
    <xf numFmtId="0" fontId="0" fillId="36" borderId="21" xfId="0" applyFont="1" applyFill="1" applyBorder="1" applyAlignment="1">
      <alignment horizontal="center"/>
    </xf>
    <xf numFmtId="0" fontId="0" fillId="36" borderId="25" xfId="0" applyFont="1" applyFill="1" applyBorder="1" applyAlignment="1">
      <alignment horizontal="center"/>
    </xf>
    <xf numFmtId="0" fontId="0" fillId="36" borderId="21" xfId="0" applyFont="1" applyFill="1" applyBorder="1" applyAlignment="1">
      <alignment horizontal="center"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0" fillId="36" borderId="13" xfId="0" applyFont="1" applyFill="1" applyBorder="1" applyAlignment="1">
      <alignment horizontal="center" wrapText="1"/>
    </xf>
    <xf numFmtId="0" fontId="0" fillId="36" borderId="24" xfId="0" applyFont="1" applyFill="1" applyBorder="1" applyAlignment="1">
      <alignment horizontal="center" wrapText="1"/>
    </xf>
    <xf numFmtId="0" fontId="1" fillId="36" borderId="14" xfId="0" applyFont="1" applyFill="1" applyBorder="1" applyAlignment="1">
      <alignment horizontal="center" vertical="center" wrapText="1"/>
    </xf>
    <xf numFmtId="0" fontId="1" fillId="36" borderId="24" xfId="0" applyFont="1" applyFill="1" applyBorder="1" applyAlignment="1">
      <alignment horizontal="center" vertical="center" wrapText="1"/>
    </xf>
    <xf numFmtId="0" fontId="10" fillId="36" borderId="13" xfId="0" applyFont="1" applyFill="1" applyBorder="1" applyAlignment="1">
      <alignment horizontal="center" wrapText="1"/>
    </xf>
    <xf numFmtId="0" fontId="10" fillId="36" borderId="24" xfId="0" applyFont="1" applyFill="1" applyBorder="1" applyAlignment="1">
      <alignment horizontal="center" wrapText="1"/>
    </xf>
    <xf numFmtId="0" fontId="31" fillId="36" borderId="13" xfId="0" applyFont="1" applyFill="1" applyBorder="1" applyAlignment="1">
      <alignment horizontal="center"/>
    </xf>
    <xf numFmtId="0" fontId="31" fillId="36" borderId="24" xfId="0" applyFont="1" applyFill="1" applyBorder="1" applyAlignment="1">
      <alignment horizontal="center"/>
    </xf>
    <xf numFmtId="0" fontId="0" fillId="0" borderId="0" xfId="0" applyFont="1" applyAlignment="1">
      <alignment horizontal="right"/>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24" xfId="0" applyFont="1" applyFill="1" applyBorder="1" applyAlignment="1">
      <alignment horizontal="center"/>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0" fillId="0" borderId="0" xfId="79" applyAlignment="1">
      <alignment horizontal="left" wrapText="1"/>
      <protection/>
    </xf>
    <xf numFmtId="0" fontId="0" fillId="0" borderId="0" xfId="79" applyAlignment="1">
      <alignment wrapText="1"/>
      <protection/>
    </xf>
    <xf numFmtId="0" fontId="30" fillId="0" borderId="16" xfId="79" applyFont="1" applyBorder="1" applyAlignment="1">
      <alignment horizontal="center"/>
      <protection/>
    </xf>
    <xf numFmtId="0" fontId="0" fillId="0" borderId="0" xfId="79" applyAlignment="1">
      <alignment horizontal="center"/>
      <protection/>
    </xf>
    <xf numFmtId="0" fontId="0" fillId="0" borderId="15" xfId="79" applyBorder="1" applyAlignment="1">
      <alignment horizontal="center"/>
      <protection/>
    </xf>
    <xf numFmtId="0" fontId="30" fillId="0" borderId="26" xfId="79" applyFont="1" applyBorder="1" applyAlignment="1">
      <alignment horizontal="center"/>
      <protection/>
    </xf>
    <xf numFmtId="0" fontId="0" fillId="0" borderId="21" xfId="79" applyBorder="1" applyAlignment="1">
      <alignment horizontal="center"/>
      <protection/>
    </xf>
    <xf numFmtId="0" fontId="0" fillId="0" borderId="25" xfId="79" applyBorder="1" applyAlignment="1">
      <alignment horizontal="center"/>
      <protection/>
    </xf>
    <xf numFmtId="0" fontId="30" fillId="0" borderId="26" xfId="0" applyFont="1" applyBorder="1" applyAlignment="1">
      <alignment horizontal="center"/>
    </xf>
    <xf numFmtId="0" fontId="0" fillId="0" borderId="21" xfId="0" applyFont="1" applyBorder="1" applyAlignment="1">
      <alignment horizontal="center"/>
    </xf>
    <xf numFmtId="0" fontId="0" fillId="0" borderId="25" xfId="0" applyFont="1" applyBorder="1" applyAlignment="1">
      <alignment horizontal="center"/>
    </xf>
    <xf numFmtId="0" fontId="30" fillId="0" borderId="26" xfId="79" applyFont="1" applyFill="1" applyBorder="1" applyAlignment="1">
      <alignment horizontal="center"/>
      <protection/>
    </xf>
    <xf numFmtId="0" fontId="0" fillId="0" borderId="21" xfId="79" applyFill="1" applyBorder="1" applyAlignment="1">
      <alignment horizontal="center"/>
      <protection/>
    </xf>
    <xf numFmtId="0" fontId="0" fillId="0" borderId="25" xfId="79" applyFill="1" applyBorder="1" applyAlignment="1">
      <alignment horizontal="center"/>
      <protection/>
    </xf>
    <xf numFmtId="0" fontId="0" fillId="0" borderId="0" xfId="85" applyFont="1" applyAlignment="1">
      <alignment horizontal="left" wrapText="1"/>
      <protection/>
    </xf>
    <xf numFmtId="0" fontId="0" fillId="0" borderId="0" xfId="85" applyFont="1" applyAlignment="1">
      <alignment horizontal="left" wrapText="1"/>
      <protection/>
    </xf>
    <xf numFmtId="0" fontId="1" fillId="0" borderId="0" xfId="85" applyFont="1" applyAlignment="1">
      <alignment horizontal="center"/>
      <protection/>
    </xf>
    <xf numFmtId="0" fontId="0" fillId="39" borderId="0" xfId="80" applyFont="1" applyFill="1" applyAlignment="1">
      <alignment horizontal="left" wrapText="1"/>
      <protection/>
    </xf>
    <xf numFmtId="0" fontId="0" fillId="39" borderId="0" xfId="80" applyFont="1" applyFill="1" applyAlignment="1">
      <alignment horizontal="left" wrapText="1"/>
      <protection/>
    </xf>
    <xf numFmtId="0" fontId="0" fillId="34" borderId="0" xfId="80" applyFont="1" applyFill="1" applyAlignment="1">
      <alignment horizontal="left" wrapText="1"/>
      <protection/>
    </xf>
    <xf numFmtId="0" fontId="0" fillId="0" borderId="0" xfId="80" applyFont="1" applyAlignment="1">
      <alignment horizontal="left" vertical="top" wrapText="1"/>
      <protection/>
    </xf>
    <xf numFmtId="0" fontId="0" fillId="0" borderId="0" xfId="80" applyFont="1" applyAlignment="1">
      <alignment horizontal="left" vertical="top" wrapText="1"/>
      <protection/>
    </xf>
    <xf numFmtId="0" fontId="0" fillId="0" borderId="0" xfId="80" applyAlignment="1">
      <alignment horizontal="left" vertical="top" wrapText="1"/>
      <protection/>
    </xf>
    <xf numFmtId="0" fontId="1" fillId="0" borderId="0" xfId="0" applyFont="1" applyAlignment="1">
      <alignment horizontal="center" vertical="center"/>
    </xf>
    <xf numFmtId="0" fontId="52" fillId="0" borderId="0" xfId="0" applyFont="1" applyFill="1" applyAlignment="1">
      <alignment/>
    </xf>
    <xf numFmtId="3" fontId="0" fillId="0" borderId="54" xfId="0" applyNumberFormat="1" applyFont="1" applyFill="1" applyBorder="1" applyAlignment="1">
      <alignment horizontal="right" vertical="center" wrapTex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5" xfId="44"/>
    <cellStyle name="Comma 10 2 2" xfId="45"/>
    <cellStyle name="Comma 10 2 2 2" xfId="46"/>
    <cellStyle name="Comma 2" xfId="47"/>
    <cellStyle name="Comma 2 2" xfId="48"/>
    <cellStyle name="Comma 3" xfId="49"/>
    <cellStyle name="Comma 3 2" xfId="50"/>
    <cellStyle name="Comma 3 2 2" xfId="51"/>
    <cellStyle name="Comma 3 2 2 2" xfId="52"/>
    <cellStyle name="Comma 3 2 3" xfId="53"/>
    <cellStyle name="Comma 4" xfId="54"/>
    <cellStyle name="Currency" xfId="55"/>
    <cellStyle name="Currency [0]" xfId="56"/>
    <cellStyle name="Currency 2" xfId="57"/>
    <cellStyle name="Currency 3" xfId="58"/>
    <cellStyle name="Currency 3 3" xfId="59"/>
    <cellStyle name="Currency 3 3 2" xfId="60"/>
    <cellStyle name="Explanatory Text" xfId="61"/>
    <cellStyle name="Followed Hyperlink" xfId="62"/>
    <cellStyle name="FRxAmtStyle 2"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12" xfId="73"/>
    <cellStyle name="Normal 170 2" xfId="74"/>
    <cellStyle name="Normal 170 2 2" xfId="75"/>
    <cellStyle name="Normal 2" xfId="76"/>
    <cellStyle name="Normal 272" xfId="77"/>
    <cellStyle name="Normal 272 2" xfId="78"/>
    <cellStyle name="Normal 3" xfId="79"/>
    <cellStyle name="Normal 3 2" xfId="80"/>
    <cellStyle name="Normal 3 7 2" xfId="81"/>
    <cellStyle name="Normal 3 7 2 2" xfId="82"/>
    <cellStyle name="Normal 4" xfId="83"/>
    <cellStyle name="Normal 5" xfId="84"/>
    <cellStyle name="Normal 5 2" xfId="85"/>
    <cellStyle name="Normal_FN1 Ratebase Draft SPP template (6-11-04) v2" xfId="86"/>
    <cellStyle name="Note" xfId="87"/>
    <cellStyle name="Output" xfId="88"/>
    <cellStyle name="Percent" xfId="89"/>
    <cellStyle name="Percent 2" xfId="90"/>
    <cellStyle name="Percent 2 3 2" xfId="91"/>
    <cellStyle name="Percent 2 3 2 2"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D84B3A.F4700CC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144</xdr:row>
      <xdr:rowOff>0</xdr:rowOff>
    </xdr:from>
    <xdr:to>
      <xdr:col>27</xdr:col>
      <xdr:colOff>85725</xdr:colOff>
      <xdr:row>148</xdr:row>
      <xdr:rowOff>171450</xdr:rowOff>
    </xdr:to>
    <xdr:pic>
      <xdr:nvPicPr>
        <xdr:cNvPr id="1" name="Picture 1"/>
        <xdr:cNvPicPr preferRelativeResize="1">
          <a:picLocks noChangeAspect="1"/>
        </xdr:cNvPicPr>
      </xdr:nvPicPr>
      <xdr:blipFill>
        <a:blip r:link="rId1"/>
        <a:stretch>
          <a:fillRect/>
        </a:stretch>
      </xdr:blipFill>
      <xdr:spPr>
        <a:xfrm>
          <a:off x="21755100" y="24279225"/>
          <a:ext cx="8334375" cy="885825"/>
        </a:xfrm>
        <a:prstGeom prst="rect">
          <a:avLst/>
        </a:prstGeom>
        <a:noFill/>
        <a:ln w="9525" cmpd="sng">
          <a:noFill/>
        </a:ln>
      </xdr:spPr>
    </xdr:pic>
    <xdr:clientData/>
  </xdr:twoCellAnchor>
  <xdr:twoCellAnchor>
    <xdr:from>
      <xdr:col>16</xdr:col>
      <xdr:colOff>0</xdr:colOff>
      <xdr:row>277</xdr:row>
      <xdr:rowOff>0</xdr:rowOff>
    </xdr:from>
    <xdr:to>
      <xdr:col>29</xdr:col>
      <xdr:colOff>628650</xdr:colOff>
      <xdr:row>281</xdr:row>
      <xdr:rowOff>9525</xdr:rowOff>
    </xdr:to>
    <xdr:pic>
      <xdr:nvPicPr>
        <xdr:cNvPr id="2" name="Picture 1"/>
        <xdr:cNvPicPr preferRelativeResize="1">
          <a:picLocks noChangeAspect="1"/>
        </xdr:cNvPicPr>
      </xdr:nvPicPr>
      <xdr:blipFill>
        <a:blip r:link="rId1"/>
        <a:stretch>
          <a:fillRect/>
        </a:stretch>
      </xdr:blipFill>
      <xdr:spPr>
        <a:xfrm>
          <a:off x="23345775" y="51158775"/>
          <a:ext cx="854392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weaver\AppData\Local\Microsoft\Windows\INetCache\Content.Outlook\JTGHA27O\RED%20LINE%20FERC%20FORMULA%20TEMPLATE\Duquesne%20Settled%20FERC%20Formula%20%20Red-Line%20of%20Blank%20Template%20for%20TCJA%20_DRAFT%20%2004.28.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ate%20Manager\TRANSMISSION%20FORMULA%20FERC\Formula%202022\Models%20and%20Filing\App%201%20Duquesne%20Settled%20Formula%20True%20Up%20Calculations%200516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endix A"/>
      <sheetName val="1 - ADIT"/>
      <sheetName val="2 - Other Tax"/>
      <sheetName val="3 - Revenue Credits"/>
      <sheetName val="4 - 100 Basis Pt ROE"/>
      <sheetName val="5 - Cost Support 1"/>
      <sheetName val="6- Est &amp; Reconcile WS"/>
      <sheetName val="7 - Cap Add WS"/>
      <sheetName val="8 - Depreciation Exp"/>
      <sheetName val="9 - EDIT WS"/>
      <sheetName val="9.1 - EDIT Classification"/>
      <sheetName val="9.2 - EDIT TCJA 2017"/>
    </sheetNames>
    <sheetDataSet>
      <sheetData sheetId="0">
        <row r="304">
          <cell r="B304"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endix A"/>
      <sheetName val="1 - ADIT"/>
      <sheetName val="2 - Other Tax"/>
      <sheetName val="3 - Revenue Credits"/>
      <sheetName val="4 - 100 Basis Pt ROE"/>
      <sheetName val="5 - Cost Support 1"/>
      <sheetName val="6- Est &amp; Reconcile WS"/>
      <sheetName val="7 - Cap Add WS"/>
      <sheetName val="8 - Depreciation Exp"/>
      <sheetName val="9.1-Amort Deficient-Excess"/>
      <sheetName val="9.2-Unamort Def-Excess ADIT"/>
      <sheetName val="9.3 - TCJA 2017"/>
    </sheetNames>
    <sheetDataSet>
      <sheetData sheetId="0">
        <row r="29">
          <cell r="A29">
            <v>14</v>
          </cell>
        </row>
        <row r="43">
          <cell r="A43">
            <v>23</v>
          </cell>
        </row>
        <row r="65">
          <cell r="A65">
            <v>36</v>
          </cell>
        </row>
        <row r="132">
          <cell r="A132">
            <v>77</v>
          </cell>
        </row>
        <row r="267">
          <cell r="A267">
            <v>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2"/>
  <sheetViews>
    <sheetView tabSelected="1" zoomScale="70" zoomScaleNormal="70" workbookViewId="0" topLeftCell="A1">
      <selection activeCell="J190" sqref="J190"/>
    </sheetView>
  </sheetViews>
  <sheetFormatPr defaultColWidth="9.421875" defaultRowHeight="12.75"/>
  <cols>
    <col min="1" max="1" width="7.421875" style="62" customWidth="1"/>
    <col min="2" max="2" width="5.57421875" style="28" customWidth="1"/>
    <col min="3" max="3" width="83.421875" style="28" customWidth="1"/>
    <col min="4" max="4" width="16.57421875" style="82" customWidth="1"/>
    <col min="5" max="5" width="69.00390625" style="46" bestFit="1" customWidth="1"/>
    <col min="6" max="6" width="2.57421875" style="46" customWidth="1"/>
    <col min="7" max="7" width="23.421875" style="46" bestFit="1" customWidth="1"/>
    <col min="8" max="8" width="7.00390625" style="46" customWidth="1"/>
    <col min="9" max="9" width="7.8515625" style="46" customWidth="1"/>
    <col min="10" max="10" width="20.421875" style="46" customWidth="1"/>
    <col min="11" max="11" width="28.00390625" style="46" bestFit="1" customWidth="1"/>
    <col min="12" max="12" width="19.421875" style="46" bestFit="1" customWidth="1"/>
    <col min="13" max="13" width="15.421875" style="46" bestFit="1" customWidth="1"/>
    <col min="14" max="14" width="13.00390625" style="46" bestFit="1" customWidth="1"/>
    <col min="15" max="16384" width="9.421875" style="46" customWidth="1"/>
  </cols>
  <sheetData>
    <row r="1" spans="1:10" s="65" customFormat="1" ht="23.25" thickBot="1">
      <c r="A1" s="715" t="str">
        <f>IF(I1=1,"Formula Rate - Appendix A True-Up","Formula Rate - Appendix A Estimate")</f>
        <v>Formula Rate - Appendix A Estimate</v>
      </c>
      <c r="B1" s="459"/>
      <c r="C1" s="460"/>
      <c r="D1" s="963" t="s">
        <v>488</v>
      </c>
      <c r="E1" s="461" t="s">
        <v>571</v>
      </c>
      <c r="F1" s="239"/>
      <c r="G1" s="886">
        <v>2022</v>
      </c>
      <c r="H1" s="215"/>
      <c r="I1" s="719">
        <v>0</v>
      </c>
      <c r="J1" s="215" t="s">
        <v>251</v>
      </c>
    </row>
    <row r="2" spans="1:10" s="215" customFormat="1" ht="15">
      <c r="A2" s="462" t="s">
        <v>5</v>
      </c>
      <c r="B2" s="211"/>
      <c r="C2" s="212"/>
      <c r="D2" s="144"/>
      <c r="E2" s="213"/>
      <c r="F2" s="127"/>
      <c r="G2" s="214"/>
      <c r="J2" s="65" t="s">
        <v>250</v>
      </c>
    </row>
    <row r="3" spans="1:7" s="52" customFormat="1" ht="15">
      <c r="A3" s="81" t="s">
        <v>375</v>
      </c>
      <c r="B3" s="80"/>
      <c r="C3" s="105"/>
      <c r="D3" s="145"/>
      <c r="E3" s="106"/>
      <c r="F3" s="106"/>
      <c r="G3" s="113"/>
    </row>
    <row r="4" spans="1:11" s="52" customFormat="1" ht="15">
      <c r="A4" s="88"/>
      <c r="B4" s="72"/>
      <c r="C4" s="72"/>
      <c r="E4" s="627"/>
      <c r="F4" s="96"/>
      <c r="G4" s="104"/>
      <c r="K4" s="761"/>
    </row>
    <row r="5" spans="1:7" ht="15">
      <c r="A5" s="43"/>
      <c r="B5" s="20"/>
      <c r="D5" s="17"/>
      <c r="E5" s="5"/>
      <c r="F5" s="5"/>
      <c r="G5" s="5"/>
    </row>
    <row r="6" spans="1:11" ht="15">
      <c r="A6" s="27">
        <v>1</v>
      </c>
      <c r="B6" s="27"/>
      <c r="C6" s="96" t="s">
        <v>301</v>
      </c>
      <c r="D6" s="84"/>
      <c r="E6" s="9" t="s">
        <v>441</v>
      </c>
      <c r="F6" s="28"/>
      <c r="G6" s="861">
        <v>10903980</v>
      </c>
      <c r="H6" s="52"/>
      <c r="I6" s="52"/>
      <c r="J6" s="903"/>
      <c r="K6" s="52"/>
    </row>
    <row r="7" spans="1:11" ht="15">
      <c r="A7" s="82"/>
      <c r="E7" s="9"/>
      <c r="G7" s="132"/>
      <c r="H7" s="52"/>
      <c r="I7" s="52"/>
      <c r="J7" s="52"/>
      <c r="K7" s="52"/>
    </row>
    <row r="8" spans="1:11" ht="15">
      <c r="A8" s="27">
        <f>+A6+1</f>
        <v>2</v>
      </c>
      <c r="B8" s="27"/>
      <c r="C8" s="96" t="s">
        <v>302</v>
      </c>
      <c r="D8" s="146"/>
      <c r="E8" s="9" t="s">
        <v>442</v>
      </c>
      <c r="F8" s="28"/>
      <c r="G8" s="861">
        <v>100829636</v>
      </c>
      <c r="H8" s="52"/>
      <c r="I8" s="52"/>
      <c r="J8" s="903"/>
      <c r="K8" s="52"/>
    </row>
    <row r="9" spans="1:11" ht="15">
      <c r="A9" s="27">
        <f>+A8+1</f>
        <v>3</v>
      </c>
      <c r="B9" s="27"/>
      <c r="C9" s="96" t="s">
        <v>376</v>
      </c>
      <c r="E9" s="9" t="s">
        <v>671</v>
      </c>
      <c r="F9" s="28"/>
      <c r="G9" s="861">
        <v>46609071</v>
      </c>
      <c r="H9" s="52"/>
      <c r="I9" s="52"/>
      <c r="J9" s="903"/>
      <c r="K9" s="52"/>
    </row>
    <row r="10" spans="1:11" ht="15">
      <c r="A10" s="27">
        <f>+A9+1</f>
        <v>4</v>
      </c>
      <c r="B10" s="27"/>
      <c r="C10" s="833" t="s">
        <v>436</v>
      </c>
      <c r="D10" s="147"/>
      <c r="E10" s="31" t="str">
        <f>"(Line "&amp;A8&amp;" - "&amp;A9&amp;")"</f>
        <v>(Line 2 - 3)</v>
      </c>
      <c r="F10" s="56"/>
      <c r="G10" s="690">
        <f>+G8-G9</f>
        <v>54220565</v>
      </c>
      <c r="I10" s="52"/>
      <c r="J10" s="52"/>
      <c r="K10" s="52"/>
    </row>
    <row r="11" spans="1:11" ht="15">
      <c r="A11" s="27"/>
      <c r="B11" s="27"/>
      <c r="C11" s="834"/>
      <c r="D11" s="17"/>
      <c r="E11" s="28"/>
      <c r="F11" s="28"/>
      <c r="G11" s="691"/>
      <c r="I11" s="52"/>
      <c r="J11" s="52"/>
      <c r="K11" s="52"/>
    </row>
    <row r="12" spans="1:11" ht="15.75" thickBot="1">
      <c r="A12" s="27">
        <v>5</v>
      </c>
      <c r="B12" s="38"/>
      <c r="C12" s="38"/>
      <c r="D12" s="148"/>
      <c r="E12" s="39" t="str">
        <f>"(Line "&amp;A6&amp;" /  Line "&amp;A10&amp;")"</f>
        <v>(Line 1 /  Line 4)</v>
      </c>
      <c r="F12" s="107"/>
      <c r="G12" s="97">
        <f>IF(G10=0,0,G6/G10)</f>
        <v>0.20110413825455342</v>
      </c>
      <c r="I12" s="52"/>
      <c r="J12" s="52"/>
      <c r="K12" s="52"/>
    </row>
    <row r="13" spans="1:11" ht="15.75" thickTop="1">
      <c r="A13" s="27"/>
      <c r="B13" s="27"/>
      <c r="C13" s="20"/>
      <c r="D13" s="24"/>
      <c r="E13" s="28"/>
      <c r="F13" s="28"/>
      <c r="G13" s="36"/>
      <c r="I13" s="52"/>
      <c r="J13" s="52"/>
      <c r="K13" s="52"/>
    </row>
    <row r="14" spans="1:11" ht="15">
      <c r="A14" s="82"/>
      <c r="B14" s="20" t="s">
        <v>425</v>
      </c>
      <c r="C14" s="59"/>
      <c r="D14" s="146"/>
      <c r="E14" s="74"/>
      <c r="F14" s="74"/>
      <c r="G14" s="74"/>
      <c r="I14" s="52"/>
      <c r="J14" s="52"/>
      <c r="K14" s="52"/>
    </row>
    <row r="15" spans="1:11" ht="15">
      <c r="A15" s="69">
        <f>+A12+1</f>
        <v>6</v>
      </c>
      <c r="B15" s="46"/>
      <c r="C15" s="96" t="s">
        <v>380</v>
      </c>
      <c r="D15" s="172" t="str">
        <f>"(Note "&amp;B$282&amp;")"</f>
        <v>(Note B)</v>
      </c>
      <c r="E15" s="57" t="s">
        <v>8</v>
      </c>
      <c r="F15" s="74"/>
      <c r="G15" s="1302">
        <f>IF(I1=1,'5 - Cost Support 1'!F66,+'5 - Cost Support 1'!G66)</f>
        <v>5342967697</v>
      </c>
      <c r="H15" s="65"/>
      <c r="I15" s="215"/>
      <c r="J15" s="52"/>
      <c r="K15" s="52"/>
    </row>
    <row r="16" spans="1:11" ht="15">
      <c r="A16" s="69">
        <f>+A15+1</f>
        <v>7</v>
      </c>
      <c r="C16" s="96" t="s">
        <v>379</v>
      </c>
      <c r="D16" s="178" t="str">
        <f>"(Note "&amp;B$281&amp;")"</f>
        <v>(Note A)</v>
      </c>
      <c r="E16" s="57" t="s">
        <v>8</v>
      </c>
      <c r="F16" s="74"/>
      <c r="G16" s="1302">
        <f>IF(I1=1,'5 - Cost Support 1'!F134,+'5 - Cost Support 1'!G134)</f>
        <v>1779890489</v>
      </c>
      <c r="H16" s="52"/>
      <c r="I16" s="215"/>
      <c r="J16" s="52"/>
      <c r="K16" s="52"/>
    </row>
    <row r="17" spans="1:11" ht="15">
      <c r="A17" s="27">
        <f>+A16+1</f>
        <v>8</v>
      </c>
      <c r="B17" s="46"/>
      <c r="C17" s="54" t="s">
        <v>421</v>
      </c>
      <c r="D17" s="150"/>
      <c r="E17" s="31" t="str">
        <f>"(Line "&amp;A15&amp;" - Line "&amp;A16&amp;")"</f>
        <v>(Line 6 - Line 7)</v>
      </c>
      <c r="F17" s="54"/>
      <c r="G17" s="690">
        <f>+G15-G16</f>
        <v>3563077208</v>
      </c>
      <c r="I17" s="52"/>
      <c r="J17" s="52"/>
      <c r="K17" s="52"/>
    </row>
    <row r="18" spans="1:11" ht="15">
      <c r="A18" s="82"/>
      <c r="B18" s="46"/>
      <c r="C18" s="46"/>
      <c r="G18" s="132"/>
      <c r="I18" s="187"/>
      <c r="J18" s="52"/>
      <c r="K18" s="52"/>
    </row>
    <row r="19" spans="1:11" ht="15">
      <c r="A19" s="69">
        <f>+A17+1</f>
        <v>9</v>
      </c>
      <c r="B19" s="46"/>
      <c r="C19" s="46" t="s">
        <v>377</v>
      </c>
      <c r="E19" s="99" t="str">
        <f>"(Line "&amp;A38&amp;")"</f>
        <v>(Line 21)</v>
      </c>
      <c r="G19" s="132">
        <f>+G38</f>
        <v>1291756960.841424</v>
      </c>
      <c r="H19" s="52"/>
      <c r="I19" s="187"/>
      <c r="J19" s="52"/>
      <c r="K19" s="52"/>
    </row>
    <row r="20" spans="1:11" ht="15.75" thickBot="1">
      <c r="A20" s="27">
        <f>+A19+1</f>
        <v>10</v>
      </c>
      <c r="B20" s="42" t="s">
        <v>289</v>
      </c>
      <c r="C20" s="42"/>
      <c r="D20" s="151"/>
      <c r="E20" s="39" t="str">
        <f>"(Line "&amp;A19&amp;" / Line "&amp;A15&amp;")"</f>
        <v>(Line 9 / Line 6)</v>
      </c>
      <c r="F20" s="98"/>
      <c r="G20" s="97">
        <f>IF(G15=0,0,G19/(G15))</f>
        <v>0.24176769056019692</v>
      </c>
      <c r="H20" s="52"/>
      <c r="I20" s="187"/>
      <c r="J20" s="52"/>
      <c r="K20" s="52"/>
    </row>
    <row r="21" spans="1:11" ht="15" thickTop="1">
      <c r="A21" s="82"/>
      <c r="H21" s="52"/>
      <c r="I21" s="52"/>
      <c r="J21" s="52"/>
      <c r="K21" s="52"/>
    </row>
    <row r="22" spans="1:11" s="32" customFormat="1" ht="15">
      <c r="A22" s="69">
        <f>+A20+1</f>
        <v>11</v>
      </c>
      <c r="B22" s="27"/>
      <c r="C22" s="835" t="s">
        <v>378</v>
      </c>
      <c r="E22" s="99" t="str">
        <f>"(Line "&amp;A56&amp;")"</f>
        <v>(Line 33)</v>
      </c>
      <c r="F22" s="8"/>
      <c r="G22" s="132">
        <f>+G56</f>
        <v>879647426.6526623</v>
      </c>
      <c r="H22" s="513"/>
      <c r="I22" s="513"/>
      <c r="J22" s="513"/>
      <c r="K22" s="513"/>
    </row>
    <row r="23" spans="1:11" ht="15.75" thickBot="1">
      <c r="A23" s="27">
        <f>+A22+1</f>
        <v>12</v>
      </c>
      <c r="B23" s="42" t="s">
        <v>422</v>
      </c>
      <c r="C23" s="42"/>
      <c r="D23" s="151"/>
      <c r="E23" s="39" t="str">
        <f>"(Line "&amp;A22&amp;" / Line "&amp;A17&amp;")"</f>
        <v>(Line 11 / Line 8)</v>
      </c>
      <c r="F23" s="98"/>
      <c r="G23" s="97">
        <f>IF(G17=0,0,G22/G17)</f>
        <v>0.24687857582138092</v>
      </c>
      <c r="I23" s="52"/>
      <c r="J23" s="52"/>
      <c r="K23" s="52"/>
    </row>
    <row r="24" spans="1:11" ht="15.75" thickTop="1">
      <c r="A24" s="48"/>
      <c r="B24" s="27"/>
      <c r="C24" s="20"/>
      <c r="D24" s="24"/>
      <c r="E24" s="28"/>
      <c r="F24" s="28"/>
      <c r="G24" s="36"/>
      <c r="I24" s="52"/>
      <c r="J24" s="52"/>
      <c r="K24" s="52"/>
    </row>
    <row r="25" spans="1:7" s="52" customFormat="1" ht="15">
      <c r="A25" s="81" t="s">
        <v>420</v>
      </c>
      <c r="B25" s="80"/>
      <c r="C25" s="105"/>
      <c r="D25" s="145"/>
      <c r="E25" s="106"/>
      <c r="F25" s="106"/>
      <c r="G25" s="113"/>
    </row>
    <row r="26" spans="1:7" s="52" customFormat="1" ht="15">
      <c r="A26" s="108"/>
      <c r="B26" s="1116"/>
      <c r="C26" s="72"/>
      <c r="D26" s="144"/>
      <c r="E26" s="96"/>
      <c r="F26" s="96"/>
      <c r="G26" s="104"/>
    </row>
    <row r="27" spans="1:11" ht="15">
      <c r="A27" s="82"/>
      <c r="B27" s="20" t="s">
        <v>385</v>
      </c>
      <c r="D27" s="510"/>
      <c r="E27" s="9"/>
      <c r="F27" s="43"/>
      <c r="G27" s="691"/>
      <c r="I27" s="52"/>
      <c r="J27" s="52"/>
      <c r="K27" s="52"/>
    </row>
    <row r="28" spans="1:11" ht="15">
      <c r="A28" s="69">
        <f>+A23+1</f>
        <v>13</v>
      </c>
      <c r="B28" s="27"/>
      <c r="C28" s="834" t="s">
        <v>417</v>
      </c>
      <c r="D28" s="172" t="str">
        <f>"(Note "&amp;B$282&amp;")"</f>
        <v>(Note B)</v>
      </c>
      <c r="E28" s="9" t="s">
        <v>8</v>
      </c>
      <c r="F28" s="28"/>
      <c r="G28" s="1303">
        <f>IF(I1=1,'5 - Cost Support 1'!F17,+'5 - Cost Support 1'!G17)</f>
        <v>1102624428</v>
      </c>
      <c r="I28" s="52"/>
      <c r="J28" s="52"/>
      <c r="K28" s="52"/>
    </row>
    <row r="29" spans="1:11" ht="15">
      <c r="A29" s="69">
        <f>+A28+1</f>
        <v>14</v>
      </c>
      <c r="B29" s="69"/>
      <c r="C29" s="836" t="s">
        <v>354</v>
      </c>
      <c r="D29" s="178" t="str">
        <f>"(Note "&amp;B$282&amp;")"</f>
        <v>(Note B)</v>
      </c>
      <c r="E29" s="1420" t="s">
        <v>6</v>
      </c>
      <c r="F29" s="171"/>
      <c r="G29" s="1304">
        <f>IF(I1=1,0,'6- Est &amp; Reconcile WS'!J201)</f>
        <v>26973807.52561826</v>
      </c>
      <c r="I29" s="1629"/>
      <c r="J29" s="52"/>
      <c r="K29" s="52"/>
    </row>
    <row r="30" spans="1:11" ht="15">
      <c r="A30" s="69">
        <f>+A29+1</f>
        <v>15</v>
      </c>
      <c r="B30" s="27"/>
      <c r="C30" s="12" t="s">
        <v>620</v>
      </c>
      <c r="D30" s="172"/>
      <c r="E30" s="41" t="str">
        <f>"(Line "&amp;A28&amp;" + Line "&amp;A29&amp;")"</f>
        <v>(Line 13 + Line 14)</v>
      </c>
      <c r="F30" s="28"/>
      <c r="G30" s="1305">
        <f>+G28+G29</f>
        <v>1129598235.5256183</v>
      </c>
      <c r="I30" s="52"/>
      <c r="J30" s="52"/>
      <c r="K30" s="52"/>
    </row>
    <row r="31" spans="1:8" s="52" customFormat="1" ht="15">
      <c r="A31" s="69"/>
      <c r="B31" s="69"/>
      <c r="C31" s="835"/>
      <c r="D31" s="84"/>
      <c r="E31" s="9"/>
      <c r="F31" s="51"/>
      <c r="G31" s="1306"/>
      <c r="H31" s="46"/>
    </row>
    <row r="32" spans="1:11" ht="15">
      <c r="A32" s="69">
        <f>+A30+1</f>
        <v>16</v>
      </c>
      <c r="B32" s="27"/>
      <c r="C32" s="834" t="s">
        <v>416</v>
      </c>
      <c r="E32" s="9" t="s">
        <v>8</v>
      </c>
      <c r="F32" s="28"/>
      <c r="G32" s="1303">
        <f>IF(I1=1,'5 - Cost Support 1'!F43+'5 - Cost Support 1'!F38,+'5 - Cost Support 1'!G43+'5 - Cost Support 1'!G38)</f>
        <v>806342061</v>
      </c>
      <c r="I32" s="52"/>
      <c r="J32" s="52"/>
      <c r="K32" s="52"/>
    </row>
    <row r="33" spans="1:11" ht="15">
      <c r="A33" s="69">
        <f>+A32+1</f>
        <v>17</v>
      </c>
      <c r="B33" s="27"/>
      <c r="C33" s="834" t="s">
        <v>381</v>
      </c>
      <c r="D33" s="172" t="str">
        <f>"(Note "&amp;B$281&amp;")"</f>
        <v>(Note A)</v>
      </c>
      <c r="E33" s="101" t="s">
        <v>8</v>
      </c>
      <c r="F33" s="28"/>
      <c r="G33" s="1302">
        <f>IF(I1=1,'5 - Cost Support 1'!F64,+'5 - Cost Support 1'!G64)</f>
        <v>0</v>
      </c>
      <c r="I33" s="52"/>
      <c r="J33" s="52"/>
      <c r="K33" s="52"/>
    </row>
    <row r="34" spans="1:11" ht="15">
      <c r="A34" s="69">
        <f>+A33+1</f>
        <v>18</v>
      </c>
      <c r="B34" s="27"/>
      <c r="C34" s="833" t="s">
        <v>418</v>
      </c>
      <c r="D34" s="150"/>
      <c r="E34" s="41" t="str">
        <f>"(Line "&amp;A32&amp;" + Line "&amp;A33&amp;")"</f>
        <v>(Line 16 + Line 17)</v>
      </c>
      <c r="F34" s="56"/>
      <c r="G34" s="692">
        <f>SUM(G32:G33)</f>
        <v>806342061</v>
      </c>
      <c r="I34" s="52"/>
      <c r="J34" s="52"/>
      <c r="K34" s="52"/>
    </row>
    <row r="35" spans="1:11" ht="15">
      <c r="A35" s="69">
        <f>+A34+1</f>
        <v>19</v>
      </c>
      <c r="B35" s="27"/>
      <c r="C35" s="50" t="s">
        <v>426</v>
      </c>
      <c r="D35" s="24"/>
      <c r="E35" s="101" t="str">
        <f>"(Line "&amp;A$12&amp;")"</f>
        <v>(Line 5)</v>
      </c>
      <c r="F35" s="19"/>
      <c r="G35" s="693">
        <f>+G12</f>
        <v>0.20110413825455342</v>
      </c>
      <c r="I35" s="52"/>
      <c r="J35" s="52"/>
      <c r="K35" s="52"/>
    </row>
    <row r="36" spans="1:11" ht="15">
      <c r="A36" s="69">
        <f>+A35+1</f>
        <v>20</v>
      </c>
      <c r="B36" s="46"/>
      <c r="C36" s="37" t="s">
        <v>383</v>
      </c>
      <c r="D36" s="147"/>
      <c r="E36" s="41" t="str">
        <f>"(Line "&amp;A34&amp;" * Line "&amp;A35&amp;")"</f>
        <v>(Line 18 * Line 19)</v>
      </c>
      <c r="F36" s="54"/>
      <c r="G36" s="592">
        <f>+G35*G34</f>
        <v>162158725.31580555</v>
      </c>
      <c r="I36" s="187"/>
      <c r="J36" s="52"/>
      <c r="K36" s="52"/>
    </row>
    <row r="37" spans="1:11" ht="15">
      <c r="A37" s="84"/>
      <c r="B37" s="46"/>
      <c r="C37" s="20"/>
      <c r="D37" s="221"/>
      <c r="E37" s="52"/>
      <c r="G37" s="694"/>
      <c r="I37" s="187"/>
      <c r="J37" s="52"/>
      <c r="K37" s="52"/>
    </row>
    <row r="38" spans="1:11" s="1" customFormat="1" ht="15.75" thickBot="1">
      <c r="A38" s="69">
        <f>+A36+1</f>
        <v>21</v>
      </c>
      <c r="B38" s="42" t="s">
        <v>355</v>
      </c>
      <c r="C38" s="42"/>
      <c r="D38" s="153"/>
      <c r="E38" s="308" t="str">
        <f>"(Line "&amp;A30&amp;" + Line "&amp;A36&amp;")"</f>
        <v>(Line 15 + Line 20)</v>
      </c>
      <c r="F38" s="42"/>
      <c r="G38" s="596">
        <f>SUM(G30,G36)</f>
        <v>1291756960.841424</v>
      </c>
      <c r="H38" s="46"/>
      <c r="I38" s="187"/>
      <c r="J38" s="1421"/>
      <c r="K38" s="187"/>
    </row>
    <row r="39" spans="1:11" ht="15.75" thickTop="1">
      <c r="A39" s="84"/>
      <c r="B39" s="46"/>
      <c r="C39" s="46"/>
      <c r="E39" s="52"/>
      <c r="G39" s="52"/>
      <c r="I39" s="187"/>
      <c r="J39" s="52"/>
      <c r="K39" s="52"/>
    </row>
    <row r="40" spans="1:11" ht="15">
      <c r="A40" s="69"/>
      <c r="B40" s="20" t="s">
        <v>332</v>
      </c>
      <c r="C40" s="20"/>
      <c r="D40" s="510"/>
      <c r="E40" s="9"/>
      <c r="F40" s="13"/>
      <c r="G40" s="695"/>
      <c r="I40" s="52"/>
      <c r="J40" s="52"/>
      <c r="K40" s="52"/>
    </row>
    <row r="41" spans="1:11" ht="15">
      <c r="A41" s="84"/>
      <c r="B41" s="51"/>
      <c r="C41" s="51"/>
      <c r="E41" s="9"/>
      <c r="F41" s="5"/>
      <c r="G41" s="695"/>
      <c r="I41" s="187"/>
      <c r="J41" s="52"/>
      <c r="K41" s="52"/>
    </row>
    <row r="42" spans="1:11" ht="15">
      <c r="A42" s="69">
        <f>+A38+1</f>
        <v>22</v>
      </c>
      <c r="B42" s="27"/>
      <c r="C42" s="834" t="s">
        <v>481</v>
      </c>
      <c r="D42" s="172" t="str">
        <f>"(Note "&amp;B$282&amp;")"</f>
        <v>(Note B)</v>
      </c>
      <c r="E42" s="9" t="s">
        <v>8</v>
      </c>
      <c r="F42" s="8"/>
      <c r="G42" s="1303">
        <f>IF(I1=1,'5 - Cost Support 1'!F85,+'5 - Cost Support 1'!G85)</f>
        <v>321962340</v>
      </c>
      <c r="I42" s="52"/>
      <c r="J42" s="52"/>
      <c r="K42" s="52"/>
    </row>
    <row r="43" spans="1:11" ht="15">
      <c r="A43" s="69">
        <f>A42+1</f>
        <v>23</v>
      </c>
      <c r="B43" s="27"/>
      <c r="C43" s="836" t="s">
        <v>57</v>
      </c>
      <c r="D43" s="178" t="str">
        <f>"(Note "&amp;B$282&amp;")"</f>
        <v>(Note B)</v>
      </c>
      <c r="E43" s="1420" t="s">
        <v>6</v>
      </c>
      <c r="F43" s="638"/>
      <c r="G43" s="1304">
        <f>IF(I1=1,0,'6- Est &amp; Reconcile WS'!J224)</f>
        <v>242963.74819365286</v>
      </c>
      <c r="I43" s="1629"/>
      <c r="J43" s="52"/>
      <c r="K43" s="52"/>
    </row>
    <row r="44" spans="1:11" ht="15">
      <c r="A44" s="69">
        <f>A43+1</f>
        <v>24</v>
      </c>
      <c r="B44" s="27"/>
      <c r="C44" s="12" t="s">
        <v>120</v>
      </c>
      <c r="D44" s="172"/>
      <c r="E44" s="228" t="str">
        <f>"(Line "&amp;A42&amp;" + Line "&amp;A43&amp;")"</f>
        <v>(Line 22 + Line 23)</v>
      </c>
      <c r="F44" s="35"/>
      <c r="G44" s="601">
        <f>G42+G43</f>
        <v>322205303.7481937</v>
      </c>
      <c r="I44" s="52"/>
      <c r="J44" s="52"/>
      <c r="K44" s="52"/>
    </row>
    <row r="45" spans="1:8" s="52" customFormat="1" ht="15">
      <c r="A45" s="69"/>
      <c r="B45" s="69"/>
      <c r="C45" s="51"/>
      <c r="D45" s="84"/>
      <c r="E45" s="9"/>
      <c r="F45" s="51"/>
      <c r="G45" s="603"/>
      <c r="H45" s="46"/>
    </row>
    <row r="46" spans="1:11" ht="15">
      <c r="A46" s="69">
        <f>+A44+1</f>
        <v>25</v>
      </c>
      <c r="B46" s="27"/>
      <c r="C46" s="834" t="s">
        <v>506</v>
      </c>
      <c r="E46" s="9" t="s">
        <v>8</v>
      </c>
      <c r="F46" s="28"/>
      <c r="G46" s="1303">
        <f>IF(I1=1,'5 - Cost Support 1'!F111,+'5 - Cost Support 1'!G111)</f>
        <v>166371951</v>
      </c>
      <c r="I46" s="52"/>
      <c r="J46" s="52"/>
      <c r="K46" s="52"/>
    </row>
    <row r="47" spans="1:11" ht="15">
      <c r="A47" s="69">
        <f aca="true" t="shared" si="0" ref="A47:A52">+A46+1</f>
        <v>26</v>
      </c>
      <c r="B47" s="27"/>
      <c r="C47" s="834" t="s">
        <v>741</v>
      </c>
      <c r="E47" s="21" t="s">
        <v>8</v>
      </c>
      <c r="F47" s="28"/>
      <c r="G47" s="1303">
        <f>IF(I1=1,'5 - Cost Support 1'!F106,+'5 - Cost Support 1'!G106)</f>
        <v>280681159</v>
      </c>
      <c r="I47" s="52"/>
      <c r="J47" s="52"/>
      <c r="K47" s="52"/>
    </row>
    <row r="48" spans="1:11" ht="15">
      <c r="A48" s="69">
        <f t="shared" si="0"/>
        <v>27</v>
      </c>
      <c r="B48" s="27"/>
      <c r="C48" s="834" t="s">
        <v>683</v>
      </c>
      <c r="D48" s="172"/>
      <c r="E48" s="21" t="s">
        <v>8</v>
      </c>
      <c r="F48" s="28"/>
      <c r="G48" s="1303">
        <f>'5 - Cost Support 1'!G132</f>
        <v>0</v>
      </c>
      <c r="I48" s="52"/>
      <c r="J48" s="52"/>
      <c r="K48" s="52"/>
    </row>
    <row r="49" spans="1:11" ht="15">
      <c r="A49" s="69">
        <f t="shared" si="0"/>
        <v>28</v>
      </c>
      <c r="B49" s="27"/>
      <c r="C49" s="837" t="s">
        <v>382</v>
      </c>
      <c r="D49" s="178"/>
      <c r="E49" s="99" t="s">
        <v>8</v>
      </c>
      <c r="F49" s="90"/>
      <c r="G49" s="1304">
        <f>'5 - Cost Support 1'!G132</f>
        <v>0</v>
      </c>
      <c r="I49" s="52"/>
      <c r="J49" s="52"/>
      <c r="K49" s="52"/>
    </row>
    <row r="50" spans="1:11" ht="15">
      <c r="A50" s="69">
        <f t="shared" si="0"/>
        <v>29</v>
      </c>
      <c r="B50" s="27"/>
      <c r="C50" s="838" t="s">
        <v>742</v>
      </c>
      <c r="D50" s="18"/>
      <c r="E50" s="21" t="str">
        <f>"(Sum Lines "&amp;A46&amp;" to "&amp;A49&amp;")"</f>
        <v>(Sum Lines 25 to 28)</v>
      </c>
      <c r="F50" s="21"/>
      <c r="G50" s="696">
        <f>SUM(G46:G49)</f>
        <v>447053110</v>
      </c>
      <c r="I50" s="52"/>
      <c r="J50" s="52"/>
      <c r="K50" s="52"/>
    </row>
    <row r="51" spans="1:11" ht="15">
      <c r="A51" s="69">
        <f t="shared" si="0"/>
        <v>30</v>
      </c>
      <c r="B51" s="27"/>
      <c r="C51" s="838" t="str">
        <f>+C35</f>
        <v>Wage &amp; Salary Allocation Factor</v>
      </c>
      <c r="D51" s="18"/>
      <c r="E51" s="99" t="str">
        <f>"(Line "&amp;A$12&amp;")"</f>
        <v>(Line 5)</v>
      </c>
      <c r="F51" s="21"/>
      <c r="G51" s="697">
        <f>+G12</f>
        <v>0.20110413825455342</v>
      </c>
      <c r="I51" s="52"/>
      <c r="J51" s="52"/>
      <c r="K51" s="52"/>
    </row>
    <row r="52" spans="1:11" ht="15">
      <c r="A52" s="69">
        <f t="shared" si="0"/>
        <v>31</v>
      </c>
      <c r="B52" s="46"/>
      <c r="C52" s="79" t="s">
        <v>406</v>
      </c>
      <c r="D52" s="150"/>
      <c r="E52" s="21" t="str">
        <f>"(Line "&amp;A50&amp;" * Line "&amp;A51&amp;")"</f>
        <v>(Line 29 * Line 30)</v>
      </c>
      <c r="F52" s="54"/>
      <c r="G52" s="593">
        <f>+G51*G50</f>
        <v>89904230.44056807</v>
      </c>
      <c r="I52" s="52"/>
      <c r="J52" s="52"/>
      <c r="K52" s="52"/>
    </row>
    <row r="53" spans="1:11" ht="15">
      <c r="A53" s="84"/>
      <c r="B53" s="46"/>
      <c r="C53" s="46"/>
      <c r="G53" s="132"/>
      <c r="I53" s="52"/>
      <c r="J53" s="52"/>
      <c r="K53" s="52"/>
    </row>
    <row r="54" spans="1:11" ht="15.75" thickBot="1">
      <c r="A54" s="69">
        <f>+A52+1</f>
        <v>32</v>
      </c>
      <c r="B54" s="42" t="s">
        <v>356</v>
      </c>
      <c r="C54" s="42"/>
      <c r="D54" s="153"/>
      <c r="E54" s="40" t="str">
        <f>"(Line "&amp;A44&amp;" + Line "&amp;A52&amp;")"</f>
        <v>(Line 24 + Line 31)</v>
      </c>
      <c r="F54" s="42"/>
      <c r="G54" s="589">
        <f>+G52+G44</f>
        <v>412109534.1887618</v>
      </c>
      <c r="I54" s="52"/>
      <c r="J54" s="1421"/>
      <c r="K54" s="52"/>
    </row>
    <row r="55" spans="1:11" ht="15" thickTop="1">
      <c r="A55" s="84"/>
      <c r="B55" s="46"/>
      <c r="C55" s="46"/>
      <c r="G55" s="132"/>
      <c r="I55" s="52"/>
      <c r="J55" s="52"/>
      <c r="K55" s="52"/>
    </row>
    <row r="56" spans="1:11" ht="15.75" thickBot="1">
      <c r="A56" s="69">
        <f>+A54+1</f>
        <v>33</v>
      </c>
      <c r="B56" s="42" t="s">
        <v>357</v>
      </c>
      <c r="C56" s="42"/>
      <c r="D56" s="153"/>
      <c r="E56" s="40" t="str">
        <f>"(Line "&amp;A38&amp;" - Line "&amp;A54&amp;")"</f>
        <v>(Line 21 - Line 32)</v>
      </c>
      <c r="F56" s="42"/>
      <c r="G56" s="589">
        <f>+G38-G54</f>
        <v>879647426.6526623</v>
      </c>
      <c r="I56" s="52"/>
      <c r="J56" s="52"/>
      <c r="K56" s="52"/>
    </row>
    <row r="57" spans="1:11" ht="15" thickTop="1">
      <c r="A57" s="82"/>
      <c r="B57" s="46"/>
      <c r="C57" s="46"/>
      <c r="I57" s="52"/>
      <c r="J57" s="52"/>
      <c r="K57" s="52"/>
    </row>
    <row r="58" spans="1:11" ht="15">
      <c r="A58" s="81" t="s">
        <v>384</v>
      </c>
      <c r="B58" s="105"/>
      <c r="C58" s="105"/>
      <c r="D58" s="145"/>
      <c r="E58" s="106"/>
      <c r="F58" s="106"/>
      <c r="G58" s="112"/>
      <c r="I58" s="52"/>
      <c r="J58" s="52"/>
      <c r="K58" s="52"/>
    </row>
    <row r="59" spans="1:11" ht="15">
      <c r="A59" s="200"/>
      <c r="B59" s="201"/>
      <c r="C59" s="201"/>
      <c r="I59" s="52"/>
      <c r="J59" s="52"/>
      <c r="K59" s="52"/>
    </row>
    <row r="60" spans="1:11" ht="15">
      <c r="A60" s="84"/>
      <c r="B60" s="235" t="s">
        <v>514</v>
      </c>
      <c r="D60" s="172" t="str">
        <f>"(Note "&amp;B304&amp;")"</f>
        <v>(Note R)</v>
      </c>
      <c r="G60" s="691"/>
      <c r="I60" s="52"/>
      <c r="J60" s="52"/>
      <c r="K60" s="52"/>
    </row>
    <row r="61" spans="1:11" ht="15">
      <c r="A61" s="84">
        <f>+A56+1</f>
        <v>34</v>
      </c>
      <c r="B61" s="235"/>
      <c r="C61" s="28" t="s">
        <v>546</v>
      </c>
      <c r="D61" s="172" t="s">
        <v>28</v>
      </c>
      <c r="E61" s="85" t="s">
        <v>1133</v>
      </c>
      <c r="F61" s="216"/>
      <c r="G61" s="1303">
        <f>-'1 - ADIT'!C15</f>
        <v>-171505917.4045058</v>
      </c>
      <c r="I61" s="755"/>
      <c r="J61" s="187"/>
      <c r="K61" s="52"/>
    </row>
    <row r="62" spans="1:10" s="52" customFormat="1" ht="15">
      <c r="A62" s="69">
        <f>A61+1</f>
        <v>35</v>
      </c>
      <c r="C62" s="315" t="s">
        <v>407</v>
      </c>
      <c r="D62" s="160"/>
      <c r="E62" s="41" t="str">
        <f>"Line "&amp;A61&amp;""</f>
        <v>Line 34</v>
      </c>
      <c r="F62" s="96"/>
      <c r="G62" s="598">
        <f>+G61</f>
        <v>-171505917.4045058</v>
      </c>
      <c r="H62" s="46"/>
      <c r="I62" s="187"/>
      <c r="J62" s="1421"/>
    </row>
    <row r="63" spans="1:10" s="52" customFormat="1" ht="15">
      <c r="A63" s="69"/>
      <c r="C63" s="235"/>
      <c r="D63" s="180"/>
      <c r="E63" s="41"/>
      <c r="F63" s="96"/>
      <c r="G63" s="599"/>
      <c r="H63" s="46"/>
      <c r="I63" s="187"/>
      <c r="J63" s="187"/>
    </row>
    <row r="64" spans="1:11" ht="15">
      <c r="A64" s="69"/>
      <c r="B64" s="20" t="s">
        <v>449</v>
      </c>
      <c r="C64" s="46"/>
      <c r="D64" s="46"/>
      <c r="F64" s="28"/>
      <c r="G64" s="281"/>
      <c r="I64" s="52"/>
      <c r="J64" s="52"/>
      <c r="K64" s="52"/>
    </row>
    <row r="65" spans="1:11" ht="15">
      <c r="A65" s="69">
        <f>+A62+1</f>
        <v>36</v>
      </c>
      <c r="B65" s="43"/>
      <c r="C65" s="836" t="s">
        <v>443</v>
      </c>
      <c r="D65" s="178" t="str">
        <f>"(Note "&amp;B302&amp;")"</f>
        <v>(Note P)</v>
      </c>
      <c r="E65" s="1420" t="s">
        <v>6</v>
      </c>
      <c r="F65" s="90"/>
      <c r="G65" s="1304">
        <f>IF(I1=1,'6- Est &amp; Reconcile WS'!J104,'6- Est &amp; Reconcile WS'!J202)</f>
        <v>9033623.307692308</v>
      </c>
      <c r="I65" s="1629"/>
      <c r="J65" s="52"/>
      <c r="K65" s="52"/>
    </row>
    <row r="66" spans="1:11" ht="15">
      <c r="A66" s="69">
        <f>A65+1</f>
        <v>37</v>
      </c>
      <c r="B66" s="43"/>
      <c r="C66" s="20" t="s">
        <v>450</v>
      </c>
      <c r="D66" s="172"/>
      <c r="E66" s="228"/>
      <c r="F66" s="28"/>
      <c r="G66" s="218">
        <f>+G65</f>
        <v>9033623.307692308</v>
      </c>
      <c r="I66" s="52"/>
      <c r="J66" s="1421"/>
      <c r="K66" s="52"/>
    </row>
    <row r="67" spans="1:11" ht="15">
      <c r="A67" s="69"/>
      <c r="B67" s="69"/>
      <c r="C67" s="438"/>
      <c r="D67" s="172"/>
      <c r="E67" s="228"/>
      <c r="F67" s="59"/>
      <c r="G67" s="694"/>
      <c r="I67" s="52"/>
      <c r="J67" s="974"/>
      <c r="K67" s="52"/>
    </row>
    <row r="68" spans="1:11" ht="15">
      <c r="A68" s="69">
        <f>+A66+1</f>
        <v>38</v>
      </c>
      <c r="B68" s="45" t="s">
        <v>652</v>
      </c>
      <c r="D68" s="172" t="str">
        <f>"(Note "&amp;B$283&amp;")"</f>
        <v>(Note C)</v>
      </c>
      <c r="E68" s="96" t="s">
        <v>8</v>
      </c>
      <c r="F68" s="59"/>
      <c r="G68" s="1302">
        <f>IF(I1=1,'5 - Cost Support 1'!I158,'5 - Cost Support 1'!H158)</f>
        <v>0</v>
      </c>
      <c r="I68" s="52"/>
      <c r="J68" s="974"/>
      <c r="K68" s="52"/>
    </row>
    <row r="69" spans="1:11" ht="15">
      <c r="A69" s="84"/>
      <c r="B69" s="46"/>
      <c r="C69" s="20"/>
      <c r="D69" s="84"/>
      <c r="G69" s="694"/>
      <c r="I69" s="52"/>
      <c r="J69" s="52"/>
      <c r="K69" s="52"/>
    </row>
    <row r="70" spans="1:8" s="52" customFormat="1" ht="15">
      <c r="A70" s="69"/>
      <c r="B70" s="187" t="s">
        <v>27</v>
      </c>
      <c r="C70" s="235"/>
      <c r="D70" s="180"/>
      <c r="E70" s="41"/>
      <c r="F70" s="96"/>
      <c r="G70" s="599"/>
      <c r="H70" s="46"/>
    </row>
    <row r="71" spans="1:11" ht="15">
      <c r="A71" s="84">
        <f>+A68+1</f>
        <v>39</v>
      </c>
      <c r="B71" s="52"/>
      <c r="C71" s="235" t="s">
        <v>29</v>
      </c>
      <c r="D71" s="172" t="s">
        <v>28</v>
      </c>
      <c r="E71" s="96" t="s">
        <v>8</v>
      </c>
      <c r="F71" s="74"/>
      <c r="G71" s="1307">
        <f>-'5 - Cost Support 1'!K257</f>
        <v>-5481006.008931851</v>
      </c>
      <c r="I71" s="755"/>
      <c r="J71" s="52"/>
      <c r="K71" s="52"/>
    </row>
    <row r="72" spans="1:11" ht="15">
      <c r="A72" s="84"/>
      <c r="B72" s="52"/>
      <c r="C72" s="235"/>
      <c r="D72" s="172"/>
      <c r="E72" s="96"/>
      <c r="F72" s="74"/>
      <c r="G72" s="1430"/>
      <c r="I72" s="755"/>
      <c r="J72" s="52"/>
      <c r="K72" s="52"/>
    </row>
    <row r="73" spans="1:11" ht="15">
      <c r="A73" s="69"/>
      <c r="B73" s="827" t="s">
        <v>373</v>
      </c>
      <c r="C73" s="50"/>
      <c r="D73" s="84"/>
      <c r="E73" s="279"/>
      <c r="F73" s="58"/>
      <c r="G73" s="281"/>
      <c r="I73" s="52"/>
      <c r="J73" s="52"/>
      <c r="K73" s="52"/>
    </row>
    <row r="74" spans="1:11" ht="15">
      <c r="A74" s="69">
        <f>+A71+1</f>
        <v>40</v>
      </c>
      <c r="B74" s="828"/>
      <c r="C74" s="134" t="s">
        <v>47</v>
      </c>
      <c r="D74" s="178" t="str">
        <f>"(Note "&amp;B$281&amp;")"</f>
        <v>(Note A)</v>
      </c>
      <c r="E74" s="134" t="s">
        <v>8</v>
      </c>
      <c r="F74" s="133"/>
      <c r="G74" s="1308">
        <f>'5 - Cost Support 1'!K273</f>
        <v>6392864.954520366</v>
      </c>
      <c r="I74" s="755"/>
      <c r="J74" s="52"/>
      <c r="K74" s="52"/>
    </row>
    <row r="75" spans="1:11" ht="15">
      <c r="A75" s="27">
        <f>+A74+1</f>
        <v>41</v>
      </c>
      <c r="B75" s="49"/>
      <c r="C75" s="187" t="s">
        <v>316</v>
      </c>
      <c r="D75" s="154"/>
      <c r="E75" s="41" t="str">
        <f>"(Line "&amp;A74&amp;")"</f>
        <v>(Line 40)</v>
      </c>
      <c r="F75" s="75"/>
      <c r="G75" s="598">
        <f>+G74</f>
        <v>6392864.954520366</v>
      </c>
      <c r="I75" s="52"/>
      <c r="J75" s="52"/>
      <c r="K75" s="52"/>
    </row>
    <row r="76" spans="1:11" ht="15">
      <c r="A76" s="27"/>
      <c r="B76" s="49"/>
      <c r="C76" s="50"/>
      <c r="D76" s="27"/>
      <c r="E76" s="58"/>
      <c r="F76" s="58"/>
      <c r="G76" s="600"/>
      <c r="I76" s="52"/>
      <c r="J76" s="52"/>
      <c r="K76" s="52"/>
    </row>
    <row r="77" spans="1:11" ht="15">
      <c r="A77" s="69"/>
      <c r="B77" s="827" t="s">
        <v>330</v>
      </c>
      <c r="C77" s="52"/>
      <c r="D77" s="143"/>
      <c r="E77" s="133"/>
      <c r="F77" s="58"/>
      <c r="G77" s="600"/>
      <c r="I77" s="52"/>
      <c r="J77" s="52"/>
      <c r="K77" s="52"/>
    </row>
    <row r="78" spans="1:11" ht="15">
      <c r="A78" s="84">
        <f>+A75+1</f>
        <v>42</v>
      </c>
      <c r="B78" s="52"/>
      <c r="C78" s="52" t="s">
        <v>388</v>
      </c>
      <c r="D78" s="172" t="str">
        <f>"(Note "&amp;B$281&amp;")"</f>
        <v>(Note A)</v>
      </c>
      <c r="E78" s="96" t="s">
        <v>8</v>
      </c>
      <c r="G78" s="1308">
        <f>'5 - Cost Support 1'!I280</f>
        <v>890943</v>
      </c>
      <c r="I78" s="755"/>
      <c r="J78" s="52"/>
      <c r="K78" s="52"/>
    </row>
    <row r="79" spans="1:8" s="52" customFormat="1" ht="15">
      <c r="A79" s="69">
        <f>+A78+1</f>
        <v>43</v>
      </c>
      <c r="B79" s="49"/>
      <c r="C79" s="134" t="s">
        <v>426</v>
      </c>
      <c r="D79" s="155"/>
      <c r="E79" s="99" t="str">
        <f>"(Line "&amp;A$12&amp;")"</f>
        <v>(Line 5)</v>
      </c>
      <c r="F79" s="87"/>
      <c r="G79" s="698">
        <f>+G12</f>
        <v>0.20110413825455342</v>
      </c>
      <c r="H79" s="46"/>
    </row>
    <row r="80" spans="1:11" ht="15">
      <c r="A80" s="69">
        <f>+A79+1</f>
        <v>44</v>
      </c>
      <c r="B80" s="49"/>
      <c r="C80" s="50" t="s">
        <v>480</v>
      </c>
      <c r="D80" s="84"/>
      <c r="E80" s="21" t="str">
        <f>"(Line "&amp;A78&amp;" * Line"&amp;A79&amp;")"</f>
        <v>(Line 42 * Line43)</v>
      </c>
      <c r="F80" s="58"/>
      <c r="G80" s="597">
        <f>+G78*G79</f>
        <v>179172.3242489266</v>
      </c>
      <c r="I80" s="52"/>
      <c r="J80" s="52"/>
      <c r="K80" s="52"/>
    </row>
    <row r="81" spans="1:11" ht="15">
      <c r="A81" s="69">
        <f>+A80+1</f>
        <v>45</v>
      </c>
      <c r="B81" s="49"/>
      <c r="C81" s="50" t="s">
        <v>318</v>
      </c>
      <c r="D81" s="69"/>
      <c r="E81" s="134" t="s">
        <v>8</v>
      </c>
      <c r="F81" s="58"/>
      <c r="G81" s="1308">
        <f>'5 - Cost Support 1'!I282</f>
        <v>1858924</v>
      </c>
      <c r="I81" s="755"/>
      <c r="J81" s="52"/>
      <c r="K81" s="52"/>
    </row>
    <row r="82" spans="1:11" ht="18" customHeight="1">
      <c r="A82" s="69">
        <f>+A81+1</f>
        <v>46</v>
      </c>
      <c r="B82" s="49"/>
      <c r="C82" s="832" t="s">
        <v>329</v>
      </c>
      <c r="D82" s="156"/>
      <c r="E82" s="21" t="str">
        <f>"(Line "&amp;A80&amp;" + Line"&amp;A81&amp;")"</f>
        <v>(Line 44 + Line45)</v>
      </c>
      <c r="F82" s="64"/>
      <c r="G82" s="581">
        <f>SUM(G80:G81)</f>
        <v>2038096.3242489267</v>
      </c>
      <c r="I82" s="52"/>
      <c r="J82" s="52"/>
      <c r="K82" s="52"/>
    </row>
    <row r="83" spans="1:11" ht="15">
      <c r="A83" s="69"/>
      <c r="B83" s="49"/>
      <c r="C83" s="50"/>
      <c r="D83" s="27"/>
      <c r="E83" s="58"/>
      <c r="F83" s="58"/>
      <c r="G83" s="132"/>
      <c r="I83" s="52"/>
      <c r="J83" s="52"/>
      <c r="K83" s="52"/>
    </row>
    <row r="84" spans="1:11" ht="15">
      <c r="A84" s="69"/>
      <c r="B84" s="827" t="s">
        <v>374</v>
      </c>
      <c r="C84" s="52"/>
      <c r="E84" s="58"/>
      <c r="F84" s="58"/>
      <c r="G84" s="132"/>
      <c r="I84" s="52"/>
      <c r="J84" s="756"/>
      <c r="K84" s="52"/>
    </row>
    <row r="85" spans="1:11" ht="15">
      <c r="A85" s="69">
        <f>+A82+1</f>
        <v>47</v>
      </c>
      <c r="B85" s="49"/>
      <c r="C85" s="50" t="s">
        <v>439</v>
      </c>
      <c r="E85" s="21" t="str">
        <f>"(Line "&amp;A$126&amp;")"</f>
        <v>(Line 75)</v>
      </c>
      <c r="F85" s="58"/>
      <c r="G85" s="600">
        <f>+G126</f>
        <v>40246718.41198952</v>
      </c>
      <c r="I85" s="756"/>
      <c r="J85" s="974"/>
      <c r="K85" s="52"/>
    </row>
    <row r="86" spans="1:11" ht="15">
      <c r="A86" s="69">
        <f>+A85+1</f>
        <v>48</v>
      </c>
      <c r="B86" s="49"/>
      <c r="C86" s="61" t="s">
        <v>427</v>
      </c>
      <c r="E86" s="86" t="s">
        <v>490</v>
      </c>
      <c r="G86" s="1117">
        <v>0.125</v>
      </c>
      <c r="I86" s="52"/>
      <c r="J86" s="52"/>
      <c r="K86" s="52"/>
    </row>
    <row r="87" spans="1:11" s="65" customFormat="1" ht="15">
      <c r="A87" s="69">
        <f>+A86+1</f>
        <v>49</v>
      </c>
      <c r="B87" s="829"/>
      <c r="C87" s="315" t="s">
        <v>317</v>
      </c>
      <c r="D87" s="157"/>
      <c r="E87" s="21" t="str">
        <f>"(Line "&amp;A85&amp;" * Line "&amp;A86&amp;")"</f>
        <v>(Line 47 * Line 48)</v>
      </c>
      <c r="F87" s="63"/>
      <c r="G87" s="1118">
        <f>+G85*G86</f>
        <v>5030839.80149869</v>
      </c>
      <c r="H87" s="46"/>
      <c r="I87" s="215"/>
      <c r="J87" s="975"/>
      <c r="K87" s="215"/>
    </row>
    <row r="88" spans="1:11" s="65" customFormat="1" ht="15">
      <c r="A88" s="69"/>
      <c r="B88" s="829"/>
      <c r="C88" s="235"/>
      <c r="D88" s="556"/>
      <c r="E88" s="41"/>
      <c r="F88" s="127"/>
      <c r="G88" s="595"/>
      <c r="H88" s="46"/>
      <c r="I88" s="215"/>
      <c r="J88" s="976"/>
      <c r="K88" s="215"/>
    </row>
    <row r="89" spans="1:11" ht="15">
      <c r="A89" s="82"/>
      <c r="B89" s="46"/>
      <c r="C89" s="46"/>
      <c r="G89" s="132"/>
      <c r="I89" s="52"/>
      <c r="J89" s="52"/>
      <c r="K89" s="52"/>
    </row>
    <row r="90" spans="1:11" ht="15.75" thickBot="1">
      <c r="A90" s="82">
        <f>+A87+1</f>
        <v>50</v>
      </c>
      <c r="B90" s="42" t="s">
        <v>434</v>
      </c>
      <c r="C90" s="42"/>
      <c r="D90" s="153"/>
      <c r="E90" s="1129" t="s">
        <v>1204</v>
      </c>
      <c r="F90" s="280"/>
      <c r="G90" s="596">
        <f>G62+G66+G71+G75+G82+G87</f>
        <v>-154491499.02547732</v>
      </c>
      <c r="I90" s="52"/>
      <c r="J90" s="52"/>
      <c r="K90" s="52"/>
    </row>
    <row r="91" spans="1:11" ht="15" thickTop="1">
      <c r="A91" s="82"/>
      <c r="B91" s="46"/>
      <c r="C91" s="46"/>
      <c r="G91" s="132"/>
      <c r="I91" s="52"/>
      <c r="J91" s="52"/>
      <c r="K91" s="52"/>
    </row>
    <row r="92" spans="1:11" s="32" customFormat="1" ht="15.75" thickBot="1">
      <c r="A92" s="27">
        <f>+A90+1</f>
        <v>51</v>
      </c>
      <c r="B92" s="42" t="s">
        <v>423</v>
      </c>
      <c r="C92" s="42"/>
      <c r="D92" s="153"/>
      <c r="E92" s="39" t="str">
        <f>"(Line "&amp;A56&amp;" + Line "&amp;A90&amp;")"</f>
        <v>(Line 33 + Line 50)</v>
      </c>
      <c r="F92" s="42"/>
      <c r="G92" s="589">
        <f>+G56+G90</f>
        <v>725155927.627185</v>
      </c>
      <c r="H92" s="46"/>
      <c r="I92" s="513"/>
      <c r="J92" s="513"/>
      <c r="K92" s="513"/>
    </row>
    <row r="93" spans="2:11" ht="15" thickTop="1">
      <c r="B93" s="46"/>
      <c r="C93" s="46"/>
      <c r="I93" s="52"/>
      <c r="J93" s="52"/>
      <c r="K93" s="52"/>
    </row>
    <row r="94" spans="1:9" s="52" customFormat="1" ht="15">
      <c r="A94" s="839" t="s">
        <v>492</v>
      </c>
      <c r="B94" s="830"/>
      <c r="C94" s="840"/>
      <c r="D94" s="158"/>
      <c r="E94" s="112"/>
      <c r="F94" s="112"/>
      <c r="G94" s="113"/>
      <c r="H94" s="46"/>
      <c r="I94" s="187"/>
    </row>
    <row r="95" spans="1:9" s="52" customFormat="1" ht="15">
      <c r="A95" s="51"/>
      <c r="B95" s="51"/>
      <c r="C95" s="51"/>
      <c r="D95" s="159"/>
      <c r="G95" s="104"/>
      <c r="H95" s="46"/>
      <c r="I95" s="187"/>
    </row>
    <row r="96" spans="1:11" ht="15">
      <c r="A96" s="27"/>
      <c r="B96" s="20" t="s">
        <v>412</v>
      </c>
      <c r="D96" s="84"/>
      <c r="E96" s="736"/>
      <c r="F96" s="5"/>
      <c r="G96" s="691"/>
      <c r="I96" s="187"/>
      <c r="J96" s="52"/>
      <c r="K96" s="52"/>
    </row>
    <row r="97" spans="1:11" ht="15">
      <c r="A97" s="27">
        <f>+A92+1</f>
        <v>52</v>
      </c>
      <c r="B97" s="27"/>
      <c r="C97" s="835" t="s">
        <v>412</v>
      </c>
      <c r="D97" s="84"/>
      <c r="E97" s="736" t="s">
        <v>101</v>
      </c>
      <c r="F97" s="43"/>
      <c r="G97" s="861">
        <v>12922991</v>
      </c>
      <c r="H97" s="52"/>
      <c r="I97" s="903"/>
      <c r="J97" s="52"/>
      <c r="K97" s="52"/>
    </row>
    <row r="98" spans="1:11" ht="15">
      <c r="A98" s="27">
        <f>A97+1</f>
        <v>53</v>
      </c>
      <c r="B98" s="27"/>
      <c r="C98" s="835" t="s">
        <v>493</v>
      </c>
      <c r="D98" s="84"/>
      <c r="E98" s="736" t="s">
        <v>102</v>
      </c>
      <c r="F98" s="51"/>
      <c r="G98" s="861">
        <v>0</v>
      </c>
      <c r="H98" s="52"/>
      <c r="I98" s="52"/>
      <c r="J98" s="52"/>
      <c r="K98" s="52"/>
    </row>
    <row r="99" spans="1:13" ht="15">
      <c r="A99" s="69">
        <f>+A98+1</f>
        <v>54</v>
      </c>
      <c r="B99" s="69"/>
      <c r="C99" s="835" t="s">
        <v>451</v>
      </c>
      <c r="D99" s="172" t="str">
        <f>"(Note "&amp;B$299&amp;")"</f>
        <v>(Note N)</v>
      </c>
      <c r="E99" s="9" t="s">
        <v>568</v>
      </c>
      <c r="F99" s="51"/>
      <c r="G99" s="861">
        <v>0</v>
      </c>
      <c r="H99" s="52"/>
      <c r="I99" s="52"/>
      <c r="J99" s="52"/>
      <c r="K99" s="52"/>
      <c r="L99" s="52"/>
      <c r="M99" s="52"/>
    </row>
    <row r="100" spans="1:13" ht="15">
      <c r="A100" s="69">
        <f>+A99+1</f>
        <v>55</v>
      </c>
      <c r="B100" s="69"/>
      <c r="C100" s="835" t="s">
        <v>684</v>
      </c>
      <c r="D100" s="178" t="s">
        <v>56</v>
      </c>
      <c r="E100" s="101" t="s">
        <v>269</v>
      </c>
      <c r="F100" s="51"/>
      <c r="G100" s="861">
        <v>0</v>
      </c>
      <c r="H100" s="52"/>
      <c r="I100" s="52"/>
      <c r="J100" s="52"/>
      <c r="K100" s="52"/>
      <c r="L100" s="52"/>
      <c r="M100" s="52"/>
    </row>
    <row r="101" spans="1:13" ht="15">
      <c r="A101" s="69">
        <f>+A100+1</f>
        <v>56</v>
      </c>
      <c r="B101" s="51"/>
      <c r="C101" s="37" t="s">
        <v>412</v>
      </c>
      <c r="D101" s="160"/>
      <c r="E101" s="41" t="str">
        <f>"(Lines "&amp;A97&amp;" - "&amp;A98&amp;" + "&amp;A99&amp;" + "&amp;A100&amp;")"</f>
        <v>(Lines 52 - 53 + 54 + 55)</v>
      </c>
      <c r="F101" s="55"/>
      <c r="G101" s="592">
        <f>+G97-G98+G99+G100</f>
        <v>12922991</v>
      </c>
      <c r="H101" s="52"/>
      <c r="I101" s="52"/>
      <c r="J101" s="1421"/>
      <c r="K101" s="52"/>
      <c r="L101" s="52"/>
      <c r="M101" s="52"/>
    </row>
    <row r="102" spans="1:13" ht="15">
      <c r="A102" s="69"/>
      <c r="B102" s="69"/>
      <c r="C102" s="20"/>
      <c r="D102" s="24"/>
      <c r="E102" s="51"/>
      <c r="F102" s="51"/>
      <c r="G102" s="210"/>
      <c r="H102" s="52"/>
      <c r="I102" s="52"/>
      <c r="J102" s="52"/>
      <c r="K102" s="52"/>
      <c r="L102" s="52"/>
      <c r="M102" s="52"/>
    </row>
    <row r="103" spans="1:13" ht="15">
      <c r="A103" s="69"/>
      <c r="B103" s="20" t="s">
        <v>321</v>
      </c>
      <c r="C103" s="51"/>
      <c r="D103" s="24"/>
      <c r="E103" s="51"/>
      <c r="F103" s="51"/>
      <c r="G103" s="210"/>
      <c r="H103" s="52"/>
      <c r="I103" s="52"/>
      <c r="J103" s="52"/>
      <c r="K103" s="52"/>
      <c r="L103" s="52"/>
      <c r="M103" s="52"/>
    </row>
    <row r="104" spans="1:13" ht="15">
      <c r="A104" s="69">
        <f>+A101+1</f>
        <v>57</v>
      </c>
      <c r="B104" s="69"/>
      <c r="C104" s="835" t="s">
        <v>413</v>
      </c>
      <c r="D104" s="172" t="str">
        <f>"(Note "&amp;B$281&amp;")"</f>
        <v>(Note A)</v>
      </c>
      <c r="E104" s="5" t="s">
        <v>303</v>
      </c>
      <c r="F104" s="51"/>
      <c r="G104" s="861">
        <v>0</v>
      </c>
      <c r="H104" s="52"/>
      <c r="I104" s="52"/>
      <c r="J104" s="61"/>
      <c r="K104" s="61"/>
      <c r="L104" s="52"/>
      <c r="M104" s="52"/>
    </row>
    <row r="105" spans="1:13" ht="15">
      <c r="A105" s="69">
        <f aca="true" t="shared" si="1" ref="A105:A113">+A104+1</f>
        <v>58</v>
      </c>
      <c r="B105" s="69"/>
      <c r="C105" s="835" t="s">
        <v>415</v>
      </c>
      <c r="D105" s="84"/>
      <c r="E105" s="5" t="s">
        <v>103</v>
      </c>
      <c r="F105" s="51"/>
      <c r="G105" s="861">
        <v>135683101</v>
      </c>
      <c r="H105" s="52"/>
      <c r="I105" s="52"/>
      <c r="J105" s="903"/>
      <c r="K105" s="52"/>
      <c r="L105" s="52"/>
      <c r="M105" s="52"/>
    </row>
    <row r="106" spans="1:13" ht="15">
      <c r="A106" s="69">
        <f>A105+1</f>
        <v>59</v>
      </c>
      <c r="B106" s="69"/>
      <c r="C106" s="835" t="s">
        <v>263</v>
      </c>
      <c r="D106" s="84"/>
      <c r="E106" s="5" t="s">
        <v>8</v>
      </c>
      <c r="F106" s="51"/>
      <c r="G106" s="1309">
        <f>'5 - Cost Support 1'!E185</f>
        <v>0</v>
      </c>
      <c r="H106" s="52"/>
      <c r="I106" s="52"/>
      <c r="J106" s="52"/>
      <c r="K106" s="52"/>
      <c r="L106" s="52"/>
      <c r="M106" s="52"/>
    </row>
    <row r="107" spans="1:13" ht="15">
      <c r="A107" s="69">
        <f>A106+1</f>
        <v>60</v>
      </c>
      <c r="B107" s="69"/>
      <c r="C107" s="835" t="s">
        <v>495</v>
      </c>
      <c r="D107" s="89"/>
      <c r="E107" s="5" t="s">
        <v>104</v>
      </c>
      <c r="F107" s="28"/>
      <c r="G107" s="861">
        <v>6292226</v>
      </c>
      <c r="H107" s="52"/>
      <c r="I107" s="52"/>
      <c r="J107" s="903"/>
      <c r="K107" s="52"/>
      <c r="L107" s="52"/>
      <c r="M107" s="52"/>
    </row>
    <row r="108" spans="1:13" ht="15">
      <c r="A108" s="69">
        <f t="shared" si="1"/>
        <v>61</v>
      </c>
      <c r="B108" s="69"/>
      <c r="C108" s="835" t="s">
        <v>452</v>
      </c>
      <c r="D108" s="172" t="str">
        <f>"(Note "&amp;B$285&amp;")"</f>
        <v>(Note E)</v>
      </c>
      <c r="E108" s="5" t="s">
        <v>245</v>
      </c>
      <c r="F108" s="28"/>
      <c r="G108" s="861">
        <v>719033</v>
      </c>
      <c r="H108" s="52"/>
      <c r="I108" s="52"/>
      <c r="J108" s="903"/>
      <c r="K108" s="52"/>
      <c r="L108" s="52"/>
      <c r="M108" s="52"/>
    </row>
    <row r="109" spans="1:13" ht="15">
      <c r="A109" s="69">
        <f t="shared" si="1"/>
        <v>62</v>
      </c>
      <c r="B109" s="69"/>
      <c r="C109" s="835" t="s">
        <v>453</v>
      </c>
      <c r="D109" s="89"/>
      <c r="E109" s="5" t="s">
        <v>246</v>
      </c>
      <c r="F109" s="28"/>
      <c r="G109" s="861">
        <v>463623</v>
      </c>
      <c r="H109" s="52"/>
      <c r="I109" s="52"/>
      <c r="J109" s="903"/>
      <c r="K109" s="52"/>
      <c r="L109" s="52"/>
      <c r="M109" s="52"/>
    </row>
    <row r="110" spans="1:13" ht="15">
      <c r="A110" s="69">
        <f>+A109+1</f>
        <v>63</v>
      </c>
      <c r="B110" s="69"/>
      <c r="C110" s="835" t="s">
        <v>485</v>
      </c>
      <c r="D110" s="172" t="str">
        <f>"(Note "&amp;B$284&amp;")"</f>
        <v>(Note D)</v>
      </c>
      <c r="E110" s="101" t="s">
        <v>424</v>
      </c>
      <c r="F110" s="51"/>
      <c r="G110" s="861">
        <v>64105</v>
      </c>
      <c r="H110" s="761"/>
      <c r="I110" s="761"/>
      <c r="J110" s="61"/>
      <c r="K110" s="61"/>
      <c r="L110" s="52"/>
      <c r="M110" s="52"/>
    </row>
    <row r="111" spans="1:11" ht="15">
      <c r="A111" s="69">
        <f t="shared" si="1"/>
        <v>64</v>
      </c>
      <c r="B111" s="69"/>
      <c r="C111" s="37" t="s">
        <v>319</v>
      </c>
      <c r="D111" s="152"/>
      <c r="E111" s="21" t="str">
        <f>"(Lines "&amp;A104&amp;" thru "&amp;A105&amp;") -  Sum (Lines "&amp;A106&amp;" to "&amp;A110&amp;")"</f>
        <v>(Lines 57 thru 58) -  Sum (Lines 59 to 63)</v>
      </c>
      <c r="F111" s="56"/>
      <c r="G111" s="690">
        <f>G104+G105-SUM(G106:G110)</f>
        <v>128144114</v>
      </c>
      <c r="I111" s="52"/>
      <c r="J111" s="52"/>
      <c r="K111" s="52"/>
    </row>
    <row r="112" spans="1:11" ht="15">
      <c r="A112" s="69">
        <f t="shared" si="1"/>
        <v>65</v>
      </c>
      <c r="B112" s="69"/>
      <c r="C112" s="50" t="s">
        <v>426</v>
      </c>
      <c r="E112" s="171" t="str">
        <f>"(Line "&amp;A$12&amp;")"</f>
        <v>(Line 5)</v>
      </c>
      <c r="F112" s="58"/>
      <c r="G112" s="60">
        <f>+G12</f>
        <v>0.20110413825455342</v>
      </c>
      <c r="I112" s="52"/>
      <c r="J112" s="52"/>
      <c r="K112" s="52"/>
    </row>
    <row r="113" spans="1:11" ht="15">
      <c r="A113" s="69">
        <f t="shared" si="1"/>
        <v>66</v>
      </c>
      <c r="B113" s="69"/>
      <c r="C113" s="37" t="s">
        <v>328</v>
      </c>
      <c r="D113" s="147"/>
      <c r="E113" s="21" t="str">
        <f>"(Line "&amp;A111&amp;" * Line "&amp;A112&amp;")"</f>
        <v>(Line 64 * Line 65)</v>
      </c>
      <c r="F113" s="56"/>
      <c r="G113" s="593">
        <f>+G112*G111</f>
        <v>25770311.618363254</v>
      </c>
      <c r="I113" s="52"/>
      <c r="J113" s="756"/>
      <c r="K113" s="52"/>
    </row>
    <row r="114" spans="1:11" ht="15">
      <c r="A114" s="69"/>
      <c r="B114" s="69"/>
      <c r="C114" s="45"/>
      <c r="D114" s="18"/>
      <c r="E114" s="59"/>
      <c r="F114" s="59"/>
      <c r="G114" s="696"/>
      <c r="I114" s="52"/>
      <c r="J114" s="52"/>
      <c r="K114" s="52"/>
    </row>
    <row r="115" spans="1:11" ht="15">
      <c r="A115" s="69"/>
      <c r="B115" s="20" t="s">
        <v>320</v>
      </c>
      <c r="C115" s="52"/>
      <c r="D115" s="18"/>
      <c r="E115" s="59"/>
      <c r="F115" s="59"/>
      <c r="G115" s="696"/>
      <c r="I115" s="52"/>
      <c r="J115" s="52"/>
      <c r="K115" s="52"/>
    </row>
    <row r="116" spans="1:11" ht="15">
      <c r="A116" s="69">
        <f>+A113+1</f>
        <v>67</v>
      </c>
      <c r="B116" s="49"/>
      <c r="C116" s="50" t="s">
        <v>496</v>
      </c>
      <c r="D116" s="172" t="str">
        <f>"(Note "&amp;B$287&amp;")"</f>
        <v>(Note G)</v>
      </c>
      <c r="E116" s="9" t="s">
        <v>8</v>
      </c>
      <c r="F116" s="52"/>
      <c r="G116" s="1310">
        <f>'5 - Cost Support 1'!H197</f>
        <v>0</v>
      </c>
      <c r="I116" s="52"/>
      <c r="J116" s="52"/>
      <c r="K116" s="52"/>
    </row>
    <row r="117" spans="1:11" ht="15">
      <c r="A117" s="27">
        <f>+A116+1</f>
        <v>68</v>
      </c>
      <c r="B117" s="49"/>
      <c r="C117" s="134" t="s">
        <v>497</v>
      </c>
      <c r="D117" s="178" t="str">
        <f>"(Note "&amp;B$296&amp;")"</f>
        <v>(Note K)</v>
      </c>
      <c r="E117" s="134" t="s">
        <v>8</v>
      </c>
      <c r="F117" s="232"/>
      <c r="G117" s="1311">
        <f>'5 - Cost Support 1'!H202</f>
        <v>0</v>
      </c>
      <c r="I117" s="52"/>
      <c r="J117" s="52"/>
      <c r="K117" s="52"/>
    </row>
    <row r="118" spans="1:11" ht="15">
      <c r="A118" s="27">
        <f>+A117+1</f>
        <v>69</v>
      </c>
      <c r="B118" s="49"/>
      <c r="C118" s="50" t="s">
        <v>486</v>
      </c>
      <c r="D118" s="143"/>
      <c r="E118" s="21" t="str">
        <f>"(Line "&amp;A116&amp;" + Line "&amp;A117&amp;")"</f>
        <v>(Line 67 + Line 68)</v>
      </c>
      <c r="F118" s="52"/>
      <c r="G118" s="956">
        <f>+G117+G116</f>
        <v>0</v>
      </c>
      <c r="I118" s="52"/>
      <c r="J118" s="52"/>
      <c r="K118" s="52"/>
    </row>
    <row r="119" spans="1:11" ht="15">
      <c r="A119" s="69"/>
      <c r="B119" s="49"/>
      <c r="C119" s="50"/>
      <c r="D119" s="143"/>
      <c r="E119" s="50"/>
      <c r="F119" s="52"/>
      <c r="G119" s="594"/>
      <c r="I119" s="52"/>
      <c r="J119" s="52"/>
      <c r="K119" s="52"/>
    </row>
    <row r="120" spans="1:11" ht="15">
      <c r="A120" s="27">
        <f>+A118+1</f>
        <v>70</v>
      </c>
      <c r="B120" s="49"/>
      <c r="C120" s="50" t="s">
        <v>498</v>
      </c>
      <c r="E120" s="50" t="str">
        <f>"Line "&amp;A107&amp;""</f>
        <v>Line 60</v>
      </c>
      <c r="F120" s="52"/>
      <c r="G120" s="600">
        <f>G107</f>
        <v>6292226</v>
      </c>
      <c r="I120" s="52"/>
      <c r="J120" s="52"/>
      <c r="K120" s="52"/>
    </row>
    <row r="121" spans="1:11" ht="15">
      <c r="A121" s="27">
        <f>+A120+1</f>
        <v>71</v>
      </c>
      <c r="B121" s="49"/>
      <c r="C121" s="50" t="s">
        <v>497</v>
      </c>
      <c r="D121" s="172" t="str">
        <f>"(Note "&amp;B$286&amp;")"</f>
        <v>(Note F)</v>
      </c>
      <c r="E121" s="134" t="s">
        <v>8</v>
      </c>
      <c r="F121" s="232"/>
      <c r="G121" s="1119">
        <f>G117</f>
        <v>0</v>
      </c>
      <c r="I121" s="52"/>
      <c r="J121" s="52"/>
      <c r="K121" s="52"/>
    </row>
    <row r="122" spans="1:11" ht="15">
      <c r="A122" s="69">
        <f>+A121+1</f>
        <v>72</v>
      </c>
      <c r="B122" s="49"/>
      <c r="C122" s="53" t="s">
        <v>436</v>
      </c>
      <c r="D122" s="150"/>
      <c r="E122" s="21" t="str">
        <f>"(Line "&amp;A120&amp;" + Line "&amp;A121&amp;")"</f>
        <v>(Line 70 + Line 71)</v>
      </c>
      <c r="F122" s="96"/>
      <c r="G122" s="955">
        <f>+G120+G121</f>
        <v>6292226</v>
      </c>
      <c r="I122" s="52"/>
      <c r="J122" s="52"/>
      <c r="K122" s="52"/>
    </row>
    <row r="123" spans="1:11" ht="15">
      <c r="A123" s="27">
        <f>+A122+1</f>
        <v>73</v>
      </c>
      <c r="B123" s="69"/>
      <c r="C123" s="317" t="s">
        <v>386</v>
      </c>
      <c r="D123" s="27"/>
      <c r="E123" s="99" t="str">
        <f>"(Line "&amp;A$23&amp;")"</f>
        <v>(Line 12)</v>
      </c>
      <c r="F123" s="58"/>
      <c r="G123" s="60">
        <f>+G23</f>
        <v>0.24687857582138092</v>
      </c>
      <c r="I123" s="52"/>
      <c r="J123" s="756"/>
      <c r="K123" s="52"/>
    </row>
    <row r="124" spans="1:11" ht="15">
      <c r="A124" s="69">
        <f>+A123+1</f>
        <v>74</v>
      </c>
      <c r="B124" s="69"/>
      <c r="C124" s="37" t="s">
        <v>322</v>
      </c>
      <c r="D124" s="147"/>
      <c r="E124" s="21" t="str">
        <f>"(Line "&amp;A122&amp;" * Line "&amp;A123&amp;")"</f>
        <v>(Line 72 * Line 73)</v>
      </c>
      <c r="F124" s="56"/>
      <c r="G124" s="598">
        <f>+G123*G122</f>
        <v>1553415.7936262644</v>
      </c>
      <c r="I124" s="52"/>
      <c r="J124" s="756"/>
      <c r="K124" s="52"/>
    </row>
    <row r="125" spans="1:11" ht="15">
      <c r="A125" s="27"/>
      <c r="B125" s="27"/>
      <c r="C125" s="20"/>
      <c r="D125" s="17"/>
      <c r="E125" s="28"/>
      <c r="F125" s="28"/>
      <c r="G125" s="696"/>
      <c r="I125" s="52"/>
      <c r="J125" s="974"/>
      <c r="K125" s="52"/>
    </row>
    <row r="126" spans="1:11" ht="15.75" thickBot="1">
      <c r="A126" s="27">
        <f>+A124+1</f>
        <v>75</v>
      </c>
      <c r="B126" s="27"/>
      <c r="C126" s="38" t="s">
        <v>414</v>
      </c>
      <c r="D126" s="161"/>
      <c r="E126" s="40" t="str">
        <f>"(Lines "&amp;A101&amp;" + "&amp;A113&amp;" + "&amp;A118&amp;" + "&amp;A124&amp;")"</f>
        <v>(Lines 56 + 66 + 69 + 74)</v>
      </c>
      <c r="F126" s="107"/>
      <c r="G126" s="585">
        <f>+G101+G113+G118+G124</f>
        <v>40246718.41198952</v>
      </c>
      <c r="I126" s="52"/>
      <c r="J126" s="52"/>
      <c r="K126" s="52"/>
    </row>
    <row r="127" spans="1:11" ht="15.75" thickTop="1">
      <c r="A127" s="48"/>
      <c r="B127" s="27"/>
      <c r="C127" s="20"/>
      <c r="D127" s="17"/>
      <c r="E127" s="28"/>
      <c r="F127" s="28"/>
      <c r="G127" s="36"/>
      <c r="I127" s="52"/>
      <c r="J127" s="52"/>
      <c r="K127" s="52"/>
    </row>
    <row r="128" spans="1:11" ht="15">
      <c r="A128" s="839" t="s">
        <v>408</v>
      </c>
      <c r="B128" s="830"/>
      <c r="C128" s="840"/>
      <c r="D128" s="158"/>
      <c r="E128" s="112"/>
      <c r="F128" s="112"/>
      <c r="G128" s="113"/>
      <c r="I128" s="52"/>
      <c r="J128" s="52"/>
      <c r="K128" s="52"/>
    </row>
    <row r="129" spans="1:11" ht="15">
      <c r="A129" s="20"/>
      <c r="B129" s="27"/>
      <c r="C129" s="20"/>
      <c r="D129" s="17"/>
      <c r="E129" s="28"/>
      <c r="F129" s="28"/>
      <c r="G129" s="636"/>
      <c r="I129" s="52"/>
      <c r="J129" s="52"/>
      <c r="K129" s="52"/>
    </row>
    <row r="130" spans="1:11" ht="15">
      <c r="A130" s="82"/>
      <c r="B130" s="93" t="s">
        <v>408</v>
      </c>
      <c r="C130" s="46"/>
      <c r="E130" s="66"/>
      <c r="F130" s="66"/>
      <c r="G130" s="67"/>
      <c r="I130" s="52"/>
      <c r="J130" s="52"/>
      <c r="K130" s="52"/>
    </row>
    <row r="131" spans="1:11" ht="15">
      <c r="A131" s="27">
        <f>+A126+1</f>
        <v>76</v>
      </c>
      <c r="B131" s="47"/>
      <c r="C131" s="317" t="s">
        <v>300</v>
      </c>
      <c r="D131" s="70"/>
      <c r="E131" s="140" t="s">
        <v>342</v>
      </c>
      <c r="F131" s="74"/>
      <c r="G131" s="1307">
        <f>+'8 - Depreciation Exp'!D14</f>
        <v>28543283.455879003</v>
      </c>
      <c r="I131" s="52"/>
      <c r="J131" s="52"/>
      <c r="K131" s="52"/>
    </row>
    <row r="132" spans="1:11" ht="15">
      <c r="A132" s="82" t="s">
        <v>1071</v>
      </c>
      <c r="B132" s="66"/>
      <c r="C132" s="62" t="s">
        <v>1072</v>
      </c>
      <c r="D132" s="172" t="s">
        <v>1070</v>
      </c>
      <c r="E132" s="140" t="s">
        <v>8</v>
      </c>
      <c r="F132" s="74"/>
      <c r="G132" s="1307">
        <f>'5 - Cost Support 1'!K304</f>
        <v>7595638.5</v>
      </c>
      <c r="I132" s="52"/>
      <c r="J132" s="52"/>
      <c r="K132" s="52"/>
    </row>
    <row r="133" spans="1:11" ht="15">
      <c r="A133" s="27">
        <f>A131+1</f>
        <v>77</v>
      </c>
      <c r="B133" s="47"/>
      <c r="C133" s="134" t="s">
        <v>358</v>
      </c>
      <c r="D133" s="178" t="str">
        <f>"(Note "&amp;B$282&amp;")"</f>
        <v>(Note B)</v>
      </c>
      <c r="E133" s="1420" t="s">
        <v>6</v>
      </c>
      <c r="F133" s="232"/>
      <c r="G133" s="1312">
        <f>IF(I1=1,0,'6- Est &amp; Reconcile WS'!J225)</f>
        <v>771450.8952326821</v>
      </c>
      <c r="I133" s="1629"/>
      <c r="J133" s="52"/>
      <c r="K133" s="52"/>
    </row>
    <row r="134" spans="1:11" ht="15">
      <c r="A134" s="27">
        <f>A133+1</f>
        <v>78</v>
      </c>
      <c r="B134" s="47"/>
      <c r="C134" s="1" t="s">
        <v>1176</v>
      </c>
      <c r="D134" s="27"/>
      <c r="E134" s="62" t="s">
        <v>1175</v>
      </c>
      <c r="G134" s="956">
        <f>G131+G132+G133</f>
        <v>36910372.85111169</v>
      </c>
      <c r="I134" s="52"/>
      <c r="J134" s="52"/>
      <c r="K134" s="52"/>
    </row>
    <row r="135" spans="1:11" ht="15">
      <c r="A135" s="27"/>
      <c r="B135" s="47"/>
      <c r="C135" s="48"/>
      <c r="D135" s="27"/>
      <c r="E135" s="48"/>
      <c r="F135" s="58"/>
      <c r="G135" s="587"/>
      <c r="I135" s="52"/>
      <c r="J135" s="52"/>
      <c r="K135" s="52"/>
    </row>
    <row r="136" spans="1:11" ht="15">
      <c r="A136" s="27">
        <f>+A134+1</f>
        <v>79</v>
      </c>
      <c r="B136" s="47"/>
      <c r="C136" s="317" t="s">
        <v>435</v>
      </c>
      <c r="D136" s="70"/>
      <c r="E136" s="71" t="str">
        <f>+E131</f>
        <v>Attachment 8, Col. (D)</v>
      </c>
      <c r="G136" s="1308">
        <f>+'8 - Depreciation Exp'!D27</f>
        <v>25241530.421099998</v>
      </c>
      <c r="I136" s="52"/>
      <c r="J136" s="52"/>
      <c r="K136" s="52"/>
    </row>
    <row r="137" spans="1:11" ht="15">
      <c r="A137" s="27">
        <f>+A136+1</f>
        <v>80</v>
      </c>
      <c r="B137" s="47"/>
      <c r="C137" s="134" t="s">
        <v>387</v>
      </c>
      <c r="D137" s="178" t="str">
        <f>"(Note "&amp;B$281&amp;")"</f>
        <v>(Note A)</v>
      </c>
      <c r="E137" s="134" t="s">
        <v>694</v>
      </c>
      <c r="F137" s="216"/>
      <c r="G137" s="1313">
        <v>57171606</v>
      </c>
      <c r="H137" s="52"/>
      <c r="I137" s="52"/>
      <c r="J137" s="903"/>
      <c r="K137" s="52"/>
    </row>
    <row r="138" spans="1:11" ht="15">
      <c r="A138" s="27">
        <f>+A137+1</f>
        <v>81</v>
      </c>
      <c r="B138" s="47"/>
      <c r="C138" s="71" t="s">
        <v>436</v>
      </c>
      <c r="D138" s="70"/>
      <c r="E138" s="21" t="str">
        <f>"(Line "&amp;A136&amp;" + Line "&amp;A137&amp;")"</f>
        <v>(Line 79 + Line 80)</v>
      </c>
      <c r="G138" s="600">
        <f>SUM(G136:G137)</f>
        <v>82413136.42109999</v>
      </c>
      <c r="H138" s="52"/>
      <c r="I138" s="52"/>
      <c r="J138" s="52"/>
      <c r="K138" s="52"/>
    </row>
    <row r="139" spans="1:11" ht="15">
      <c r="A139" s="27">
        <f>+A138+1</f>
        <v>82</v>
      </c>
      <c r="B139" s="47"/>
      <c r="C139" s="134" t="s">
        <v>426</v>
      </c>
      <c r="D139" s="162"/>
      <c r="E139" s="171" t="str">
        <f>"(Line "&amp;A$12&amp;")"</f>
        <v>(Line 5)</v>
      </c>
      <c r="F139" s="87"/>
      <c r="G139" s="91">
        <f>+G12</f>
        <v>0.20110413825455342</v>
      </c>
      <c r="H139" s="52"/>
      <c r="I139" s="52"/>
      <c r="J139" s="52"/>
      <c r="K139" s="52"/>
    </row>
    <row r="140" spans="1:11" ht="15">
      <c r="A140" s="27">
        <f>+A139+1</f>
        <v>83</v>
      </c>
      <c r="B140" s="47"/>
      <c r="C140" s="93" t="s">
        <v>390</v>
      </c>
      <c r="D140" s="27"/>
      <c r="E140" s="21" t="str">
        <f>"(Line "&amp;A138&amp;" * Line "&amp;A139&amp;")"</f>
        <v>(Line 81 * Line 82)</v>
      </c>
      <c r="F140" s="58"/>
      <c r="G140" s="957">
        <f>+G138*G139</f>
        <v>16573622.780820265</v>
      </c>
      <c r="H140" s="52"/>
      <c r="I140" s="52"/>
      <c r="J140" s="52"/>
      <c r="K140" s="52"/>
    </row>
    <row r="141" spans="1:11" ht="15">
      <c r="A141" s="69"/>
      <c r="B141" s="49"/>
      <c r="C141" s="50"/>
      <c r="D141" s="69"/>
      <c r="E141" s="50"/>
      <c r="F141" s="58"/>
      <c r="G141" s="590"/>
      <c r="H141" s="52"/>
      <c r="I141" s="52"/>
      <c r="J141" s="52"/>
      <c r="K141" s="52"/>
    </row>
    <row r="142" spans="1:11" ht="15">
      <c r="A142" s="27">
        <f>+A140+1</f>
        <v>84</v>
      </c>
      <c r="B142" s="49"/>
      <c r="C142" s="50" t="s">
        <v>288</v>
      </c>
      <c r="D142" s="172" t="str">
        <f>"(Note "&amp;B$281&amp;")"</f>
        <v>(Note A)</v>
      </c>
      <c r="E142" s="50" t="s">
        <v>455</v>
      </c>
      <c r="G142" s="863">
        <v>0</v>
      </c>
      <c r="H142" s="187"/>
      <c r="I142" s="187"/>
      <c r="J142" s="52"/>
      <c r="K142" s="52"/>
    </row>
    <row r="143" spans="1:11" ht="15">
      <c r="A143" s="69">
        <f>+A142+1</f>
        <v>85</v>
      </c>
      <c r="B143" s="49"/>
      <c r="C143" s="134" t="s">
        <v>389</v>
      </c>
      <c r="D143" s="178" t="str">
        <f>"(Note "&amp;B$281&amp;")"</f>
        <v>(Note A)</v>
      </c>
      <c r="E143" s="134" t="s">
        <v>454</v>
      </c>
      <c r="F143" s="216"/>
      <c r="G143" s="864">
        <v>0</v>
      </c>
      <c r="H143" s="187"/>
      <c r="I143" s="187"/>
      <c r="J143" s="52"/>
      <c r="K143" s="52"/>
    </row>
    <row r="144" spans="1:11" ht="15">
      <c r="A144" s="69">
        <f>+A143+1</f>
        <v>86</v>
      </c>
      <c r="B144" s="49"/>
      <c r="C144" s="50" t="s">
        <v>436</v>
      </c>
      <c r="D144" s="69"/>
      <c r="E144" s="21" t="str">
        <f>"(Line "&amp;A142&amp;" + Line "&amp;A143&amp;")"</f>
        <v>(Line 84 + Line 85)</v>
      </c>
      <c r="G144" s="591">
        <f>+G143+G142</f>
        <v>0</v>
      </c>
      <c r="H144" s="52"/>
      <c r="I144" s="52"/>
      <c r="J144" s="52"/>
      <c r="K144" s="52"/>
    </row>
    <row r="145" spans="1:11" ht="15">
      <c r="A145" s="27">
        <f>+A144+1</f>
        <v>87</v>
      </c>
      <c r="B145" s="49"/>
      <c r="C145" s="134" t="s">
        <v>426</v>
      </c>
      <c r="D145" s="162"/>
      <c r="E145" s="171" t="str">
        <f>"(Line "&amp;A$12&amp;")"</f>
        <v>(Line 5)</v>
      </c>
      <c r="F145" s="87"/>
      <c r="G145" s="91">
        <f>+G12</f>
        <v>0.20110413825455342</v>
      </c>
      <c r="H145" s="52"/>
      <c r="I145" s="52"/>
      <c r="J145" s="52"/>
      <c r="K145" s="52"/>
    </row>
    <row r="146" spans="1:11" ht="15">
      <c r="A146" s="27">
        <f>+A145+1</f>
        <v>88</v>
      </c>
      <c r="B146" s="49"/>
      <c r="C146" s="93" t="s">
        <v>391</v>
      </c>
      <c r="D146" s="69"/>
      <c r="E146" s="21" t="str">
        <f>"(Line "&amp;A144&amp;" * Line "&amp;A145&amp;")"</f>
        <v>(Line 86 * Line 87)</v>
      </c>
      <c r="F146" s="58"/>
      <c r="G146" s="576">
        <f>+G145*G144</f>
        <v>0</v>
      </c>
      <c r="H146" s="52"/>
      <c r="I146" s="52"/>
      <c r="J146" s="52"/>
      <c r="K146" s="52"/>
    </row>
    <row r="147" spans="1:11" ht="15">
      <c r="A147" s="69"/>
      <c r="B147" s="49"/>
      <c r="C147" s="46"/>
      <c r="D147" s="69"/>
      <c r="E147" s="50"/>
      <c r="F147" s="58"/>
      <c r="G147" s="586"/>
      <c r="H147" s="52"/>
      <c r="I147" s="52"/>
      <c r="J147" s="52"/>
      <c r="K147" s="52"/>
    </row>
    <row r="148" spans="1:11" ht="15">
      <c r="A148" s="94"/>
      <c r="B148" s="30"/>
      <c r="C148" s="50"/>
      <c r="D148" s="69"/>
      <c r="E148" s="50"/>
      <c r="F148" s="58"/>
      <c r="G148" s="587"/>
      <c r="H148" s="52"/>
      <c r="I148" s="52"/>
      <c r="J148" s="52"/>
      <c r="K148" s="52"/>
    </row>
    <row r="149" spans="1:11" s="65" customFormat="1" ht="15.75" thickBot="1">
      <c r="A149" s="27">
        <f>+A146+1</f>
        <v>89</v>
      </c>
      <c r="B149" s="831" t="s">
        <v>409</v>
      </c>
      <c r="C149" s="831"/>
      <c r="D149" s="163"/>
      <c r="E149" s="40" t="str">
        <f>"(Lines "&amp;A134&amp;" + "&amp;A140&amp;" + "&amp;A146&amp;")"</f>
        <v>(Lines 78 + 83 + 88)</v>
      </c>
      <c r="F149" s="92"/>
      <c r="G149" s="699">
        <f>+G134+G140+G146</f>
        <v>53483995.63193195</v>
      </c>
      <c r="H149" s="52"/>
      <c r="I149" s="215"/>
      <c r="J149" s="1421"/>
      <c r="K149" s="215"/>
    </row>
    <row r="150" spans="7:11" ht="15" thickTop="1">
      <c r="G150" s="132"/>
      <c r="H150" s="52"/>
      <c r="I150" s="52"/>
      <c r="J150" s="52"/>
      <c r="K150" s="52"/>
    </row>
    <row r="151" spans="1:11" ht="15">
      <c r="A151" s="839" t="s">
        <v>704</v>
      </c>
      <c r="B151" s="830"/>
      <c r="C151" s="840"/>
      <c r="D151" s="227"/>
      <c r="E151" s="112"/>
      <c r="F151" s="112"/>
      <c r="G151" s="588"/>
      <c r="H151" s="52"/>
      <c r="I151" s="52"/>
      <c r="J151" s="52"/>
      <c r="K151" s="52"/>
    </row>
    <row r="152" spans="1:11" ht="15">
      <c r="A152" s="200"/>
      <c r="B152" s="27"/>
      <c r="C152" s="20"/>
      <c r="D152" s="17"/>
      <c r="E152" s="28"/>
      <c r="F152" s="28"/>
      <c r="G152" s="210"/>
      <c r="H152" s="52"/>
      <c r="I152" s="52"/>
      <c r="J152" s="52"/>
      <c r="K152" s="52"/>
    </row>
    <row r="153" spans="1:11" ht="15">
      <c r="A153" s="69">
        <f>+A149+1</f>
        <v>90</v>
      </c>
      <c r="B153" s="827" t="s">
        <v>284</v>
      </c>
      <c r="C153" s="828"/>
      <c r="D153" s="172"/>
      <c r="E153" s="52" t="s">
        <v>669</v>
      </c>
      <c r="F153" s="52"/>
      <c r="G153" s="1314">
        <f>+'2 - Other Tax'!G39</f>
        <v>1795049.7463989356</v>
      </c>
      <c r="H153" s="52"/>
      <c r="I153" s="52"/>
      <c r="J153" s="52"/>
      <c r="K153" s="52"/>
    </row>
    <row r="154" spans="1:11" ht="15">
      <c r="A154" s="84"/>
      <c r="B154" s="51"/>
      <c r="D154" s="27"/>
      <c r="E154" s="48"/>
      <c r="F154" s="52"/>
      <c r="G154" s="132"/>
      <c r="H154" s="52"/>
      <c r="I154" s="52"/>
      <c r="J154" s="52"/>
      <c r="K154" s="52"/>
    </row>
    <row r="155" spans="1:11" ht="15.75" thickBot="1">
      <c r="A155" s="69">
        <f>+A153+1</f>
        <v>91</v>
      </c>
      <c r="B155" s="38" t="s">
        <v>295</v>
      </c>
      <c r="C155" s="38"/>
      <c r="D155" s="153"/>
      <c r="E155" s="40" t="str">
        <f>"(Line "&amp;A153&amp;")"</f>
        <v>(Line 90)</v>
      </c>
      <c r="F155" s="42"/>
      <c r="G155" s="589">
        <f>+G153</f>
        <v>1795049.7463989356</v>
      </c>
      <c r="H155" s="52"/>
      <c r="I155" s="52"/>
      <c r="J155" s="1421"/>
      <c r="K155" s="52"/>
    </row>
    <row r="156" spans="1:11" ht="15" thickTop="1">
      <c r="A156" s="82"/>
      <c r="H156" s="52"/>
      <c r="I156" s="96"/>
      <c r="J156" s="96"/>
      <c r="K156" s="52"/>
    </row>
    <row r="157" spans="1:11" ht="15">
      <c r="A157" s="839" t="s">
        <v>392</v>
      </c>
      <c r="B157" s="830"/>
      <c r="C157" s="840"/>
      <c r="D157" s="158"/>
      <c r="E157" s="112"/>
      <c r="F157" s="112"/>
      <c r="G157" s="113"/>
      <c r="H157" s="52"/>
      <c r="I157" s="96"/>
      <c r="J157" s="96"/>
      <c r="K157" s="52"/>
    </row>
    <row r="158" spans="1:11" ht="15">
      <c r="A158" s="48"/>
      <c r="B158" s="27"/>
      <c r="C158" s="20"/>
      <c r="D158" s="17"/>
      <c r="E158" s="28"/>
      <c r="F158" s="28"/>
      <c r="G158" s="36"/>
      <c r="H158" s="52"/>
      <c r="I158" s="96"/>
      <c r="J158" s="96"/>
      <c r="K158" s="52"/>
    </row>
    <row r="159" spans="1:11" ht="15">
      <c r="A159" s="69"/>
      <c r="B159" s="77" t="s">
        <v>297</v>
      </c>
      <c r="D159" s="18"/>
      <c r="F159" s="21"/>
      <c r="H159" s="52"/>
      <c r="I159" s="96"/>
      <c r="J159" s="96"/>
      <c r="K159" s="52"/>
    </row>
    <row r="160" spans="1:14" ht="15">
      <c r="A160" s="69">
        <f>+A155+1</f>
        <v>92</v>
      </c>
      <c r="B160" s="77"/>
      <c r="C160" s="28" t="s">
        <v>297</v>
      </c>
      <c r="D160" s="172" t="str">
        <f>"(Note "&amp;B303&amp;")"</f>
        <v>(Note Q)</v>
      </c>
      <c r="E160" s="46" t="s">
        <v>8</v>
      </c>
      <c r="F160" s="21"/>
      <c r="G160" s="1315">
        <f>+'5 - Cost Support 1'!F318</f>
        <v>59329170</v>
      </c>
      <c r="H160" s="187"/>
      <c r="I160" s="52"/>
      <c r="J160" s="1540"/>
      <c r="K160" s="1540"/>
      <c r="L160" s="84"/>
      <c r="M160" s="52"/>
      <c r="N160" s="52"/>
    </row>
    <row r="161" spans="1:14" ht="15">
      <c r="A161" s="69">
        <f aca="true" t="shared" si="2" ref="A161:A166">A160+1</f>
        <v>93</v>
      </c>
      <c r="B161" s="77"/>
      <c r="C161" s="28" t="s">
        <v>458</v>
      </c>
      <c r="D161" s="46"/>
      <c r="E161" s="74" t="s">
        <v>685</v>
      </c>
      <c r="F161" s="21"/>
      <c r="G161" s="863">
        <v>477588</v>
      </c>
      <c r="H161" s="52"/>
      <c r="I161" s="96"/>
      <c r="J161" s="903"/>
      <c r="K161" s="52"/>
      <c r="L161" s="52"/>
      <c r="M161" s="52"/>
      <c r="N161" s="52"/>
    </row>
    <row r="162" spans="1:14" ht="15">
      <c r="A162" s="69">
        <f t="shared" si="2"/>
        <v>94</v>
      </c>
      <c r="B162" s="77"/>
      <c r="C162" s="28" t="s">
        <v>459</v>
      </c>
      <c r="D162" s="18"/>
      <c r="E162" s="74" t="s">
        <v>686</v>
      </c>
      <c r="F162" s="21"/>
      <c r="G162" s="863">
        <v>2014029</v>
      </c>
      <c r="H162" s="52"/>
      <c r="I162" s="96"/>
      <c r="J162" s="903"/>
      <c r="K162" s="52"/>
      <c r="L162" s="61"/>
      <c r="M162" s="52"/>
      <c r="N162" s="52"/>
    </row>
    <row r="163" spans="1:15" ht="15">
      <c r="A163" s="69">
        <f t="shared" si="2"/>
        <v>95</v>
      </c>
      <c r="B163" s="77"/>
      <c r="C163" s="59" t="s">
        <v>460</v>
      </c>
      <c r="D163" s="18"/>
      <c r="E163" s="74" t="s">
        <v>687</v>
      </c>
      <c r="F163" s="21"/>
      <c r="G163" s="863">
        <v>0</v>
      </c>
      <c r="H163" s="52"/>
      <c r="I163" s="96"/>
      <c r="J163" s="52"/>
      <c r="K163" s="52"/>
      <c r="L163" s="41"/>
      <c r="M163" s="52"/>
      <c r="N163" s="52"/>
      <c r="O163" s="52"/>
    </row>
    <row r="164" spans="1:15" ht="15">
      <c r="A164" s="69">
        <f t="shared" si="2"/>
        <v>96</v>
      </c>
      <c r="B164" s="77"/>
      <c r="C164" s="28" t="s">
        <v>456</v>
      </c>
      <c r="D164" s="18"/>
      <c r="E164" s="74" t="s">
        <v>688</v>
      </c>
      <c r="F164" s="21"/>
      <c r="G164" s="863">
        <v>0</v>
      </c>
      <c r="H164" s="52"/>
      <c r="I164" s="96"/>
      <c r="J164" s="52"/>
      <c r="K164" s="756"/>
      <c r="L164" s="41"/>
      <c r="M164" s="713"/>
      <c r="N164" s="52"/>
      <c r="O164" s="52"/>
    </row>
    <row r="165" spans="1:15" ht="15">
      <c r="A165" s="69">
        <f t="shared" si="2"/>
        <v>97</v>
      </c>
      <c r="B165" s="366"/>
      <c r="C165" s="216" t="s">
        <v>457</v>
      </c>
      <c r="D165" s="178"/>
      <c r="E165" s="134" t="s">
        <v>277</v>
      </c>
      <c r="F165" s="216"/>
      <c r="G165" s="864">
        <v>1794314</v>
      </c>
      <c r="H165" s="52"/>
      <c r="I165" s="96"/>
      <c r="J165" s="903"/>
      <c r="K165" s="756"/>
      <c r="L165" s="1423"/>
      <c r="M165" s="52"/>
      <c r="N165" s="52"/>
      <c r="O165" s="52"/>
    </row>
    <row r="166" spans="1:13" ht="15">
      <c r="A166" s="69">
        <f t="shared" si="2"/>
        <v>98</v>
      </c>
      <c r="B166" s="46"/>
      <c r="C166" s="1" t="s">
        <v>143</v>
      </c>
      <c r="D166" s="18"/>
      <c r="E166" s="18" t="str">
        <f>"(Sum lines "&amp;A160&amp;" to "&amp;A162&amp;") - Line "&amp;A163&amp;" - Line "&amp;A164&amp;" + Line "&amp;A165&amp;""</f>
        <v>(Sum lines 92 to 94) - Line 95 - Line 96 + Line 97</v>
      </c>
      <c r="F166" s="21"/>
      <c r="G166" s="694">
        <f>SUM(G160:G162)-G164-G163+G165</f>
        <v>63615101</v>
      </c>
      <c r="H166" s="281"/>
      <c r="I166" s="670"/>
      <c r="J166" s="41"/>
      <c r="K166" s="756"/>
      <c r="L166" s="52"/>
      <c r="M166" s="52"/>
    </row>
    <row r="167" spans="1:13" ht="15">
      <c r="A167" s="27"/>
      <c r="B167" s="27"/>
      <c r="C167" s="691"/>
      <c r="D167" s="83"/>
      <c r="E167" s="8"/>
      <c r="F167" s="5"/>
      <c r="G167" s="696"/>
      <c r="H167" s="52"/>
      <c r="I167" s="33"/>
      <c r="J167" s="41"/>
      <c r="K167" s="365"/>
      <c r="L167" s="52"/>
      <c r="M167" s="52"/>
    </row>
    <row r="168" spans="1:13" ht="15">
      <c r="A168" s="27">
        <f>A166+1</f>
        <v>99</v>
      </c>
      <c r="B168" s="11" t="s">
        <v>402</v>
      </c>
      <c r="D168" s="633" t="s">
        <v>682</v>
      </c>
      <c r="E168" s="5" t="s">
        <v>689</v>
      </c>
      <c r="F168" s="5"/>
      <c r="G168" s="863">
        <v>0</v>
      </c>
      <c r="H168" s="52"/>
      <c r="I168" s="96"/>
      <c r="J168" s="903"/>
      <c r="K168" s="52"/>
      <c r="L168" s="52"/>
      <c r="M168" s="52"/>
    </row>
    <row r="169" spans="1:17" ht="15">
      <c r="A169" s="27"/>
      <c r="B169" s="27"/>
      <c r="C169" s="834"/>
      <c r="D169" s="17"/>
      <c r="E169" s="5"/>
      <c r="F169" s="5"/>
      <c r="G169" s="700"/>
      <c r="H169" s="52"/>
      <c r="I169" s="779"/>
      <c r="J169" s="713"/>
      <c r="K169" s="780"/>
      <c r="L169" s="781"/>
      <c r="M169" s="781"/>
      <c r="N169" s="782"/>
      <c r="O169" s="782"/>
      <c r="P169" s="782"/>
      <c r="Q169" s="782"/>
    </row>
    <row r="170" spans="1:13" ht="15">
      <c r="A170" s="27"/>
      <c r="B170" s="12" t="s">
        <v>285</v>
      </c>
      <c r="D170" s="17"/>
      <c r="E170" s="9"/>
      <c r="F170" s="5"/>
      <c r="G170" s="700"/>
      <c r="H170" s="52"/>
      <c r="I170" s="712"/>
      <c r="K170" s="713"/>
      <c r="L170" s="52"/>
      <c r="M170" s="52"/>
    </row>
    <row r="171" spans="1:14" ht="17.25">
      <c r="A171" s="27">
        <f>+A168+1</f>
        <v>100</v>
      </c>
      <c r="B171" s="27"/>
      <c r="C171" s="691" t="s">
        <v>438</v>
      </c>
      <c r="D171" s="17"/>
      <c r="E171" s="5" t="s">
        <v>690</v>
      </c>
      <c r="F171" s="52"/>
      <c r="G171" s="628">
        <f>IF(J189&gt;0.59,((G182+G183)*0.59/0.41+SUM(G172:G174)),J171)</f>
        <v>1711750352</v>
      </c>
      <c r="H171" s="52"/>
      <c r="I171" s="1422"/>
      <c r="J171" s="807">
        <v>1711750352</v>
      </c>
      <c r="K171" s="713"/>
      <c r="L171" s="365"/>
      <c r="M171" s="903"/>
      <c r="N171" s="52"/>
    </row>
    <row r="172" spans="1:14" ht="15">
      <c r="A172" s="27">
        <f>+A171+1</f>
        <v>101</v>
      </c>
      <c r="B172" s="69"/>
      <c r="C172" s="691" t="s">
        <v>660</v>
      </c>
      <c r="D172" s="17"/>
      <c r="E172" s="5" t="s">
        <v>691</v>
      </c>
      <c r="F172" s="5"/>
      <c r="G172" s="862">
        <v>1482317</v>
      </c>
      <c r="H172" s="52"/>
      <c r="I172" s="914"/>
      <c r="J172" s="281">
        <f>G172</f>
        <v>1482317</v>
      </c>
      <c r="K172" s="713"/>
      <c r="L172" s="52"/>
      <c r="M172" s="903"/>
      <c r="N172" s="52"/>
    </row>
    <row r="173" spans="1:14" ht="15">
      <c r="A173" s="27">
        <f>+A172+1</f>
        <v>102</v>
      </c>
      <c r="B173" s="69"/>
      <c r="C173" s="695" t="s">
        <v>394</v>
      </c>
      <c r="D173" s="24"/>
      <c r="E173" s="72" t="str">
        <f>"(Line "&amp;A183&amp;")"</f>
        <v>(Line 110)</v>
      </c>
      <c r="F173" s="5"/>
      <c r="G173" s="603">
        <f>G183</f>
        <v>0</v>
      </c>
      <c r="H173" s="52"/>
      <c r="I173" s="72"/>
      <c r="J173" s="603">
        <f>G173</f>
        <v>0</v>
      </c>
      <c r="K173" s="713"/>
      <c r="L173" s="871"/>
      <c r="M173" s="52"/>
      <c r="N173" s="52"/>
    </row>
    <row r="174" spans="1:14" ht="15">
      <c r="A174" s="27">
        <f>+A173+1</f>
        <v>103</v>
      </c>
      <c r="B174" s="69"/>
      <c r="C174" s="841" t="s">
        <v>393</v>
      </c>
      <c r="D174" s="179"/>
      <c r="E174" s="134" t="s">
        <v>692</v>
      </c>
      <c r="F174" s="99"/>
      <c r="G174" s="865">
        <v>0</v>
      </c>
      <c r="H174" s="52"/>
      <c r="I174" s="712"/>
      <c r="J174" s="809">
        <f>G174</f>
        <v>0</v>
      </c>
      <c r="K174" s="713"/>
      <c r="L174" s="365"/>
      <c r="M174" s="903"/>
      <c r="N174" s="52"/>
    </row>
    <row r="175" spans="1:13" ht="15.75" thickBot="1">
      <c r="A175" s="27">
        <f>+A174+1</f>
        <v>104</v>
      </c>
      <c r="B175" s="69"/>
      <c r="C175" s="116" t="s">
        <v>285</v>
      </c>
      <c r="D175" s="149"/>
      <c r="E175" s="21" t="str">
        <f>"(Line "&amp;A171&amp;"  -  (Sum Lines "&amp;A172&amp;"  to "&amp;A174&amp;"))"</f>
        <v>(Line 100  -  (Sum Lines 101  to 103))</v>
      </c>
      <c r="F175" s="114"/>
      <c r="G175" s="700">
        <f>G171-G172-G173-G174</f>
        <v>1710268035</v>
      </c>
      <c r="H175" s="714"/>
      <c r="I175" s="41"/>
      <c r="J175" s="700">
        <f>J171-J172-J173-J174</f>
        <v>1710268035</v>
      </c>
      <c r="K175" s="713"/>
      <c r="L175" s="871"/>
      <c r="M175" s="52"/>
    </row>
    <row r="176" spans="1:13" ht="15" thickBot="1">
      <c r="A176" s="27"/>
      <c r="B176" s="27"/>
      <c r="C176" s="834"/>
      <c r="D176" s="17"/>
      <c r="E176" s="5"/>
      <c r="F176" s="28"/>
      <c r="G176" s="700"/>
      <c r="H176" s="52"/>
      <c r="I176" s="41"/>
      <c r="J176" s="72"/>
      <c r="K176" s="365"/>
      <c r="L176" s="1630"/>
      <c r="M176" s="52"/>
    </row>
    <row r="177" spans="1:15" ht="15">
      <c r="A177" s="27"/>
      <c r="B177" s="12" t="s">
        <v>395</v>
      </c>
      <c r="D177" s="17"/>
      <c r="E177" s="5"/>
      <c r="F177" s="28"/>
      <c r="G177" s="700"/>
      <c r="H177" s="52"/>
      <c r="I177" s="41"/>
      <c r="J177" s="72"/>
      <c r="K177" s="365"/>
      <c r="L177" s="879"/>
      <c r="M177" s="879"/>
      <c r="N177" s="96"/>
      <c r="O177" s="96"/>
    </row>
    <row r="178" spans="1:15" ht="15">
      <c r="A178" s="27">
        <f>+A175+1</f>
        <v>105</v>
      </c>
      <c r="B178" s="27"/>
      <c r="C178" s="834" t="s">
        <v>298</v>
      </c>
      <c r="D178" s="6"/>
      <c r="E178" s="3"/>
      <c r="F178" s="28"/>
      <c r="G178" s="603"/>
      <c r="H178" s="52"/>
      <c r="I178" s="44"/>
      <c r="J178" s="72"/>
      <c r="K178" s="52"/>
      <c r="L178" s="879"/>
      <c r="M178" s="879"/>
      <c r="N178" s="96"/>
      <c r="O178" s="96"/>
    </row>
    <row r="179" spans="1:15" ht="15">
      <c r="A179" s="69">
        <f>A178+1</f>
        <v>106</v>
      </c>
      <c r="B179" s="69"/>
      <c r="C179" s="835" t="s">
        <v>136</v>
      </c>
      <c r="D179" s="25"/>
      <c r="E179" s="22" t="s">
        <v>8</v>
      </c>
      <c r="F179" s="51"/>
      <c r="G179" s="1303">
        <f>'5 - Cost Support 1'!F319</f>
        <v>1427500000</v>
      </c>
      <c r="H179" s="187"/>
      <c r="I179" s="44"/>
      <c r="J179" s="72"/>
      <c r="K179" s="756"/>
      <c r="L179" s="879"/>
      <c r="M179" s="879"/>
      <c r="N179" s="96"/>
      <c r="O179" s="96"/>
    </row>
    <row r="180" spans="1:15" ht="15">
      <c r="A180" s="27">
        <f>+A179+1</f>
        <v>107</v>
      </c>
      <c r="B180" s="27"/>
      <c r="C180" s="834" t="s">
        <v>461</v>
      </c>
      <c r="D180" s="634" t="s">
        <v>28</v>
      </c>
      <c r="E180" s="72" t="s">
        <v>278</v>
      </c>
      <c r="F180" s="59"/>
      <c r="G180" s="861">
        <v>-13186750</v>
      </c>
      <c r="H180" s="52"/>
      <c r="I180" s="842"/>
      <c r="J180" s="1424"/>
      <c r="K180" s="713"/>
      <c r="L180" s="879"/>
      <c r="M180" s="903"/>
      <c r="N180" s="52"/>
      <c r="O180" s="96"/>
    </row>
    <row r="181" spans="1:15" ht="15">
      <c r="A181" s="27">
        <f>A180+1</f>
        <v>108</v>
      </c>
      <c r="B181" s="27"/>
      <c r="C181" s="837" t="s">
        <v>556</v>
      </c>
      <c r="D181" s="454"/>
      <c r="E181" s="134" t="s">
        <v>279</v>
      </c>
      <c r="F181" s="90"/>
      <c r="G181" s="865">
        <v>0</v>
      </c>
      <c r="H181" s="52"/>
      <c r="I181" s="842"/>
      <c r="J181" s="713"/>
      <c r="K181" s="713"/>
      <c r="L181" s="887"/>
      <c r="M181" s="879"/>
      <c r="N181" s="96"/>
      <c r="O181" s="96"/>
    </row>
    <row r="182" spans="1:14" ht="15">
      <c r="A182" s="27">
        <f>A181+1</f>
        <v>109</v>
      </c>
      <c r="B182" s="69"/>
      <c r="C182" s="842" t="s">
        <v>291</v>
      </c>
      <c r="D182" s="149"/>
      <c r="E182" s="21" t="str">
        <f>"Sum (Lines "&amp;A178&amp;" to Line "&amp;A181&amp;")"</f>
        <v>Sum (Lines 105 to Line 108)</v>
      </c>
      <c r="F182" s="72"/>
      <c r="G182" s="694">
        <f>SUM(G179:G181)</f>
        <v>1414313250</v>
      </c>
      <c r="H182" s="52"/>
      <c r="I182" s="41"/>
      <c r="J182" s="808">
        <f>G182</f>
        <v>1414313250</v>
      </c>
      <c r="K182" s="52"/>
      <c r="L182" s="52"/>
      <c r="M182" s="52"/>
      <c r="N182" s="52"/>
    </row>
    <row r="183" spans="1:14" ht="15">
      <c r="A183" s="27">
        <f>+A182+1</f>
        <v>110</v>
      </c>
      <c r="B183" s="27"/>
      <c r="C183" s="834" t="s">
        <v>309</v>
      </c>
      <c r="D183" s="6"/>
      <c r="E183" s="72" t="s">
        <v>693</v>
      </c>
      <c r="F183" s="28"/>
      <c r="G183" s="861">
        <v>0</v>
      </c>
      <c r="H183" s="52"/>
      <c r="I183" s="52"/>
      <c r="J183" s="713">
        <f>G183</f>
        <v>0</v>
      </c>
      <c r="K183" s="842"/>
      <c r="L183" s="52"/>
      <c r="M183" s="903"/>
      <c r="N183" s="52"/>
    </row>
    <row r="184" spans="1:13" ht="15">
      <c r="A184" s="27">
        <f>+A183+1</f>
        <v>111</v>
      </c>
      <c r="B184" s="27"/>
      <c r="C184" s="834" t="s">
        <v>285</v>
      </c>
      <c r="E184" s="99" t="str">
        <f>"(Line "&amp;A175&amp;")"</f>
        <v>(Line 104)</v>
      </c>
      <c r="F184" s="28"/>
      <c r="G184" s="696">
        <f>G175</f>
        <v>1710268035</v>
      </c>
      <c r="H184" s="52"/>
      <c r="I184" s="41"/>
      <c r="J184" s="808">
        <f>J175</f>
        <v>1710268035</v>
      </c>
      <c r="K184" s="52"/>
      <c r="L184" s="52"/>
      <c r="M184" s="52"/>
    </row>
    <row r="185" spans="1:17" ht="15">
      <c r="A185" s="27">
        <f>+A184+1</f>
        <v>112</v>
      </c>
      <c r="B185" s="27"/>
      <c r="C185" s="37" t="s">
        <v>290</v>
      </c>
      <c r="D185" s="150"/>
      <c r="E185" s="21" t="str">
        <f>"(Sum Lines "&amp;A182&amp;" to "&amp;A184&amp;")"</f>
        <v>(Sum Lines 109 to 111)</v>
      </c>
      <c r="F185" s="31"/>
      <c r="G185" s="690">
        <f>G184+G183+G182</f>
        <v>3124581285</v>
      </c>
      <c r="H185" s="52"/>
      <c r="I185" s="41"/>
      <c r="J185" s="690">
        <f>SUM(J182:J184)</f>
        <v>3124581285</v>
      </c>
      <c r="K185" s="780"/>
      <c r="L185" s="781"/>
      <c r="M185" s="781"/>
      <c r="N185" s="782"/>
      <c r="O185" s="782"/>
      <c r="P185" s="782"/>
      <c r="Q185" s="782"/>
    </row>
    <row r="186" spans="1:13" ht="15">
      <c r="A186" s="27"/>
      <c r="B186" s="27"/>
      <c r="C186" s="834"/>
      <c r="F186" s="5"/>
      <c r="G186" s="238"/>
      <c r="H186" s="52"/>
      <c r="I186" s="96"/>
      <c r="J186" s="41"/>
      <c r="K186" s="52"/>
      <c r="L186" s="52"/>
      <c r="M186" s="52"/>
    </row>
    <row r="187" spans="1:13" ht="15">
      <c r="A187" s="69">
        <f>+A185+1</f>
        <v>113</v>
      </c>
      <c r="B187" s="27"/>
      <c r="C187" s="71" t="s">
        <v>500</v>
      </c>
      <c r="D187" s="84"/>
      <c r="E187" s="21" t="str">
        <f>"(Line "&amp;A182&amp;" / Line "&amp;A185&amp;")"</f>
        <v>(Line 109 / Line 112)</v>
      </c>
      <c r="F187" s="5"/>
      <c r="G187" s="744">
        <f>IF(G185=0,0,G182/G185)</f>
        <v>0.4526408888095225</v>
      </c>
      <c r="H187" s="187"/>
      <c r="I187" s="41"/>
      <c r="J187" s="744">
        <f>J182/J185</f>
        <v>0.4526408888095225</v>
      </c>
      <c r="K187" s="803"/>
      <c r="L187" s="744"/>
      <c r="M187" s="52"/>
    </row>
    <row r="188" spans="1:13" ht="15">
      <c r="A188" s="69">
        <f>+A187+1</f>
        <v>114</v>
      </c>
      <c r="B188" s="27"/>
      <c r="C188" s="71" t="s">
        <v>507</v>
      </c>
      <c r="D188" s="84"/>
      <c r="E188" s="21" t="str">
        <f>"(Line "&amp;A183&amp;" / Line "&amp;A185&amp;")"</f>
        <v>(Line 110 / Line 112)</v>
      </c>
      <c r="F188" s="5"/>
      <c r="G188" s="745">
        <f>IF(G185=0,0,G183/G185)</f>
        <v>0</v>
      </c>
      <c r="H188" s="187"/>
      <c r="I188" s="41"/>
      <c r="J188" s="744">
        <f>J183/J185</f>
        <v>0</v>
      </c>
      <c r="K188" s="52"/>
      <c r="L188" s="744"/>
      <c r="M188" s="52"/>
    </row>
    <row r="189" spans="1:13" ht="15">
      <c r="A189" s="69">
        <f>+A188+1</f>
        <v>115</v>
      </c>
      <c r="B189" s="27"/>
      <c r="C189" s="71" t="s">
        <v>501</v>
      </c>
      <c r="D189" s="511" t="str">
        <f>"(Note "&amp;B300&amp;")"</f>
        <v>(Note O)</v>
      </c>
      <c r="E189" s="21" t="str">
        <f>"(Line "&amp;A184&amp;" / Line "&amp;A185&amp;")"</f>
        <v>(Line 111 / Line 112)</v>
      </c>
      <c r="F189" s="5"/>
      <c r="G189" s="744">
        <f>(IF(G184/G185&gt;0.59,0.59,IF(G185=0,0,G184/G185)))*0+G184/G185</f>
        <v>0.5473591111904775</v>
      </c>
      <c r="H189" s="187"/>
      <c r="I189" s="722"/>
      <c r="J189" s="764">
        <f>J184/J185</f>
        <v>0.5473591111904775</v>
      </c>
      <c r="K189" s="52"/>
      <c r="L189" s="744"/>
      <c r="M189" s="52"/>
    </row>
    <row r="190" spans="1:13" ht="15">
      <c r="A190" s="69"/>
      <c r="B190" s="27"/>
      <c r="C190" s="843"/>
      <c r="E190" s="5"/>
      <c r="F190" s="5"/>
      <c r="G190" s="701"/>
      <c r="H190" s="187"/>
      <c r="I190" s="187"/>
      <c r="J190" s="744">
        <f>SUM(J187:J189)</f>
        <v>1</v>
      </c>
      <c r="K190" s="52"/>
      <c r="L190" s="52"/>
      <c r="M190" s="52"/>
    </row>
    <row r="191" spans="1:13" ht="15.75" thickBot="1">
      <c r="A191" s="69">
        <f>+A189+1</f>
        <v>116</v>
      </c>
      <c r="B191" s="69"/>
      <c r="C191" s="870" t="s">
        <v>502</v>
      </c>
      <c r="D191" s="84"/>
      <c r="E191" s="41" t="str">
        <f>"(Line "&amp;A166&amp;" / Line "&amp;A182&amp;")"</f>
        <v>(Line 98 / Line 109)</v>
      </c>
      <c r="F191" s="9"/>
      <c r="G191" s="871">
        <f>IF(G182&gt;0,G166/G182,0)</f>
        <v>0.044979498707234764</v>
      </c>
      <c r="H191" s="187"/>
      <c r="I191" s="187"/>
      <c r="K191" s="52"/>
      <c r="L191" s="52"/>
      <c r="M191" s="52"/>
    </row>
    <row r="192" spans="1:13" ht="15.75" thickBot="1">
      <c r="A192" s="69">
        <f>+A191+1</f>
        <v>117</v>
      </c>
      <c r="B192" s="27"/>
      <c r="C192" s="843" t="s">
        <v>508</v>
      </c>
      <c r="E192" s="21" t="str">
        <f>"(Line "&amp;A168&amp;" / Line "&amp;A183&amp;")"</f>
        <v>(Line 99 / Line 110)</v>
      </c>
      <c r="F192" s="5"/>
      <c r="G192" s="583">
        <f>IF(G183&gt;0,G168/G183,0)</f>
        <v>0</v>
      </c>
      <c r="H192" s="52"/>
      <c r="I192" s="187"/>
      <c r="J192" s="763">
        <f>G187+G188+G189</f>
        <v>1</v>
      </c>
      <c r="K192" s="758"/>
      <c r="L192" s="52"/>
      <c r="M192" s="52"/>
    </row>
    <row r="193" spans="1:9" ht="15">
      <c r="A193" s="69">
        <f>+A192+1</f>
        <v>118</v>
      </c>
      <c r="B193" s="27"/>
      <c r="C193" s="843" t="s">
        <v>503</v>
      </c>
      <c r="D193" s="172" t="str">
        <f>"(Note "&amp;B$295&amp;")"</f>
        <v>(Note J)</v>
      </c>
      <c r="E193" s="21" t="s">
        <v>113</v>
      </c>
      <c r="F193" s="5"/>
      <c r="G193" s="747">
        <v>0.114</v>
      </c>
      <c r="H193" s="52"/>
      <c r="I193" s="187"/>
    </row>
    <row r="194" spans="1:11" ht="15">
      <c r="A194" s="69"/>
      <c r="B194" s="27"/>
      <c r="C194" s="843"/>
      <c r="E194" s="5"/>
      <c r="F194" s="5"/>
      <c r="G194" s="583"/>
      <c r="H194" s="52"/>
      <c r="I194" s="187"/>
      <c r="K194" s="265"/>
    </row>
    <row r="195" spans="1:11" ht="15">
      <c r="A195" s="69">
        <f>+A193+1</f>
        <v>119</v>
      </c>
      <c r="B195" s="27"/>
      <c r="C195" s="71" t="s">
        <v>504</v>
      </c>
      <c r="E195" s="21" t="str">
        <f>"(Line "&amp;A187&amp;" * Line "&amp;A191&amp;")"</f>
        <v>(Line 113 * Line 116)</v>
      </c>
      <c r="F195" s="26"/>
      <c r="G195" s="583">
        <f>G191*G187</f>
        <v>0.020359560273049512</v>
      </c>
      <c r="H195" s="52"/>
      <c r="I195" s="187"/>
      <c r="K195" s="265"/>
    </row>
    <row r="196" spans="1:9" ht="15">
      <c r="A196" s="69">
        <f>+A195+1</f>
        <v>120</v>
      </c>
      <c r="B196" s="27"/>
      <c r="C196" s="71" t="s">
        <v>509</v>
      </c>
      <c r="E196" s="21" t="str">
        <f>"(Line "&amp;A188&amp;" * Line "&amp;A192&amp;")"</f>
        <v>(Line 114 * Line 117)</v>
      </c>
      <c r="F196" s="66"/>
      <c r="G196" s="583">
        <f>G192*G188</f>
        <v>0</v>
      </c>
      <c r="H196" s="52"/>
      <c r="I196" s="52"/>
    </row>
    <row r="197" spans="1:11" ht="15">
      <c r="A197" s="69">
        <f>+A196+1</f>
        <v>121</v>
      </c>
      <c r="B197" s="142"/>
      <c r="C197" s="86" t="s">
        <v>505</v>
      </c>
      <c r="D197" s="162"/>
      <c r="E197" s="99" t="str">
        <f>"(Line "&amp;A189&amp;" * Line "&amp;A193&amp;")"</f>
        <v>(Line 115 * Line 118)</v>
      </c>
      <c r="F197" s="100"/>
      <c r="G197" s="702">
        <f>G193*G189</f>
        <v>0.062398938675714444</v>
      </c>
      <c r="H197" s="52"/>
      <c r="I197" s="52"/>
      <c r="K197" s="756"/>
    </row>
    <row r="198" spans="1:11" ht="15">
      <c r="A198" s="27">
        <f>+A197+1</f>
        <v>122</v>
      </c>
      <c r="B198" s="76" t="s">
        <v>292</v>
      </c>
      <c r="C198" s="76"/>
      <c r="D198" s="164"/>
      <c r="E198" s="21" t="str">
        <f>"(Sum Lines "&amp;A195&amp;" to "&amp;A197&amp;")"</f>
        <v>(Sum Lines 119 to 121)</v>
      </c>
      <c r="F198" s="78"/>
      <c r="G198" s="584">
        <f>SUM(G195:G197)</f>
        <v>0.08275849894876396</v>
      </c>
      <c r="H198" s="52"/>
      <c r="I198" s="915"/>
      <c r="K198" s="52"/>
    </row>
    <row r="199" spans="1:11" ht="15">
      <c r="A199" s="10"/>
      <c r="B199" s="10"/>
      <c r="C199" s="76"/>
      <c r="D199" s="164"/>
      <c r="E199" s="77"/>
      <c r="F199" s="78"/>
      <c r="G199" s="68"/>
      <c r="H199" s="52"/>
      <c r="I199" s="52"/>
      <c r="K199" s="52"/>
    </row>
    <row r="200" spans="1:11" ht="15.75" thickBot="1">
      <c r="A200" s="27">
        <f>+A198+1</f>
        <v>123</v>
      </c>
      <c r="B200" s="102" t="s">
        <v>400</v>
      </c>
      <c r="C200" s="98"/>
      <c r="D200" s="165"/>
      <c r="E200" s="40" t="str">
        <f>"(Line "&amp;A92&amp;" * Line "&amp;A198&amp;")"</f>
        <v>(Line 51 * Line 122)</v>
      </c>
      <c r="F200" s="103"/>
      <c r="G200" s="585">
        <f>+G92*G198</f>
        <v>60012816.07422434</v>
      </c>
      <c r="H200" s="281"/>
      <c r="I200" s="52"/>
      <c r="K200" s="281"/>
    </row>
    <row r="201" spans="1:9" ht="15" thickTop="1">
      <c r="A201" s="27"/>
      <c r="B201" s="27"/>
      <c r="C201" s="834"/>
      <c r="E201" s="5"/>
      <c r="F201" s="5"/>
      <c r="G201" s="703"/>
      <c r="H201" s="52"/>
      <c r="I201" s="52"/>
    </row>
    <row r="202" spans="1:9" ht="15">
      <c r="A202" s="839" t="s">
        <v>592</v>
      </c>
      <c r="B202" s="830"/>
      <c r="C202" s="840"/>
      <c r="D202" s="227"/>
      <c r="E202" s="112"/>
      <c r="F202" s="112"/>
      <c r="G202" s="113"/>
      <c r="H202" s="52"/>
      <c r="I202" s="52"/>
    </row>
    <row r="203" spans="1:9" ht="15">
      <c r="A203" s="50"/>
      <c r="B203" s="27"/>
      <c r="C203" s="20"/>
      <c r="D203" s="17"/>
      <c r="E203" s="28"/>
      <c r="F203" s="28"/>
      <c r="G203" s="36"/>
      <c r="H203" s="52"/>
      <c r="I203" s="52"/>
    </row>
    <row r="204" spans="1:9" ht="15">
      <c r="A204" s="27" t="s">
        <v>304</v>
      </c>
      <c r="B204" s="118" t="s">
        <v>401</v>
      </c>
      <c r="D204" s="17"/>
      <c r="E204" s="5"/>
      <c r="F204" s="15"/>
      <c r="G204" s="28"/>
      <c r="H204" s="52"/>
      <c r="I204" s="52"/>
    </row>
    <row r="205" spans="1:9" ht="15">
      <c r="A205" s="27">
        <f>+A200+1</f>
        <v>124</v>
      </c>
      <c r="B205" s="27"/>
      <c r="C205" s="28" t="s">
        <v>399</v>
      </c>
      <c r="D205" s="172" t="str">
        <f>"(Note "&amp;B$289&amp;")"</f>
        <v>(Note I)</v>
      </c>
      <c r="E205" s="28"/>
      <c r="F205" s="29"/>
      <c r="G205" s="746">
        <v>0.21</v>
      </c>
      <c r="H205" s="52"/>
      <c r="I205" s="52"/>
    </row>
    <row r="206" spans="1:7" ht="15">
      <c r="A206" s="27">
        <f>+A205+1</f>
        <v>125</v>
      </c>
      <c r="B206" s="27"/>
      <c r="C206" s="844" t="s">
        <v>398</v>
      </c>
      <c r="D206" s="172"/>
      <c r="E206" s="28"/>
      <c r="F206" s="29"/>
      <c r="G206" s="746">
        <v>0.0899</v>
      </c>
    </row>
    <row r="207" spans="1:7" ht="15">
      <c r="A207" s="27">
        <f>+A206+1</f>
        <v>126</v>
      </c>
      <c r="B207" s="27"/>
      <c r="C207" s="844" t="s">
        <v>175</v>
      </c>
      <c r="E207" s="28" t="s">
        <v>567</v>
      </c>
      <c r="F207" s="29"/>
      <c r="G207" s="746">
        <v>0</v>
      </c>
    </row>
    <row r="208" spans="1:11" ht="15">
      <c r="A208" s="27">
        <f>+A207+1</f>
        <v>127</v>
      </c>
      <c r="B208" s="27"/>
      <c r="C208" s="844" t="s">
        <v>176</v>
      </c>
      <c r="E208" s="28"/>
      <c r="F208" s="29"/>
      <c r="G208" s="698">
        <f>IF(G205&gt;0,1-(((1-G206)*(1-G205))/(1-G206*G205*G207)),0)</f>
        <v>0.28102099999999997</v>
      </c>
      <c r="K208" s="693"/>
    </row>
    <row r="209" spans="1:11" ht="15">
      <c r="A209" s="27">
        <f>+A208+1</f>
        <v>128</v>
      </c>
      <c r="B209" s="27"/>
      <c r="C209" s="844" t="s">
        <v>487</v>
      </c>
      <c r="E209" s="28"/>
      <c r="F209" s="29"/>
      <c r="G209" s="641">
        <f>+G208/(1-G208)</f>
        <v>0.39086120735097957</v>
      </c>
      <c r="K209" s="945"/>
    </row>
    <row r="210" spans="1:11" ht="15">
      <c r="A210" s="27"/>
      <c r="B210" s="27"/>
      <c r="D210" s="13"/>
      <c r="E210" s="14"/>
      <c r="F210" s="15"/>
      <c r="G210" s="704"/>
      <c r="H210" s="52"/>
      <c r="I210" s="52"/>
      <c r="J210" s="52"/>
      <c r="K210" s="52"/>
    </row>
    <row r="211" spans="1:11" ht="15">
      <c r="A211" s="27"/>
      <c r="B211" s="118" t="s">
        <v>396</v>
      </c>
      <c r="C211" s="834"/>
      <c r="D211" s="172" t="str">
        <f>"(Note "&amp;B$289&amp;")"</f>
        <v>(Note I)</v>
      </c>
      <c r="E211" s="5"/>
      <c r="F211" s="15"/>
      <c r="G211" s="705"/>
      <c r="H211" s="52"/>
      <c r="I211" s="52"/>
      <c r="J211" s="52"/>
      <c r="K211" s="52"/>
    </row>
    <row r="212" spans="1:11" ht="15">
      <c r="A212" s="27">
        <f>+A209+1</f>
        <v>129</v>
      </c>
      <c r="B212" s="27"/>
      <c r="C212" s="835" t="s">
        <v>440</v>
      </c>
      <c r="D212" s="635" t="s">
        <v>28</v>
      </c>
      <c r="E212" s="4" t="s">
        <v>7</v>
      </c>
      <c r="F212" s="15"/>
      <c r="G212" s="1303">
        <f>-'1 - ADIT'!D113</f>
        <v>0</v>
      </c>
      <c r="H212" s="52"/>
      <c r="I212" s="52"/>
      <c r="J212" s="52"/>
      <c r="K212" s="52"/>
    </row>
    <row r="213" spans="1:11" ht="15">
      <c r="A213" s="27">
        <f>+A212+1</f>
        <v>130</v>
      </c>
      <c r="B213" s="27"/>
      <c r="C213" s="834" t="s">
        <v>747</v>
      </c>
      <c r="D213" s="6"/>
      <c r="E213" s="21" t="str">
        <f>"1 / (1 - Line "&amp;A208&amp;")"</f>
        <v>1 / (1 - Line 127)</v>
      </c>
      <c r="F213" s="15"/>
      <c r="G213" s="693">
        <f>1/(1-G208)</f>
        <v>1.3908612073509796</v>
      </c>
      <c r="H213" s="714"/>
      <c r="I213" s="52"/>
      <c r="J213" s="952"/>
      <c r="K213" s="761"/>
    </row>
    <row r="214" spans="1:7" s="74" customFormat="1" ht="15">
      <c r="A214" s="27">
        <f>+A213+1</f>
        <v>131</v>
      </c>
      <c r="B214" s="70"/>
      <c r="C214" s="134" t="s">
        <v>386</v>
      </c>
      <c r="D214" s="142"/>
      <c r="E214" s="99" t="str">
        <f>"(Line "&amp;A$23&amp;")"</f>
        <v>(Line 12)</v>
      </c>
      <c r="F214" s="73"/>
      <c r="G214" s="115">
        <f>+G23</f>
        <v>0.24687857582138092</v>
      </c>
    </row>
    <row r="215" spans="1:13" ht="15">
      <c r="A215" s="27">
        <f>+A214+1</f>
        <v>132</v>
      </c>
      <c r="B215" s="27"/>
      <c r="C215" s="122" t="s">
        <v>397</v>
      </c>
      <c r="D215" s="172"/>
      <c r="E215" s="21" t="str">
        <f>"(Line "&amp;A212&amp;" * (1 + Line "&amp;A213&amp;") * Line "&amp;A214&amp;")"</f>
        <v>(Line 129 * (1 + Line 130) * Line 131)</v>
      </c>
      <c r="F215" s="75"/>
      <c r="G215" s="582">
        <f>+G212*(1+G213)*G214</f>
        <v>0</v>
      </c>
      <c r="H215" s="187"/>
      <c r="I215" s="1"/>
      <c r="J215" s="1"/>
      <c r="K215" s="62"/>
      <c r="M215" s="924"/>
    </row>
    <row r="216" spans="1:11" ht="15">
      <c r="A216" s="27"/>
      <c r="B216" s="27"/>
      <c r="C216" s="138"/>
      <c r="D216" s="192"/>
      <c r="E216" s="189"/>
      <c r="F216" s="73"/>
      <c r="G216" s="190"/>
      <c r="H216" s="1"/>
      <c r="I216" s="1"/>
      <c r="J216" s="1"/>
      <c r="K216" s="1"/>
    </row>
    <row r="217" spans="1:11" ht="15">
      <c r="A217" s="61"/>
      <c r="B217" s="118" t="s">
        <v>821</v>
      </c>
      <c r="C217" s="118"/>
      <c r="D217" s="925"/>
      <c r="E217" s="189"/>
      <c r="F217" s="73"/>
      <c r="G217" s="191"/>
      <c r="H217" s="1"/>
      <c r="I217" s="1"/>
      <c r="J217" s="1"/>
      <c r="K217" s="1"/>
    </row>
    <row r="218" spans="1:11" ht="15">
      <c r="A218" s="84" t="s">
        <v>822</v>
      </c>
      <c r="B218" s="82"/>
      <c r="C218" s="28" t="s">
        <v>821</v>
      </c>
      <c r="D218" s="172" t="str">
        <f>"(Note "&amp;B$305&amp;")"</f>
        <v>(Note S)</v>
      </c>
      <c r="E218" s="926" t="s">
        <v>8</v>
      </c>
      <c r="F218" s="17"/>
      <c r="G218" s="1316">
        <f>'5 - Cost Support 1'!G313</f>
        <v>-1914045</v>
      </c>
      <c r="H218" s="187"/>
      <c r="I218" s="187"/>
      <c r="J218" s="973"/>
      <c r="K218" s="187"/>
    </row>
    <row r="219" spans="1:11" ht="15">
      <c r="A219" s="82"/>
      <c r="B219" s="82"/>
      <c r="C219" s="927"/>
      <c r="D219" s="180"/>
      <c r="E219" s="73"/>
      <c r="F219" s="73"/>
      <c r="G219" s="928"/>
      <c r="H219" s="1"/>
      <c r="I219" s="1"/>
      <c r="J219" s="1"/>
      <c r="K219" s="1"/>
    </row>
    <row r="220" spans="1:11" ht="15">
      <c r="A220" s="27">
        <f>+A215+1</f>
        <v>133</v>
      </c>
      <c r="B220" s="1" t="s">
        <v>782</v>
      </c>
      <c r="C220" s="46"/>
      <c r="D220" s="180"/>
      <c r="E220" s="929" t="str">
        <f>"[Line "&amp;A209&amp;" * Line "&amp;+A200&amp;" * (1 - (Line "&amp;A195&amp;" / Line "&amp;A198&amp;"))]"</f>
        <v>[Line 128 * Line 123 * (1 - (Line 119 / Line 122))]</v>
      </c>
      <c r="F220" s="73"/>
      <c r="G220" s="132">
        <f>IF(G198=0,0,G209*G200*(1-(G195/G198)))</f>
        <v>17686063.23795108</v>
      </c>
      <c r="H220" s="187"/>
      <c r="I220" s="1"/>
      <c r="J220" s="973"/>
      <c r="K220" s="1"/>
    </row>
    <row r="221" spans="1:11" ht="15">
      <c r="A221" s="82"/>
      <c r="B221" s="82"/>
      <c r="C221" s="927"/>
      <c r="D221" s="180"/>
      <c r="E221" s="73"/>
      <c r="F221" s="73"/>
      <c r="G221" s="928"/>
      <c r="H221" s="1"/>
      <c r="I221" s="1"/>
      <c r="J221" s="1"/>
      <c r="K221" s="1"/>
    </row>
    <row r="222" spans="1:11" ht="15.75" thickBot="1">
      <c r="A222" s="82">
        <f>A220+1</f>
        <v>134</v>
      </c>
      <c r="B222" s="102" t="s">
        <v>281</v>
      </c>
      <c r="C222" s="102"/>
      <c r="D222" s="153"/>
      <c r="E222" s="308" t="s">
        <v>877</v>
      </c>
      <c r="F222" s="117"/>
      <c r="G222" s="141">
        <f>+G220+G218+G215</f>
        <v>15772018.237951081</v>
      </c>
      <c r="H222" s="132"/>
      <c r="J222" s="756"/>
      <c r="K222" s="761"/>
    </row>
    <row r="223" spans="1:7" ht="15" thickTop="1">
      <c r="A223" s="27"/>
      <c r="B223" s="27"/>
      <c r="C223" s="845"/>
      <c r="E223" s="16"/>
      <c r="F223" s="7"/>
      <c r="G223" s="706"/>
    </row>
    <row r="224" spans="1:7" ht="15">
      <c r="A224" s="839" t="s">
        <v>293</v>
      </c>
      <c r="B224" s="830"/>
      <c r="C224" s="840"/>
      <c r="D224" s="158"/>
      <c r="E224" s="112"/>
      <c r="F224" s="112"/>
      <c r="G224" s="113"/>
    </row>
    <row r="225" spans="1:3" ht="15">
      <c r="A225" s="82"/>
      <c r="B225" s="46"/>
      <c r="C225" s="46"/>
    </row>
    <row r="226" spans="1:10" ht="15">
      <c r="A226" s="82"/>
      <c r="B226" s="1" t="s">
        <v>282</v>
      </c>
      <c r="C226" s="74"/>
      <c r="J226" s="946"/>
    </row>
    <row r="227" spans="1:7" ht="15">
      <c r="A227" s="82">
        <f>+A222+1</f>
        <v>135</v>
      </c>
      <c r="B227" s="46"/>
      <c r="C227" s="74" t="s">
        <v>283</v>
      </c>
      <c r="E227" s="21" t="str">
        <f>"(Line "&amp;A56&amp;")"</f>
        <v>(Line 33)</v>
      </c>
      <c r="G227" s="132">
        <f>+G56</f>
        <v>879647426.6526623</v>
      </c>
    </row>
    <row r="228" spans="1:11" ht="15">
      <c r="A228" s="27">
        <f>+A227+1</f>
        <v>136</v>
      </c>
      <c r="B228" s="46"/>
      <c r="C228" s="74" t="s">
        <v>419</v>
      </c>
      <c r="E228" s="99" t="str">
        <f>"(Line "&amp;A90&amp;")"</f>
        <v>(Line 50)</v>
      </c>
      <c r="G228" s="132">
        <f>+G90</f>
        <v>-154491499.02547732</v>
      </c>
      <c r="K228" s="52"/>
    </row>
    <row r="229" spans="1:11" ht="15">
      <c r="A229" s="27">
        <f>+A228+1</f>
        <v>137</v>
      </c>
      <c r="B229" s="27"/>
      <c r="C229" s="34" t="s">
        <v>423</v>
      </c>
      <c r="D229" s="167"/>
      <c r="E229" s="21" t="str">
        <f>"(Line "&amp;A92&amp;")"</f>
        <v>(Line 51)</v>
      </c>
      <c r="F229" s="123"/>
      <c r="G229" s="581">
        <f>+G92</f>
        <v>725155927.627185</v>
      </c>
      <c r="K229" s="281"/>
    </row>
    <row r="230" spans="1:11" ht="15">
      <c r="A230" s="27"/>
      <c r="B230" s="27"/>
      <c r="C230" s="842"/>
      <c r="D230" s="17"/>
      <c r="E230" s="28"/>
      <c r="F230" s="28"/>
      <c r="G230" s="132"/>
      <c r="K230" s="52"/>
    </row>
    <row r="231" spans="1:11" ht="15">
      <c r="A231" s="27">
        <f>+A229+1</f>
        <v>138</v>
      </c>
      <c r="C231" s="842" t="s">
        <v>492</v>
      </c>
      <c r="E231" s="21" t="str">
        <f>"(Line "&amp;A126&amp;")"</f>
        <v>(Line 75)</v>
      </c>
      <c r="G231" s="132">
        <f>+G126</f>
        <v>40246718.41198952</v>
      </c>
      <c r="K231" s="281"/>
    </row>
    <row r="232" spans="1:11" ht="15">
      <c r="A232" s="27">
        <f>+A231+1</f>
        <v>139</v>
      </c>
      <c r="C232" s="71" t="s">
        <v>403</v>
      </c>
      <c r="E232" s="21" t="str">
        <f>"(Line "&amp;A149&amp;")"</f>
        <v>(Line 89)</v>
      </c>
      <c r="G232" s="132">
        <f>+G149</f>
        <v>53483995.63193195</v>
      </c>
      <c r="K232" s="281"/>
    </row>
    <row r="233" spans="1:11" ht="15">
      <c r="A233" s="27">
        <f>+A232+1</f>
        <v>140</v>
      </c>
      <c r="B233" s="27"/>
      <c r="C233" s="842" t="s">
        <v>284</v>
      </c>
      <c r="D233" s="17"/>
      <c r="E233" s="21" t="str">
        <f>"(Line "&amp;A155&amp;")"</f>
        <v>(Line 91)</v>
      </c>
      <c r="F233" s="28"/>
      <c r="G233" s="132">
        <f>+G155</f>
        <v>1795049.7463989356</v>
      </c>
      <c r="K233" s="281"/>
    </row>
    <row r="234" spans="1:13" ht="15">
      <c r="A234" s="27">
        <f>+A233+1</f>
        <v>141</v>
      </c>
      <c r="B234" s="27"/>
      <c r="C234" s="846" t="s">
        <v>482</v>
      </c>
      <c r="D234" s="17"/>
      <c r="E234" s="21" t="str">
        <f>"(Line "&amp;A200&amp;")"</f>
        <v>(Line 123)</v>
      </c>
      <c r="F234" s="28"/>
      <c r="G234" s="132">
        <f>+G200</f>
        <v>60012816.07422434</v>
      </c>
      <c r="K234" s="281"/>
      <c r="M234" s="132"/>
    </row>
    <row r="235" spans="1:13" ht="15">
      <c r="A235" s="27">
        <f>+A234+1</f>
        <v>142</v>
      </c>
      <c r="B235" s="27"/>
      <c r="C235" s="846" t="s">
        <v>483</v>
      </c>
      <c r="D235" s="17"/>
      <c r="E235" s="21" t="str">
        <f>"(Line "&amp;A222&amp;")"</f>
        <v>(Line 134)</v>
      </c>
      <c r="F235" s="28"/>
      <c r="G235" s="132">
        <f>+G222</f>
        <v>15772018.237951081</v>
      </c>
      <c r="K235" s="281"/>
      <c r="M235" s="132"/>
    </row>
    <row r="236" spans="1:11" ht="15" thickBot="1">
      <c r="A236" s="27"/>
      <c r="B236" s="27"/>
      <c r="C236" s="846"/>
      <c r="D236" s="17"/>
      <c r="E236" s="28"/>
      <c r="F236" s="28"/>
      <c r="G236" s="132"/>
      <c r="K236" s="52"/>
    </row>
    <row r="237" spans="1:11" ht="18" thickBot="1">
      <c r="A237" s="130">
        <f>+A235+1</f>
        <v>143</v>
      </c>
      <c r="B237" s="128"/>
      <c r="C237" s="847" t="s">
        <v>484</v>
      </c>
      <c r="D237" s="168"/>
      <c r="E237" s="219" t="str">
        <f>"(Sum Lines "&amp;A231&amp;" to "&amp;A235&amp;")"</f>
        <v>(Sum Lines 138 to 142)</v>
      </c>
      <c r="F237" s="129"/>
      <c r="G237" s="580">
        <f>SUM(G235,G234,G233,G232,G231)</f>
        <v>171310598.10249582</v>
      </c>
      <c r="H237" s="265"/>
      <c r="K237" s="281"/>
    </row>
    <row r="238" spans="1:11" ht="17.25">
      <c r="A238" s="136"/>
      <c r="B238" s="182"/>
      <c r="C238" s="848"/>
      <c r="D238" s="183"/>
      <c r="E238" s="77"/>
      <c r="F238" s="184"/>
      <c r="G238" s="707"/>
      <c r="K238" s="132"/>
    </row>
    <row r="239" spans="1:11" ht="17.25">
      <c r="A239" s="136"/>
      <c r="B239" s="138" t="s">
        <v>323</v>
      </c>
      <c r="C239" s="848"/>
      <c r="D239" s="183"/>
      <c r="E239" s="77"/>
      <c r="F239" s="184"/>
      <c r="G239" s="707"/>
      <c r="K239" s="132"/>
    </row>
    <row r="240" spans="1:11" ht="17.25">
      <c r="A240" s="166">
        <f>+A237+1</f>
        <v>144</v>
      </c>
      <c r="B240" s="166"/>
      <c r="C240" s="842" t="str">
        <f>+C28</f>
        <v>Transmission Plant In Service</v>
      </c>
      <c r="D240" s="183"/>
      <c r="E240" s="21" t="str">
        <f>"(Line "&amp;A28&amp;")"</f>
        <v>(Line 13)</v>
      </c>
      <c r="F240" s="184"/>
      <c r="G240" s="669">
        <f>+G28</f>
        <v>1102624428</v>
      </c>
      <c r="K240" s="132"/>
    </row>
    <row r="241" spans="1:11" ht="17.25">
      <c r="A241" s="166">
        <f>+A240+1</f>
        <v>145</v>
      </c>
      <c r="B241" s="166"/>
      <c r="C241" s="836" t="s">
        <v>324</v>
      </c>
      <c r="D241" s="178" t="str">
        <f>"(Note "&amp;B$298&amp;")"</f>
        <v>(Note M)</v>
      </c>
      <c r="E241" s="101" t="s">
        <v>8</v>
      </c>
      <c r="F241" s="671"/>
      <c r="G241" s="1313">
        <f>'5 - Cost Support 1'!G218</f>
        <v>0</v>
      </c>
      <c r="K241" s="265"/>
    </row>
    <row r="242" spans="1:7" ht="17.25">
      <c r="A242" s="166">
        <f>+A241+1</f>
        <v>146</v>
      </c>
      <c r="B242" s="166"/>
      <c r="C242" s="842" t="s">
        <v>325</v>
      </c>
      <c r="D242" s="186"/>
      <c r="E242" s="41" t="str">
        <f>"(Line "&amp;A240&amp;" - Line "&amp;A241&amp;")"</f>
        <v>(Line 144 - Line 145)</v>
      </c>
      <c r="F242" s="184"/>
      <c r="G242" s="669">
        <f>+G240-G241</f>
        <v>1102624428</v>
      </c>
    </row>
    <row r="243" spans="1:7" ht="17.25">
      <c r="A243" s="166">
        <f>+A242+1</f>
        <v>147</v>
      </c>
      <c r="B243" s="166"/>
      <c r="C243" s="842" t="s">
        <v>326</v>
      </c>
      <c r="D243" s="183"/>
      <c r="E243" s="41" t="str">
        <f>"(Line "&amp;A242&amp;" / Line "&amp;A240&amp;")"</f>
        <v>(Line 146 / Line 144)</v>
      </c>
      <c r="F243" s="184"/>
      <c r="G243" s="708">
        <f>IF(G240=0,0,G242/G240)</f>
        <v>1</v>
      </c>
    </row>
    <row r="244" spans="1:7" ht="17.25">
      <c r="A244" s="166">
        <f>+A243+1</f>
        <v>148</v>
      </c>
      <c r="B244" s="166"/>
      <c r="C244" s="836" t="s">
        <v>484</v>
      </c>
      <c r="D244" s="185"/>
      <c r="E244" s="101" t="str">
        <f>"(Line "&amp;A237&amp;")"</f>
        <v>(Line 143)</v>
      </c>
      <c r="F244" s="671"/>
      <c r="G244" s="709">
        <f>+G237</f>
        <v>171310598.10249582</v>
      </c>
    </row>
    <row r="245" spans="1:7" ht="17.25">
      <c r="A245" s="166">
        <f>+A244+1</f>
        <v>149</v>
      </c>
      <c r="B245" s="166"/>
      <c r="C245" s="45" t="s">
        <v>327</v>
      </c>
      <c r="D245" s="183"/>
      <c r="E245" s="41" t="str">
        <f>"(Line "&amp;A243&amp;" * Line "&amp;A244&amp;")"</f>
        <v>(Line 147 * Line 148)</v>
      </c>
      <c r="F245" s="184"/>
      <c r="G245" s="579">
        <f>+G244*G243</f>
        <v>171310598.10249582</v>
      </c>
    </row>
    <row r="246" spans="1:7" ht="15">
      <c r="A246" s="69"/>
      <c r="B246" s="69"/>
      <c r="C246" s="96"/>
      <c r="D246" s="84"/>
      <c r="E246" s="51"/>
      <c r="F246" s="51"/>
      <c r="G246" s="218"/>
    </row>
    <row r="247" spans="1:10" ht="15">
      <c r="A247" s="69">
        <f>A245+1</f>
        <v>150</v>
      </c>
      <c r="B247" s="69"/>
      <c r="C247" s="188" t="s">
        <v>261</v>
      </c>
      <c r="D247" s="89"/>
      <c r="E247" s="23" t="s">
        <v>262</v>
      </c>
      <c r="F247" s="23"/>
      <c r="G247" s="218">
        <f>'3 - Revenue Credits'!D21</f>
        <v>3422702.521567</v>
      </c>
      <c r="J247" s="973"/>
    </row>
    <row r="248" spans="1:7" ht="15.75" thickBot="1">
      <c r="A248" s="69"/>
      <c r="B248" s="69"/>
      <c r="C248" s="96"/>
      <c r="D248" s="84"/>
      <c r="E248" s="51"/>
      <c r="F248" s="51"/>
      <c r="G248" s="218"/>
    </row>
    <row r="249" spans="1:8" s="1" customFormat="1" ht="18" thickBot="1">
      <c r="A249" s="299">
        <f>+A247+1</f>
        <v>151</v>
      </c>
      <c r="B249" s="872"/>
      <c r="C249" s="873" t="s">
        <v>491</v>
      </c>
      <c r="D249" s="874"/>
      <c r="E249" s="875" t="str">
        <f>"(Line "&amp;A245&amp;" - Line "&amp;A247&amp;")"</f>
        <v>(Line 149 - Line 150)</v>
      </c>
      <c r="F249" s="876"/>
      <c r="G249" s="877">
        <f>+G245-G247</f>
        <v>167887895.58092883</v>
      </c>
      <c r="H249" s="262"/>
    </row>
    <row r="250" spans="1:7" ht="15">
      <c r="A250" s="321"/>
      <c r="B250" s="69"/>
      <c r="C250" s="96"/>
      <c r="D250" s="84"/>
      <c r="E250" s="51"/>
      <c r="F250" s="51"/>
      <c r="G250" s="878"/>
    </row>
    <row r="251" spans="1:7" ht="15">
      <c r="A251" s="69"/>
      <c r="B251" s="188" t="s">
        <v>428</v>
      </c>
      <c r="C251" s="52"/>
      <c r="D251" s="84"/>
      <c r="E251" s="51"/>
      <c r="F251" s="51"/>
      <c r="G251" s="878"/>
    </row>
    <row r="252" spans="1:7" ht="15">
      <c r="A252" s="69">
        <f>+A249+1</f>
        <v>152</v>
      </c>
      <c r="B252" s="69"/>
      <c r="C252" s="96" t="str">
        <f>+C237</f>
        <v>Gross Revenue Requirement</v>
      </c>
      <c r="D252" s="84"/>
      <c r="E252" s="51" t="str">
        <f>"(Line "&amp;A237&amp;")"</f>
        <v>(Line 143)</v>
      </c>
      <c r="F252" s="51"/>
      <c r="G252" s="218">
        <f>+G237</f>
        <v>171310598.10249582</v>
      </c>
    </row>
    <row r="253" spans="1:7" ht="15">
      <c r="A253" s="69">
        <f>+A252+1</f>
        <v>153</v>
      </c>
      <c r="B253" s="69"/>
      <c r="C253" s="96" t="s">
        <v>547</v>
      </c>
      <c r="D253" s="84"/>
      <c r="E253" s="51" t="str">
        <f>"(Line "&amp;A28&amp;" - Line "&amp;A42&amp;")"</f>
        <v>(Line 13 - Line 22)</v>
      </c>
      <c r="F253" s="51"/>
      <c r="G253" s="218">
        <f>+G28-G42</f>
        <v>780662088</v>
      </c>
    </row>
    <row r="254" spans="1:7" ht="15">
      <c r="A254" s="69">
        <f>+A253+1</f>
        <v>154</v>
      </c>
      <c r="B254" s="69"/>
      <c r="C254" s="96" t="s">
        <v>430</v>
      </c>
      <c r="D254" s="84"/>
      <c r="E254" s="51" t="str">
        <f>"(Line "&amp;A252&amp;" / Line "&amp;A253&amp;")"</f>
        <v>(Line 152 / Line 153)</v>
      </c>
      <c r="F254" s="51"/>
      <c r="G254" s="878">
        <f>IF(G253=0,0,G252/G253)</f>
        <v>0.2194427022085589</v>
      </c>
    </row>
    <row r="255" spans="1:7" ht="15">
      <c r="A255" s="69">
        <f>+A254+1</f>
        <v>155</v>
      </c>
      <c r="B255" s="69"/>
      <c r="C255" s="96" t="s">
        <v>431</v>
      </c>
      <c r="D255" s="84"/>
      <c r="E255" s="51" t="str">
        <f>"(Line "&amp;A252&amp;" - Line "&amp;A131&amp;") / Line "&amp;A253</f>
        <v>(Line 152 - Line 76) / Line 153</v>
      </c>
      <c r="F255" s="51"/>
      <c r="G255" s="878">
        <f>IF(G253=0,0,(G252-G131)/G253)</f>
        <v>0.1828797847893144</v>
      </c>
    </row>
    <row r="256" spans="1:7" ht="15">
      <c r="A256" s="69">
        <f>+A255+1</f>
        <v>156</v>
      </c>
      <c r="B256" s="69"/>
      <c r="C256" s="96" t="s">
        <v>40</v>
      </c>
      <c r="D256" s="84"/>
      <c r="E256" s="61" t="str">
        <f>"(Line "&amp;A252&amp;" - Line "&amp;A131&amp;" - Line "&amp;A200&amp;" - Line "&amp;A222&amp;") / Line "&amp;A253</f>
        <v>(Line 152 - Line 76 - Line 123 - Line 134) / Line 153</v>
      </c>
      <c r="F256" s="51"/>
      <c r="G256" s="878">
        <f>IF(G253=0,0,(G252-G131-G200-G222)/G253)</f>
        <v>0.08580214328845619</v>
      </c>
    </row>
    <row r="257" spans="1:7" ht="15">
      <c r="A257" s="69"/>
      <c r="B257" s="69"/>
      <c r="C257" s="96"/>
      <c r="D257" s="84"/>
      <c r="E257" s="51"/>
      <c r="F257" s="51"/>
      <c r="G257" s="878"/>
    </row>
    <row r="258" spans="1:7" ht="15">
      <c r="A258" s="69"/>
      <c r="B258" s="69"/>
      <c r="C258" s="96"/>
      <c r="D258" s="84"/>
      <c r="E258" s="51"/>
      <c r="F258" s="51"/>
      <c r="G258" s="878"/>
    </row>
    <row r="259" spans="1:7" ht="15">
      <c r="A259" s="69"/>
      <c r="B259" s="188" t="s">
        <v>429</v>
      </c>
      <c r="C259" s="96"/>
      <c r="D259" s="84"/>
      <c r="E259" s="51"/>
      <c r="F259" s="51"/>
      <c r="G259" s="878"/>
    </row>
    <row r="260" spans="1:7" ht="15">
      <c r="A260" s="69">
        <f>+A256+1</f>
        <v>157</v>
      </c>
      <c r="B260" s="69"/>
      <c r="C260" s="96" t="s">
        <v>557</v>
      </c>
      <c r="D260" s="84"/>
      <c r="E260" s="51" t="str">
        <f>"(Line "&amp;A237&amp;" - Line "&amp;A234&amp;" - Line "&amp;A235&amp;")"</f>
        <v>(Line 143 - Line 141 - Line 142)</v>
      </c>
      <c r="F260" s="51"/>
      <c r="G260" s="218">
        <f>+G237-G234-G235</f>
        <v>95525763.7903204</v>
      </c>
    </row>
    <row r="261" spans="1:13" ht="15">
      <c r="A261" s="69">
        <f>+A260+1</f>
        <v>158</v>
      </c>
      <c r="B261" s="27"/>
      <c r="C261" s="96" t="s">
        <v>648</v>
      </c>
      <c r="E261" s="51" t="s">
        <v>41</v>
      </c>
      <c r="F261" s="28"/>
      <c r="G261" s="1317">
        <f>+'4 - 100 Basis Pt ROE'!G1</f>
        <v>81305450.40834126</v>
      </c>
      <c r="L261" s="52"/>
      <c r="M261" s="52"/>
    </row>
    <row r="262" spans="1:13" ht="15">
      <c r="A262" s="69">
        <f>+A261+1</f>
        <v>159</v>
      </c>
      <c r="B262" s="27"/>
      <c r="C262" s="96" t="s">
        <v>42</v>
      </c>
      <c r="E262" s="51" t="str">
        <f>"(Line "&amp;A260&amp;" + Line "&amp;A261&amp;")"</f>
        <v>(Line 157 + Line 158)</v>
      </c>
      <c r="F262" s="28"/>
      <c r="G262" s="210">
        <f>+G261+G260</f>
        <v>176831214.19866166</v>
      </c>
      <c r="L262" s="52"/>
      <c r="M262" s="52"/>
    </row>
    <row r="263" spans="1:13" ht="15">
      <c r="A263" s="69">
        <f>+A262+1</f>
        <v>160</v>
      </c>
      <c r="B263" s="27"/>
      <c r="C263" s="96" t="str">
        <f>+C253</f>
        <v>Net Transmission Plant</v>
      </c>
      <c r="E263" s="28" t="str">
        <f>"(Line "&amp;A28&amp;" - Line "&amp;A42&amp;")"</f>
        <v>(Line 13 - Line 22)</v>
      </c>
      <c r="F263" s="28"/>
      <c r="G263" s="210">
        <f>+G253</f>
        <v>780662088</v>
      </c>
      <c r="L263" s="52"/>
      <c r="M263" s="52"/>
    </row>
    <row r="264" spans="1:13" ht="15">
      <c r="A264" s="69">
        <f>+A263+1</f>
        <v>161</v>
      </c>
      <c r="B264" s="27"/>
      <c r="C264" s="96" t="s">
        <v>432</v>
      </c>
      <c r="E264" s="28" t="str">
        <f>"(Line "&amp;A262&amp;" / Line "&amp;A263&amp;")"</f>
        <v>(Line 159 / Line 160)</v>
      </c>
      <c r="F264" s="28"/>
      <c r="G264" s="36">
        <f>IF(G263=0,0,G262/G263)</f>
        <v>0.22651441246710274</v>
      </c>
      <c r="H264" s="453"/>
      <c r="L264" s="52"/>
      <c r="M264" s="52"/>
    </row>
    <row r="265" spans="1:13" ht="15">
      <c r="A265" s="69">
        <f>+A264+1</f>
        <v>162</v>
      </c>
      <c r="B265" s="69"/>
      <c r="C265" s="96" t="s">
        <v>433</v>
      </c>
      <c r="D265" s="84"/>
      <c r="E265" s="51" t="str">
        <f>"(Line "&amp;A262&amp;" - Line "&amp;A131&amp;") / Line "&amp;A263</f>
        <v>(Line 159 - Line 76) / Line 160</v>
      </c>
      <c r="F265" s="51"/>
      <c r="G265" s="878">
        <f>IF(G263=0,0,(G262-G131)/G263)</f>
        <v>0.18995149504785822</v>
      </c>
      <c r="H265" s="453"/>
      <c r="L265" s="52"/>
      <c r="M265" s="52"/>
    </row>
    <row r="266" spans="1:13" ht="15">
      <c r="A266" s="69"/>
      <c r="B266" s="27"/>
      <c r="C266" s="96"/>
      <c r="E266" s="28"/>
      <c r="F266" s="28"/>
      <c r="G266" s="36"/>
      <c r="L266" s="52"/>
      <c r="M266" s="52"/>
    </row>
    <row r="267" spans="1:13" ht="15">
      <c r="A267" s="69">
        <f>+A265+1</f>
        <v>163</v>
      </c>
      <c r="B267" s="27"/>
      <c r="C267" s="188" t="s">
        <v>491</v>
      </c>
      <c r="D267" s="84"/>
      <c r="E267" s="28" t="str">
        <f>"(Line "&amp;A249&amp;")"</f>
        <v>(Line 151)</v>
      </c>
      <c r="F267" s="28"/>
      <c r="G267" s="218">
        <f>+G249</f>
        <v>167887895.58092883</v>
      </c>
      <c r="K267" s="361"/>
      <c r="L267" s="52"/>
      <c r="M267" s="52"/>
    </row>
    <row r="268" spans="1:13" ht="15">
      <c r="A268" s="69">
        <f>+A267+1</f>
        <v>164</v>
      </c>
      <c r="B268" s="27"/>
      <c r="C268" s="96" t="s">
        <v>43</v>
      </c>
      <c r="D268" s="84"/>
      <c r="E268" s="51" t="s">
        <v>6</v>
      </c>
      <c r="F268" s="28"/>
      <c r="G268" s="710">
        <f>IF(I1=1,0,K268)</f>
        <v>1074882.6299848633</v>
      </c>
      <c r="I268" s="532" t="s">
        <v>218</v>
      </c>
      <c r="K268" s="1165">
        <v>1074882.6299848633</v>
      </c>
      <c r="M268" s="826"/>
    </row>
    <row r="269" spans="1:9" ht="15">
      <c r="A269" s="69">
        <f>+A268+1</f>
        <v>165</v>
      </c>
      <c r="B269" s="27"/>
      <c r="C269" s="96" t="s">
        <v>649</v>
      </c>
      <c r="D269" s="238"/>
      <c r="E269" s="251" t="s">
        <v>25</v>
      </c>
      <c r="F269" s="28"/>
      <c r="G269" s="1318">
        <f>'7 - Cap Add WS'!K2</f>
        <v>2978726.9755148888</v>
      </c>
      <c r="I269" s="265"/>
    </row>
    <row r="270" spans="1:11" ht="15">
      <c r="A270" s="69">
        <f>+A269+1</f>
        <v>166</v>
      </c>
      <c r="B270" s="27"/>
      <c r="C270" s="72" t="s">
        <v>272</v>
      </c>
      <c r="D270" s="172"/>
      <c r="E270" s="72" t="s">
        <v>48</v>
      </c>
      <c r="F270" s="28"/>
      <c r="G270" s="1318">
        <f>+'5 - Cost Support 1'!G293</f>
        <v>0</v>
      </c>
      <c r="K270" s="265"/>
    </row>
    <row r="271" spans="1:11" ht="15">
      <c r="A271" s="69"/>
      <c r="B271" s="69"/>
      <c r="H271" s="265"/>
      <c r="J271" s="119"/>
      <c r="K271" s="265"/>
    </row>
    <row r="272" spans="1:10" ht="15">
      <c r="A272" s="69">
        <f>+A270+1</f>
        <v>167</v>
      </c>
      <c r="B272" s="27"/>
      <c r="C272" s="188" t="s">
        <v>570</v>
      </c>
      <c r="D272" s="84"/>
      <c r="E272" s="298" t="str">
        <f>"Sum (Lines "&amp;A267&amp;" to "&amp;A270&amp;")"</f>
        <v>Sum (Lines 163 to 166)</v>
      </c>
      <c r="F272" s="28"/>
      <c r="G272" s="218">
        <f>+SUM(G267:G270)</f>
        <v>171941505.18642858</v>
      </c>
      <c r="H272" s="218"/>
      <c r="J272" s="265"/>
    </row>
    <row r="273" spans="1:10" ht="15">
      <c r="A273" s="69"/>
      <c r="B273" s="27"/>
      <c r="C273" s="96"/>
      <c r="E273" s="28"/>
      <c r="F273" s="28"/>
      <c r="G273" s="36"/>
      <c r="J273" s="265"/>
    </row>
    <row r="274" spans="1:7" ht="15">
      <c r="A274" s="69"/>
      <c r="B274" s="93" t="s">
        <v>569</v>
      </c>
      <c r="C274" s="96"/>
      <c r="E274" s="28"/>
      <c r="F274" s="28"/>
      <c r="G274" s="36"/>
    </row>
    <row r="275" spans="1:10" ht="15">
      <c r="A275" s="69">
        <f>+A272+1</f>
        <v>168</v>
      </c>
      <c r="B275" s="27"/>
      <c r="C275" s="28" t="s">
        <v>405</v>
      </c>
      <c r="D275" s="172" t="str">
        <f>"(Note "&amp;B$297&amp;")"</f>
        <v>(Note L)</v>
      </c>
      <c r="E275" s="57" t="s">
        <v>8</v>
      </c>
      <c r="F275" s="57"/>
      <c r="G275" s="1319">
        <f>+'5 - Cost Support 1'!G298</f>
        <v>2715</v>
      </c>
      <c r="J275" s="119"/>
    </row>
    <row r="276" spans="1:10" ht="15">
      <c r="A276" s="69">
        <f>+A275+1</f>
        <v>169</v>
      </c>
      <c r="B276" s="27"/>
      <c r="C276" s="28" t="s">
        <v>404</v>
      </c>
      <c r="D276" s="231"/>
      <c r="E276" s="41" t="str">
        <f>"(Line "&amp;A272&amp;" / Line "&amp;A275&amp;")"</f>
        <v>(Line 167 / Line 168)</v>
      </c>
      <c r="F276" s="124"/>
      <c r="G276" s="958">
        <f>IF(G275=0,0,G272/G275)</f>
        <v>63330.204488555646</v>
      </c>
      <c r="J276" s="265"/>
    </row>
    <row r="277" spans="1:7" ht="15.75" thickBot="1">
      <c r="A277" s="69"/>
      <c r="B277" s="27"/>
      <c r="D277" s="169"/>
      <c r="E277" s="124"/>
      <c r="F277" s="124"/>
      <c r="G277" s="577"/>
    </row>
    <row r="278" spans="1:8" s="74" customFormat="1" ht="18" thickBot="1">
      <c r="A278" s="299">
        <f>+A276+1</f>
        <v>170</v>
      </c>
      <c r="B278" s="137"/>
      <c r="C278" s="131" t="s">
        <v>499</v>
      </c>
      <c r="D278" s="137"/>
      <c r="E278" s="137" t="str">
        <f>"(Line "&amp;A276&amp;")"</f>
        <v>(Line 169)</v>
      </c>
      <c r="F278" s="137"/>
      <c r="G278" s="578">
        <f>+G276</f>
        <v>63330.204488555646</v>
      </c>
      <c r="H278" s="266"/>
    </row>
    <row r="279" spans="1:8" s="74" customFormat="1" ht="15">
      <c r="A279" s="321"/>
      <c r="B279" s="70"/>
      <c r="C279" s="135"/>
      <c r="D279" s="169"/>
      <c r="E279" s="683"/>
      <c r="F279" s="683"/>
      <c r="G279" s="684"/>
      <c r="H279" s="267"/>
    </row>
    <row r="280" spans="1:8" s="74" customFormat="1" ht="17.25">
      <c r="A280" s="322"/>
      <c r="B280" s="138" t="s">
        <v>488</v>
      </c>
      <c r="C280" s="135"/>
      <c r="D280" s="169"/>
      <c r="E280" s="683"/>
      <c r="F280" s="683"/>
      <c r="G280" s="685"/>
      <c r="H280" s="266"/>
    </row>
    <row r="281" spans="1:8" s="74" customFormat="1" ht="15">
      <c r="A281" s="288"/>
      <c r="B281" s="538" t="s">
        <v>306</v>
      </c>
      <c r="C281" s="223" t="s">
        <v>447</v>
      </c>
      <c r="D281" s="173"/>
      <c r="E281" s="174"/>
      <c r="F281" s="174"/>
      <c r="G281" s="686"/>
      <c r="H281" s="268"/>
    </row>
    <row r="282" spans="1:7" s="74" customFormat="1" ht="96" customHeight="1">
      <c r="A282" s="288"/>
      <c r="B282" s="538" t="s">
        <v>437</v>
      </c>
      <c r="C282" s="1541" t="s">
        <v>1205</v>
      </c>
      <c r="D282" s="1541"/>
      <c r="E282" s="1541"/>
      <c r="F282" s="174"/>
      <c r="G282" s="605"/>
    </row>
    <row r="283" spans="1:8" s="74" customFormat="1" ht="15">
      <c r="A283" s="288"/>
      <c r="B283" s="538" t="s">
        <v>287</v>
      </c>
      <c r="C283" s="175" t="s">
        <v>448</v>
      </c>
      <c r="D283" s="229"/>
      <c r="E283" s="230"/>
      <c r="F283" s="230"/>
      <c r="G283" s="606"/>
      <c r="H283" s="267"/>
    </row>
    <row r="284" spans="1:8" s="74" customFormat="1" ht="15">
      <c r="A284" s="288"/>
      <c r="B284" s="538" t="s">
        <v>307</v>
      </c>
      <c r="C284" s="176" t="s">
        <v>333</v>
      </c>
      <c r="D284" s="229"/>
      <c r="E284" s="230"/>
      <c r="F284" s="230"/>
      <c r="G284" s="606"/>
      <c r="H284" s="267"/>
    </row>
    <row r="285" spans="1:8" s="74" customFormat="1" ht="15">
      <c r="A285" s="288"/>
      <c r="B285" s="538" t="s">
        <v>305</v>
      </c>
      <c r="C285" s="177" t="s">
        <v>334</v>
      </c>
      <c r="D285" s="229"/>
      <c r="E285" s="230"/>
      <c r="F285" s="230"/>
      <c r="G285" s="606"/>
      <c r="H285" s="267"/>
    </row>
    <row r="286" spans="1:8" s="74" customFormat="1" ht="15">
      <c r="A286" s="288"/>
      <c r="B286" s="538" t="s">
        <v>590</v>
      </c>
      <c r="C286" s="176" t="s">
        <v>335</v>
      </c>
      <c r="D286" s="229"/>
      <c r="E286" s="230"/>
      <c r="F286" s="230"/>
      <c r="G286" s="606"/>
      <c r="H286" s="267"/>
    </row>
    <row r="287" spans="1:8" s="74" customFormat="1" ht="15">
      <c r="A287" s="288"/>
      <c r="B287" s="538" t="s">
        <v>308</v>
      </c>
      <c r="C287" s="176" t="s">
        <v>446</v>
      </c>
      <c r="D287" s="229"/>
      <c r="E287" s="230"/>
      <c r="F287" s="230"/>
      <c r="G287" s="606"/>
      <c r="H287" s="267"/>
    </row>
    <row r="288" spans="1:8" s="74" customFormat="1" ht="15">
      <c r="A288" s="288"/>
      <c r="B288" s="538" t="s">
        <v>84</v>
      </c>
      <c r="C288" s="176" t="s">
        <v>336</v>
      </c>
      <c r="D288" s="229"/>
      <c r="E288" s="230"/>
      <c r="F288" s="230"/>
      <c r="G288" s="606"/>
      <c r="H288" s="267"/>
    </row>
    <row r="289" spans="1:8" s="74" customFormat="1" ht="15">
      <c r="A289" s="288"/>
      <c r="B289" s="538" t="s">
        <v>294</v>
      </c>
      <c r="C289" s="176" t="s">
        <v>311</v>
      </c>
      <c r="D289" s="229"/>
      <c r="E289" s="230"/>
      <c r="F289" s="230"/>
      <c r="G289" s="606"/>
      <c r="H289" s="267"/>
    </row>
    <row r="290" spans="1:8" s="74" customFormat="1" ht="15">
      <c r="A290" s="288"/>
      <c r="B290" s="538"/>
      <c r="C290" s="176" t="s">
        <v>86</v>
      </c>
      <c r="D290" s="229"/>
      <c r="E290" s="230"/>
      <c r="F290" s="230"/>
      <c r="G290" s="606"/>
      <c r="H290" s="267"/>
    </row>
    <row r="291" spans="1:8" s="74" customFormat="1" ht="15">
      <c r="A291" s="288"/>
      <c r="B291" s="538"/>
      <c r="C291" s="176" t="s">
        <v>677</v>
      </c>
      <c r="D291" s="229"/>
      <c r="E291" s="230"/>
      <c r="F291" s="230"/>
      <c r="G291" s="606"/>
      <c r="H291" s="267"/>
    </row>
    <row r="292" spans="1:8" s="74" customFormat="1" ht="15">
      <c r="A292" s="288"/>
      <c r="B292" s="538"/>
      <c r="C292" s="176" t="s">
        <v>678</v>
      </c>
      <c r="D292" s="229"/>
      <c r="E292" s="230"/>
      <c r="F292" s="230"/>
      <c r="G292" s="606"/>
      <c r="H292" s="267"/>
    </row>
    <row r="293" spans="1:9" s="74" customFormat="1" ht="15">
      <c r="A293" s="288"/>
      <c r="B293" s="538"/>
      <c r="C293" s="176" t="s">
        <v>679</v>
      </c>
      <c r="D293" s="229"/>
      <c r="E293" s="230"/>
      <c r="F293" s="230"/>
      <c r="G293" s="606"/>
      <c r="H293" s="267"/>
      <c r="I293" s="96"/>
    </row>
    <row r="294" spans="1:8" s="74" customFormat="1" ht="15">
      <c r="A294" s="288"/>
      <c r="B294" s="538"/>
      <c r="C294" s="176" t="s">
        <v>680</v>
      </c>
      <c r="D294" s="229"/>
      <c r="E294" s="230"/>
      <c r="F294" s="230"/>
      <c r="G294" s="606"/>
      <c r="H294" s="267"/>
    </row>
    <row r="295" spans="1:8" s="74" customFormat="1" ht="15">
      <c r="A295" s="288"/>
      <c r="B295" s="538" t="s">
        <v>296</v>
      </c>
      <c r="C295" s="176" t="s">
        <v>445</v>
      </c>
      <c r="D295" s="229"/>
      <c r="E295" s="230"/>
      <c r="F295" s="230"/>
      <c r="G295" s="606"/>
      <c r="H295" s="267"/>
    </row>
    <row r="296" spans="1:8" s="74" customFormat="1" ht="15">
      <c r="A296" s="288"/>
      <c r="B296" s="538" t="s">
        <v>310</v>
      </c>
      <c r="C296" s="223" t="s">
        <v>444</v>
      </c>
      <c r="D296" s="229"/>
      <c r="E296" s="230"/>
      <c r="F296" s="230"/>
      <c r="G296" s="606"/>
      <c r="H296" s="267"/>
    </row>
    <row r="297" spans="1:8" s="74" customFormat="1" ht="15">
      <c r="A297" s="288"/>
      <c r="B297" s="538" t="s">
        <v>410</v>
      </c>
      <c r="C297" s="223" t="s">
        <v>337</v>
      </c>
      <c r="D297" s="229"/>
      <c r="E297" s="230"/>
      <c r="F297" s="230"/>
      <c r="G297" s="606"/>
      <c r="H297" s="267"/>
    </row>
    <row r="298" spans="1:8" ht="15">
      <c r="A298" s="289"/>
      <c r="B298" s="512" t="s">
        <v>411</v>
      </c>
      <c r="C298" s="177" t="s">
        <v>555</v>
      </c>
      <c r="D298" s="229"/>
      <c r="E298" s="230"/>
      <c r="F298" s="230"/>
      <c r="G298" s="606"/>
      <c r="H298" s="267"/>
    </row>
    <row r="299" spans="1:8" ht="30.75" customHeight="1">
      <c r="A299" s="289"/>
      <c r="B299" s="512" t="s">
        <v>591</v>
      </c>
      <c r="C299" s="1534"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9" s="1535"/>
      <c r="E299" s="1535"/>
      <c r="F299" s="1534"/>
      <c r="G299" s="1535"/>
      <c r="H299" s="267"/>
    </row>
    <row r="300" spans="1:8" ht="30.75" customHeight="1">
      <c r="A300" s="289"/>
      <c r="B300" s="512" t="s">
        <v>646</v>
      </c>
      <c r="C300" s="1534" t="s">
        <v>359</v>
      </c>
      <c r="D300" s="1542"/>
      <c r="E300" s="1542"/>
      <c r="F300" s="1542"/>
      <c r="G300" s="520"/>
      <c r="H300" s="267"/>
    </row>
    <row r="301" spans="1:7" s="74" customFormat="1" ht="31.5" customHeight="1">
      <c r="A301" s="289"/>
      <c r="C301" s="1534" t="str">
        <f>"The input value on line "&amp;A171&amp;" -- Proprietary Capital -- shall be adjusted so that the equity percentage shown on line "&amp;A189&amp;"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301" s="1543"/>
      <c r="E301" s="1543"/>
      <c r="F301" s="288"/>
      <c r="G301" s="288"/>
    </row>
    <row r="302" spans="1:7" s="74" customFormat="1" ht="18.75" customHeight="1">
      <c r="A302" s="289"/>
      <c r="B302" s="512" t="s">
        <v>331</v>
      </c>
      <c r="C302" s="1536" t="s">
        <v>467</v>
      </c>
      <c r="D302" s="1536"/>
      <c r="E302" s="1536"/>
      <c r="F302" s="1537"/>
      <c r="G302" s="1537"/>
    </row>
    <row r="303" spans="1:14" s="74" customFormat="1" ht="31.5" customHeight="1">
      <c r="A303" s="289"/>
      <c r="B303" s="512" t="s">
        <v>280</v>
      </c>
      <c r="C303" s="1534" t="s">
        <v>360</v>
      </c>
      <c r="D303" s="1543"/>
      <c r="E303" s="1543"/>
      <c r="F303" s="288"/>
      <c r="G303" s="288"/>
      <c r="K303" s="930"/>
      <c r="L303" s="931"/>
      <c r="M303" s="930"/>
      <c r="N303" s="932"/>
    </row>
    <row r="304" spans="1:13" s="74" customFormat="1" ht="63.75" customHeight="1">
      <c r="A304" s="289"/>
      <c r="B304" s="978" t="s">
        <v>823</v>
      </c>
      <c r="C304" s="1539" t="s">
        <v>876</v>
      </c>
      <c r="D304" s="1539"/>
      <c r="E304" s="1539"/>
      <c r="F304" s="288"/>
      <c r="H304" s="959"/>
      <c r="I304" s="959"/>
      <c r="J304" s="960"/>
      <c r="K304" s="961"/>
      <c r="L304" s="962"/>
      <c r="M304" s="96"/>
    </row>
    <row r="305" spans="1:14" s="74" customFormat="1" ht="33" customHeight="1">
      <c r="A305" s="289"/>
      <c r="B305" s="978" t="s">
        <v>874</v>
      </c>
      <c r="C305" s="1539" t="s">
        <v>875</v>
      </c>
      <c r="D305" s="1539"/>
      <c r="E305" s="1539"/>
      <c r="F305" s="288"/>
      <c r="G305" s="288"/>
      <c r="K305" s="923"/>
      <c r="L305" s="932"/>
      <c r="M305" s="930"/>
      <c r="N305" s="932"/>
    </row>
    <row r="306" spans="1:14" s="74" customFormat="1" ht="21" customHeight="1">
      <c r="A306" s="289"/>
      <c r="B306" s="1425" t="s">
        <v>832</v>
      </c>
      <c r="C306" s="1538" t="s">
        <v>1203</v>
      </c>
      <c r="D306" s="1538"/>
      <c r="E306" s="1538"/>
      <c r="F306" s="288"/>
      <c r="G306" s="288"/>
      <c r="K306" s="923"/>
      <c r="L306" s="932"/>
      <c r="M306" s="930"/>
      <c r="N306" s="932"/>
    </row>
    <row r="307" spans="1:7" ht="15">
      <c r="A307" s="126" t="s">
        <v>286</v>
      </c>
      <c r="B307" s="125"/>
      <c r="C307" s="112"/>
      <c r="D307" s="170"/>
      <c r="E307" s="111"/>
      <c r="F307" s="51"/>
      <c r="G307" s="52"/>
    </row>
    <row r="308" spans="2:4" ht="50.25" customHeight="1">
      <c r="B308" s="46"/>
      <c r="C308" s="46"/>
      <c r="D308" s="46"/>
    </row>
    <row r="309" spans="1:5" ht="15">
      <c r="A309" s="48"/>
      <c r="B309" s="1425"/>
      <c r="C309" s="1426"/>
      <c r="D309" s="1428"/>
      <c r="E309" s="1428"/>
    </row>
    <row r="310" spans="2:7" ht="15">
      <c r="B310" s="1429"/>
      <c r="C310" s="1427"/>
      <c r="D310" s="1428"/>
      <c r="E310" s="1428"/>
      <c r="G310" s="121"/>
    </row>
    <row r="311" spans="3:7" ht="16.5">
      <c r="C311" s="544"/>
      <c r="G311" s="120"/>
    </row>
    <row r="312" ht="15">
      <c r="G312" s="119"/>
    </row>
  </sheetData>
  <sheetProtection/>
  <mergeCells count="11">
    <mergeCell ref="J160:K160"/>
    <mergeCell ref="C282:E282"/>
    <mergeCell ref="C300:F300"/>
    <mergeCell ref="C303:E303"/>
    <mergeCell ref="C301:E301"/>
    <mergeCell ref="C299:E299"/>
    <mergeCell ref="F299:G299"/>
    <mergeCell ref="C302:G302"/>
    <mergeCell ref="C306:E306"/>
    <mergeCell ref="C305:E305"/>
    <mergeCell ref="C304:E304"/>
  </mergeCells>
  <printOptions/>
  <pageMargins left="0.5" right="0.25" top="1" bottom="0.75" header="0.5" footer="0.5"/>
  <pageSetup fitToHeight="0" fitToWidth="1" horizontalDpi="600" verticalDpi="600" orientation="portrait" scale="48" r:id="rId1"/>
  <headerFooter alignWithMargins="0">
    <oddHeader>&amp;CDuquesne Light Company
Attachment H -17A&amp;RPage &amp;P of &amp;N</oddHeader>
  </headerFooter>
  <rowBreaks count="5" manualBreakCount="5">
    <brk id="57" max="6" man="1"/>
    <brk id="93" max="6" man="1"/>
    <brk id="155" max="6" man="1"/>
    <brk id="222" max="6" man="1"/>
    <brk id="278" max="6" man="1"/>
  </rowBreaks>
</worksheet>
</file>

<file path=xl/worksheets/sheet10.xml><?xml version="1.0" encoding="utf-8"?>
<worksheet xmlns="http://schemas.openxmlformats.org/spreadsheetml/2006/main" xmlns:r="http://schemas.openxmlformats.org/officeDocument/2006/relationships">
  <sheetPr>
    <pageSetUpPr fitToPage="1"/>
  </sheetPr>
  <dimension ref="A1:J309"/>
  <sheetViews>
    <sheetView zoomScale="87" zoomScaleNormal="87" zoomScalePageLayoutView="0" workbookViewId="0" topLeftCell="A1">
      <selection activeCell="A2" sqref="A2:J2"/>
    </sheetView>
  </sheetViews>
  <sheetFormatPr defaultColWidth="8.57421875" defaultRowHeight="12.75"/>
  <cols>
    <col min="1" max="1" width="3.421875" style="998" customWidth="1"/>
    <col min="2" max="2" width="76.57421875" style="998" bestFit="1" customWidth="1"/>
    <col min="3" max="3" width="3.57421875" style="998" customWidth="1"/>
    <col min="4" max="4" width="19.421875" style="998" customWidth="1"/>
    <col min="5" max="5" width="3.57421875" style="998" customWidth="1"/>
    <col min="6" max="6" width="19.421875" style="998" customWidth="1"/>
    <col min="7" max="7" width="3.57421875" style="998" customWidth="1"/>
    <col min="8" max="8" width="17.00390625" style="998" customWidth="1"/>
    <col min="9" max="9" width="3.57421875" style="998" customWidth="1"/>
    <col min="10" max="10" width="17.00390625" style="998" customWidth="1"/>
    <col min="11" max="16384" width="8.57421875" style="998" customWidth="1"/>
  </cols>
  <sheetData>
    <row r="1" spans="1:10" ht="12.75">
      <c r="A1" s="1621" t="s">
        <v>985</v>
      </c>
      <c r="B1" s="1621"/>
      <c r="C1" s="1621"/>
      <c r="D1" s="1621"/>
      <c r="E1" s="1621"/>
      <c r="F1" s="1621"/>
      <c r="G1" s="1621"/>
      <c r="H1" s="1621"/>
      <c r="I1" s="1621"/>
      <c r="J1" s="1621"/>
    </row>
    <row r="2" spans="1:10" ht="12.75">
      <c r="A2" s="1621" t="s">
        <v>986</v>
      </c>
      <c r="B2" s="1621"/>
      <c r="C2" s="1621"/>
      <c r="D2" s="1621"/>
      <c r="E2" s="1621"/>
      <c r="F2" s="1621"/>
      <c r="G2" s="1621"/>
      <c r="H2" s="1621"/>
      <c r="I2" s="1621"/>
      <c r="J2" s="1621"/>
    </row>
    <row r="3" spans="1:10" ht="12.75">
      <c r="A3" s="1621" t="s">
        <v>922</v>
      </c>
      <c r="B3" s="1621"/>
      <c r="C3" s="1621"/>
      <c r="D3" s="1621"/>
      <c r="E3" s="1621"/>
      <c r="F3" s="1621"/>
      <c r="G3" s="1621"/>
      <c r="H3" s="1621"/>
      <c r="I3" s="1621"/>
      <c r="J3" s="1621"/>
    </row>
    <row r="5" spans="1:10" ht="12.75">
      <c r="A5" s="995"/>
      <c r="B5" s="997"/>
      <c r="C5" s="997"/>
      <c r="D5" s="997"/>
      <c r="E5" s="997"/>
      <c r="F5" s="997"/>
      <c r="G5" s="997"/>
      <c r="H5" s="997"/>
      <c r="I5" s="997"/>
      <c r="J5" s="997"/>
    </row>
    <row r="6" spans="1:10" ht="12.75">
      <c r="A6" s="995"/>
      <c r="B6" s="999" t="s">
        <v>306</v>
      </c>
      <c r="C6" s="999"/>
      <c r="D6" s="999" t="s">
        <v>437</v>
      </c>
      <c r="E6" s="999"/>
      <c r="F6" s="999" t="s">
        <v>287</v>
      </c>
      <c r="G6" s="999"/>
      <c r="H6" s="999" t="s">
        <v>307</v>
      </c>
      <c r="I6" s="999"/>
      <c r="J6" s="999" t="s">
        <v>305</v>
      </c>
    </row>
    <row r="7" spans="1:10" ht="12.75">
      <c r="A7" s="995"/>
      <c r="B7" s="997"/>
      <c r="C7" s="997"/>
      <c r="D7" s="997"/>
      <c r="E7" s="997"/>
      <c r="F7" s="997"/>
      <c r="G7" s="997"/>
      <c r="H7" s="997"/>
      <c r="I7" s="997"/>
      <c r="J7" s="997"/>
    </row>
    <row r="8" spans="1:10" ht="12.75">
      <c r="A8" s="995"/>
      <c r="B8" s="997"/>
      <c r="C8" s="997"/>
      <c r="D8" s="997"/>
      <c r="E8" s="997"/>
      <c r="F8" s="999" t="s">
        <v>865</v>
      </c>
      <c r="G8" s="997"/>
      <c r="H8" s="999" t="s">
        <v>825</v>
      </c>
      <c r="I8" s="997"/>
      <c r="J8" s="999" t="s">
        <v>923</v>
      </c>
    </row>
    <row r="9" spans="1:10" ht="12.75">
      <c r="A9" s="995"/>
      <c r="B9" s="1000" t="s">
        <v>866</v>
      </c>
      <c r="C9" s="996"/>
      <c r="D9" s="1001" t="s">
        <v>718</v>
      </c>
      <c r="E9" s="999"/>
      <c r="F9" s="1001" t="s">
        <v>867</v>
      </c>
      <c r="G9" s="997"/>
      <c r="H9" s="1001" t="s">
        <v>826</v>
      </c>
      <c r="I9" s="997"/>
      <c r="J9" s="1001" t="s">
        <v>924</v>
      </c>
    </row>
    <row r="10" spans="1:10" ht="12.75">
      <c r="A10" s="995">
        <v>1</v>
      </c>
      <c r="B10" s="1002" t="s">
        <v>868</v>
      </c>
      <c r="C10" s="997"/>
      <c r="D10" s="1003" t="s">
        <v>925</v>
      </c>
      <c r="E10" s="997"/>
      <c r="F10" s="1004">
        <f>-'9.2-Unamort Def-Excess ADIT'!H17</f>
        <v>-1376158</v>
      </c>
      <c r="G10" s="1005" t="s">
        <v>827</v>
      </c>
      <c r="H10" s="1006">
        <f>D29</f>
        <v>1.3908612073509796</v>
      </c>
      <c r="I10" s="1005" t="s">
        <v>828</v>
      </c>
      <c r="J10" s="1007">
        <f>ROUND(F10*H10,0)</f>
        <v>-1914045</v>
      </c>
    </row>
    <row r="11" spans="1:10" ht="12.75">
      <c r="A11" s="995">
        <v>2</v>
      </c>
      <c r="B11" s="1002" t="s">
        <v>926</v>
      </c>
      <c r="C11" s="997"/>
      <c r="D11" s="1008" t="s">
        <v>927</v>
      </c>
      <c r="E11" s="997"/>
      <c r="F11" s="1097">
        <f>-'9.2-Unamort Def-Excess ADIT'!H20</f>
        <v>0</v>
      </c>
      <c r="G11" s="1005" t="s">
        <v>827</v>
      </c>
      <c r="H11" s="1006">
        <f>D29</f>
        <v>1.3908612073509796</v>
      </c>
      <c r="I11" s="1005"/>
      <c r="J11" s="1058">
        <f>ROUND(F11*H11,0)</f>
        <v>0</v>
      </c>
    </row>
    <row r="12" spans="1:10" ht="12.75">
      <c r="A12" s="995">
        <v>3</v>
      </c>
      <c r="B12" s="1009" t="s">
        <v>869</v>
      </c>
      <c r="C12" s="997"/>
      <c r="D12" s="1003"/>
      <c r="E12" s="997"/>
      <c r="F12" s="1010"/>
      <c r="G12" s="1005" t="s">
        <v>827</v>
      </c>
      <c r="H12" s="1011"/>
      <c r="I12" s="1005"/>
      <c r="J12" s="1098">
        <f>ROUND(F12*H12,0)</f>
        <v>0</v>
      </c>
    </row>
    <row r="13" spans="1:10" ht="13.5" thickBot="1">
      <c r="A13" s="995">
        <v>4</v>
      </c>
      <c r="B13" s="997" t="s">
        <v>870</v>
      </c>
      <c r="C13" s="997"/>
      <c r="D13" s="997"/>
      <c r="E13" s="997"/>
      <c r="F13" s="1012">
        <f>SUM(F10:F12)</f>
        <v>-1376158</v>
      </c>
      <c r="G13" s="997"/>
      <c r="H13" s="997"/>
      <c r="I13" s="997"/>
      <c r="J13" s="1007"/>
    </row>
    <row r="14" spans="1:10" ht="13.5" thickTop="1">
      <c r="A14" s="995"/>
      <c r="B14" s="997"/>
      <c r="C14" s="997"/>
      <c r="D14" s="997"/>
      <c r="E14" s="997"/>
      <c r="F14" s="997"/>
      <c r="G14" s="997"/>
      <c r="H14" s="997"/>
      <c r="I14" s="997"/>
      <c r="J14" s="1013"/>
    </row>
    <row r="15" spans="1:10" ht="13.5" thickBot="1">
      <c r="A15" s="995">
        <v>5</v>
      </c>
      <c r="B15" s="1014" t="s">
        <v>928</v>
      </c>
      <c r="C15" s="997"/>
      <c r="D15" s="997"/>
      <c r="E15" s="997"/>
      <c r="F15" s="997"/>
      <c r="G15" s="997"/>
      <c r="H15" s="997"/>
      <c r="I15" s="997"/>
      <c r="J15" s="1012">
        <f>SUM(J10:J12)</f>
        <v>-1914045</v>
      </c>
    </row>
    <row r="16" spans="1:10" ht="13.5" thickTop="1">
      <c r="A16" s="995"/>
      <c r="B16" s="997"/>
      <c r="C16" s="997"/>
      <c r="D16" s="997"/>
      <c r="E16" s="997"/>
      <c r="F16" s="997"/>
      <c r="G16" s="997"/>
      <c r="H16" s="997"/>
      <c r="I16" s="997"/>
      <c r="J16" s="1015" t="s">
        <v>929</v>
      </c>
    </row>
    <row r="17" spans="1:10" ht="12.75">
      <c r="A17" s="995"/>
      <c r="B17" s="997"/>
      <c r="C17" s="997"/>
      <c r="D17" s="997"/>
      <c r="E17" s="997"/>
      <c r="F17" s="997"/>
      <c r="G17" s="997"/>
      <c r="H17" s="997"/>
      <c r="I17" s="997"/>
      <c r="J17" s="1007"/>
    </row>
    <row r="18" spans="1:10" ht="12.75">
      <c r="A18" s="995"/>
      <c r="B18" s="1000" t="s">
        <v>488</v>
      </c>
      <c r="C18" s="1016"/>
      <c r="D18" s="1016"/>
      <c r="E18" s="1016"/>
      <c r="F18" s="1016"/>
      <c r="G18" s="1016"/>
      <c r="H18" s="1016"/>
      <c r="I18" s="1016"/>
      <c r="J18" s="1013"/>
    </row>
    <row r="19" spans="1:10" ht="37.5" customHeight="1">
      <c r="A19" s="995"/>
      <c r="B19" s="1619" t="s">
        <v>930</v>
      </c>
      <c r="C19" s="1620"/>
      <c r="D19" s="1620"/>
      <c r="E19" s="1620"/>
      <c r="F19" s="1620"/>
      <c r="G19" s="1620"/>
      <c r="H19" s="1620"/>
      <c r="I19" s="1620"/>
      <c r="J19" s="1620"/>
    </row>
    <row r="20" spans="1:10" ht="12.75">
      <c r="A20" s="995"/>
      <c r="B20" s="997"/>
      <c r="C20" s="997"/>
      <c r="D20" s="997"/>
      <c r="E20" s="997"/>
      <c r="F20" s="997"/>
      <c r="G20" s="997"/>
      <c r="H20" s="997"/>
      <c r="I20" s="997"/>
      <c r="J20" s="997"/>
    </row>
    <row r="21" spans="1:10" ht="24" customHeight="1">
      <c r="A21" s="995"/>
      <c r="B21" s="1619" t="s">
        <v>982</v>
      </c>
      <c r="C21" s="1619"/>
      <c r="D21" s="1619"/>
      <c r="E21" s="1619"/>
      <c r="F21" s="1619"/>
      <c r="G21" s="1619"/>
      <c r="H21" s="1619"/>
      <c r="I21" s="1619"/>
      <c r="J21" s="1619"/>
    </row>
    <row r="22" spans="1:10" ht="12.75">
      <c r="A22" s="995"/>
      <c r="B22" s="997"/>
      <c r="C22" s="997"/>
      <c r="D22" s="997"/>
      <c r="E22" s="997"/>
      <c r="F22" s="997"/>
      <c r="G22" s="997"/>
      <c r="H22" s="997"/>
      <c r="I22" s="997"/>
      <c r="J22" s="997"/>
    </row>
    <row r="23" spans="1:10" ht="12.75">
      <c r="A23" s="995"/>
      <c r="B23" s="1017" t="s">
        <v>931</v>
      </c>
      <c r="C23" s="1018"/>
      <c r="D23" s="1018"/>
      <c r="E23" s="1018"/>
      <c r="F23" s="997"/>
      <c r="G23" s="997"/>
      <c r="H23" s="997"/>
      <c r="I23" s="997"/>
      <c r="J23" s="997"/>
    </row>
    <row r="24" spans="1:10" ht="12.75">
      <c r="A24" s="995"/>
      <c r="B24" s="1019" t="s">
        <v>829</v>
      </c>
      <c r="C24" s="1018"/>
      <c r="D24" s="1020">
        <v>0.21</v>
      </c>
      <c r="E24" s="1018"/>
      <c r="F24" s="997"/>
      <c r="G24" s="997"/>
      <c r="H24" s="997"/>
      <c r="I24" s="997"/>
      <c r="J24" s="997"/>
    </row>
    <row r="25" spans="1:10" ht="12.75">
      <c r="A25" s="995"/>
      <c r="B25" s="1019" t="s">
        <v>830</v>
      </c>
      <c r="C25" s="1018"/>
      <c r="D25" s="1020">
        <v>0.0899</v>
      </c>
      <c r="E25" s="1018"/>
      <c r="F25" s="997"/>
      <c r="G25" s="997"/>
      <c r="H25" s="997"/>
      <c r="I25" s="997"/>
      <c r="J25" s="997"/>
    </row>
    <row r="26" spans="1:10" ht="12.75">
      <c r="A26" s="995"/>
      <c r="B26" s="1019" t="s">
        <v>831</v>
      </c>
      <c r="C26" s="1018"/>
      <c r="D26" s="1021">
        <v>0</v>
      </c>
      <c r="E26" s="1018"/>
      <c r="F26" s="997"/>
      <c r="G26" s="997"/>
      <c r="H26" s="997"/>
      <c r="I26" s="997"/>
      <c r="J26" s="997"/>
    </row>
    <row r="27" spans="1:10" ht="12.75">
      <c r="A27" s="995"/>
      <c r="B27" s="1019" t="s">
        <v>832</v>
      </c>
      <c r="C27" s="1018"/>
      <c r="D27" s="1021">
        <f>1-(((1-D25)*(1-D24))/(1-D25*D24*D26))</f>
        <v>0.28102099999999997</v>
      </c>
      <c r="E27" s="1018"/>
      <c r="F27" s="997"/>
      <c r="G27" s="997"/>
      <c r="H27" s="997"/>
      <c r="I27" s="997"/>
      <c r="J27" s="997"/>
    </row>
    <row r="28" spans="1:10" ht="12.75">
      <c r="A28" s="995"/>
      <c r="B28" s="1019" t="s">
        <v>833</v>
      </c>
      <c r="C28" s="1018"/>
      <c r="D28" s="1021">
        <f>D27/(1-D27)</f>
        <v>0.39086120735097957</v>
      </c>
      <c r="E28" s="1018"/>
      <c r="F28" s="997"/>
      <c r="G28" s="997"/>
      <c r="H28" s="997"/>
      <c r="I28" s="997"/>
      <c r="J28" s="997"/>
    </row>
    <row r="29" spans="1:10" ht="12.75">
      <c r="A29" s="995"/>
      <c r="B29" s="1022" t="s">
        <v>932</v>
      </c>
      <c r="C29" s="1023"/>
      <c r="D29" s="1024">
        <f>1/(1-D27)</f>
        <v>1.3908612073509796</v>
      </c>
      <c r="E29" s="1018"/>
      <c r="F29" s="997"/>
      <c r="G29" s="997"/>
      <c r="H29" s="997"/>
      <c r="I29" s="997"/>
      <c r="J29" s="997"/>
    </row>
    <row r="30" spans="1:10" ht="12.75">
      <c r="A30" s="1025"/>
      <c r="B30" s="1026"/>
      <c r="C30" s="1026"/>
      <c r="D30" s="1026"/>
      <c r="E30" s="1026"/>
      <c r="F30" s="1025"/>
      <c r="G30" s="1025"/>
      <c r="H30" s="1025"/>
      <c r="I30" s="1025"/>
      <c r="J30" s="1025"/>
    </row>
    <row r="31" spans="2:4" ht="12.75">
      <c r="B31" s="1017" t="s">
        <v>933</v>
      </c>
      <c r="D31" s="1027"/>
    </row>
    <row r="39" ht="12.75">
      <c r="A39" s="1028"/>
    </row>
    <row r="308" ht="12.75">
      <c r="B308" s="1029"/>
    </row>
    <row r="309" ht="12.75">
      <c r="B309" s="1029"/>
    </row>
  </sheetData>
  <sheetProtection/>
  <mergeCells count="5">
    <mergeCell ref="B19:J19"/>
    <mergeCell ref="B21:J21"/>
    <mergeCell ref="A1:J1"/>
    <mergeCell ref="A2:J2"/>
    <mergeCell ref="A3:J3"/>
  </mergeCells>
  <printOptions/>
  <pageMargins left="0.7" right="0.7" top="0.75" bottom="0.75" header="0.3" footer="0.3"/>
  <pageSetup fitToHeight="1" fitToWidth="1" horizontalDpi="600" verticalDpi="600" orientation="landscape" scale="74" r:id="rId1"/>
</worksheet>
</file>

<file path=xl/worksheets/sheet11.xml><?xml version="1.0" encoding="utf-8"?>
<worksheet xmlns="http://schemas.openxmlformats.org/spreadsheetml/2006/main" xmlns:r="http://schemas.openxmlformats.org/officeDocument/2006/relationships">
  <sheetPr>
    <pageSetUpPr fitToPage="1"/>
  </sheetPr>
  <dimension ref="A1:N317"/>
  <sheetViews>
    <sheetView zoomScale="87" zoomScaleNormal="87" zoomScalePageLayoutView="0" workbookViewId="0" topLeftCell="A1">
      <selection activeCell="I2" sqref="I2"/>
    </sheetView>
  </sheetViews>
  <sheetFormatPr defaultColWidth="8.57421875" defaultRowHeight="12.75"/>
  <cols>
    <col min="1" max="1" width="4.57421875" style="998" customWidth="1"/>
    <col min="2" max="2" width="51.00390625" style="998" customWidth="1"/>
    <col min="3" max="4" width="14.421875" style="998" customWidth="1"/>
    <col min="5" max="7" width="15.57421875" style="998" customWidth="1"/>
    <col min="8" max="8" width="16.00390625" style="998" customWidth="1"/>
    <col min="9" max="9" width="15.57421875" style="998" customWidth="1"/>
    <col min="10" max="10" width="12.421875" style="998" bestFit="1" customWidth="1"/>
    <col min="11" max="12" width="8.57421875" style="998" customWidth="1"/>
    <col min="13" max="13" width="11.57421875" style="998" bestFit="1" customWidth="1"/>
    <col min="14" max="16384" width="8.57421875" style="998" customWidth="1"/>
  </cols>
  <sheetData>
    <row r="1" spans="1:14" ht="12.75">
      <c r="A1" s="1621" t="s">
        <v>985</v>
      </c>
      <c r="B1" s="1621"/>
      <c r="C1" s="1621"/>
      <c r="D1" s="1621"/>
      <c r="E1" s="1621"/>
      <c r="F1" s="1621"/>
      <c r="G1" s="1621"/>
      <c r="H1" s="1621"/>
      <c r="I1" s="1621"/>
      <c r="J1" s="1621"/>
      <c r="K1" s="1621"/>
      <c r="L1" s="1621"/>
      <c r="M1" s="1621"/>
      <c r="N1" s="1621"/>
    </row>
    <row r="2" spans="1:14" ht="12.75">
      <c r="A2" s="1621" t="s">
        <v>986</v>
      </c>
      <c r="B2" s="1621"/>
      <c r="C2" s="1621"/>
      <c r="D2" s="1621"/>
      <c r="E2" s="1621"/>
      <c r="F2" s="1621"/>
      <c r="G2" s="1621"/>
      <c r="H2" s="1621"/>
      <c r="I2" s="1621"/>
      <c r="J2" s="1621"/>
      <c r="K2" s="1621"/>
      <c r="L2" s="1621"/>
      <c r="M2" s="1621"/>
      <c r="N2" s="1621"/>
    </row>
    <row r="3" spans="1:14" ht="12.75">
      <c r="A3" s="1621" t="s">
        <v>934</v>
      </c>
      <c r="B3" s="1621"/>
      <c r="C3" s="1621"/>
      <c r="D3" s="1621"/>
      <c r="E3" s="1621"/>
      <c r="F3" s="1621"/>
      <c r="G3" s="1621"/>
      <c r="H3" s="1621"/>
      <c r="I3" s="1621"/>
      <c r="J3" s="1621"/>
      <c r="K3" s="1621"/>
      <c r="L3" s="1621"/>
      <c r="M3" s="1621"/>
      <c r="N3" s="1621"/>
    </row>
    <row r="4" spans="1:10" ht="12.75">
      <c r="A4" s="995"/>
      <c r="B4" s="996"/>
      <c r="C4" s="1028"/>
      <c r="D4" s="1028"/>
      <c r="E4" s="1028"/>
      <c r="F4" s="1028"/>
      <c r="G4" s="1028"/>
      <c r="H4" s="995"/>
      <c r="I4" s="995"/>
      <c r="J4" s="1018"/>
    </row>
    <row r="5" spans="1:10" ht="12.75">
      <c r="A5" s="995"/>
      <c r="B5" s="1030"/>
      <c r="C5" s="1030"/>
      <c r="D5" s="1030"/>
      <c r="E5" s="1028"/>
      <c r="F5" s="1028"/>
      <c r="G5" s="1028"/>
      <c r="H5" s="1028"/>
      <c r="I5" s="1028"/>
      <c r="J5" s="1018"/>
    </row>
    <row r="6" spans="1:10" ht="12.75">
      <c r="A6" s="995"/>
      <c r="B6" s="1031" t="s">
        <v>306</v>
      </c>
      <c r="C6" s="1031" t="s">
        <v>437</v>
      </c>
      <c r="D6" s="1031" t="s">
        <v>287</v>
      </c>
      <c r="E6" s="1031" t="s">
        <v>307</v>
      </c>
      <c r="F6" s="1031" t="s">
        <v>305</v>
      </c>
      <c r="G6" s="1031" t="s">
        <v>590</v>
      </c>
      <c r="H6" s="1031" t="s">
        <v>308</v>
      </c>
      <c r="I6" s="1031" t="s">
        <v>84</v>
      </c>
      <c r="J6" s="1031" t="s">
        <v>294</v>
      </c>
    </row>
    <row r="7" spans="1:10" ht="12.75">
      <c r="A7" s="995"/>
      <c r="B7" s="1028"/>
      <c r="C7" s="1028"/>
      <c r="D7" s="1028"/>
      <c r="E7" s="1031"/>
      <c r="F7" s="1031"/>
      <c r="G7" s="1031"/>
      <c r="H7" s="995"/>
      <c r="I7" s="995"/>
      <c r="J7" s="1032"/>
    </row>
    <row r="8" spans="1:10" ht="93" thickBot="1">
      <c r="A8" s="995"/>
      <c r="B8" s="1033" t="s">
        <v>861</v>
      </c>
      <c r="C8" s="1033" t="s">
        <v>935</v>
      </c>
      <c r="D8" s="1033" t="s">
        <v>862</v>
      </c>
      <c r="E8" s="1033" t="s">
        <v>936</v>
      </c>
      <c r="F8" s="1033" t="s">
        <v>937</v>
      </c>
      <c r="G8" s="1033" t="s">
        <v>938</v>
      </c>
      <c r="H8" s="1033" t="s">
        <v>939</v>
      </c>
      <c r="I8" s="1033" t="s">
        <v>940</v>
      </c>
      <c r="J8" s="1033" t="s">
        <v>941</v>
      </c>
    </row>
    <row r="9" spans="1:10" ht="15" customHeight="1">
      <c r="A9" s="995"/>
      <c r="B9" s="1034" t="s">
        <v>856</v>
      </c>
      <c r="C9" s="1034" t="s">
        <v>857</v>
      </c>
      <c r="D9" s="1034" t="s">
        <v>858</v>
      </c>
      <c r="E9" s="1034" t="s">
        <v>859</v>
      </c>
      <c r="F9" s="1034" t="s">
        <v>860</v>
      </c>
      <c r="G9" s="1034" t="s">
        <v>863</v>
      </c>
      <c r="H9" s="1034" t="s">
        <v>864</v>
      </c>
      <c r="I9" s="1034" t="s">
        <v>942</v>
      </c>
      <c r="J9" s="1035"/>
    </row>
    <row r="10" spans="1:10" ht="12.75">
      <c r="A10" s="995"/>
      <c r="B10" s="1028"/>
      <c r="C10" s="1028"/>
      <c r="D10" s="1028"/>
      <c r="E10" s="1034"/>
      <c r="F10" s="1034"/>
      <c r="G10" s="1034"/>
      <c r="H10" s="1034"/>
      <c r="I10" s="1034"/>
      <c r="J10" s="1035"/>
    </row>
    <row r="11" spans="1:10" ht="12.75">
      <c r="A11" s="995">
        <f>A8+1</f>
        <v>1</v>
      </c>
      <c r="B11" s="1030" t="s">
        <v>943</v>
      </c>
      <c r="C11" s="1028"/>
      <c r="D11" s="1028"/>
      <c r="E11" s="1034"/>
      <c r="F11" s="1034"/>
      <c r="G11" s="1034"/>
      <c r="H11" s="1034"/>
      <c r="I11" s="1034"/>
      <c r="J11" s="1035"/>
    </row>
    <row r="12" spans="1:14" ht="12.75">
      <c r="A12" s="995">
        <f aca="true" t="shared" si="0" ref="A12:A17">A11+1</f>
        <v>2</v>
      </c>
      <c r="B12" s="1036" t="s">
        <v>944</v>
      </c>
      <c r="C12" s="1037" t="s">
        <v>945</v>
      </c>
      <c r="D12" s="1037" t="s">
        <v>834</v>
      </c>
      <c r="E12" s="1038">
        <f>'9.3 - TCJA 2017'!H14</f>
        <v>-62306925.682461865</v>
      </c>
      <c r="F12" s="1039">
        <v>3645524.8799999994</v>
      </c>
      <c r="G12" s="1115">
        <f>E12+F12</f>
        <v>-58661400.80246186</v>
      </c>
      <c r="H12" s="1039">
        <v>1165070</v>
      </c>
      <c r="I12" s="1040">
        <f>G12+H12</f>
        <v>-57496330.80246186</v>
      </c>
      <c r="J12" s="1027"/>
      <c r="K12" s="1027"/>
      <c r="L12" s="1027"/>
      <c r="M12" s="1027"/>
      <c r="N12" s="1027"/>
    </row>
    <row r="13" spans="1:14" ht="12.75">
      <c r="A13" s="995">
        <f t="shared" si="0"/>
        <v>3</v>
      </c>
      <c r="B13" s="1036" t="s">
        <v>984</v>
      </c>
      <c r="C13" s="1037" t="s">
        <v>945</v>
      </c>
      <c r="D13" s="1037" t="s">
        <v>834</v>
      </c>
      <c r="E13" s="1041">
        <f>'9.3 - TCJA 2017'!I14</f>
        <v>874046.9354176718</v>
      </c>
      <c r="F13" s="1041">
        <v>378782.0400000004</v>
      </c>
      <c r="G13" s="1042">
        <f>E13+F13</f>
        <v>1252828.9754176722</v>
      </c>
      <c r="H13" s="1043">
        <v>211088</v>
      </c>
      <c r="I13" s="1044">
        <f>G13+H13</f>
        <v>1463916.9754176722</v>
      </c>
      <c r="J13" s="1045"/>
      <c r="K13" s="1027"/>
      <c r="L13" s="1027"/>
      <c r="M13" s="1027"/>
      <c r="N13" s="1027"/>
    </row>
    <row r="14" spans="1:14" ht="12.75">
      <c r="A14" s="194">
        <f t="shared" si="0"/>
        <v>4</v>
      </c>
      <c r="B14" s="384" t="s">
        <v>946</v>
      </c>
      <c r="C14" s="1037" t="s">
        <v>945</v>
      </c>
      <c r="D14" s="1037" t="s">
        <v>834</v>
      </c>
      <c r="E14" s="1046">
        <f>SUM(E12:E13)</f>
        <v>-61432878.74704419</v>
      </c>
      <c r="F14" s="1046">
        <f>SUM(F12:F13)</f>
        <v>4024306.92</v>
      </c>
      <c r="G14" s="1046">
        <f>SUM(G12:G13)</f>
        <v>-57408571.82704419</v>
      </c>
      <c r="H14" s="1046">
        <f>SUM(H12:H13)</f>
        <v>1376158</v>
      </c>
      <c r="I14" s="1046">
        <f>SUM(I12:I13)</f>
        <v>-56032413.82704419</v>
      </c>
      <c r="J14" s="1045" t="s">
        <v>947</v>
      </c>
      <c r="K14" s="549"/>
      <c r="L14" s="549"/>
      <c r="M14" s="549"/>
      <c r="N14" s="549"/>
    </row>
    <row r="15" spans="1:14" ht="12.75">
      <c r="A15" s="995">
        <f t="shared" si="0"/>
        <v>5</v>
      </c>
      <c r="B15" s="1036" t="s">
        <v>948</v>
      </c>
      <c r="C15" s="1037" t="s">
        <v>945</v>
      </c>
      <c r="D15" s="1047" t="s">
        <v>835</v>
      </c>
      <c r="E15" s="1041">
        <f>'9.3 - TCJA 2017'!K28</f>
        <v>-8351935</v>
      </c>
      <c r="F15" s="1041">
        <v>8351935.333333334</v>
      </c>
      <c r="G15" s="1048">
        <f>E15+F15</f>
        <v>0.33333333395421505</v>
      </c>
      <c r="H15" s="1041">
        <v>0</v>
      </c>
      <c r="I15" s="1049">
        <f>G15+H15</f>
        <v>0.33333333395421505</v>
      </c>
      <c r="J15" s="1045" t="s">
        <v>949</v>
      </c>
      <c r="K15" s="1027"/>
      <c r="L15" s="1027"/>
      <c r="M15" s="1050"/>
      <c r="N15" s="1027"/>
    </row>
    <row r="16" spans="1:14" ht="12.75">
      <c r="A16" s="995">
        <f t="shared" si="0"/>
        <v>6</v>
      </c>
      <c r="B16" s="1051" t="s">
        <v>950</v>
      </c>
      <c r="C16" s="1051"/>
      <c r="D16" s="1051"/>
      <c r="E16" s="1041">
        <v>0</v>
      </c>
      <c r="F16" s="1041">
        <v>0</v>
      </c>
      <c r="G16" s="1048">
        <f>E16-F16</f>
        <v>0</v>
      </c>
      <c r="H16" s="1041">
        <v>0</v>
      </c>
      <c r="I16" s="1049">
        <f>G16+H16</f>
        <v>0</v>
      </c>
      <c r="J16" s="1045"/>
      <c r="K16" s="1027"/>
      <c r="L16" s="1027"/>
      <c r="M16" s="1050"/>
      <c r="N16" s="1027"/>
    </row>
    <row r="17" spans="1:14" ht="12.75">
      <c r="A17" s="995">
        <f t="shared" si="0"/>
        <v>7</v>
      </c>
      <c r="B17" s="349" t="s">
        <v>951</v>
      </c>
      <c r="C17" s="1037" t="s">
        <v>945</v>
      </c>
      <c r="D17" s="1047"/>
      <c r="E17" s="1046">
        <f>SUM(E14:E15)</f>
        <v>-69784813.74704419</v>
      </c>
      <c r="F17" s="1046">
        <f>SUM(F14:F15)</f>
        <v>12376242.253333334</v>
      </c>
      <c r="G17" s="1046">
        <f>SUM(G14:G15)</f>
        <v>-57408571.49371085</v>
      </c>
      <c r="H17" s="1046">
        <f>SUM(H14:H15)</f>
        <v>1376158</v>
      </c>
      <c r="I17" s="1046">
        <f>SUM(I14:I15)</f>
        <v>-56032413.49371085</v>
      </c>
      <c r="J17" s="1052"/>
      <c r="K17" s="1027"/>
      <c r="L17" s="1027"/>
      <c r="M17" s="1053"/>
      <c r="N17" s="1027"/>
    </row>
    <row r="18" spans="1:13" ht="12.75">
      <c r="A18" s="995"/>
      <c r="B18" s="349"/>
      <c r="C18" s="1037"/>
      <c r="D18" s="1047"/>
      <c r="E18" s="1054"/>
      <c r="F18" s="1054"/>
      <c r="G18" s="1054"/>
      <c r="H18" s="1054"/>
      <c r="I18" s="1054"/>
      <c r="J18" s="1055"/>
      <c r="M18" s="1056"/>
    </row>
    <row r="19" spans="1:13" ht="12.75">
      <c r="A19" s="995">
        <f>A17+1</f>
        <v>8</v>
      </c>
      <c r="B19" s="349" t="s">
        <v>952</v>
      </c>
      <c r="C19" s="1037"/>
      <c r="D19" s="1047"/>
      <c r="E19" s="1054"/>
      <c r="F19" s="1054"/>
      <c r="G19" s="1054"/>
      <c r="H19" s="1054"/>
      <c r="I19" s="1054"/>
      <c r="J19" s="1055"/>
      <c r="M19" s="1056"/>
    </row>
    <row r="20" spans="1:14" ht="12.75">
      <c r="A20" s="995">
        <f>A19+1</f>
        <v>9</v>
      </c>
      <c r="B20" s="1036" t="s">
        <v>953</v>
      </c>
      <c r="C20" s="1037" t="s">
        <v>945</v>
      </c>
      <c r="D20" s="1047" t="s">
        <v>835</v>
      </c>
      <c r="E20" s="1038">
        <f>'9.3 - TCJA 2017'!J28</f>
        <v>5724074</v>
      </c>
      <c r="F20" s="1039">
        <v>-5724073.666666667</v>
      </c>
      <c r="G20" s="1115">
        <f>E20+F20</f>
        <v>0.3333333330228925</v>
      </c>
      <c r="H20" s="1039">
        <v>0</v>
      </c>
      <c r="I20" s="1040">
        <f>G20+H20</f>
        <v>0.3333333330228925</v>
      </c>
      <c r="J20" s="1045" t="s">
        <v>954</v>
      </c>
      <c r="K20" s="1027"/>
      <c r="L20" s="1027"/>
      <c r="M20" s="1027"/>
      <c r="N20" s="1027"/>
    </row>
    <row r="21" spans="1:14" ht="12.75">
      <c r="A21" s="995">
        <f>A20+1</f>
        <v>10</v>
      </c>
      <c r="B21" s="1051" t="s">
        <v>950</v>
      </c>
      <c r="C21" s="1051"/>
      <c r="D21" s="1051"/>
      <c r="E21" s="1041">
        <v>0</v>
      </c>
      <c r="F21" s="1041"/>
      <c r="G21" s="1042"/>
      <c r="H21" s="1043"/>
      <c r="I21" s="1044"/>
      <c r="J21" s="1045"/>
      <c r="K21" s="1027"/>
      <c r="L21" s="1027"/>
      <c r="M21" s="1027"/>
      <c r="N21" s="1027"/>
    </row>
    <row r="22" spans="1:14" ht="12.75">
      <c r="A22" s="995">
        <f>A21+1</f>
        <v>11</v>
      </c>
      <c r="B22" s="349" t="s">
        <v>955</v>
      </c>
      <c r="C22" s="1037" t="s">
        <v>945</v>
      </c>
      <c r="D22" s="1047"/>
      <c r="E22" s="1057">
        <f>SUM(E20:E21)</f>
        <v>5724074</v>
      </c>
      <c r="F22" s="1057">
        <f>SUM(F20:F21)</f>
        <v>-5724073.666666667</v>
      </c>
      <c r="G22" s="1057">
        <f>SUM(G20:G21)</f>
        <v>0.3333333330228925</v>
      </c>
      <c r="H22" s="1057">
        <f>SUM(H20:H21)</f>
        <v>0</v>
      </c>
      <c r="I22" s="1057">
        <f>SUM(I20:I21)</f>
        <v>0.3333333330228925</v>
      </c>
      <c r="J22" s="1045"/>
      <c r="K22" s="1027"/>
      <c r="L22" s="1027"/>
      <c r="M22" s="1027"/>
      <c r="N22" s="1027"/>
    </row>
    <row r="23" spans="1:10" ht="12.75">
      <c r="A23" s="995"/>
      <c r="B23" s="1036"/>
      <c r="C23" s="1037"/>
      <c r="D23" s="1047"/>
      <c r="E23" s="1058"/>
      <c r="F23" s="1048"/>
      <c r="G23" s="1042"/>
      <c r="H23" s="1048"/>
      <c r="I23" s="1044"/>
      <c r="J23" s="1059"/>
    </row>
    <row r="24" spans="1:14" ht="13.5" thickBot="1">
      <c r="A24" s="995">
        <f>A22+1</f>
        <v>12</v>
      </c>
      <c r="B24" s="349" t="s">
        <v>956</v>
      </c>
      <c r="C24" s="1037"/>
      <c r="D24" s="1047"/>
      <c r="E24" s="1060">
        <f>E17+E22</f>
        <v>-64060739.74704419</v>
      </c>
      <c r="F24" s="1060">
        <f>F17+F22</f>
        <v>6652168.586666667</v>
      </c>
      <c r="G24" s="1060">
        <f>G17+G22</f>
        <v>-57408571.16037752</v>
      </c>
      <c r="H24" s="1060">
        <f>H17+H22</f>
        <v>1376158</v>
      </c>
      <c r="I24" s="1060">
        <f>I17+I22</f>
        <v>-56032413.16037752</v>
      </c>
      <c r="J24" s="1045"/>
      <c r="K24" s="1027"/>
      <c r="L24" s="1027"/>
      <c r="M24" s="1027"/>
      <c r="N24" s="1027"/>
    </row>
    <row r="25" spans="1:10" ht="13.5" thickTop="1">
      <c r="A25" s="995"/>
      <c r="B25" s="1028"/>
      <c r="C25" s="1028"/>
      <c r="D25" s="1028"/>
      <c r="E25" s="1061" t="s">
        <v>957</v>
      </c>
      <c r="F25" s="1028"/>
      <c r="G25" s="1028"/>
      <c r="H25" s="1061" t="s">
        <v>958</v>
      </c>
      <c r="I25" s="995"/>
      <c r="J25" s="1062"/>
    </row>
    <row r="26" spans="1:10" ht="12.75">
      <c r="A26" s="995"/>
      <c r="B26" s="1028"/>
      <c r="C26" s="1028"/>
      <c r="D26" s="1028"/>
      <c r="E26" s="1028"/>
      <c r="F26" s="1028"/>
      <c r="G26" s="1028"/>
      <c r="H26" s="1028"/>
      <c r="I26" s="1028"/>
      <c r="J26" s="1062"/>
    </row>
    <row r="27" spans="1:10" ht="13.5" thickBot="1">
      <c r="A27" s="995"/>
      <c r="B27" s="1063" t="s">
        <v>488</v>
      </c>
      <c r="C27" s="1063"/>
      <c r="D27" s="1063"/>
      <c r="E27" s="1063"/>
      <c r="F27" s="1063"/>
      <c r="G27" s="1063"/>
      <c r="H27" s="1063"/>
      <c r="I27" s="1063"/>
      <c r="J27" s="1062"/>
    </row>
    <row r="28" spans="1:10" ht="91.5" customHeight="1">
      <c r="A28" s="1064"/>
      <c r="B28" s="1622" t="s">
        <v>992</v>
      </c>
      <c r="C28" s="1624"/>
      <c r="D28" s="1624"/>
      <c r="E28" s="1624"/>
      <c r="F28" s="1624"/>
      <c r="G28" s="1624"/>
      <c r="H28" s="1624"/>
      <c r="I28" s="1624"/>
      <c r="J28" s="1065"/>
    </row>
    <row r="29" spans="1:10" ht="48.75" customHeight="1">
      <c r="A29" s="1064"/>
      <c r="B29" s="1622" t="s">
        <v>993</v>
      </c>
      <c r="C29" s="1622"/>
      <c r="D29" s="1622"/>
      <c r="E29" s="1622"/>
      <c r="F29" s="1622"/>
      <c r="G29" s="1622"/>
      <c r="H29" s="1622"/>
      <c r="I29" s="1622"/>
      <c r="J29" s="1065"/>
    </row>
    <row r="30" spans="1:10" ht="33" customHeight="1">
      <c r="A30" s="1064"/>
      <c r="B30" s="1622" t="s">
        <v>994</v>
      </c>
      <c r="C30" s="1624"/>
      <c r="D30" s="1624"/>
      <c r="E30" s="1624"/>
      <c r="F30" s="1624"/>
      <c r="G30" s="1624"/>
      <c r="H30" s="1624"/>
      <c r="I30" s="1624"/>
      <c r="J30" s="1065"/>
    </row>
    <row r="31" spans="1:10" ht="63" customHeight="1">
      <c r="A31" s="1064"/>
      <c r="B31" s="1622" t="s">
        <v>995</v>
      </c>
      <c r="C31" s="1624"/>
      <c r="D31" s="1624"/>
      <c r="E31" s="1624"/>
      <c r="F31" s="1624"/>
      <c r="G31" s="1624"/>
      <c r="H31" s="1624"/>
      <c r="I31" s="1624"/>
      <c r="J31" s="1065"/>
    </row>
    <row r="32" spans="1:10" ht="32.25" customHeight="1">
      <c r="A32" s="1064"/>
      <c r="B32" s="1622" t="s">
        <v>996</v>
      </c>
      <c r="C32" s="1623"/>
      <c r="D32" s="1623"/>
      <c r="E32" s="1623"/>
      <c r="F32" s="1623"/>
      <c r="G32" s="1623"/>
      <c r="H32" s="1623"/>
      <c r="I32" s="1623"/>
      <c r="J32" s="1065"/>
    </row>
    <row r="33" spans="1:10" ht="36" customHeight="1">
      <c r="A33" s="1064"/>
      <c r="B33" s="1622" t="s">
        <v>997</v>
      </c>
      <c r="C33" s="1623"/>
      <c r="D33" s="1623"/>
      <c r="E33" s="1623"/>
      <c r="F33" s="1623"/>
      <c r="G33" s="1623"/>
      <c r="H33" s="1623"/>
      <c r="I33" s="1623"/>
      <c r="J33" s="1066"/>
    </row>
    <row r="34" spans="1:10" ht="60" customHeight="1">
      <c r="A34" s="1064"/>
      <c r="B34" s="1622" t="s">
        <v>998</v>
      </c>
      <c r="C34" s="1623"/>
      <c r="D34" s="1623"/>
      <c r="E34" s="1623"/>
      <c r="F34" s="1623"/>
      <c r="G34" s="1623"/>
      <c r="H34" s="1623"/>
      <c r="I34" s="1623"/>
      <c r="J34" s="1066"/>
    </row>
    <row r="35" spans="1:10" ht="36.75" customHeight="1">
      <c r="A35" s="1064"/>
      <c r="B35" s="1622" t="s">
        <v>999</v>
      </c>
      <c r="C35" s="1623"/>
      <c r="D35" s="1623"/>
      <c r="E35" s="1623"/>
      <c r="F35" s="1623"/>
      <c r="G35" s="1623"/>
      <c r="H35" s="1623"/>
      <c r="I35" s="1623"/>
      <c r="J35" s="1067"/>
    </row>
    <row r="36" spans="1:10" ht="14.25">
      <c r="A36" s="1068"/>
      <c r="B36" s="1069"/>
      <c r="C36" s="1069"/>
      <c r="D36" s="1069"/>
      <c r="E36" s="1069"/>
      <c r="F36" s="1069"/>
      <c r="G36" s="1069"/>
      <c r="H36" s="1069"/>
      <c r="I36" s="1069"/>
      <c r="J36" s="1067"/>
    </row>
    <row r="37" spans="1:10" ht="14.25">
      <c r="A37" s="1026"/>
      <c r="B37" s="1070"/>
      <c r="C37" s="1070"/>
      <c r="D37" s="1070"/>
      <c r="E37" s="1070"/>
      <c r="F37" s="1070"/>
      <c r="G37" s="1070"/>
      <c r="H37" s="1070"/>
      <c r="I37" s="1070"/>
      <c r="J37" s="1067"/>
    </row>
    <row r="38" spans="1:10" ht="14.25">
      <c r="A38" s="1026"/>
      <c r="B38" s="1071"/>
      <c r="C38" s="1071"/>
      <c r="D38" s="1071"/>
      <c r="E38" s="1071"/>
      <c r="F38" s="1072"/>
      <c r="G38" s="1072"/>
      <c r="H38" s="1072"/>
      <c r="I38" s="1072"/>
      <c r="J38" s="1066"/>
    </row>
    <row r="39" spans="1:10" ht="14.25">
      <c r="A39" s="1018"/>
      <c r="B39" s="1071"/>
      <c r="C39" s="1071"/>
      <c r="D39" s="1071"/>
      <c r="E39" s="1071"/>
      <c r="F39" s="1071"/>
      <c r="G39" s="1071"/>
      <c r="H39" s="1071"/>
      <c r="I39" s="1071"/>
      <c r="J39" s="1073"/>
    </row>
    <row r="316" ht="12.75">
      <c r="B316" s="1029"/>
    </row>
    <row r="317" ht="12.75">
      <c r="B317" s="1029"/>
    </row>
  </sheetData>
  <sheetProtection/>
  <mergeCells count="11">
    <mergeCell ref="A1:N1"/>
    <mergeCell ref="A2:N2"/>
    <mergeCell ref="A3:N3"/>
    <mergeCell ref="B34:I34"/>
    <mergeCell ref="B35:I35"/>
    <mergeCell ref="B28:I28"/>
    <mergeCell ref="B29:I29"/>
    <mergeCell ref="B30:I30"/>
    <mergeCell ref="B31:I31"/>
    <mergeCell ref="B32:I32"/>
    <mergeCell ref="B33:I33"/>
  </mergeCells>
  <printOptions/>
  <pageMargins left="0.7" right="0.7" top="0.75" bottom="0.75" header="0.3" footer="0.3"/>
  <pageSetup fitToHeight="1" fitToWidth="1" horizontalDpi="600" verticalDpi="600" orientation="landscape" scale="58" r:id="rId1"/>
</worksheet>
</file>

<file path=xl/worksheets/sheet12.xml><?xml version="1.0" encoding="utf-8"?>
<worksheet xmlns="http://schemas.openxmlformats.org/spreadsheetml/2006/main" xmlns:r="http://schemas.openxmlformats.org/officeDocument/2006/relationships">
  <sheetPr>
    <pageSetUpPr fitToPage="1"/>
  </sheetPr>
  <dimension ref="A1:N242"/>
  <sheetViews>
    <sheetView zoomScale="87" zoomScaleNormal="87" zoomScalePageLayoutView="0" workbookViewId="0" topLeftCell="A7">
      <selection activeCell="I2" sqref="I2"/>
    </sheetView>
  </sheetViews>
  <sheetFormatPr defaultColWidth="8.57421875" defaultRowHeight="12.75"/>
  <cols>
    <col min="1" max="1" width="3.57421875" style="998" customWidth="1"/>
    <col min="2" max="2" width="37.57421875" style="998" customWidth="1"/>
    <col min="3" max="3" width="10.421875" style="998" customWidth="1"/>
    <col min="4" max="4" width="14.57421875" style="998" customWidth="1"/>
    <col min="5" max="6" width="15.421875" style="998" customWidth="1"/>
    <col min="7" max="10" width="14.57421875" style="998" customWidth="1"/>
    <col min="11" max="11" width="15.57421875" style="998" customWidth="1"/>
    <col min="12" max="13" width="8.57421875" style="998" customWidth="1"/>
    <col min="14" max="14" width="13.421875" style="998" bestFit="1" customWidth="1"/>
    <col min="15" max="16384" width="8.57421875" style="998" customWidth="1"/>
  </cols>
  <sheetData>
    <row r="1" spans="1:11" ht="12.75">
      <c r="A1" s="1628" t="s">
        <v>985</v>
      </c>
      <c r="B1" s="1628"/>
      <c r="C1" s="1628"/>
      <c r="D1" s="1628"/>
      <c r="E1" s="1628"/>
      <c r="F1" s="1628"/>
      <c r="G1" s="1628"/>
      <c r="H1" s="1628"/>
      <c r="I1" s="1628"/>
      <c r="J1" s="1628"/>
      <c r="K1" s="1628"/>
    </row>
    <row r="2" spans="1:11" ht="12.75">
      <c r="A2" s="1628" t="s">
        <v>986</v>
      </c>
      <c r="B2" s="1628"/>
      <c r="C2" s="1628"/>
      <c r="D2" s="1628"/>
      <c r="E2" s="1628"/>
      <c r="F2" s="1628"/>
      <c r="G2" s="1628"/>
      <c r="H2" s="1628"/>
      <c r="I2" s="1628"/>
      <c r="J2" s="1628"/>
      <c r="K2" s="1628"/>
    </row>
    <row r="3" spans="1:11" ht="12.75">
      <c r="A3" s="1628" t="s">
        <v>959</v>
      </c>
      <c r="B3" s="1628"/>
      <c r="C3" s="1628"/>
      <c r="D3" s="1628"/>
      <c r="E3" s="1628"/>
      <c r="F3" s="1628"/>
      <c r="G3" s="1628"/>
      <c r="H3" s="1628"/>
      <c r="I3" s="1628"/>
      <c r="J3" s="1628"/>
      <c r="K3" s="1628"/>
    </row>
    <row r="4" spans="1:9" ht="12.75">
      <c r="A4" s="1028"/>
      <c r="B4" s="996"/>
      <c r="C4" s="1028"/>
      <c r="D4" s="1028"/>
      <c r="E4" s="1028"/>
      <c r="F4" s="1028"/>
      <c r="G4" s="1028"/>
      <c r="H4" s="995"/>
      <c r="I4" s="1028"/>
    </row>
    <row r="5" spans="1:9" ht="12.75">
      <c r="A5" s="1028"/>
      <c r="B5" s="1074"/>
      <c r="C5" s="1028"/>
      <c r="D5" s="1075"/>
      <c r="E5" s="1028"/>
      <c r="F5" s="1028"/>
      <c r="G5" s="1028"/>
      <c r="H5" s="1028"/>
      <c r="I5" s="1028"/>
    </row>
    <row r="6" spans="1:11" ht="12.75">
      <c r="A6" s="1028"/>
      <c r="B6" s="1031" t="s">
        <v>306</v>
      </c>
      <c r="C6" s="1031" t="s">
        <v>437</v>
      </c>
      <c r="D6" s="1031" t="s">
        <v>287</v>
      </c>
      <c r="E6" s="1031" t="s">
        <v>307</v>
      </c>
      <c r="F6" s="1031" t="s">
        <v>305</v>
      </c>
      <c r="G6" s="1031" t="s">
        <v>590</v>
      </c>
      <c r="H6" s="1031" t="s">
        <v>308</v>
      </c>
      <c r="I6" s="1031" t="s">
        <v>84</v>
      </c>
      <c r="J6" s="1031" t="s">
        <v>294</v>
      </c>
      <c r="K6" s="1031" t="s">
        <v>296</v>
      </c>
    </row>
    <row r="7" spans="1:9" ht="12.75">
      <c r="A7" s="1028"/>
      <c r="B7" s="1028"/>
      <c r="C7" s="1028"/>
      <c r="D7" s="1028"/>
      <c r="E7" s="1028"/>
      <c r="F7" s="1028"/>
      <c r="G7" s="1028"/>
      <c r="H7" s="1028"/>
      <c r="I7" s="1028"/>
    </row>
    <row r="8" spans="1:11" ht="66">
      <c r="A8" s="995"/>
      <c r="B8" s="1076" t="s">
        <v>853</v>
      </c>
      <c r="C8" s="1076" t="s">
        <v>960</v>
      </c>
      <c r="D8" s="1076" t="s">
        <v>961</v>
      </c>
      <c r="E8" s="1076" t="s">
        <v>854</v>
      </c>
      <c r="F8" s="1076" t="s">
        <v>855</v>
      </c>
      <c r="G8" s="1076" t="s">
        <v>962</v>
      </c>
      <c r="H8" s="1076" t="s">
        <v>963</v>
      </c>
      <c r="I8" s="1076" t="s">
        <v>964</v>
      </c>
      <c r="J8" s="1076" t="s">
        <v>965</v>
      </c>
      <c r="K8" s="1076" t="s">
        <v>966</v>
      </c>
    </row>
    <row r="9" spans="1:11" ht="12.75">
      <c r="A9" s="995"/>
      <c r="B9" s="1077" t="s">
        <v>856</v>
      </c>
      <c r="C9" s="1034" t="s">
        <v>857</v>
      </c>
      <c r="D9" s="1034" t="s">
        <v>858</v>
      </c>
      <c r="E9" s="1034" t="s">
        <v>859</v>
      </c>
      <c r="F9" s="1034" t="s">
        <v>860</v>
      </c>
      <c r="G9" s="1034" t="s">
        <v>863</v>
      </c>
      <c r="H9" s="1034" t="s">
        <v>864</v>
      </c>
      <c r="I9" s="1034" t="s">
        <v>942</v>
      </c>
      <c r="J9" s="1034" t="s">
        <v>967</v>
      </c>
      <c r="K9" s="1034" t="s">
        <v>968</v>
      </c>
    </row>
    <row r="10" spans="1:9" ht="12.75">
      <c r="A10" s="1028"/>
      <c r="B10" s="1028"/>
      <c r="C10" s="1028"/>
      <c r="D10" s="1028"/>
      <c r="E10" s="1028"/>
      <c r="F10" s="1028"/>
      <c r="G10" s="1028"/>
      <c r="H10" s="995"/>
      <c r="I10" s="1028"/>
    </row>
    <row r="11" spans="1:9" ht="12.75">
      <c r="A11" s="995"/>
      <c r="B11" s="1030" t="s">
        <v>969</v>
      </c>
      <c r="C11" s="1030"/>
      <c r="D11" s="1028"/>
      <c r="E11" s="1078"/>
      <c r="F11" s="1078"/>
      <c r="G11" s="1079"/>
      <c r="H11" s="1078"/>
      <c r="I11" s="1028"/>
    </row>
    <row r="12" spans="1:11" ht="12.75">
      <c r="A12" s="995">
        <v>1</v>
      </c>
      <c r="B12" s="1074" t="s">
        <v>970</v>
      </c>
      <c r="C12" s="1099"/>
      <c r="D12" s="1058">
        <v>-454770922.446569</v>
      </c>
      <c r="E12" s="1058">
        <v>-156231523</v>
      </c>
      <c r="F12" s="1058">
        <v>-93924597.31753813</v>
      </c>
      <c r="G12" s="1058">
        <v>-62306925.682461865</v>
      </c>
      <c r="H12" s="1058">
        <v>-62306925.682461865</v>
      </c>
      <c r="I12" s="1058">
        <v>0</v>
      </c>
      <c r="J12" s="1099"/>
      <c r="K12" s="1099"/>
    </row>
    <row r="13" spans="1:11" ht="12.75">
      <c r="A13" s="995">
        <f>A12+1</f>
        <v>2</v>
      </c>
      <c r="B13" s="1028" t="s">
        <v>971</v>
      </c>
      <c r="C13" s="1099"/>
      <c r="D13" s="1058">
        <v>-309128254.3688179</v>
      </c>
      <c r="E13" s="1058">
        <v>2238291</v>
      </c>
      <c r="F13" s="1058">
        <v>1364244.0645823285</v>
      </c>
      <c r="G13" s="1058">
        <v>874046.9354176718</v>
      </c>
      <c r="H13" s="1058">
        <v>0</v>
      </c>
      <c r="I13" s="1058">
        <v>874046.9354176718</v>
      </c>
      <c r="J13" s="1099"/>
      <c r="K13" s="1099"/>
    </row>
    <row r="14" spans="1:11" ht="12.75">
      <c r="A14" s="995">
        <f>A13+1</f>
        <v>3</v>
      </c>
      <c r="B14" s="1030" t="s">
        <v>972</v>
      </c>
      <c r="C14" s="995">
        <v>282</v>
      </c>
      <c r="D14" s="1080">
        <f aca="true" t="shared" si="0" ref="D14:I14">D12+D13</f>
        <v>-763899176.815387</v>
      </c>
      <c r="E14" s="1080">
        <f t="shared" si="0"/>
        <v>-153993232</v>
      </c>
      <c r="F14" s="1080">
        <f t="shared" si="0"/>
        <v>-92560353.2529558</v>
      </c>
      <c r="G14" s="1080">
        <f t="shared" si="0"/>
        <v>-61432878.74704419</v>
      </c>
      <c r="H14" s="1080">
        <f t="shared" si="0"/>
        <v>-62306925.682461865</v>
      </c>
      <c r="I14" s="1080">
        <f t="shared" si="0"/>
        <v>874046.9354176718</v>
      </c>
      <c r="J14" s="1080"/>
      <c r="K14" s="1080">
        <f>G14</f>
        <v>-61432878.74704419</v>
      </c>
    </row>
    <row r="15" spans="1:9" ht="12.75">
      <c r="A15" s="1028"/>
      <c r="B15" s="1028"/>
      <c r="C15" s="995"/>
      <c r="D15" s="1028"/>
      <c r="E15" s="1028"/>
      <c r="F15" s="1028"/>
      <c r="G15" s="1028"/>
      <c r="H15" s="995"/>
      <c r="I15" s="1028"/>
    </row>
    <row r="16" spans="1:9" ht="12.75">
      <c r="A16" s="1028"/>
      <c r="B16" s="1030" t="s">
        <v>836</v>
      </c>
      <c r="C16" s="995"/>
      <c r="D16" s="1081"/>
      <c r="E16" s="1081"/>
      <c r="F16" s="1081"/>
      <c r="G16" s="1081"/>
      <c r="H16" s="1082"/>
      <c r="I16" s="1028"/>
    </row>
    <row r="17" spans="1:11" ht="12.75">
      <c r="A17" s="995">
        <f>A14+1</f>
        <v>4</v>
      </c>
      <c r="B17" s="1028" t="s">
        <v>837</v>
      </c>
      <c r="C17" s="995">
        <v>283</v>
      </c>
      <c r="D17" s="1040">
        <v>-60046793</v>
      </c>
      <c r="E17" s="1040">
        <f>ROUND(D17*(1-0.0999)*0.35,0)</f>
        <v>-18916841</v>
      </c>
      <c r="F17" s="1040">
        <f>ROUND(D17*(1-0.0999)*0.21,0)</f>
        <v>-11350105</v>
      </c>
      <c r="G17" s="1040">
        <f aca="true" t="shared" si="1" ref="G17:G27">E17-F17</f>
        <v>-7566736</v>
      </c>
      <c r="H17" s="1082"/>
      <c r="I17" s="1040">
        <f>G17</f>
        <v>-7566736</v>
      </c>
      <c r="K17" s="1083">
        <f>I17</f>
        <v>-7566736</v>
      </c>
    </row>
    <row r="18" spans="1:11" ht="12.75">
      <c r="A18" s="995">
        <f>A17+1</f>
        <v>5</v>
      </c>
      <c r="B18" s="1028" t="s">
        <v>838</v>
      </c>
      <c r="C18" s="995">
        <v>283</v>
      </c>
      <c r="D18" s="1058">
        <v>-772178</v>
      </c>
      <c r="E18" s="1058">
        <f aca="true" t="shared" si="2" ref="E18:E27">ROUND(D18*(1-0.0999)*0.35,0)</f>
        <v>-243263</v>
      </c>
      <c r="F18" s="1058">
        <f aca="true" t="shared" si="3" ref="F18:F27">ROUND(D18*(1-0.0999)*0.21,0)</f>
        <v>-145958</v>
      </c>
      <c r="G18" s="1058">
        <f t="shared" si="1"/>
        <v>-97305</v>
      </c>
      <c r="H18" s="1084"/>
      <c r="I18" s="1058">
        <f aca="true" t="shared" si="4" ref="I18:I27">G18</f>
        <v>-97305</v>
      </c>
      <c r="J18" s="1085"/>
      <c r="K18" s="1085">
        <f>I18</f>
        <v>-97305</v>
      </c>
    </row>
    <row r="19" spans="1:11" ht="12.75">
      <c r="A19" s="995">
        <f aca="true" t="shared" si="5" ref="A19:A27">A18+1</f>
        <v>6</v>
      </c>
      <c r="B19" s="1028" t="s">
        <v>839</v>
      </c>
      <c r="C19" s="995">
        <v>283</v>
      </c>
      <c r="D19" s="1058">
        <v>-5458870</v>
      </c>
      <c r="E19" s="1058">
        <f t="shared" si="2"/>
        <v>-1719735</v>
      </c>
      <c r="F19" s="1058">
        <f t="shared" si="3"/>
        <v>-1031841</v>
      </c>
      <c r="G19" s="1058">
        <f t="shared" si="1"/>
        <v>-687894</v>
      </c>
      <c r="H19" s="1084"/>
      <c r="I19" s="1058">
        <f t="shared" si="4"/>
        <v>-687894</v>
      </c>
      <c r="J19" s="1085"/>
      <c r="K19" s="1085">
        <f>I19</f>
        <v>-687894</v>
      </c>
    </row>
    <row r="20" spans="1:11" ht="12.75">
      <c r="A20" s="995">
        <f t="shared" si="5"/>
        <v>7</v>
      </c>
      <c r="B20" s="1028" t="s">
        <v>840</v>
      </c>
      <c r="C20" s="995">
        <v>190</v>
      </c>
      <c r="D20" s="1058">
        <v>2917638</v>
      </c>
      <c r="E20" s="1058">
        <f t="shared" si="2"/>
        <v>919158</v>
      </c>
      <c r="F20" s="1058">
        <f t="shared" si="3"/>
        <v>551495</v>
      </c>
      <c r="G20" s="1058">
        <f t="shared" si="1"/>
        <v>367663</v>
      </c>
      <c r="H20" s="1084"/>
      <c r="I20" s="1058">
        <f t="shared" si="4"/>
        <v>367663</v>
      </c>
      <c r="J20" s="1085">
        <f aca="true" t="shared" si="6" ref="J20:J27">I20</f>
        <v>367663</v>
      </c>
      <c r="K20" s="1085"/>
    </row>
    <row r="21" spans="1:11" ht="12.75">
      <c r="A21" s="995">
        <f t="shared" si="5"/>
        <v>8</v>
      </c>
      <c r="B21" s="1028" t="s">
        <v>841</v>
      </c>
      <c r="C21" s="995">
        <v>190</v>
      </c>
      <c r="D21" s="1058">
        <v>481682</v>
      </c>
      <c r="E21" s="1058">
        <f t="shared" si="2"/>
        <v>151747</v>
      </c>
      <c r="F21" s="1058">
        <f t="shared" si="3"/>
        <v>91048</v>
      </c>
      <c r="G21" s="1058">
        <f t="shared" si="1"/>
        <v>60699</v>
      </c>
      <c r="H21" s="1084"/>
      <c r="I21" s="1058">
        <f t="shared" si="4"/>
        <v>60699</v>
      </c>
      <c r="J21" s="1085">
        <f t="shared" si="6"/>
        <v>60699</v>
      </c>
      <c r="K21" s="1085"/>
    </row>
    <row r="22" spans="1:11" ht="12.75">
      <c r="A22" s="995">
        <f t="shared" si="5"/>
        <v>9</v>
      </c>
      <c r="B22" s="1028" t="s">
        <v>842</v>
      </c>
      <c r="C22" s="995">
        <v>190</v>
      </c>
      <c r="D22" s="1058">
        <v>357489</v>
      </c>
      <c r="E22" s="1058">
        <f t="shared" si="2"/>
        <v>112622</v>
      </c>
      <c r="F22" s="1058">
        <f t="shared" si="3"/>
        <v>67573</v>
      </c>
      <c r="G22" s="1058">
        <f t="shared" si="1"/>
        <v>45049</v>
      </c>
      <c r="H22" s="1084"/>
      <c r="I22" s="1058">
        <f t="shared" si="4"/>
        <v>45049</v>
      </c>
      <c r="J22" s="1085">
        <f t="shared" si="6"/>
        <v>45049</v>
      </c>
      <c r="K22" s="1085"/>
    </row>
    <row r="23" spans="1:11" ht="12.75">
      <c r="A23" s="995">
        <f t="shared" si="5"/>
        <v>10</v>
      </c>
      <c r="B23" s="1028" t="s">
        <v>843</v>
      </c>
      <c r="C23" s="995">
        <v>190</v>
      </c>
      <c r="D23" s="1058">
        <v>6157455</v>
      </c>
      <c r="E23" s="1058">
        <f t="shared" si="2"/>
        <v>1939814</v>
      </c>
      <c r="F23" s="1058">
        <f t="shared" si="3"/>
        <v>1163888</v>
      </c>
      <c r="G23" s="1058">
        <f t="shared" si="1"/>
        <v>775926</v>
      </c>
      <c r="H23" s="1084"/>
      <c r="I23" s="1058">
        <f t="shared" si="4"/>
        <v>775926</v>
      </c>
      <c r="J23" s="1085">
        <f t="shared" si="6"/>
        <v>775926</v>
      </c>
      <c r="K23" s="1085"/>
    </row>
    <row r="24" spans="1:11" ht="12.75">
      <c r="A24" s="995">
        <f t="shared" si="5"/>
        <v>11</v>
      </c>
      <c r="B24" s="1028" t="s">
        <v>844</v>
      </c>
      <c r="C24" s="995">
        <v>190</v>
      </c>
      <c r="D24" s="1058">
        <v>930444</v>
      </c>
      <c r="E24" s="1058">
        <f t="shared" si="2"/>
        <v>293122</v>
      </c>
      <c r="F24" s="1058">
        <f t="shared" si="3"/>
        <v>175873</v>
      </c>
      <c r="G24" s="1058">
        <f t="shared" si="1"/>
        <v>117249</v>
      </c>
      <c r="H24" s="1084"/>
      <c r="I24" s="1058">
        <f t="shared" si="4"/>
        <v>117249</v>
      </c>
      <c r="J24" s="1085">
        <f t="shared" si="6"/>
        <v>117249</v>
      </c>
      <c r="K24" s="1085"/>
    </row>
    <row r="25" spans="1:11" ht="12.75">
      <c r="A25" s="995">
        <f t="shared" si="5"/>
        <v>12</v>
      </c>
      <c r="B25" s="1081" t="s">
        <v>845</v>
      </c>
      <c r="C25" s="995">
        <v>190</v>
      </c>
      <c r="D25" s="1058">
        <v>772178</v>
      </c>
      <c r="E25" s="1058">
        <f t="shared" si="2"/>
        <v>243263</v>
      </c>
      <c r="F25" s="1058">
        <f t="shared" si="3"/>
        <v>145958</v>
      </c>
      <c r="G25" s="1058">
        <f t="shared" si="1"/>
        <v>97305</v>
      </c>
      <c r="H25" s="1084"/>
      <c r="I25" s="1058">
        <f t="shared" si="4"/>
        <v>97305</v>
      </c>
      <c r="J25" s="1085">
        <f t="shared" si="6"/>
        <v>97305</v>
      </c>
      <c r="K25" s="1085"/>
    </row>
    <row r="26" spans="1:11" ht="12.75">
      <c r="A26" s="995">
        <f t="shared" si="5"/>
        <v>13</v>
      </c>
      <c r="B26" s="1028" t="s">
        <v>846</v>
      </c>
      <c r="C26" s="995">
        <v>190</v>
      </c>
      <c r="D26" s="1058">
        <v>214270</v>
      </c>
      <c r="E26" s="1058">
        <f t="shared" si="2"/>
        <v>67503</v>
      </c>
      <c r="F26" s="1058">
        <f t="shared" si="3"/>
        <v>40502</v>
      </c>
      <c r="G26" s="1058">
        <f t="shared" si="1"/>
        <v>27001</v>
      </c>
      <c r="H26" s="1084"/>
      <c r="I26" s="1058">
        <f t="shared" si="4"/>
        <v>27001</v>
      </c>
      <c r="J26" s="1085">
        <f t="shared" si="6"/>
        <v>27001</v>
      </c>
      <c r="K26" s="1085"/>
    </row>
    <row r="27" spans="1:11" ht="12.75">
      <c r="A27" s="995">
        <f t="shared" si="5"/>
        <v>14</v>
      </c>
      <c r="B27" s="1028" t="s">
        <v>847</v>
      </c>
      <c r="C27" s="995">
        <v>190</v>
      </c>
      <c r="D27" s="1058">
        <v>33592946</v>
      </c>
      <c r="E27" s="1058">
        <f t="shared" si="2"/>
        <v>10582954</v>
      </c>
      <c r="F27" s="1058">
        <f t="shared" si="3"/>
        <v>6349772</v>
      </c>
      <c r="G27" s="1058">
        <f t="shared" si="1"/>
        <v>4233182</v>
      </c>
      <c r="H27" s="1084"/>
      <c r="I27" s="1058">
        <f t="shared" si="4"/>
        <v>4233182</v>
      </c>
      <c r="J27" s="1085">
        <f t="shared" si="6"/>
        <v>4233182</v>
      </c>
      <c r="K27" s="1085"/>
    </row>
    <row r="28" spans="1:11" ht="26.25">
      <c r="A28" s="995">
        <f>A27+1</f>
        <v>15</v>
      </c>
      <c r="B28" s="1086" t="s">
        <v>973</v>
      </c>
      <c r="C28" s="995"/>
      <c r="D28" s="1087">
        <f aca="true" t="shared" si="7" ref="D28:K28">SUM(D17:D27)</f>
        <v>-20853739</v>
      </c>
      <c r="E28" s="1087">
        <f t="shared" si="7"/>
        <v>-6569656</v>
      </c>
      <c r="F28" s="1087">
        <f t="shared" si="7"/>
        <v>-3941795</v>
      </c>
      <c r="G28" s="1087">
        <f t="shared" si="7"/>
        <v>-2627861</v>
      </c>
      <c r="H28" s="1087">
        <f t="shared" si="7"/>
        <v>0</v>
      </c>
      <c r="I28" s="1087">
        <f t="shared" si="7"/>
        <v>-2627861</v>
      </c>
      <c r="J28" s="1087">
        <f t="shared" si="7"/>
        <v>5724074</v>
      </c>
      <c r="K28" s="1087">
        <f t="shared" si="7"/>
        <v>-8351935</v>
      </c>
    </row>
    <row r="29" spans="1:14" ht="12.75">
      <c r="A29" s="1028"/>
      <c r="B29" s="1028"/>
      <c r="C29" s="995"/>
      <c r="D29" s="1028"/>
      <c r="E29" s="1088"/>
      <c r="F29" s="1088"/>
      <c r="G29" s="1088"/>
      <c r="H29" s="1088"/>
      <c r="I29" s="1088"/>
      <c r="N29" s="1089"/>
    </row>
    <row r="30" spans="1:11" ht="27" thickBot="1">
      <c r="A30" s="995">
        <f>A28+1</f>
        <v>16</v>
      </c>
      <c r="B30" s="1086" t="s">
        <v>974</v>
      </c>
      <c r="C30" s="995"/>
      <c r="D30" s="1090">
        <f>D14+D28</f>
        <v>-784752915.815387</v>
      </c>
      <c r="E30" s="1090">
        <f aca="true" t="shared" si="8" ref="E30:K30">E14+E28</f>
        <v>-160562888</v>
      </c>
      <c r="F30" s="1090">
        <f t="shared" si="8"/>
        <v>-96502148.2529558</v>
      </c>
      <c r="G30" s="1090">
        <f t="shared" si="8"/>
        <v>-64060739.74704419</v>
      </c>
      <c r="H30" s="1090">
        <f t="shared" si="8"/>
        <v>-62306925.682461865</v>
      </c>
      <c r="I30" s="1090">
        <f t="shared" si="8"/>
        <v>-1753814.0645823283</v>
      </c>
      <c r="J30" s="1090">
        <f t="shared" si="8"/>
        <v>5724074</v>
      </c>
      <c r="K30" s="1090">
        <f t="shared" si="8"/>
        <v>-69784813.74704419</v>
      </c>
    </row>
    <row r="31" spans="1:11" ht="13.5" thickTop="1">
      <c r="A31" s="1028"/>
      <c r="B31" s="1028"/>
      <c r="C31" s="1028"/>
      <c r="D31" s="1028"/>
      <c r="E31" s="1028"/>
      <c r="F31" s="1028"/>
      <c r="G31" s="1091"/>
      <c r="H31" s="1091" t="s">
        <v>975</v>
      </c>
      <c r="I31" s="1083">
        <f>SUM(H30:I30)</f>
        <v>-64060739.74704419</v>
      </c>
      <c r="J31" s="1091" t="s">
        <v>976</v>
      </c>
      <c r="K31" s="1083">
        <f>SUM(J30:K30)</f>
        <v>-64060739.74704419</v>
      </c>
    </row>
    <row r="32" spans="1:9" ht="12.75">
      <c r="A32" s="1028"/>
      <c r="B32" s="1028"/>
      <c r="C32" s="1028"/>
      <c r="D32" s="1028"/>
      <c r="E32" s="1028"/>
      <c r="F32" s="1028"/>
      <c r="G32" s="1028"/>
      <c r="H32" s="1028"/>
      <c r="I32" s="1028"/>
    </row>
    <row r="33" spans="1:9" ht="12.75">
      <c r="A33" s="1092"/>
      <c r="B33" s="1093" t="s">
        <v>488</v>
      </c>
      <c r="C33" s="1093"/>
      <c r="D33" s="1093"/>
      <c r="E33" s="1093"/>
      <c r="F33" s="1093"/>
      <c r="G33" s="1093"/>
      <c r="H33" s="1093"/>
      <c r="I33" s="1094"/>
    </row>
    <row r="34" spans="1:9" s="1095" customFormat="1" ht="15" customHeight="1">
      <c r="A34" s="1064"/>
      <c r="B34" s="246" t="s">
        <v>987</v>
      </c>
      <c r="C34" s="1100"/>
      <c r="D34" s="1100"/>
      <c r="E34" s="1100"/>
      <c r="F34" s="1100"/>
      <c r="G34" s="1100"/>
      <c r="H34" s="1100"/>
      <c r="I34" s="1100"/>
    </row>
    <row r="35" spans="1:10" s="1095" customFormat="1" ht="27.75" customHeight="1">
      <c r="A35" s="1064"/>
      <c r="B35" s="1625" t="s">
        <v>988</v>
      </c>
      <c r="C35" s="1627"/>
      <c r="D35" s="1627"/>
      <c r="E35" s="1627"/>
      <c r="F35" s="1627"/>
      <c r="G35" s="1627"/>
      <c r="H35" s="1627"/>
      <c r="I35" s="1627"/>
      <c r="J35" s="1096"/>
    </row>
    <row r="36" spans="1:9" s="1095" customFormat="1" ht="80.25" customHeight="1">
      <c r="A36" s="1064"/>
      <c r="B36" s="1625" t="s">
        <v>977</v>
      </c>
      <c r="C36" s="1625"/>
      <c r="D36" s="1625"/>
      <c r="E36" s="1625"/>
      <c r="F36" s="1625"/>
      <c r="G36" s="1625"/>
      <c r="H36" s="1625"/>
      <c r="I36" s="1625"/>
    </row>
    <row r="37" spans="1:9" s="1095" customFormat="1" ht="30" customHeight="1">
      <c r="A37" s="1064"/>
      <c r="B37" s="1625" t="s">
        <v>978</v>
      </c>
      <c r="C37" s="1626"/>
      <c r="D37" s="1626"/>
      <c r="E37" s="1626"/>
      <c r="F37" s="1626"/>
      <c r="G37" s="1626"/>
      <c r="H37" s="1626"/>
      <c r="I37" s="1626"/>
    </row>
    <row r="38" spans="1:9" s="1095" customFormat="1" ht="30" customHeight="1">
      <c r="A38" s="1064"/>
      <c r="B38" s="1625" t="s">
        <v>979</v>
      </c>
      <c r="C38" s="1626"/>
      <c r="D38" s="1626"/>
      <c r="E38" s="1626"/>
      <c r="F38" s="1626"/>
      <c r="G38" s="1626"/>
      <c r="H38" s="1626"/>
      <c r="I38" s="1626"/>
    </row>
    <row r="39" spans="1:10" s="1095" customFormat="1" ht="86.25" customHeight="1">
      <c r="A39" s="1064"/>
      <c r="B39" s="1625" t="s">
        <v>989</v>
      </c>
      <c r="C39" s="1627"/>
      <c r="D39" s="1627"/>
      <c r="E39" s="1627"/>
      <c r="F39" s="1627"/>
      <c r="G39" s="1627"/>
      <c r="H39" s="1627"/>
      <c r="I39" s="1627"/>
      <c r="J39" s="1096"/>
    </row>
    <row r="40" spans="1:9" s="1095" customFormat="1" ht="30" customHeight="1">
      <c r="A40" s="1064"/>
      <c r="B40" s="1625" t="s">
        <v>980</v>
      </c>
      <c r="C40" s="1626"/>
      <c r="D40" s="1626"/>
      <c r="E40" s="1626"/>
      <c r="F40" s="1626"/>
      <c r="G40" s="1626"/>
      <c r="H40" s="1626"/>
      <c r="I40" s="1626"/>
    </row>
    <row r="41" spans="1:9" s="1095" customFormat="1" ht="30" customHeight="1">
      <c r="A41" s="1064"/>
      <c r="B41" s="1625" t="s">
        <v>981</v>
      </c>
      <c r="C41" s="1626"/>
      <c r="D41" s="1626"/>
      <c r="E41" s="1626"/>
      <c r="F41" s="1626"/>
      <c r="G41" s="1626"/>
      <c r="H41" s="1626"/>
      <c r="I41" s="1626"/>
    </row>
    <row r="42" spans="1:9" s="1095" customFormat="1" ht="42" customHeight="1">
      <c r="A42" s="1064"/>
      <c r="B42" s="1625" t="s">
        <v>990</v>
      </c>
      <c r="C42" s="1626"/>
      <c r="D42" s="1626"/>
      <c r="E42" s="1626"/>
      <c r="F42" s="1626"/>
      <c r="G42" s="1626"/>
      <c r="H42" s="1626"/>
      <c r="I42" s="1626"/>
    </row>
    <row r="43" spans="1:9" s="1095" customFormat="1" ht="42" customHeight="1">
      <c r="A43" s="1064"/>
      <c r="B43" s="1625" t="s">
        <v>991</v>
      </c>
      <c r="C43" s="1626"/>
      <c r="D43" s="1626"/>
      <c r="E43" s="1626"/>
      <c r="F43" s="1626"/>
      <c r="G43" s="1626"/>
      <c r="H43" s="1626"/>
      <c r="I43" s="1626"/>
    </row>
    <row r="241" spans="2:3" ht="12.75">
      <c r="B241" s="1029"/>
      <c r="C241" s="1029"/>
    </row>
    <row r="242" spans="2:3" ht="12.75">
      <c r="B242" s="1029"/>
      <c r="C242" s="1029"/>
    </row>
  </sheetData>
  <sheetProtection/>
  <mergeCells count="12">
    <mergeCell ref="A1:K1"/>
    <mergeCell ref="A2:K2"/>
    <mergeCell ref="A3:K3"/>
    <mergeCell ref="B39:I39"/>
    <mergeCell ref="B40:I40"/>
    <mergeCell ref="B41:I41"/>
    <mergeCell ref="B42:I42"/>
    <mergeCell ref="B43:I43"/>
    <mergeCell ref="B35:I35"/>
    <mergeCell ref="B36:I36"/>
    <mergeCell ref="B37:I37"/>
    <mergeCell ref="B38:I38"/>
  </mergeCells>
  <printOptions/>
  <pageMargins left="0.7" right="0.7" top="0.75" bottom="0.75" header="0.3" footer="0.3"/>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A1:FB306"/>
  <sheetViews>
    <sheetView zoomScale="75" zoomScaleNormal="75" zoomScaleSheetLayoutView="75" workbookViewId="0" topLeftCell="A69">
      <selection activeCell="I2" sqref="I2"/>
    </sheetView>
  </sheetViews>
  <sheetFormatPr defaultColWidth="9.421875" defaultRowHeight="12.75"/>
  <cols>
    <col min="1" max="1" width="6.00390625" style="330" bestFit="1" customWidth="1"/>
    <col min="2" max="2" width="61.421875" style="330" customWidth="1"/>
    <col min="3" max="3" width="17.57421875" style="330" bestFit="1" customWidth="1"/>
    <col min="4" max="4" width="15.421875" style="330" customWidth="1"/>
    <col min="5" max="5" width="17.57421875" style="330" bestFit="1" customWidth="1"/>
    <col min="6" max="6" width="15.00390625" style="330" bestFit="1" customWidth="1"/>
    <col min="7" max="7" width="16.421875" style="330" customWidth="1"/>
    <col min="8" max="8" width="15.57421875" style="330" bestFit="1" customWidth="1"/>
    <col min="9" max="9" width="15.421875" style="330" customWidth="1"/>
    <col min="10" max="10" width="83.57421875" style="330" customWidth="1"/>
    <col min="11" max="16384" width="9.421875" style="330" customWidth="1"/>
  </cols>
  <sheetData>
    <row r="1" spans="1:157" s="331" customFormat="1" ht="12.75">
      <c r="A1" s="342"/>
      <c r="B1" s="274" t="s">
        <v>306</v>
      </c>
      <c r="C1" s="274" t="s">
        <v>437</v>
      </c>
      <c r="D1" s="274" t="s">
        <v>287</v>
      </c>
      <c r="E1" s="274" t="s">
        <v>307</v>
      </c>
      <c r="F1" s="274" t="s">
        <v>305</v>
      </c>
      <c r="G1" s="274" t="s">
        <v>590</v>
      </c>
      <c r="H1" s="274" t="s">
        <v>308</v>
      </c>
      <c r="I1" s="274" t="s">
        <v>84</v>
      </c>
      <c r="J1" s="274" t="s">
        <v>294</v>
      </c>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c r="EU1" s="330"/>
      <c r="EV1" s="330"/>
      <c r="EW1" s="330"/>
      <c r="EX1" s="330"/>
      <c r="EY1" s="330"/>
      <c r="EZ1" s="330"/>
      <c r="FA1" s="330"/>
    </row>
    <row r="2" spans="2:158" s="331" customFormat="1" ht="12.75">
      <c r="B2" s="330"/>
      <c r="C2" s="275" t="s">
        <v>706</v>
      </c>
      <c r="D2" s="275" t="s">
        <v>3</v>
      </c>
      <c r="E2" s="275" t="s">
        <v>708</v>
      </c>
      <c r="F2" s="275" t="s">
        <v>536</v>
      </c>
      <c r="G2" s="275" t="s">
        <v>537</v>
      </c>
      <c r="H2" s="275"/>
      <c r="I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c r="BZ2" s="330"/>
      <c r="CA2" s="330"/>
      <c r="CB2" s="330"/>
      <c r="CC2" s="330"/>
      <c r="CD2" s="330"/>
      <c r="CE2" s="330"/>
      <c r="CF2" s="330"/>
      <c r="CG2" s="330"/>
      <c r="CH2" s="330"/>
      <c r="CI2" s="330"/>
      <c r="CJ2" s="330"/>
      <c r="CK2" s="330"/>
      <c r="CL2" s="330"/>
      <c r="CM2" s="330"/>
      <c r="CN2" s="330"/>
      <c r="CO2" s="330"/>
      <c r="CP2" s="330"/>
      <c r="CQ2" s="330"/>
      <c r="CR2" s="330"/>
      <c r="CS2" s="330"/>
      <c r="CT2" s="330"/>
      <c r="CU2" s="330"/>
      <c r="CV2" s="330"/>
      <c r="CW2" s="330"/>
      <c r="CX2" s="330"/>
      <c r="CY2" s="330"/>
      <c r="CZ2" s="330"/>
      <c r="DA2" s="330"/>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c r="ED2" s="330"/>
      <c r="EE2" s="330"/>
      <c r="EF2" s="330"/>
      <c r="EG2" s="330"/>
      <c r="EH2" s="330"/>
      <c r="EI2" s="330"/>
      <c r="EJ2" s="330"/>
      <c r="EK2" s="330"/>
      <c r="EL2" s="330"/>
      <c r="EM2" s="330"/>
      <c r="EN2" s="330"/>
      <c r="EO2" s="330"/>
      <c r="EP2" s="330"/>
      <c r="EQ2" s="330"/>
      <c r="ER2" s="330"/>
      <c r="ES2" s="330"/>
      <c r="ET2" s="330"/>
      <c r="EU2" s="330"/>
      <c r="EV2" s="330"/>
      <c r="EW2" s="330"/>
      <c r="EX2" s="330"/>
      <c r="EY2" s="330"/>
      <c r="EZ2" s="330"/>
      <c r="FA2" s="330"/>
      <c r="FB2" s="330"/>
    </row>
    <row r="3" spans="2:158" s="331" customFormat="1" ht="12.75">
      <c r="B3" s="330"/>
      <c r="C3" s="275" t="s">
        <v>436</v>
      </c>
      <c r="D3" s="275" t="s">
        <v>436</v>
      </c>
      <c r="E3" s="275"/>
      <c r="F3" s="275" t="s">
        <v>51</v>
      </c>
      <c r="G3" s="275" t="s">
        <v>510</v>
      </c>
      <c r="H3" s="275" t="s">
        <v>533</v>
      </c>
      <c r="I3" s="275" t="s">
        <v>535</v>
      </c>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c r="ED3" s="330"/>
      <c r="EE3" s="330"/>
      <c r="EF3" s="330"/>
      <c r="EG3" s="330"/>
      <c r="EH3" s="330"/>
      <c r="EI3" s="330"/>
      <c r="EJ3" s="330"/>
      <c r="EK3" s="330"/>
      <c r="EL3" s="330"/>
      <c r="EM3" s="330"/>
      <c r="EN3" s="330"/>
      <c r="EO3" s="330"/>
      <c r="EP3" s="330"/>
      <c r="EQ3" s="330"/>
      <c r="ER3" s="330"/>
      <c r="ES3" s="330"/>
      <c r="ET3" s="330"/>
      <c r="EU3" s="330"/>
      <c r="EV3" s="330"/>
      <c r="EW3" s="330"/>
      <c r="EX3" s="330"/>
      <c r="EY3" s="330"/>
      <c r="EZ3" s="330"/>
      <c r="FA3" s="330"/>
      <c r="FB3" s="330"/>
    </row>
    <row r="4" spans="2:158" s="331" customFormat="1" ht="12.75">
      <c r="B4" s="330"/>
      <c r="C4" s="275"/>
      <c r="D4" s="275"/>
      <c r="E4" s="275"/>
      <c r="F4" s="275" t="s">
        <v>534</v>
      </c>
      <c r="G4" s="275" t="s">
        <v>534</v>
      </c>
      <c r="H4" s="275" t="s">
        <v>534</v>
      </c>
      <c r="I4" s="275" t="s">
        <v>534</v>
      </c>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c r="ED4" s="330"/>
      <c r="EE4" s="330"/>
      <c r="EF4" s="330"/>
      <c r="EG4" s="330"/>
      <c r="EH4" s="330"/>
      <c r="EI4" s="330"/>
      <c r="EJ4" s="330"/>
      <c r="EK4" s="330"/>
      <c r="EL4" s="330"/>
      <c r="EM4" s="330"/>
      <c r="EN4" s="330"/>
      <c r="EO4" s="330"/>
      <c r="EP4" s="330"/>
      <c r="EQ4" s="330"/>
      <c r="ER4" s="330"/>
      <c r="ES4" s="330"/>
      <c r="ET4" s="330"/>
      <c r="EU4" s="330"/>
      <c r="EV4" s="330"/>
      <c r="EW4" s="330"/>
      <c r="EX4" s="330"/>
      <c r="EY4" s="330"/>
      <c r="EZ4" s="330"/>
      <c r="FA4" s="330"/>
      <c r="FB4" s="330"/>
    </row>
    <row r="5" spans="2:158" s="331" customFormat="1" ht="12.75">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c r="ED5" s="330"/>
      <c r="EE5" s="330"/>
      <c r="EF5" s="330"/>
      <c r="EG5" s="330"/>
      <c r="EH5" s="330"/>
      <c r="EI5" s="330"/>
      <c r="EJ5" s="330"/>
      <c r="EK5" s="330"/>
      <c r="EL5" s="330"/>
      <c r="EM5" s="330"/>
      <c r="EN5" s="330"/>
      <c r="EO5" s="330"/>
      <c r="EP5" s="330"/>
      <c r="EQ5" s="330"/>
      <c r="ER5" s="330"/>
      <c r="ES5" s="330"/>
      <c r="ET5" s="330"/>
      <c r="EU5" s="330"/>
      <c r="EV5" s="330"/>
      <c r="EW5" s="330"/>
      <c r="EX5" s="330"/>
      <c r="EY5" s="330"/>
      <c r="EZ5" s="330"/>
      <c r="FA5" s="330"/>
      <c r="FB5" s="330"/>
    </row>
    <row r="6" spans="1:158" s="331" customFormat="1" ht="12.75">
      <c r="A6" s="331" t="s">
        <v>548</v>
      </c>
      <c r="B6" s="330"/>
      <c r="C6" s="330"/>
      <c r="D6" s="330"/>
      <c r="E6" s="330"/>
      <c r="F6" s="330"/>
      <c r="G6" s="330"/>
      <c r="H6" s="330"/>
      <c r="I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330"/>
      <c r="CS6" s="330"/>
      <c r="CT6" s="330"/>
      <c r="CU6" s="330"/>
      <c r="CV6" s="330"/>
      <c r="CW6" s="330"/>
      <c r="CX6" s="330"/>
      <c r="CY6" s="330"/>
      <c r="CZ6" s="330"/>
      <c r="DA6" s="330"/>
      <c r="DB6" s="330"/>
      <c r="DC6" s="330"/>
      <c r="DD6" s="330"/>
      <c r="DE6" s="330"/>
      <c r="DF6" s="330"/>
      <c r="DG6" s="330"/>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c r="EF6" s="330"/>
      <c r="EG6" s="330"/>
      <c r="EH6" s="330"/>
      <c r="EI6" s="330"/>
      <c r="EJ6" s="330"/>
      <c r="EK6" s="330"/>
      <c r="EL6" s="330"/>
      <c r="EM6" s="330"/>
      <c r="EN6" s="330"/>
      <c r="EO6" s="330"/>
      <c r="EP6" s="330"/>
      <c r="EQ6" s="330"/>
      <c r="ER6" s="330"/>
      <c r="ES6" s="330"/>
      <c r="ET6" s="330"/>
      <c r="EU6" s="330"/>
      <c r="EV6" s="330"/>
      <c r="EW6" s="330"/>
      <c r="EX6" s="330"/>
      <c r="EY6" s="330"/>
      <c r="EZ6" s="330"/>
      <c r="FA6" s="330"/>
      <c r="FB6" s="330"/>
    </row>
    <row r="7" spans="1:158" s="331" customFormat="1" ht="12.75">
      <c r="A7" s="331">
        <v>1</v>
      </c>
      <c r="B7" s="343" t="str">
        <f>"ADIT-190 (enter negative) - line "&amp;A74&amp;""</f>
        <v>ADIT-190 (enter negative) - line 43</v>
      </c>
      <c r="C7" s="348">
        <f aca="true" t="shared" si="0" ref="C7:I7">-C74</f>
        <v>-38108438</v>
      </c>
      <c r="D7" s="348">
        <f t="shared" si="0"/>
        <v>-45617680.64</v>
      </c>
      <c r="E7" s="348">
        <f t="shared" si="0"/>
        <v>-38108438</v>
      </c>
      <c r="F7" s="348">
        <f t="shared" si="0"/>
        <v>-10637190</v>
      </c>
      <c r="G7" s="348">
        <f t="shared" si="0"/>
        <v>0</v>
      </c>
      <c r="H7" s="348">
        <f t="shared" si="0"/>
        <v>0</v>
      </c>
      <c r="I7" s="348">
        <f t="shared" si="0"/>
        <v>-27471248</v>
      </c>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c r="EF7" s="330"/>
      <c r="EG7" s="330"/>
      <c r="EH7" s="330"/>
      <c r="EI7" s="330"/>
      <c r="EJ7" s="330"/>
      <c r="EK7" s="330"/>
      <c r="EL7" s="330"/>
      <c r="EM7" s="330"/>
      <c r="EN7" s="330"/>
      <c r="EO7" s="330"/>
      <c r="EP7" s="330"/>
      <c r="EQ7" s="330"/>
      <c r="ER7" s="330"/>
      <c r="ES7" s="330"/>
      <c r="ET7" s="330"/>
      <c r="EU7" s="330"/>
      <c r="EV7" s="330"/>
      <c r="EW7" s="330"/>
      <c r="EX7" s="330"/>
      <c r="EY7" s="330"/>
      <c r="EZ7" s="330"/>
      <c r="FA7" s="330"/>
      <c r="FB7" s="330"/>
    </row>
    <row r="8" spans="1:158" s="331" customFormat="1" ht="12.75">
      <c r="A8" s="331">
        <f>A7+1</f>
        <v>2</v>
      </c>
      <c r="B8" s="343" t="str">
        <f>"ADIT- 282  -- line "&amp;A86&amp;""</f>
        <v>ADIT- 282  -- line 49</v>
      </c>
      <c r="C8" s="348">
        <f aca="true" t="shared" si="1" ref="C8:I8">C86</f>
        <v>692466845</v>
      </c>
      <c r="D8" s="348">
        <f t="shared" si="1"/>
        <v>683580543</v>
      </c>
      <c r="E8" s="348">
        <f t="shared" si="1"/>
        <v>692466845</v>
      </c>
      <c r="F8" s="348">
        <f t="shared" si="1"/>
        <v>527079164</v>
      </c>
      <c r="G8" s="348">
        <f t="shared" si="1"/>
        <v>165387681</v>
      </c>
      <c r="H8" s="348">
        <f t="shared" si="1"/>
        <v>0</v>
      </c>
      <c r="I8" s="348">
        <f t="shared" si="1"/>
        <v>0</v>
      </c>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row>
    <row r="9" spans="1:158" s="331" customFormat="1" ht="12.75">
      <c r="A9" s="331">
        <f aca="true" t="shared" si="2" ref="A9:A15">A8+1</f>
        <v>3</v>
      </c>
      <c r="B9" s="672" t="str">
        <f>"ADIT- 283  -- line "&amp;A105&amp;""</f>
        <v>ADIT- 283  -- line 62</v>
      </c>
      <c r="C9" s="676">
        <f aca="true" t="shared" si="3" ref="C9:I9">C105</f>
        <v>67310020</v>
      </c>
      <c r="D9" s="676">
        <f t="shared" si="3"/>
        <v>73366580</v>
      </c>
      <c r="E9" s="676">
        <f t="shared" si="3"/>
        <v>67310020</v>
      </c>
      <c r="F9" s="676">
        <f t="shared" si="3"/>
        <v>10072538</v>
      </c>
      <c r="G9" s="676">
        <f t="shared" si="3"/>
        <v>0</v>
      </c>
      <c r="H9" s="676">
        <f t="shared" si="3"/>
        <v>3249189</v>
      </c>
      <c r="I9" s="676">
        <f t="shared" si="3"/>
        <v>53988293</v>
      </c>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c r="CP9" s="330"/>
      <c r="CQ9" s="330"/>
      <c r="CR9" s="330"/>
      <c r="CS9" s="330"/>
      <c r="CT9" s="330"/>
      <c r="CU9" s="330"/>
      <c r="CV9" s="330"/>
      <c r="CW9" s="330"/>
      <c r="CX9" s="330"/>
      <c r="CY9" s="330"/>
      <c r="CZ9" s="330"/>
      <c r="DA9" s="330"/>
      <c r="DB9" s="330"/>
      <c r="DC9" s="330"/>
      <c r="DD9" s="330"/>
      <c r="DE9" s="330"/>
      <c r="DF9" s="330"/>
      <c r="DG9" s="330"/>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c r="EF9" s="330"/>
      <c r="EG9" s="330"/>
      <c r="EH9" s="330"/>
      <c r="EI9" s="330"/>
      <c r="EJ9" s="330"/>
      <c r="EK9" s="330"/>
      <c r="EL9" s="330"/>
      <c r="EM9" s="330"/>
      <c r="EN9" s="330"/>
      <c r="EO9" s="330"/>
      <c r="EP9" s="330"/>
      <c r="EQ9" s="330"/>
      <c r="ER9" s="330"/>
      <c r="ES9" s="330"/>
      <c r="ET9" s="330"/>
      <c r="EU9" s="330"/>
      <c r="EV9" s="330"/>
      <c r="EW9" s="330"/>
      <c r="EX9" s="330"/>
      <c r="EY9" s="330"/>
      <c r="EZ9" s="330"/>
      <c r="FA9" s="330"/>
      <c r="FB9" s="330"/>
    </row>
    <row r="10" spans="1:158" s="331" customFormat="1" ht="12.75">
      <c r="A10" s="331">
        <f t="shared" si="2"/>
        <v>4</v>
      </c>
      <c r="B10" s="343" t="str">
        <f>"Subtotal -- Sum (line 1 + line 2 + line 3)"</f>
        <v>Subtotal -- Sum (line 1 + line 2 + line 3)</v>
      </c>
      <c r="C10" s="362">
        <f aca="true" t="shared" si="4" ref="C10:I10">SUM(C7:C9)</f>
        <v>721668427</v>
      </c>
      <c r="D10" s="362">
        <f t="shared" si="4"/>
        <v>711329442.36</v>
      </c>
      <c r="E10" s="362">
        <f t="shared" si="4"/>
        <v>721668427</v>
      </c>
      <c r="F10" s="362">
        <f t="shared" si="4"/>
        <v>526514512</v>
      </c>
      <c r="G10" s="362">
        <f t="shared" si="4"/>
        <v>165387681</v>
      </c>
      <c r="H10" s="362">
        <f t="shared" si="4"/>
        <v>3249189</v>
      </c>
      <c r="I10" s="362">
        <f t="shared" si="4"/>
        <v>26517045</v>
      </c>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c r="CP10" s="330"/>
      <c r="CQ10" s="330"/>
      <c r="CR10" s="330"/>
      <c r="CS10" s="330"/>
      <c r="CT10" s="330"/>
      <c r="CU10" s="330"/>
      <c r="CV10" s="330"/>
      <c r="CW10" s="330"/>
      <c r="CX10" s="330"/>
      <c r="CY10" s="330"/>
      <c r="CZ10" s="330"/>
      <c r="DA10" s="330"/>
      <c r="DB10" s="330"/>
      <c r="DC10" s="330"/>
      <c r="DD10" s="330"/>
      <c r="DE10" s="330"/>
      <c r="DF10" s="330"/>
      <c r="DG10" s="330"/>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c r="EF10" s="330"/>
      <c r="EG10" s="330"/>
      <c r="EH10" s="330"/>
      <c r="EI10" s="330"/>
      <c r="EJ10" s="330"/>
      <c r="EK10" s="330"/>
      <c r="EL10" s="330"/>
      <c r="EM10" s="330"/>
      <c r="EN10" s="330"/>
      <c r="EO10" s="330"/>
      <c r="EP10" s="330"/>
      <c r="EQ10" s="330"/>
      <c r="ER10" s="330"/>
      <c r="ES10" s="330"/>
      <c r="ET10" s="330"/>
      <c r="EU10" s="330"/>
      <c r="EV10" s="330"/>
      <c r="EW10" s="330"/>
      <c r="EX10" s="330"/>
      <c r="EY10" s="330"/>
      <c r="EZ10" s="330"/>
      <c r="FA10" s="330"/>
      <c r="FB10" s="330"/>
    </row>
    <row r="11" spans="1:158" s="331" customFormat="1" ht="12.75">
      <c r="A11" s="331">
        <f t="shared" si="2"/>
        <v>5</v>
      </c>
      <c r="B11" s="343" t="s">
        <v>1098</v>
      </c>
      <c r="C11" s="330"/>
      <c r="D11" s="330"/>
      <c r="E11" s="330"/>
      <c r="F11" s="330"/>
      <c r="G11" s="330"/>
      <c r="I11" s="1320">
        <f>+'Appendix A'!G12</f>
        <v>0.20110413825455342</v>
      </c>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c r="CU11" s="330"/>
      <c r="CV11" s="330"/>
      <c r="CW11" s="330"/>
      <c r="CX11" s="330"/>
      <c r="CY11" s="330"/>
      <c r="CZ11" s="330"/>
      <c r="DA11" s="330"/>
      <c r="DB11" s="330"/>
      <c r="DC11" s="330"/>
      <c r="DD11" s="330"/>
      <c r="DE11" s="330"/>
      <c r="DF11" s="330"/>
      <c r="DG11" s="330"/>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c r="EF11" s="330"/>
      <c r="EG11" s="330"/>
      <c r="EH11" s="330"/>
      <c r="EI11" s="330"/>
      <c r="EJ11" s="330"/>
      <c r="EK11" s="330"/>
      <c r="EL11" s="330"/>
      <c r="EM11" s="330"/>
      <c r="EN11" s="330"/>
      <c r="EO11" s="330"/>
      <c r="EP11" s="330"/>
      <c r="EQ11" s="330"/>
      <c r="ER11" s="330"/>
      <c r="ES11" s="330"/>
      <c r="ET11" s="330"/>
      <c r="EU11" s="330"/>
      <c r="EV11" s="330"/>
      <c r="EW11" s="330"/>
      <c r="EX11" s="330"/>
      <c r="EY11" s="330"/>
      <c r="EZ11" s="330"/>
      <c r="FA11" s="330"/>
      <c r="FB11" s="330"/>
    </row>
    <row r="12" spans="1:158" s="331" customFormat="1" ht="12.75">
      <c r="A12" s="331">
        <f t="shared" si="2"/>
        <v>6</v>
      </c>
      <c r="B12" s="343" t="s">
        <v>1099</v>
      </c>
      <c r="C12" s="330"/>
      <c r="D12" s="330"/>
      <c r="E12" s="330"/>
      <c r="F12" s="330"/>
      <c r="G12" s="330"/>
      <c r="H12" s="1320">
        <f>+'Appendix A'!G20</f>
        <v>0.24176769056019692</v>
      </c>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c r="CX12" s="330"/>
      <c r="CY12" s="330"/>
      <c r="CZ12" s="330"/>
      <c r="DA12" s="330"/>
      <c r="DB12" s="330"/>
      <c r="DC12" s="330"/>
      <c r="DD12" s="330"/>
      <c r="DE12" s="330"/>
      <c r="DF12" s="330"/>
      <c r="DG12" s="330"/>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c r="EF12" s="330"/>
      <c r="EG12" s="330"/>
      <c r="EH12" s="330"/>
      <c r="EI12" s="330"/>
      <c r="EJ12" s="330"/>
      <c r="EK12" s="330"/>
      <c r="EL12" s="330"/>
      <c r="EM12" s="330"/>
      <c r="EN12" s="330"/>
      <c r="EO12" s="330"/>
      <c r="EP12" s="330"/>
      <c r="EQ12" s="330"/>
      <c r="ER12" s="330"/>
      <c r="ES12" s="330"/>
      <c r="ET12" s="330"/>
      <c r="EU12" s="330"/>
      <c r="EV12" s="330"/>
      <c r="EW12" s="330"/>
      <c r="EX12" s="330"/>
      <c r="EY12" s="330"/>
      <c r="EZ12" s="330"/>
      <c r="FA12" s="330"/>
      <c r="FB12" s="330"/>
    </row>
    <row r="13" spans="1:158" s="331" customFormat="1" ht="12.75">
      <c r="A13" s="331">
        <f t="shared" si="2"/>
        <v>7</v>
      </c>
      <c r="B13" s="343" t="s">
        <v>226</v>
      </c>
      <c r="C13" s="330"/>
      <c r="D13" s="330"/>
      <c r="E13" s="330"/>
      <c r="F13" s="677"/>
      <c r="G13" s="679">
        <v>1</v>
      </c>
      <c r="H13" s="344"/>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0"/>
      <c r="CO13" s="330"/>
      <c r="CP13" s="330"/>
      <c r="CQ13" s="330"/>
      <c r="CR13" s="330"/>
      <c r="CS13" s="330"/>
      <c r="CT13" s="330"/>
      <c r="CU13" s="330"/>
      <c r="CV13" s="330"/>
      <c r="CW13" s="330"/>
      <c r="CX13" s="330"/>
      <c r="CY13" s="330"/>
      <c r="CZ13" s="330"/>
      <c r="DA13" s="330"/>
      <c r="DB13" s="330"/>
      <c r="DC13" s="330"/>
      <c r="DD13" s="330"/>
      <c r="DE13" s="330"/>
      <c r="DF13" s="330"/>
      <c r="DG13" s="330"/>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c r="EF13" s="330"/>
      <c r="EG13" s="330"/>
      <c r="EH13" s="330"/>
      <c r="EI13" s="330"/>
      <c r="EJ13" s="330"/>
      <c r="EK13" s="330"/>
      <c r="EL13" s="330"/>
      <c r="EM13" s="330"/>
      <c r="EN13" s="330"/>
      <c r="EO13" s="330"/>
      <c r="EP13" s="330"/>
      <c r="EQ13" s="330"/>
      <c r="ER13" s="330"/>
      <c r="ES13" s="330"/>
      <c r="ET13" s="330"/>
      <c r="EU13" s="330"/>
      <c r="EV13" s="330"/>
      <c r="EW13" s="330"/>
      <c r="EX13" s="330"/>
      <c r="EY13" s="330"/>
      <c r="EZ13" s="330"/>
      <c r="FA13" s="330"/>
      <c r="FB13" s="330"/>
    </row>
    <row r="14" spans="1:158" s="331" customFormat="1" ht="12.75">
      <c r="A14" s="331">
        <f t="shared" si="2"/>
        <v>8</v>
      </c>
      <c r="B14" s="672" t="s">
        <v>227</v>
      </c>
      <c r="C14" s="673"/>
      <c r="D14" s="673"/>
      <c r="E14" s="673"/>
      <c r="F14" s="678">
        <v>0</v>
      </c>
      <c r="G14" s="673"/>
      <c r="H14" s="674"/>
      <c r="I14" s="675"/>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c r="EC14" s="330"/>
      <c r="ED14" s="330"/>
      <c r="EE14" s="330"/>
      <c r="EF14" s="330"/>
      <c r="EG14" s="330"/>
      <c r="EH14" s="330"/>
      <c r="EI14" s="330"/>
      <c r="EJ14" s="330"/>
      <c r="EK14" s="330"/>
      <c r="EL14" s="330"/>
      <c r="EM14" s="330"/>
      <c r="EN14" s="330"/>
      <c r="EO14" s="330"/>
      <c r="EP14" s="330"/>
      <c r="EQ14" s="330"/>
      <c r="ER14" s="330"/>
      <c r="ES14" s="330"/>
      <c r="ET14" s="330"/>
      <c r="EU14" s="330"/>
      <c r="EV14" s="330"/>
      <c r="EW14" s="330"/>
      <c r="EX14" s="330"/>
      <c r="EY14" s="330"/>
      <c r="EZ14" s="330"/>
      <c r="FA14" s="330"/>
      <c r="FB14" s="330"/>
    </row>
    <row r="15" spans="1:158" s="331" customFormat="1" ht="12.75">
      <c r="A15" s="331">
        <f t="shared" si="2"/>
        <v>9</v>
      </c>
      <c r="B15" s="343" t="s">
        <v>538</v>
      </c>
      <c r="C15" s="602">
        <f>SUM(G15:I15)</f>
        <v>171505917.4045058</v>
      </c>
      <c r="D15" s="345"/>
      <c r="E15" s="345"/>
      <c r="F15" s="348">
        <f>F10*F14</f>
        <v>0</v>
      </c>
      <c r="G15" s="348">
        <f>+G10*G13</f>
        <v>165387681</v>
      </c>
      <c r="H15" s="348">
        <f>+H12*H10</f>
        <v>785548.9207235957</v>
      </c>
      <c r="I15" s="348">
        <f>+I11*I10</f>
        <v>5332687.483782214</v>
      </c>
      <c r="J15" s="331" t="s">
        <v>1100</v>
      </c>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0"/>
      <c r="CO15" s="330"/>
      <c r="CP15" s="330"/>
      <c r="CQ15" s="330"/>
      <c r="CR15" s="330"/>
      <c r="CS15" s="330"/>
      <c r="CT15" s="330"/>
      <c r="CU15" s="330"/>
      <c r="CV15" s="330"/>
      <c r="CW15" s="330"/>
      <c r="CX15" s="330"/>
      <c r="CY15" s="330"/>
      <c r="CZ15" s="330"/>
      <c r="DA15" s="330"/>
      <c r="DB15" s="33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c r="EC15" s="330"/>
      <c r="ED15" s="330"/>
      <c r="EE15" s="330"/>
      <c r="EF15" s="330"/>
      <c r="EG15" s="330"/>
      <c r="EH15" s="330"/>
      <c r="EI15" s="330"/>
      <c r="EJ15" s="330"/>
      <c r="EK15" s="330"/>
      <c r="EL15" s="330"/>
      <c r="EM15" s="330"/>
      <c r="EN15" s="330"/>
      <c r="EO15" s="330"/>
      <c r="EP15" s="330"/>
      <c r="EQ15" s="330"/>
      <c r="ER15" s="330"/>
      <c r="ES15" s="330"/>
      <c r="ET15" s="330"/>
      <c r="EU15" s="330"/>
      <c r="EV15" s="330"/>
      <c r="EW15" s="330"/>
      <c r="EX15" s="330"/>
      <c r="EY15" s="330"/>
      <c r="EZ15" s="330"/>
      <c r="FA15" s="330"/>
      <c r="FB15" s="330"/>
    </row>
    <row r="16" spans="2:157" s="331" customFormat="1" ht="12.75">
      <c r="B16" s="330"/>
      <c r="C16" s="348"/>
      <c r="D16" s="330"/>
      <c r="E16" s="330"/>
      <c r="F16" s="330" t="s">
        <v>228</v>
      </c>
      <c r="G16" s="330" t="s">
        <v>229</v>
      </c>
      <c r="H16" s="330" t="s">
        <v>230</v>
      </c>
      <c r="I16" s="330" t="s">
        <v>87</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c r="CP16" s="330"/>
      <c r="CQ16" s="330"/>
      <c r="CR16" s="330"/>
      <c r="CS16" s="330"/>
      <c r="CT16" s="330"/>
      <c r="CU16" s="330"/>
      <c r="CV16" s="330"/>
      <c r="CW16" s="330"/>
      <c r="CX16" s="330"/>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c r="EC16" s="330"/>
      <c r="ED16" s="330"/>
      <c r="EE16" s="330"/>
      <c r="EF16" s="330"/>
      <c r="EG16" s="330"/>
      <c r="EH16" s="330"/>
      <c r="EI16" s="330"/>
      <c r="EJ16" s="330"/>
      <c r="EK16" s="330"/>
      <c r="EL16" s="330"/>
      <c r="EM16" s="330"/>
      <c r="EN16" s="330"/>
      <c r="EO16" s="330"/>
      <c r="EP16" s="330"/>
      <c r="EQ16" s="330"/>
      <c r="ER16" s="330"/>
      <c r="ES16" s="330"/>
      <c r="ET16" s="330"/>
      <c r="EU16" s="330"/>
      <c r="EV16" s="330"/>
      <c r="EW16" s="330"/>
      <c r="EX16" s="330"/>
      <c r="EY16" s="330"/>
      <c r="EZ16" s="330"/>
      <c r="FA16" s="330"/>
    </row>
    <row r="17" spans="2:157" s="331" customFormat="1" ht="12.75">
      <c r="B17" s="330"/>
      <c r="C17" s="348"/>
      <c r="D17" s="330"/>
      <c r="E17" s="330"/>
      <c r="F17" s="330"/>
      <c r="G17" s="330"/>
      <c r="H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30"/>
      <c r="CO17" s="330"/>
      <c r="CP17" s="330"/>
      <c r="CQ17" s="330"/>
      <c r="CR17" s="330"/>
      <c r="CS17" s="330"/>
      <c r="CT17" s="330"/>
      <c r="CU17" s="330"/>
      <c r="CV17" s="330"/>
      <c r="CW17" s="330"/>
      <c r="CX17" s="330"/>
      <c r="CY17" s="330"/>
      <c r="CZ17" s="330"/>
      <c r="DA17" s="330"/>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c r="EC17" s="330"/>
      <c r="ED17" s="330"/>
      <c r="EE17" s="330"/>
      <c r="EF17" s="330"/>
      <c r="EG17" s="330"/>
      <c r="EH17" s="330"/>
      <c r="EI17" s="330"/>
      <c r="EJ17" s="330"/>
      <c r="EK17" s="330"/>
      <c r="EL17" s="330"/>
      <c r="EM17" s="330"/>
      <c r="EN17" s="330"/>
      <c r="EO17" s="330"/>
      <c r="EP17" s="330"/>
      <c r="EQ17" s="330"/>
      <c r="ER17" s="330"/>
      <c r="ES17" s="330"/>
      <c r="ET17" s="330"/>
      <c r="EU17" s="330"/>
      <c r="EV17" s="330"/>
      <c r="EW17" s="330"/>
      <c r="EX17" s="330"/>
      <c r="EY17" s="330"/>
      <c r="EZ17" s="330"/>
      <c r="FA17" s="330"/>
    </row>
    <row r="18" spans="3:157" s="331" customFormat="1" ht="12.75">
      <c r="C18" s="362"/>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330"/>
      <c r="CM18" s="330"/>
      <c r="CN18" s="330"/>
      <c r="CO18" s="330"/>
      <c r="CP18" s="330"/>
      <c r="CQ18" s="330"/>
      <c r="CR18" s="330"/>
      <c r="CS18" s="330"/>
      <c r="CT18" s="330"/>
      <c r="CU18" s="330"/>
      <c r="CV18" s="330"/>
      <c r="CW18" s="330"/>
      <c r="CX18" s="330"/>
      <c r="CY18" s="330"/>
      <c r="CZ18" s="330"/>
      <c r="DA18" s="330"/>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c r="EC18" s="330"/>
      <c r="ED18" s="330"/>
      <c r="EE18" s="330"/>
      <c r="EF18" s="330"/>
      <c r="EG18" s="330"/>
      <c r="EH18" s="330"/>
      <c r="EI18" s="330"/>
      <c r="EJ18" s="330"/>
      <c r="EK18" s="330"/>
      <c r="EL18" s="330"/>
      <c r="EM18" s="330"/>
      <c r="EN18" s="330"/>
      <c r="EO18" s="330"/>
      <c r="EP18" s="330"/>
      <c r="EQ18" s="330"/>
      <c r="ER18" s="330"/>
      <c r="ES18" s="330"/>
      <c r="ET18" s="330"/>
      <c r="EU18" s="330"/>
      <c r="EV18" s="330"/>
      <c r="EW18" s="330"/>
      <c r="EX18" s="330"/>
      <c r="EY18" s="330"/>
      <c r="EZ18" s="330"/>
      <c r="FA18" s="330"/>
    </row>
    <row r="19" spans="2:157" s="331" customFormat="1" ht="12.75">
      <c r="B19" s="964"/>
      <c r="C19" s="362">
        <f>H93</f>
        <v>3249189</v>
      </c>
      <c r="D19" s="331" t="s">
        <v>88</v>
      </c>
      <c r="E19" s="336"/>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c r="EC19" s="330"/>
      <c r="ED19" s="330"/>
      <c r="EE19" s="330"/>
      <c r="EF19" s="330"/>
      <c r="EG19" s="330"/>
      <c r="EH19" s="330"/>
      <c r="EI19" s="330"/>
      <c r="EJ19" s="330"/>
      <c r="EK19" s="330"/>
      <c r="EL19" s="330"/>
      <c r="EM19" s="330"/>
      <c r="EN19" s="330"/>
      <c r="EO19" s="330"/>
      <c r="EP19" s="330"/>
      <c r="EQ19" s="330"/>
      <c r="ER19" s="330"/>
      <c r="ES19" s="330"/>
      <c r="ET19" s="330"/>
      <c r="EU19" s="330"/>
      <c r="EV19" s="330"/>
      <c r="EW19" s="330"/>
      <c r="EX19" s="330"/>
      <c r="EY19" s="330"/>
      <c r="EZ19" s="330"/>
      <c r="FA19" s="330"/>
    </row>
    <row r="20" spans="11:157" s="331" customFormat="1" ht="12.75">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c r="EC20" s="330"/>
      <c r="ED20" s="330"/>
      <c r="EE20" s="330"/>
      <c r="EF20" s="330"/>
      <c r="EG20" s="330"/>
      <c r="EH20" s="330"/>
      <c r="EI20" s="330"/>
      <c r="EJ20" s="330"/>
      <c r="EK20" s="330"/>
      <c r="EL20" s="330"/>
      <c r="EM20" s="330"/>
      <c r="EN20" s="330"/>
      <c r="EO20" s="330"/>
      <c r="EP20" s="330"/>
      <c r="EQ20" s="330"/>
      <c r="ER20" s="330"/>
      <c r="ES20" s="330"/>
      <c r="ET20" s="330"/>
      <c r="EU20" s="330"/>
      <c r="EV20" s="330"/>
      <c r="EW20" s="330"/>
      <c r="EX20" s="330"/>
      <c r="EY20" s="330"/>
      <c r="EZ20" s="330"/>
      <c r="FA20" s="330"/>
    </row>
    <row r="21" spans="2:10" ht="12.75">
      <c r="B21" s="406" t="s">
        <v>89</v>
      </c>
      <c r="C21" s="346"/>
      <c r="D21" s="346"/>
      <c r="E21" s="346"/>
      <c r="F21" s="331"/>
      <c r="G21" s="331"/>
      <c r="H21" s="331"/>
      <c r="I21" s="331"/>
      <c r="J21" s="331"/>
    </row>
    <row r="22" spans="2:10" ht="12.75">
      <c r="B22" s="406" t="s">
        <v>90</v>
      </c>
      <c r="C22" s="346"/>
      <c r="D22" s="346"/>
      <c r="E22" s="346"/>
      <c r="F22" s="331"/>
      <c r="G22" s="331"/>
      <c r="H22" s="331"/>
      <c r="I22" s="331"/>
      <c r="J22" s="331"/>
    </row>
    <row r="23" spans="2:10" ht="12.75">
      <c r="B23" s="346"/>
      <c r="C23" s="346"/>
      <c r="D23" s="346"/>
      <c r="E23" s="346"/>
      <c r="F23" s="331"/>
      <c r="G23" s="331"/>
      <c r="H23" s="331"/>
      <c r="I23" s="331"/>
      <c r="J23" s="331"/>
    </row>
    <row r="24" spans="2:10" ht="12.75">
      <c r="B24" s="367" t="s">
        <v>225</v>
      </c>
      <c r="C24" s="1104"/>
      <c r="D24" s="1104"/>
      <c r="E24" s="1104"/>
      <c r="F24" s="564"/>
      <c r="G24" s="359"/>
      <c r="H24" s="359"/>
      <c r="I24" s="565"/>
      <c r="J24" s="566"/>
    </row>
    <row r="25" spans="2:10" ht="12.75" customHeight="1">
      <c r="B25" s="1544" t="s">
        <v>349</v>
      </c>
      <c r="C25" s="1545"/>
      <c r="D25" s="1545"/>
      <c r="E25" s="1545"/>
      <c r="F25" s="1545"/>
      <c r="G25" s="1545"/>
      <c r="H25" s="1545"/>
      <c r="I25" s="1545"/>
      <c r="J25" s="1546"/>
    </row>
    <row r="26" spans="2:10" ht="12.75">
      <c r="B26" s="1105" t="s">
        <v>338</v>
      </c>
      <c r="C26" s="647"/>
      <c r="D26" s="647"/>
      <c r="E26" s="647"/>
      <c r="F26" s="264"/>
      <c r="G26" s="291"/>
      <c r="H26" s="291"/>
      <c r="I26" s="457"/>
      <c r="J26" s="567"/>
    </row>
    <row r="27" spans="2:10" ht="12.75">
      <c r="B27" s="1105" t="s">
        <v>350</v>
      </c>
      <c r="C27" s="647"/>
      <c r="D27" s="647"/>
      <c r="E27" s="647"/>
      <c r="F27" s="264"/>
      <c r="G27" s="291"/>
      <c r="H27" s="291"/>
      <c r="I27" s="356"/>
      <c r="J27" s="567"/>
    </row>
    <row r="28" spans="2:10" ht="12.75">
      <c r="B28" s="1105" t="s">
        <v>351</v>
      </c>
      <c r="C28" s="647"/>
      <c r="D28" s="647"/>
      <c r="E28" s="647"/>
      <c r="F28" s="264"/>
      <c r="G28" s="291"/>
      <c r="H28" s="291"/>
      <c r="I28" s="356"/>
      <c r="J28" s="567"/>
    </row>
    <row r="29" spans="2:10" ht="12.75" customHeight="1">
      <c r="B29" s="1106" t="s">
        <v>352</v>
      </c>
      <c r="C29" s="370"/>
      <c r="D29" s="370"/>
      <c r="E29" s="370"/>
      <c r="F29" s="370"/>
      <c r="G29" s="370"/>
      <c r="H29" s="370"/>
      <c r="I29" s="370"/>
      <c r="J29" s="568"/>
    </row>
    <row r="30" spans="2:10" ht="12.75" customHeight="1">
      <c r="B30" s="1107" t="s">
        <v>231</v>
      </c>
      <c r="C30" s="370"/>
      <c r="D30" s="370"/>
      <c r="E30" s="370"/>
      <c r="F30" s="370"/>
      <c r="G30" s="370"/>
      <c r="H30" s="370"/>
      <c r="I30" s="370"/>
      <c r="J30" s="568"/>
    </row>
    <row r="31" spans="2:10" ht="12.75" customHeight="1">
      <c r="B31" s="1106" t="s">
        <v>353</v>
      </c>
      <c r="C31" s="370"/>
      <c r="D31" s="370"/>
      <c r="E31" s="370"/>
      <c r="F31" s="370"/>
      <c r="G31" s="370"/>
      <c r="H31" s="370"/>
      <c r="I31" s="370"/>
      <c r="J31" s="568"/>
    </row>
    <row r="32" spans="1:10" ht="12.75">
      <c r="A32" s="331"/>
      <c r="B32" s="748" t="s">
        <v>236</v>
      </c>
      <c r="C32" s="631"/>
      <c r="D32" s="631"/>
      <c r="E32" s="631"/>
      <c r="F32" s="631"/>
      <c r="G32" s="631"/>
      <c r="H32" s="569"/>
      <c r="I32" s="569"/>
      <c r="J32" s="570"/>
    </row>
    <row r="34" spans="2:10" ht="12.75">
      <c r="B34" s="274" t="s">
        <v>306</v>
      </c>
      <c r="C34" s="274" t="s">
        <v>437</v>
      </c>
      <c r="D34" s="274" t="s">
        <v>287</v>
      </c>
      <c r="E34" s="274" t="s">
        <v>307</v>
      </c>
      <c r="F34" s="274" t="s">
        <v>305</v>
      </c>
      <c r="G34" s="274" t="s">
        <v>590</v>
      </c>
      <c r="H34" s="274" t="s">
        <v>308</v>
      </c>
      <c r="I34" s="274" t="s">
        <v>84</v>
      </c>
      <c r="J34" s="274" t="s">
        <v>904</v>
      </c>
    </row>
    <row r="35" spans="1:9" ht="39">
      <c r="A35" s="331"/>
      <c r="B35" s="642" t="s">
        <v>786</v>
      </c>
      <c r="C35" s="275" t="s">
        <v>706</v>
      </c>
      <c r="D35" s="275" t="s">
        <v>3</v>
      </c>
      <c r="E35" s="507" t="s">
        <v>478</v>
      </c>
      <c r="F35" s="275" t="s">
        <v>536</v>
      </c>
      <c r="G35" s="275" t="s">
        <v>537</v>
      </c>
      <c r="H35" s="275"/>
      <c r="I35" s="275"/>
    </row>
    <row r="36" spans="2:9" ht="12.75">
      <c r="B36" s="291"/>
      <c r="C36" s="275" t="s">
        <v>436</v>
      </c>
      <c r="D36" s="275" t="s">
        <v>436</v>
      </c>
      <c r="E36" s="275" t="s">
        <v>436</v>
      </c>
      <c r="F36" s="275" t="s">
        <v>51</v>
      </c>
      <c r="G36" s="275" t="s">
        <v>510</v>
      </c>
      <c r="H36" s="275" t="s">
        <v>533</v>
      </c>
      <c r="I36" s="275" t="s">
        <v>535</v>
      </c>
    </row>
    <row r="37" spans="2:10" ht="12.75">
      <c r="B37" s="331"/>
      <c r="C37" s="275"/>
      <c r="D37" s="275"/>
      <c r="E37" s="275"/>
      <c r="F37" s="275" t="s">
        <v>534</v>
      </c>
      <c r="G37" s="275" t="s">
        <v>534</v>
      </c>
      <c r="H37" s="275" t="s">
        <v>534</v>
      </c>
      <c r="I37" s="275" t="s">
        <v>534</v>
      </c>
      <c r="J37" s="275" t="s">
        <v>52</v>
      </c>
    </row>
    <row r="38" spans="2:9" ht="17.25">
      <c r="B38" s="273" t="s">
        <v>511</v>
      </c>
      <c r="C38" s="765"/>
      <c r="D38" s="765"/>
      <c r="E38" s="204"/>
      <c r="G38" s="291"/>
      <c r="H38" s="347"/>
      <c r="I38" s="347"/>
    </row>
    <row r="39" spans="1:10" ht="39">
      <c r="A39" s="331">
        <f>A15+1</f>
        <v>10</v>
      </c>
      <c r="B39" s="933" t="s">
        <v>878</v>
      </c>
      <c r="C39" s="859">
        <v>-22265267</v>
      </c>
      <c r="D39" s="934">
        <v>-37152849</v>
      </c>
      <c r="E39" s="934">
        <f>IF('Appendix A'!$I$1=1,('1 - ADIT'!C39+'1 - ADIT'!D39)/2,'1 - ADIT'!C39)</f>
        <v>-22265267</v>
      </c>
      <c r="F39" s="934"/>
      <c r="G39" s="934">
        <f>E39</f>
        <v>-22265267</v>
      </c>
      <c r="H39" s="934"/>
      <c r="I39" s="936"/>
      <c r="J39" s="1103" t="s">
        <v>910</v>
      </c>
    </row>
    <row r="40" spans="1:10" ht="46.5" customHeight="1">
      <c r="A40" s="331">
        <f aca="true" t="shared" si="5" ref="A40:A68">A39+1</f>
        <v>11</v>
      </c>
      <c r="B40" s="933" t="s">
        <v>879</v>
      </c>
      <c r="C40" s="859">
        <v>-11222876</v>
      </c>
      <c r="D40" s="934">
        <v>-15019756</v>
      </c>
      <c r="E40" s="934">
        <f>IF('Appendix A'!$I$1=1,('1 - ADIT'!C40+'1 - ADIT'!D40)/2,'1 - ADIT'!C40)</f>
        <v>-11222876</v>
      </c>
      <c r="F40" s="934"/>
      <c r="G40" s="934">
        <f>E40</f>
        <v>-11222876</v>
      </c>
      <c r="H40" s="934"/>
      <c r="I40" s="936"/>
      <c r="J40" s="1103" t="s">
        <v>911</v>
      </c>
    </row>
    <row r="41" spans="1:10" ht="81.75" customHeight="1">
      <c r="A41" s="331">
        <f t="shared" si="5"/>
        <v>12</v>
      </c>
      <c r="B41" s="994" t="s">
        <v>905</v>
      </c>
      <c r="C41" s="859">
        <v>56032413</v>
      </c>
      <c r="D41" s="934">
        <v>57408568</v>
      </c>
      <c r="E41" s="934">
        <f>IF('Appendix A'!$I$1=1,('1 - ADIT'!C41+'1 - ADIT'!D41)/2,'1 - ADIT'!C41)</f>
        <v>56032413</v>
      </c>
      <c r="F41" s="934"/>
      <c r="G41" s="934">
        <f>E41</f>
        <v>56032413</v>
      </c>
      <c r="H41" s="934"/>
      <c r="I41" s="936"/>
      <c r="J41" s="1103" t="s">
        <v>912</v>
      </c>
    </row>
    <row r="42" spans="1:10" ht="33" customHeight="1">
      <c r="A42" s="331">
        <f t="shared" si="5"/>
        <v>13</v>
      </c>
      <c r="B42" s="933" t="s">
        <v>880</v>
      </c>
      <c r="C42" s="859">
        <v>22660882</v>
      </c>
      <c r="D42" s="934">
        <v>23249928</v>
      </c>
      <c r="E42" s="934">
        <f>IF('Appendix A'!$I$1=1,('1 - ADIT'!C42+'1 - ADIT'!D42)/2,'1 - ADIT'!C42)</f>
        <v>22660882</v>
      </c>
      <c r="F42" s="934"/>
      <c r="G42" s="934">
        <f>E42</f>
        <v>22660882</v>
      </c>
      <c r="H42" s="934"/>
      <c r="I42" s="936"/>
      <c r="J42" s="1103" t="s">
        <v>913</v>
      </c>
    </row>
    <row r="43" spans="1:10" ht="28.5" customHeight="1">
      <c r="A43" s="331">
        <f t="shared" si="5"/>
        <v>14</v>
      </c>
      <c r="B43" s="933" t="s">
        <v>881</v>
      </c>
      <c r="C43" s="859">
        <v>-94529883</v>
      </c>
      <c r="D43" s="934">
        <v>-144422273</v>
      </c>
      <c r="E43" s="934">
        <f>IF('Appendix A'!$I$1=1,('1 - ADIT'!C43+'1 - ADIT'!D43)/2,'1 - ADIT'!C43)</f>
        <v>-94529883</v>
      </c>
      <c r="F43" s="936">
        <f>E43</f>
        <v>-94529883</v>
      </c>
      <c r="G43" s="934"/>
      <c r="H43" s="934"/>
      <c r="I43" s="936"/>
      <c r="J43" s="1103" t="s">
        <v>914</v>
      </c>
    </row>
    <row r="44" spans="1:10" ht="43.5" customHeight="1">
      <c r="A44" s="331">
        <f t="shared" si="5"/>
        <v>15</v>
      </c>
      <c r="B44" s="994" t="s">
        <v>882</v>
      </c>
      <c r="C44" s="859">
        <v>-42911401</v>
      </c>
      <c r="D44" s="934">
        <v>-58680720</v>
      </c>
      <c r="E44" s="934">
        <f>IF('Appendix A'!$I$1=1,('1 - ADIT'!C44+'1 - ADIT'!D44)/2,'1 - ADIT'!C44)</f>
        <v>-42911401</v>
      </c>
      <c r="F44" s="936">
        <f>E44</f>
        <v>-42911401</v>
      </c>
      <c r="G44" s="934"/>
      <c r="H44" s="934"/>
      <c r="I44" s="936"/>
      <c r="J44" s="1103" t="s">
        <v>915</v>
      </c>
    </row>
    <row r="45" spans="1:10" ht="68.25" customHeight="1">
      <c r="A45" s="331">
        <f t="shared" si="5"/>
        <v>16</v>
      </c>
      <c r="B45" s="933" t="s">
        <v>883</v>
      </c>
      <c r="C45" s="859">
        <v>161154949</v>
      </c>
      <c r="D45" s="934">
        <v>168485019</v>
      </c>
      <c r="E45" s="934">
        <f>IF('Appendix A'!$I$1=1,('1 - ADIT'!C45+'1 - ADIT'!D45)/2,'1 - ADIT'!C45)</f>
        <v>161154949</v>
      </c>
      <c r="F45" s="936">
        <f>E45</f>
        <v>161154949</v>
      </c>
      <c r="G45" s="934"/>
      <c r="H45" s="934"/>
      <c r="I45" s="936"/>
      <c r="J45" s="1103" t="s">
        <v>916</v>
      </c>
    </row>
    <row r="46" spans="1:10" ht="39.75" customHeight="1">
      <c r="A46" s="331">
        <f t="shared" si="5"/>
        <v>17</v>
      </c>
      <c r="B46" s="933" t="s">
        <v>884</v>
      </c>
      <c r="C46" s="859">
        <v>65479432</v>
      </c>
      <c r="D46" s="934">
        <v>68457739</v>
      </c>
      <c r="E46" s="934">
        <f>IF('Appendix A'!$I$1=1,('1 - ADIT'!C46+'1 - ADIT'!D46)/2,'1 - ADIT'!C46)</f>
        <v>65479432</v>
      </c>
      <c r="F46" s="936">
        <f>E46</f>
        <v>65479432</v>
      </c>
      <c r="G46" s="934"/>
      <c r="H46" s="934"/>
      <c r="I46" s="936"/>
      <c r="J46" s="1103" t="s">
        <v>917</v>
      </c>
    </row>
    <row r="47" spans="1:10" ht="71.25" customHeight="1">
      <c r="A47" s="331">
        <f t="shared" si="5"/>
        <v>18</v>
      </c>
      <c r="B47" s="994" t="s">
        <v>906</v>
      </c>
      <c r="C47" s="859">
        <v>0</v>
      </c>
      <c r="D47" s="934">
        <v>0</v>
      </c>
      <c r="E47" s="934">
        <f>IF('Appendix A'!$I$1=1,('1 - ADIT'!C47+'1 - ADIT'!D47)/2,'1 - ADIT'!C47)</f>
        <v>0</v>
      </c>
      <c r="F47" s="936"/>
      <c r="G47" s="934">
        <f>E47</f>
        <v>0</v>
      </c>
      <c r="H47" s="934"/>
      <c r="I47" s="936"/>
      <c r="J47" s="1103" t="s">
        <v>918</v>
      </c>
    </row>
    <row r="48" spans="1:10" ht="33" customHeight="1">
      <c r="A48" s="331">
        <f t="shared" si="5"/>
        <v>19</v>
      </c>
      <c r="B48" s="994" t="s">
        <v>885</v>
      </c>
      <c r="C48" s="859">
        <v>0</v>
      </c>
      <c r="D48" s="934">
        <v>0</v>
      </c>
      <c r="E48" s="934">
        <f>IF('Appendix A'!$I$1=1,('1 - ADIT'!C48+'1 - ADIT'!D48)/2,'1 - ADIT'!C48)</f>
        <v>0</v>
      </c>
      <c r="F48" s="936"/>
      <c r="G48" s="934">
        <f>E48</f>
        <v>0</v>
      </c>
      <c r="H48" s="934"/>
      <c r="I48" s="936"/>
      <c r="J48" s="1103" t="s">
        <v>919</v>
      </c>
    </row>
    <row r="49" spans="1:10" ht="67.5" customHeight="1">
      <c r="A49" s="331">
        <f t="shared" si="5"/>
        <v>20</v>
      </c>
      <c r="B49" s="994" t="s">
        <v>907</v>
      </c>
      <c r="C49" s="859">
        <v>0</v>
      </c>
      <c r="D49" s="934">
        <v>0</v>
      </c>
      <c r="E49" s="934">
        <f>IF('Appendix A'!$I$1=1,('1 - ADIT'!C49+'1 - ADIT'!D49)/2,'1 - ADIT'!C49)</f>
        <v>0</v>
      </c>
      <c r="F49" s="936"/>
      <c r="G49" s="934">
        <f>E49</f>
        <v>0</v>
      </c>
      <c r="H49" s="934"/>
      <c r="I49" s="936"/>
      <c r="J49" s="1103" t="s">
        <v>1000</v>
      </c>
    </row>
    <row r="50" spans="1:10" ht="40.5" customHeight="1">
      <c r="A50" s="331">
        <f t="shared" si="5"/>
        <v>21</v>
      </c>
      <c r="B50" s="994" t="s">
        <v>908</v>
      </c>
      <c r="C50" s="859">
        <v>0</v>
      </c>
      <c r="D50" s="934">
        <v>0</v>
      </c>
      <c r="E50" s="934">
        <f>IF('Appendix A'!$I$1=1,('1 - ADIT'!C50+'1 - ADIT'!D50)/2,'1 - ADIT'!C50)</f>
        <v>0</v>
      </c>
      <c r="F50" s="936"/>
      <c r="G50" s="934">
        <f>E50</f>
        <v>0</v>
      </c>
      <c r="H50" s="934"/>
      <c r="I50" s="936"/>
      <c r="J50" s="1102" t="s">
        <v>909</v>
      </c>
    </row>
    <row r="51" spans="1:12" ht="22.5" customHeight="1">
      <c r="A51" s="331">
        <f t="shared" si="5"/>
        <v>22</v>
      </c>
      <c r="B51" s="326" t="s">
        <v>462</v>
      </c>
      <c r="C51" s="859">
        <v>581650</v>
      </c>
      <c r="D51" s="859">
        <v>699664.04</v>
      </c>
      <c r="E51" s="934">
        <f>IF('Appendix A'!$I$1=1,('1 - ADIT'!C51+'1 - ADIT'!D51)/2,'1 - ADIT'!C51)</f>
        <v>581650</v>
      </c>
      <c r="F51" s="687"/>
      <c r="G51" s="687"/>
      <c r="H51" s="687"/>
      <c r="I51" s="687">
        <f>E51</f>
        <v>581650</v>
      </c>
      <c r="J51" s="1101" t="s">
        <v>91</v>
      </c>
      <c r="L51" s="336"/>
    </row>
    <row r="52" spans="1:12" ht="25.5" customHeight="1">
      <c r="A52" s="331">
        <f t="shared" si="5"/>
        <v>23</v>
      </c>
      <c r="B52" s="326" t="s">
        <v>518</v>
      </c>
      <c r="C52" s="859">
        <v>607259</v>
      </c>
      <c r="D52" s="859">
        <v>462273.57</v>
      </c>
      <c r="E52" s="934">
        <f>IF('Appendix A'!$I$1=1,('1 - ADIT'!C52+'1 - ADIT'!D52)/2,'1 - ADIT'!C52)</f>
        <v>607259</v>
      </c>
      <c r="F52" s="687"/>
      <c r="G52" s="687"/>
      <c r="H52" s="687"/>
      <c r="I52" s="687">
        <f>E52</f>
        <v>607259</v>
      </c>
      <c r="J52" s="334" t="s">
        <v>110</v>
      </c>
      <c r="L52" s="336"/>
    </row>
    <row r="53" spans="1:12" ht="23.25" customHeight="1">
      <c r="A53" s="331">
        <f t="shared" si="5"/>
        <v>24</v>
      </c>
      <c r="B53" s="326" t="s">
        <v>522</v>
      </c>
      <c r="C53" s="859">
        <v>1637114</v>
      </c>
      <c r="D53" s="859">
        <v>1758986.33</v>
      </c>
      <c r="E53" s="934">
        <f>IF('Appendix A'!$I$1=1,('1 - ADIT'!C53+'1 - ADIT'!D53)/2,'1 - ADIT'!C53)</f>
        <v>1637114</v>
      </c>
      <c r="F53" s="687"/>
      <c r="G53" s="687"/>
      <c r="H53" s="687"/>
      <c r="I53" s="687">
        <f>E53</f>
        <v>1637114</v>
      </c>
      <c r="J53" s="334" t="s">
        <v>111</v>
      </c>
      <c r="L53" s="336"/>
    </row>
    <row r="54" spans="1:12" ht="24" customHeight="1">
      <c r="A54" s="331">
        <f t="shared" si="5"/>
        <v>25</v>
      </c>
      <c r="B54" s="749" t="s">
        <v>760</v>
      </c>
      <c r="C54" s="859">
        <v>19372188</v>
      </c>
      <c r="D54" s="859">
        <v>17573237.610000003</v>
      </c>
      <c r="E54" s="934">
        <f>IF('Appendix A'!$I$1=1,('1 - ADIT'!C54+'1 - ADIT'!D54)/2,'1 - ADIT'!C54)</f>
        <v>19372188</v>
      </c>
      <c r="F54" s="687"/>
      <c r="G54" s="687"/>
      <c r="H54" s="687"/>
      <c r="I54" s="687">
        <f>E54</f>
        <v>19372188</v>
      </c>
      <c r="J54" s="334" t="s">
        <v>744</v>
      </c>
      <c r="L54" s="336"/>
    </row>
    <row r="55" spans="1:12" ht="21.75" customHeight="1">
      <c r="A55" s="331">
        <f t="shared" si="5"/>
        <v>26</v>
      </c>
      <c r="B55" s="749" t="s">
        <v>768</v>
      </c>
      <c r="C55" s="859">
        <v>5256028</v>
      </c>
      <c r="D55" s="859">
        <v>7683422.069999999</v>
      </c>
      <c r="E55" s="934">
        <f>IF('Appendix A'!$I$1=1,('1 - ADIT'!C55+'1 - ADIT'!D55)/2,'1 - ADIT'!C55)</f>
        <v>5256028</v>
      </c>
      <c r="F55" s="687"/>
      <c r="G55" s="687"/>
      <c r="H55" s="687"/>
      <c r="I55" s="687">
        <f>E55</f>
        <v>5256028</v>
      </c>
      <c r="J55" s="334" t="s">
        <v>758</v>
      </c>
      <c r="L55" s="336"/>
    </row>
    <row r="56" spans="1:12" ht="27" customHeight="1">
      <c r="A56" s="331">
        <f t="shared" si="5"/>
        <v>27</v>
      </c>
      <c r="B56" s="749" t="s">
        <v>757</v>
      </c>
      <c r="C56" s="859">
        <v>2408120</v>
      </c>
      <c r="D56" s="859">
        <v>3087160.23</v>
      </c>
      <c r="E56" s="934">
        <f>IF('Appendix A'!$I$1=1,('1 - ADIT'!C56+'1 - ADIT'!D56)/2,'1 - ADIT'!C56)</f>
        <v>2408120</v>
      </c>
      <c r="F56" s="687">
        <f>E56</f>
        <v>2408120</v>
      </c>
      <c r="G56" s="687"/>
      <c r="H56" s="687"/>
      <c r="I56" s="687"/>
      <c r="J56" s="334" t="s">
        <v>759</v>
      </c>
      <c r="L56" s="336"/>
    </row>
    <row r="57" spans="1:12" ht="19.5" customHeight="1">
      <c r="A57" s="331">
        <f t="shared" si="5"/>
        <v>28</v>
      </c>
      <c r="B57" s="749" t="s">
        <v>761</v>
      </c>
      <c r="C57" s="859">
        <v>384762</v>
      </c>
      <c r="D57" s="859">
        <v>493247.2</v>
      </c>
      <c r="E57" s="934">
        <f>IF('Appendix A'!$I$1=1,('1 - ADIT'!C57+'1 - ADIT'!D57)/2,'1 - ADIT'!C57)</f>
        <v>384762</v>
      </c>
      <c r="F57" s="687">
        <f>E57</f>
        <v>384762</v>
      </c>
      <c r="G57" s="687"/>
      <c r="H57" s="687"/>
      <c r="I57" s="687"/>
      <c r="J57" s="334" t="s">
        <v>222</v>
      </c>
      <c r="L57" s="336"/>
    </row>
    <row r="58" spans="1:12" ht="30.75" customHeight="1">
      <c r="A58" s="331">
        <f t="shared" si="5"/>
        <v>29</v>
      </c>
      <c r="B58" s="749" t="s">
        <v>762</v>
      </c>
      <c r="C58" s="859">
        <v>3171043</v>
      </c>
      <c r="D58" s="859">
        <v>6062898.17</v>
      </c>
      <c r="E58" s="934">
        <f>IF('Appendix A'!$I$1=1,('1 - ADIT'!C58+'1 - ADIT'!D58)/2,'1 - ADIT'!C58)</f>
        <v>3171043</v>
      </c>
      <c r="F58" s="687">
        <f>E58</f>
        <v>3171043</v>
      </c>
      <c r="G58" s="687"/>
      <c r="H58" s="687"/>
      <c r="I58" s="687"/>
      <c r="J58" s="334" t="s">
        <v>221</v>
      </c>
      <c r="L58" s="336"/>
    </row>
    <row r="59" spans="1:12" ht="26.25" customHeight="1">
      <c r="A59" s="331">
        <f t="shared" si="5"/>
        <v>30</v>
      </c>
      <c r="B59" s="326" t="s">
        <v>519</v>
      </c>
      <c r="C59" s="859">
        <v>640689</v>
      </c>
      <c r="D59" s="859">
        <v>355986.59</v>
      </c>
      <c r="E59" s="934">
        <f>IF('Appendix A'!$I$1=1,('1 - ADIT'!C59+'1 - ADIT'!D59)/2,'1 - ADIT'!C59)</f>
        <v>640689</v>
      </c>
      <c r="F59" s="687">
        <f>E59</f>
        <v>640689</v>
      </c>
      <c r="G59" s="687"/>
      <c r="H59" s="687"/>
      <c r="I59" s="687"/>
      <c r="J59" s="334" t="s">
        <v>199</v>
      </c>
      <c r="L59" s="336"/>
    </row>
    <row r="60" spans="1:12" ht="23.25" customHeight="1">
      <c r="A60" s="331">
        <f t="shared" si="5"/>
        <v>31</v>
      </c>
      <c r="B60" s="326" t="s">
        <v>520</v>
      </c>
      <c r="C60" s="859">
        <v>808550</v>
      </c>
      <c r="D60" s="859">
        <v>1009870.01</v>
      </c>
      <c r="E60" s="934">
        <f>IF('Appendix A'!$I$1=1,('1 - ADIT'!C60+'1 - ADIT'!D60)/2,'1 - ADIT'!C60)</f>
        <v>808550</v>
      </c>
      <c r="F60" s="687"/>
      <c r="G60" s="687"/>
      <c r="H60" s="687"/>
      <c r="I60" s="687">
        <f>E60</f>
        <v>808550</v>
      </c>
      <c r="J60" s="334" t="s">
        <v>200</v>
      </c>
      <c r="L60" s="336"/>
    </row>
    <row r="61" spans="1:12" ht="15.75" customHeight="1">
      <c r="A61" s="331">
        <f t="shared" si="5"/>
        <v>32</v>
      </c>
      <c r="B61" s="749" t="s">
        <v>795</v>
      </c>
      <c r="C61" s="859">
        <v>0</v>
      </c>
      <c r="D61" s="859">
        <v>0</v>
      </c>
      <c r="E61" s="934">
        <f>IF('Appendix A'!$I$1=1,('1 - ADIT'!C61+'1 - ADIT'!D61)/2,'1 - ADIT'!C61)</f>
        <v>0</v>
      </c>
      <c r="F61" s="687">
        <f>E61</f>
        <v>0</v>
      </c>
      <c r="G61" s="687"/>
      <c r="H61" s="687"/>
      <c r="I61" s="687"/>
      <c r="J61" s="334" t="s">
        <v>201</v>
      </c>
      <c r="L61" s="336"/>
    </row>
    <row r="62" spans="1:12" ht="22.5" customHeight="1">
      <c r="A62" s="331">
        <f t="shared" si="5"/>
        <v>33</v>
      </c>
      <c r="B62" s="326" t="s">
        <v>521</v>
      </c>
      <c r="C62" s="859">
        <v>221396</v>
      </c>
      <c r="D62" s="859">
        <v>2087454</v>
      </c>
      <c r="E62" s="934">
        <f>IF('Appendix A'!$I$1=1,('1 - ADIT'!C62+'1 - ADIT'!D62)/2,'1 - ADIT'!C62)</f>
        <v>221396</v>
      </c>
      <c r="F62" s="687"/>
      <c r="G62" s="687"/>
      <c r="H62" s="687"/>
      <c r="I62" s="687">
        <f>E62</f>
        <v>221396</v>
      </c>
      <c r="J62" s="334" t="s">
        <v>220</v>
      </c>
      <c r="L62" s="336"/>
    </row>
    <row r="63" spans="1:12" ht="18" customHeight="1">
      <c r="A63" s="331">
        <f t="shared" si="5"/>
        <v>34</v>
      </c>
      <c r="B63" s="326" t="s">
        <v>633</v>
      </c>
      <c r="C63" s="859">
        <v>4243091</v>
      </c>
      <c r="D63" s="859">
        <v>5198719.43</v>
      </c>
      <c r="E63" s="934">
        <f>IF('Appendix A'!$I$1=1,('1 - ADIT'!C63+'1 - ADIT'!D63)/2,'1 - ADIT'!C63)</f>
        <v>4243091</v>
      </c>
      <c r="F63" s="687"/>
      <c r="G63" s="783"/>
      <c r="H63" s="687"/>
      <c r="I63" s="687">
        <f>E63-G63</f>
        <v>4243091</v>
      </c>
      <c r="J63" s="334" t="s">
        <v>132</v>
      </c>
      <c r="L63" s="336"/>
    </row>
    <row r="64" spans="1:12" ht="20.25" customHeight="1">
      <c r="A64" s="331">
        <f t="shared" si="5"/>
        <v>35</v>
      </c>
      <c r="B64" s="326" t="s">
        <v>92</v>
      </c>
      <c r="C64" s="859">
        <v>0</v>
      </c>
      <c r="D64" s="859">
        <v>0</v>
      </c>
      <c r="E64" s="934">
        <f>IF('Appendix A'!$I$1=1,('1 - ADIT'!C64+'1 - ADIT'!D64)/2,'1 - ADIT'!C64)</f>
        <v>0</v>
      </c>
      <c r="F64" s="687">
        <f>E64</f>
        <v>0</v>
      </c>
      <c r="G64" s="687"/>
      <c r="H64" s="687"/>
      <c r="I64" s="687"/>
      <c r="J64" s="334" t="s">
        <v>783</v>
      </c>
      <c r="L64" s="336"/>
    </row>
    <row r="65" spans="1:12" ht="32.25" customHeight="1">
      <c r="A65" s="331">
        <f t="shared" si="5"/>
        <v>36</v>
      </c>
      <c r="B65" s="749" t="s">
        <v>779</v>
      </c>
      <c r="C65" s="859">
        <v>332171</v>
      </c>
      <c r="D65" s="859">
        <v>374481.06</v>
      </c>
      <c r="E65" s="934">
        <f>IF('Appendix A'!$I$1=1,('1 - ADIT'!C65+'1 - ADIT'!D65)/2,'1 - ADIT'!C65)</f>
        <v>332171</v>
      </c>
      <c r="F65" s="687">
        <f>E65</f>
        <v>332171</v>
      </c>
      <c r="G65" s="687"/>
      <c r="H65" s="687"/>
      <c r="I65" s="687"/>
      <c r="J65" s="293" t="s">
        <v>781</v>
      </c>
      <c r="L65" s="336"/>
    </row>
    <row r="66" spans="1:12" ht="21" customHeight="1">
      <c r="A66" s="331">
        <f t="shared" si="5"/>
        <v>37</v>
      </c>
      <c r="B66" s="858" t="s">
        <v>584</v>
      </c>
      <c r="C66" s="859">
        <v>-922721</v>
      </c>
      <c r="D66" s="859">
        <v>-681201.1699999999</v>
      </c>
      <c r="E66" s="1321">
        <f>IF('Appendix A'!$I$1=1,('1 - ADIT'!C66+'1 - ADIT'!D66)/2,'1 - ADIT'!C66)</f>
        <v>-922721</v>
      </c>
      <c r="F66" s="859">
        <f>E66</f>
        <v>-922721</v>
      </c>
      <c r="G66" s="859"/>
      <c r="H66" s="859"/>
      <c r="I66" s="859"/>
      <c r="J66" s="857" t="s">
        <v>784</v>
      </c>
      <c r="L66" s="336"/>
    </row>
    <row r="67" spans="1:12" ht="30" customHeight="1">
      <c r="A67" s="331">
        <f t="shared" si="5"/>
        <v>38</v>
      </c>
      <c r="B67" s="749" t="s">
        <v>850</v>
      </c>
      <c r="C67" s="687">
        <v>4623126</v>
      </c>
      <c r="D67" s="859">
        <v>6063124.47</v>
      </c>
      <c r="E67" s="934">
        <f>IF('Appendix A'!$I$1=1,('1 - ADIT'!C67+'1 - ADIT'!D67)/2,'1 - ADIT'!C67)</f>
        <v>4623126</v>
      </c>
      <c r="F67" s="859">
        <f>E67</f>
        <v>4623126</v>
      </c>
      <c r="G67" s="687"/>
      <c r="H67" s="687"/>
      <c r="I67" s="687"/>
      <c r="J67" s="857" t="s">
        <v>886</v>
      </c>
      <c r="L67" s="336"/>
    </row>
    <row r="68" spans="1:12" ht="29.25" customHeight="1">
      <c r="A68" s="331">
        <f t="shared" si="5"/>
        <v>39</v>
      </c>
      <c r="B68" s="749" t="s">
        <v>902</v>
      </c>
      <c r="C68" s="687">
        <v>0</v>
      </c>
      <c r="D68" s="859">
        <v>1071779.1</v>
      </c>
      <c r="E68" s="934">
        <f>IF('Appendix A'!$I$1=1,('1 - ADIT'!C68+'1 - ADIT'!D68)/2,'1 - ADIT'!C68)</f>
        <v>0</v>
      </c>
      <c r="F68" s="859" t="s">
        <v>304</v>
      </c>
      <c r="G68" s="687"/>
      <c r="H68" s="687"/>
      <c r="I68" s="687">
        <f>E68</f>
        <v>0</v>
      </c>
      <c r="J68" s="857" t="s">
        <v>903</v>
      </c>
      <c r="L68" s="336"/>
    </row>
    <row r="69" spans="1:12" s="331" customFormat="1" ht="13.5">
      <c r="A69" s="757"/>
      <c r="B69" s="988"/>
      <c r="C69" s="987"/>
      <c r="D69" s="531"/>
      <c r="E69" s="953"/>
      <c r="G69" s="336"/>
      <c r="H69" s="336"/>
      <c r="I69" s="336"/>
      <c r="J69" s="796"/>
      <c r="L69" s="336"/>
    </row>
    <row r="70" spans="1:6" ht="12.75">
      <c r="A70" s="331"/>
      <c r="B70" s="989"/>
      <c r="C70" s="767"/>
      <c r="D70" s="760"/>
      <c r="E70" s="954"/>
      <c r="F70" s="760"/>
    </row>
    <row r="71" spans="1:12" ht="13.5">
      <c r="A71" s="331">
        <v>40</v>
      </c>
      <c r="B71" s="323" t="str">
        <f>"Subtotal - p234 (Sum line "&amp;A39&amp;" through line "&amp;A68&amp;")"</f>
        <v>Subtotal - p234 (Sum line 10 through line 39)</v>
      </c>
      <c r="C71" s="340">
        <f>SUM(C39:C68)</f>
        <v>177762715</v>
      </c>
      <c r="D71" s="340">
        <f aca="true" t="shared" si="6" ref="D71:I71">SUM(D39:D68)</f>
        <v>115626758.71</v>
      </c>
      <c r="E71" s="340">
        <f t="shared" si="6"/>
        <v>177762715</v>
      </c>
      <c r="F71" s="340">
        <f t="shared" si="6"/>
        <v>99830287</v>
      </c>
      <c r="G71" s="340">
        <f t="shared" si="6"/>
        <v>45205152</v>
      </c>
      <c r="H71" s="340">
        <f t="shared" si="6"/>
        <v>0</v>
      </c>
      <c r="I71" s="340">
        <f t="shared" si="6"/>
        <v>32727276</v>
      </c>
      <c r="J71" s="327"/>
      <c r="L71" s="336"/>
    </row>
    <row r="72" spans="1:12" ht="13.5">
      <c r="A72" s="331">
        <f>A71+1</f>
        <v>41</v>
      </c>
      <c r="B72" s="325" t="s">
        <v>10</v>
      </c>
      <c r="C72" s="340">
        <f aca="true" t="shared" si="7" ref="C72:I72">(C39+C40+C41+C42+C43+C44+C45+C46+C47+C48+C49+C50)</f>
        <v>134398249</v>
      </c>
      <c r="D72" s="340">
        <f t="shared" si="7"/>
        <v>62325656</v>
      </c>
      <c r="E72" s="340">
        <f t="shared" si="7"/>
        <v>134398249</v>
      </c>
      <c r="F72" s="340">
        <f t="shared" si="7"/>
        <v>89193097</v>
      </c>
      <c r="G72" s="340">
        <f t="shared" si="7"/>
        <v>45205152</v>
      </c>
      <c r="H72" s="340">
        <f t="shared" si="7"/>
        <v>0</v>
      </c>
      <c r="I72" s="340">
        <f t="shared" si="7"/>
        <v>0</v>
      </c>
      <c r="J72" s="293" t="s">
        <v>1001</v>
      </c>
      <c r="L72" s="336"/>
    </row>
    <row r="73" spans="1:12" ht="12.75" customHeight="1">
      <c r="A73" s="331">
        <f>A72+1</f>
        <v>42</v>
      </c>
      <c r="B73" s="325" t="s">
        <v>11</v>
      </c>
      <c r="C73" s="340">
        <f aca="true" t="shared" si="8" ref="C73:I73">C55</f>
        <v>5256028</v>
      </c>
      <c r="D73" s="340">
        <f t="shared" si="8"/>
        <v>7683422.069999999</v>
      </c>
      <c r="E73" s="340">
        <f t="shared" si="8"/>
        <v>5256028</v>
      </c>
      <c r="F73" s="340">
        <f t="shared" si="8"/>
        <v>0</v>
      </c>
      <c r="G73" s="340">
        <f t="shared" si="8"/>
        <v>0</v>
      </c>
      <c r="H73" s="340">
        <f t="shared" si="8"/>
        <v>0</v>
      </c>
      <c r="I73" s="340">
        <f t="shared" si="8"/>
        <v>5256028</v>
      </c>
      <c r="J73" s="293" t="s">
        <v>1002</v>
      </c>
      <c r="L73" s="336"/>
    </row>
    <row r="74" spans="1:12" ht="13.5">
      <c r="A74" s="331">
        <f>A73+1</f>
        <v>43</v>
      </c>
      <c r="B74" s="325" t="str">
        <f>"Total = Line "&amp;A71&amp;" - (Line "&amp;A73&amp;" + Line "&amp;A72&amp;")"</f>
        <v>Total = Line 40 - (Line 42 + Line 41)</v>
      </c>
      <c r="C74" s="571">
        <f aca="true" t="shared" si="9" ref="C74:I74">C71-(C72+C73)</f>
        <v>38108438</v>
      </c>
      <c r="D74" s="571">
        <f t="shared" si="9"/>
        <v>45617680.64</v>
      </c>
      <c r="E74" s="571">
        <f t="shared" si="9"/>
        <v>38108438</v>
      </c>
      <c r="F74" s="571">
        <f t="shared" si="9"/>
        <v>10637190</v>
      </c>
      <c r="G74" s="571">
        <f t="shared" si="9"/>
        <v>0</v>
      </c>
      <c r="H74" s="571">
        <f t="shared" si="9"/>
        <v>0</v>
      </c>
      <c r="I74" s="571">
        <f t="shared" si="9"/>
        <v>27471248</v>
      </c>
      <c r="J74" s="324"/>
      <c r="L74" s="336"/>
    </row>
    <row r="75" spans="1:12" s="328" customFormat="1" ht="13.5">
      <c r="A75" s="757"/>
      <c r="B75" s="965"/>
      <c r="C75" s="966"/>
      <c r="D75" s="966"/>
      <c r="E75" s="966"/>
      <c r="F75" s="966"/>
      <c r="G75" s="966"/>
      <c r="H75" s="966"/>
      <c r="I75" s="966"/>
      <c r="J75" s="329"/>
      <c r="L75" s="336"/>
    </row>
    <row r="76" spans="1:12" ht="12.75">
      <c r="A76" s="791"/>
      <c r="B76" s="274" t="s">
        <v>306</v>
      </c>
      <c r="C76" s="572" t="s">
        <v>437</v>
      </c>
      <c r="D76" s="572" t="s">
        <v>287</v>
      </c>
      <c r="E76" s="720" t="s">
        <v>307</v>
      </c>
      <c r="F76" s="572" t="s">
        <v>305</v>
      </c>
      <c r="G76" s="572" t="s">
        <v>590</v>
      </c>
      <c r="H76" s="572" t="s">
        <v>308</v>
      </c>
      <c r="I76" s="572" t="s">
        <v>84</v>
      </c>
      <c r="J76" s="274" t="s">
        <v>294</v>
      </c>
      <c r="L76" s="336"/>
    </row>
    <row r="77" spans="1:12" ht="39">
      <c r="A77" s="331"/>
      <c r="C77" s="573" t="s">
        <v>706</v>
      </c>
      <c r="D77" s="573" t="s">
        <v>3</v>
      </c>
      <c r="E77" s="574" t="s">
        <v>478</v>
      </c>
      <c r="F77" s="573" t="s">
        <v>536</v>
      </c>
      <c r="G77" s="573" t="s">
        <v>537</v>
      </c>
      <c r="H77" s="573"/>
      <c r="I77" s="573"/>
      <c r="L77" s="336"/>
    </row>
    <row r="78" spans="1:12" ht="13.5">
      <c r="A78" s="331"/>
      <c r="B78" s="759"/>
      <c r="C78" s="573" t="s">
        <v>436</v>
      </c>
      <c r="D78" s="573" t="s">
        <v>436</v>
      </c>
      <c r="E78" s="573"/>
      <c r="F78" s="573" t="s">
        <v>51</v>
      </c>
      <c r="G78" s="573" t="s">
        <v>510</v>
      </c>
      <c r="H78" s="573" t="s">
        <v>533</v>
      </c>
      <c r="I78" s="573" t="s">
        <v>535</v>
      </c>
      <c r="L78" s="336"/>
    </row>
    <row r="79" spans="1:12" ht="13.5">
      <c r="A79" s="331"/>
      <c r="B79" s="203"/>
      <c r="C79" s="362"/>
      <c r="D79" s="332"/>
      <c r="E79" s="234"/>
      <c r="F79" s="573" t="s">
        <v>534</v>
      </c>
      <c r="G79" s="573" t="s">
        <v>534</v>
      </c>
      <c r="H79" s="573" t="s">
        <v>534</v>
      </c>
      <c r="I79" s="573" t="s">
        <v>534</v>
      </c>
      <c r="J79" s="275" t="s">
        <v>52</v>
      </c>
      <c r="L79" s="336"/>
    </row>
    <row r="80" spans="1:12" ht="17.25">
      <c r="A80" s="331"/>
      <c r="B80" s="273" t="s">
        <v>512</v>
      </c>
      <c r="C80" s="990"/>
      <c r="D80" s="765"/>
      <c r="E80" s="258"/>
      <c r="F80" s="362"/>
      <c r="G80" s="362"/>
      <c r="H80" s="362"/>
      <c r="I80" s="362"/>
      <c r="J80" s="331"/>
      <c r="L80" s="336"/>
    </row>
    <row r="81" spans="1:12" ht="81.75" customHeight="1">
      <c r="A81" s="331">
        <f>A74+1</f>
        <v>44</v>
      </c>
      <c r="B81" s="937" t="s">
        <v>848</v>
      </c>
      <c r="C81" s="860">
        <v>165387681</v>
      </c>
      <c r="D81" s="860">
        <v>161797853</v>
      </c>
      <c r="E81" s="1322">
        <f>IF('Appendix A'!$I$1=1,('1 - ADIT'!C81+'1 - ADIT'!D81)/2,'1 - ADIT'!C81)</f>
        <v>165387681</v>
      </c>
      <c r="F81" s="687"/>
      <c r="G81" s="687">
        <f>E81</f>
        <v>165387681</v>
      </c>
      <c r="H81" s="687"/>
      <c r="I81" s="687"/>
      <c r="J81" s="935" t="s">
        <v>920</v>
      </c>
      <c r="L81" s="336"/>
    </row>
    <row r="82" spans="1:12" ht="79.5" customHeight="1">
      <c r="A82" s="331">
        <f>A81+1</f>
        <v>45</v>
      </c>
      <c r="B82" s="937" t="s">
        <v>849</v>
      </c>
      <c r="C82" s="860">
        <v>527079164</v>
      </c>
      <c r="D82" s="860">
        <v>521782690</v>
      </c>
      <c r="E82" s="1322">
        <f>IF('Appendix A'!$I$1=1,('1 - ADIT'!C82+'1 - ADIT'!D82)/2,'1 - ADIT'!C82)</f>
        <v>527079164</v>
      </c>
      <c r="F82" s="687">
        <f>E82</f>
        <v>527079164</v>
      </c>
      <c r="G82" s="687"/>
      <c r="H82" s="687"/>
      <c r="I82" s="687"/>
      <c r="J82" s="935" t="s">
        <v>921</v>
      </c>
      <c r="L82" s="336"/>
    </row>
    <row r="83" spans="1:12" ht="13.5">
      <c r="A83" s="331">
        <f>A82+1</f>
        <v>46</v>
      </c>
      <c r="B83" s="325" t="s">
        <v>1051</v>
      </c>
      <c r="C83" s="571">
        <f aca="true" t="shared" si="10" ref="C83:I83">SUM(C81:C82)</f>
        <v>692466845</v>
      </c>
      <c r="D83" s="571">
        <f t="shared" si="10"/>
        <v>683580543</v>
      </c>
      <c r="E83" s="571">
        <f t="shared" si="10"/>
        <v>692466845</v>
      </c>
      <c r="F83" s="571">
        <f t="shared" si="10"/>
        <v>527079164</v>
      </c>
      <c r="G83" s="571">
        <f t="shared" si="10"/>
        <v>165387681</v>
      </c>
      <c r="H83" s="571">
        <f t="shared" si="10"/>
        <v>0</v>
      </c>
      <c r="I83" s="571">
        <f t="shared" si="10"/>
        <v>0</v>
      </c>
      <c r="J83" s="337"/>
      <c r="L83" s="336"/>
    </row>
    <row r="84" spans="1:12" ht="13.5">
      <c r="A84" s="331">
        <f>A83+1</f>
        <v>47</v>
      </c>
      <c r="B84" s="325" t="s">
        <v>10</v>
      </c>
      <c r="C84" s="340">
        <f>SUM(F84:H84)</f>
        <v>0</v>
      </c>
      <c r="D84" s="340">
        <f>SUM(G84:I84)</f>
        <v>0</v>
      </c>
      <c r="E84" s="688">
        <f>+C84</f>
        <v>0</v>
      </c>
      <c r="F84" s="340"/>
      <c r="G84" s="340"/>
      <c r="H84" s="340">
        <v>0</v>
      </c>
      <c r="I84" s="340"/>
      <c r="J84" s="327"/>
      <c r="L84" s="336"/>
    </row>
    <row r="85" spans="1:12" ht="13.5">
      <c r="A85" s="331">
        <f>A84+1</f>
        <v>48</v>
      </c>
      <c r="B85" s="325" t="s">
        <v>11</v>
      </c>
      <c r="C85" s="340"/>
      <c r="D85" s="340"/>
      <c r="E85" s="688">
        <f>+C85</f>
        <v>0</v>
      </c>
      <c r="F85" s="340"/>
      <c r="G85" s="340"/>
      <c r="H85" s="340"/>
      <c r="I85" s="340"/>
      <c r="J85" s="327"/>
      <c r="L85" s="336"/>
    </row>
    <row r="86" spans="1:12" ht="13.5">
      <c r="A86" s="331">
        <f>A85+1</f>
        <v>49</v>
      </c>
      <c r="B86" s="325" t="str">
        <f>"Total = Line "&amp;A83&amp;" - (Line "&amp;A85&amp;" + Line "&amp;A84&amp;")"</f>
        <v>Total = Line 46 - (Line 48 + Line 47)</v>
      </c>
      <c r="C86" s="571">
        <f>C83-(C84+C85)</f>
        <v>692466845</v>
      </c>
      <c r="D86" s="571">
        <f aca="true" t="shared" si="11" ref="D86:I86">D83-(D84+D85)</f>
        <v>683580543</v>
      </c>
      <c r="E86" s="571">
        <f t="shared" si="11"/>
        <v>692466845</v>
      </c>
      <c r="F86" s="571">
        <f t="shared" si="11"/>
        <v>527079164</v>
      </c>
      <c r="G86" s="571">
        <f t="shared" si="11"/>
        <v>165387681</v>
      </c>
      <c r="H86" s="571">
        <f t="shared" si="11"/>
        <v>0</v>
      </c>
      <c r="I86" s="571">
        <f t="shared" si="11"/>
        <v>0</v>
      </c>
      <c r="J86" s="337"/>
      <c r="L86" s="336"/>
    </row>
    <row r="87" spans="1:12" ht="14.25">
      <c r="A87" s="757"/>
      <c r="B87" s="965"/>
      <c r="C87" s="966"/>
      <c r="D87" s="966"/>
      <c r="E87" s="966"/>
      <c r="F87" s="966"/>
      <c r="G87" s="966"/>
      <c r="H87" s="966"/>
      <c r="I87" s="966"/>
      <c r="J87" s="643"/>
      <c r="L87" s="336"/>
    </row>
    <row r="88" spans="1:12" ht="12.75">
      <c r="A88" s="791"/>
      <c r="B88" s="274" t="s">
        <v>306</v>
      </c>
      <c r="C88" s="572" t="s">
        <v>437</v>
      </c>
      <c r="D88" s="572" t="s">
        <v>287</v>
      </c>
      <c r="E88" s="572" t="s">
        <v>307</v>
      </c>
      <c r="F88" s="572" t="s">
        <v>305</v>
      </c>
      <c r="G88" s="572" t="s">
        <v>590</v>
      </c>
      <c r="H88" s="572" t="s">
        <v>308</v>
      </c>
      <c r="I88" s="572" t="s">
        <v>84</v>
      </c>
      <c r="J88" s="274" t="s">
        <v>904</v>
      </c>
      <c r="L88" s="336"/>
    </row>
    <row r="89" spans="1:12" ht="39">
      <c r="A89" s="331"/>
      <c r="B89" s="642" t="s">
        <v>787</v>
      </c>
      <c r="C89" s="573" t="s">
        <v>706</v>
      </c>
      <c r="D89" s="573" t="s">
        <v>3</v>
      </c>
      <c r="E89" s="574" t="s">
        <v>478</v>
      </c>
      <c r="F89" s="573" t="s">
        <v>536</v>
      </c>
      <c r="G89" s="573" t="s">
        <v>537</v>
      </c>
      <c r="H89" s="573"/>
      <c r="I89" s="573"/>
      <c r="L89" s="336"/>
    </row>
    <row r="90" spans="1:12" ht="12.75">
      <c r="A90" s="331"/>
      <c r="C90" s="573" t="s">
        <v>436</v>
      </c>
      <c r="D90" s="573" t="s">
        <v>436</v>
      </c>
      <c r="E90" s="573"/>
      <c r="F90" s="573" t="s">
        <v>51</v>
      </c>
      <c r="G90" s="573" t="s">
        <v>510</v>
      </c>
      <c r="H90" s="573" t="s">
        <v>533</v>
      </c>
      <c r="I90" s="573" t="s">
        <v>535</v>
      </c>
      <c r="L90" s="336"/>
    </row>
    <row r="91" spans="1:12" ht="13.5">
      <c r="A91" s="331"/>
      <c r="B91" s="203"/>
      <c r="C91" s="332"/>
      <c r="D91" s="332"/>
      <c r="E91" s="575"/>
      <c r="F91" s="573" t="s">
        <v>534</v>
      </c>
      <c r="G91" s="573" t="s">
        <v>534</v>
      </c>
      <c r="H91" s="573" t="s">
        <v>534</v>
      </c>
      <c r="I91" s="573" t="s">
        <v>534</v>
      </c>
      <c r="J91" s="275" t="s">
        <v>52</v>
      </c>
      <c r="L91" s="336"/>
    </row>
    <row r="92" spans="1:12" ht="17.25">
      <c r="A92" s="331"/>
      <c r="B92" s="273" t="s">
        <v>513</v>
      </c>
      <c r="C92" s="765"/>
      <c r="D92" s="765"/>
      <c r="E92" s="234"/>
      <c r="F92" s="362"/>
      <c r="G92" s="362"/>
      <c r="H92" s="362"/>
      <c r="I92" s="362"/>
      <c r="L92" s="336"/>
    </row>
    <row r="93" spans="1:12" ht="26.25">
      <c r="A93" s="331">
        <f>A86+1</f>
        <v>50</v>
      </c>
      <c r="B93" s="749" t="s">
        <v>763</v>
      </c>
      <c r="C93" s="860">
        <v>3249189</v>
      </c>
      <c r="D93" s="860">
        <v>4252135</v>
      </c>
      <c r="E93" s="934">
        <f>IF('Appendix A'!$I$1=1,('1 - ADIT'!C93+'1 - ADIT'!D93)/2,'1 - ADIT'!C93)</f>
        <v>3249189</v>
      </c>
      <c r="F93" s="687"/>
      <c r="G93" s="687"/>
      <c r="H93" s="687">
        <f>E93</f>
        <v>3249189</v>
      </c>
      <c r="I93" s="687"/>
      <c r="J93" s="293" t="s">
        <v>673</v>
      </c>
      <c r="L93" s="336"/>
    </row>
    <row r="94" spans="1:12" ht="12.75" customHeight="1">
      <c r="A94" s="331">
        <f>A93+1</f>
        <v>51</v>
      </c>
      <c r="B94" s="749" t="s">
        <v>764</v>
      </c>
      <c r="C94" s="860">
        <v>1022201</v>
      </c>
      <c r="D94" s="860">
        <v>1086912</v>
      </c>
      <c r="E94" s="934">
        <f>IF('Appendix A'!$I$1=1,('1 - ADIT'!C94+'1 - ADIT'!D94)/2,'1 - ADIT'!C94)</f>
        <v>1022201</v>
      </c>
      <c r="F94" s="687">
        <f>E94</f>
        <v>1022201</v>
      </c>
      <c r="G94" s="687"/>
      <c r="H94" s="687"/>
      <c r="I94" s="687"/>
      <c r="J94" s="293" t="s">
        <v>674</v>
      </c>
      <c r="L94" s="336"/>
    </row>
    <row r="95" spans="1:12" ht="12.75" customHeight="1">
      <c r="A95" s="331">
        <f>A94+1</f>
        <v>52</v>
      </c>
      <c r="B95" s="326" t="s">
        <v>523</v>
      </c>
      <c r="C95" s="860">
        <v>4427212</v>
      </c>
      <c r="D95" s="860">
        <v>7759456</v>
      </c>
      <c r="E95" s="934">
        <f>IF('Appendix A'!$I$1=1,('1 - ADIT'!C95+'1 - ADIT'!D95)/2,'1 - ADIT'!C95)</f>
        <v>4427212</v>
      </c>
      <c r="F95" s="687">
        <f>E95</f>
        <v>4427212</v>
      </c>
      <c r="G95" s="687"/>
      <c r="H95" s="687"/>
      <c r="I95" s="687"/>
      <c r="J95" s="272" t="s">
        <v>675</v>
      </c>
      <c r="L95" s="336"/>
    </row>
    <row r="96" spans="1:12" ht="12.75" customHeight="1">
      <c r="A96" s="331">
        <f>A95+1</f>
        <v>53</v>
      </c>
      <c r="B96" s="749" t="s">
        <v>765</v>
      </c>
      <c r="C96" s="860">
        <v>52351178</v>
      </c>
      <c r="D96" s="860">
        <v>52445967</v>
      </c>
      <c r="E96" s="934">
        <f>IF('Appendix A'!$I$1=1,('1 - ADIT'!C96+'1 - ADIT'!D96)/2,'1 - ADIT'!C96)</f>
        <v>52351178</v>
      </c>
      <c r="F96" s="687"/>
      <c r="G96" s="687"/>
      <c r="H96" s="687"/>
      <c r="I96" s="687">
        <f>E96</f>
        <v>52351178</v>
      </c>
      <c r="J96" s="293" t="s">
        <v>676</v>
      </c>
      <c r="L96" s="336"/>
    </row>
    <row r="97" spans="1:12" ht="12.75" customHeight="1">
      <c r="A97" s="331">
        <f>A96+1</f>
        <v>54</v>
      </c>
      <c r="B97" s="749" t="s">
        <v>770</v>
      </c>
      <c r="C97" s="860">
        <v>1637115</v>
      </c>
      <c r="D97" s="860">
        <v>1758986</v>
      </c>
      <c r="E97" s="934">
        <f>IF('Appendix A'!$I$1=1,('1 - ADIT'!C97+'1 - ADIT'!D97)/2,'1 - ADIT'!C97)</f>
        <v>1637115</v>
      </c>
      <c r="F97" s="687"/>
      <c r="G97" s="687"/>
      <c r="H97" s="687"/>
      <c r="I97" s="687">
        <f>E97</f>
        <v>1637115</v>
      </c>
      <c r="J97" s="293" t="s">
        <v>774</v>
      </c>
      <c r="L97" s="336"/>
    </row>
    <row r="98" spans="1:12" ht="12.75" customHeight="1">
      <c r="A98" s="331">
        <f aca="true" t="shared" si="12" ref="A98:A105">A97+1</f>
        <v>55</v>
      </c>
      <c r="B98" s="749" t="s">
        <v>584</v>
      </c>
      <c r="C98" s="860">
        <v>0</v>
      </c>
      <c r="D98" s="860">
        <v>0</v>
      </c>
      <c r="E98" s="934">
        <f>IF('Appendix A'!$I$1=1,('1 - ADIT'!C98+'1 - ADIT'!D98)/2,'1 - ADIT'!C98)</f>
        <v>0</v>
      </c>
      <c r="F98" s="687">
        <f>E98</f>
        <v>0</v>
      </c>
      <c r="G98" s="687"/>
      <c r="H98" s="687"/>
      <c r="I98" s="687"/>
      <c r="J98" s="294" t="s">
        <v>672</v>
      </c>
      <c r="L98" s="336"/>
    </row>
    <row r="99" spans="1:12" ht="12.75" customHeight="1">
      <c r="A99" s="331">
        <f t="shared" si="12"/>
        <v>56</v>
      </c>
      <c r="B99" s="294" t="s">
        <v>850</v>
      </c>
      <c r="C99" s="860">
        <v>4623125</v>
      </c>
      <c r="D99" s="860">
        <v>6063124</v>
      </c>
      <c r="E99" s="934">
        <f>IF('Appendix A'!$I$1=1,('1 - ADIT'!C99+'1 - ADIT'!D99)/2,'1 - ADIT'!C99)</f>
        <v>4623125</v>
      </c>
      <c r="F99" s="687">
        <f>E99</f>
        <v>4623125</v>
      </c>
      <c r="G99" s="687"/>
      <c r="H99" s="687"/>
      <c r="I99" s="687"/>
      <c r="J99" s="294" t="s">
        <v>887</v>
      </c>
      <c r="L99" s="336"/>
    </row>
    <row r="100" spans="1:12" ht="13.5">
      <c r="A100" s="331">
        <f t="shared" si="12"/>
        <v>57</v>
      </c>
      <c r="B100" s="563"/>
      <c r="C100" s="340">
        <v>0</v>
      </c>
      <c r="D100" s="340">
        <v>0</v>
      </c>
      <c r="E100" s="934">
        <f>IF('Appendix A'!$I$1=1,('1 - ADIT'!C100+'1 - ADIT'!D100)/2,'1 - ADIT'!C100)</f>
        <v>0</v>
      </c>
      <c r="F100" s="687"/>
      <c r="G100" s="687"/>
      <c r="H100" s="687"/>
      <c r="I100" s="687"/>
      <c r="J100" s="294"/>
      <c r="L100" s="336"/>
    </row>
    <row r="101" spans="1:12" ht="13.5">
      <c r="A101" s="331">
        <f t="shared" si="12"/>
        <v>58</v>
      </c>
      <c r="B101" s="563"/>
      <c r="C101" s="340">
        <v>0</v>
      </c>
      <c r="D101" s="340">
        <v>0</v>
      </c>
      <c r="E101" s="934">
        <f>IF('Appendix A'!$I$1=1,('1 - ADIT'!C101+'1 - ADIT'!D101)/2,'1 - ADIT'!C101)</f>
        <v>0</v>
      </c>
      <c r="F101" s="687"/>
      <c r="G101" s="687"/>
      <c r="H101" s="687"/>
      <c r="I101" s="687"/>
      <c r="J101" s="294"/>
      <c r="L101" s="336"/>
    </row>
    <row r="102" spans="1:12" ht="13.5">
      <c r="A102" s="331">
        <f t="shared" si="12"/>
        <v>59</v>
      </c>
      <c r="B102" s="323" t="s">
        <v>13</v>
      </c>
      <c r="C102" s="571">
        <f aca="true" t="shared" si="13" ref="C102:I102">SUM(C93:C101)</f>
        <v>67310020</v>
      </c>
      <c r="D102" s="571">
        <f t="shared" si="13"/>
        <v>73366580</v>
      </c>
      <c r="E102" s="571">
        <f t="shared" si="13"/>
        <v>67310020</v>
      </c>
      <c r="F102" s="571">
        <f t="shared" si="13"/>
        <v>10072538</v>
      </c>
      <c r="G102" s="571">
        <f t="shared" si="13"/>
        <v>0</v>
      </c>
      <c r="H102" s="571">
        <f t="shared" si="13"/>
        <v>3249189</v>
      </c>
      <c r="I102" s="571">
        <f t="shared" si="13"/>
        <v>53988293</v>
      </c>
      <c r="J102" s="295"/>
      <c r="L102" s="336"/>
    </row>
    <row r="103" spans="1:12" ht="13.5">
      <c r="A103" s="331">
        <f t="shared" si="12"/>
        <v>60</v>
      </c>
      <c r="B103" s="325" t="s">
        <v>10</v>
      </c>
      <c r="C103" s="340">
        <v>0</v>
      </c>
      <c r="D103" s="340">
        <v>0</v>
      </c>
      <c r="E103" s="340">
        <v>0</v>
      </c>
      <c r="F103" s="340">
        <v>0</v>
      </c>
      <c r="G103" s="340">
        <v>0</v>
      </c>
      <c r="H103" s="340">
        <v>0</v>
      </c>
      <c r="I103" s="340">
        <v>0</v>
      </c>
      <c r="J103" s="294"/>
      <c r="L103" s="336"/>
    </row>
    <row r="104" spans="1:12" ht="13.5">
      <c r="A104" s="331">
        <f t="shared" si="12"/>
        <v>61</v>
      </c>
      <c r="B104" s="325" t="s">
        <v>11</v>
      </c>
      <c r="C104" s="340">
        <f>SUM(F104:I104)</f>
        <v>0</v>
      </c>
      <c r="D104" s="340">
        <v>0</v>
      </c>
      <c r="E104" s="340">
        <f>+C104</f>
        <v>0</v>
      </c>
      <c r="F104" s="689"/>
      <c r="G104" s="689"/>
      <c r="H104" s="689"/>
      <c r="I104" s="689">
        <v>0</v>
      </c>
      <c r="J104" s="294"/>
      <c r="L104" s="336"/>
    </row>
    <row r="105" spans="1:12" ht="13.5">
      <c r="A105" s="331">
        <f t="shared" si="12"/>
        <v>62</v>
      </c>
      <c r="B105" s="325" t="str">
        <f>"Total = Line "&amp;A102&amp;" - (Line "&amp;A104&amp;" + Line "&amp;A103&amp;")"</f>
        <v>Total = Line 59 - (Line 61 + Line 60)</v>
      </c>
      <c r="C105" s="338">
        <f>C102-(C103+C104)</f>
        <v>67310020</v>
      </c>
      <c r="D105" s="338">
        <f>D102-(D103+D104)</f>
        <v>73366580</v>
      </c>
      <c r="E105" s="338">
        <f>E102-E103-E104</f>
        <v>67310020</v>
      </c>
      <c r="F105" s="338">
        <f>+F102-F103-F104</f>
        <v>10072538</v>
      </c>
      <c r="G105" s="338">
        <f>+G102-G103-G104</f>
        <v>0</v>
      </c>
      <c r="H105" s="338">
        <f>+H102-H103-H104</f>
        <v>3249189</v>
      </c>
      <c r="I105" s="338">
        <f>+I102-I103-I104</f>
        <v>53988293</v>
      </c>
      <c r="J105" s="295"/>
      <c r="L105" s="336"/>
    </row>
    <row r="106" spans="1:12" s="331" customFormat="1" ht="13.5">
      <c r="A106" s="757"/>
      <c r="B106" s="965"/>
      <c r="C106" s="335"/>
      <c r="D106" s="335"/>
      <c r="E106" s="335"/>
      <c r="F106" s="335"/>
      <c r="G106" s="335"/>
      <c r="H106" s="335"/>
      <c r="I106" s="335"/>
      <c r="J106" s="796"/>
      <c r="L106" s="336"/>
    </row>
    <row r="107" spans="1:12" ht="13.5">
      <c r="A107" s="331"/>
      <c r="B107" s="276" t="s">
        <v>30</v>
      </c>
      <c r="C107" s="760"/>
      <c r="D107" s="760"/>
      <c r="E107" s="723"/>
      <c r="I107" s="277"/>
      <c r="J107" s="643"/>
      <c r="K107" s="277"/>
      <c r="L107" s="336"/>
    </row>
    <row r="108" spans="1:12" ht="13.5">
      <c r="A108" s="331"/>
      <c r="B108" s="276"/>
      <c r="E108" s="760"/>
      <c r="F108" s="760"/>
      <c r="I108" s="278"/>
      <c r="J108" s="277"/>
      <c r="K108" s="277"/>
      <c r="L108" s="336"/>
    </row>
    <row r="109" spans="1:12" ht="13.5">
      <c r="A109" s="331"/>
      <c r="B109" s="339"/>
      <c r="C109" s="337" t="s">
        <v>31</v>
      </c>
      <c r="D109" s="337" t="s">
        <v>32</v>
      </c>
      <c r="E109"/>
      <c r="F109" s="766"/>
      <c r="G109" s="643"/>
      <c r="H109" s="643"/>
      <c r="I109" s="331"/>
      <c r="L109" s="336"/>
    </row>
    <row r="110" spans="1:12" ht="13.5">
      <c r="A110" s="331"/>
      <c r="B110" s="339"/>
      <c r="C110" s="337"/>
      <c r="D110" s="337"/>
      <c r="E110"/>
      <c r="F110" s="766"/>
      <c r="G110" s="643"/>
      <c r="H110" s="643"/>
      <c r="I110" s="331"/>
      <c r="L110" s="336"/>
    </row>
    <row r="111" spans="1:12" ht="12.75">
      <c r="A111" s="331"/>
      <c r="B111" s="337"/>
      <c r="C111" s="337"/>
      <c r="D111" s="341"/>
      <c r="E111" s="2"/>
      <c r="F111" s="774"/>
      <c r="G111" s="2"/>
      <c r="H111" s="331"/>
      <c r="I111" s="331"/>
      <c r="L111" s="336"/>
    </row>
    <row r="112" spans="1:12" ht="12.75">
      <c r="A112" s="331"/>
      <c r="B112" s="337" t="s">
        <v>32</v>
      </c>
      <c r="C112" s="337"/>
      <c r="D112" s="341"/>
      <c r="E112" s="2"/>
      <c r="F112" s="774"/>
      <c r="G112" s="2"/>
      <c r="H112" s="331"/>
      <c r="I112" s="331"/>
      <c r="L112" s="336"/>
    </row>
    <row r="113" spans="1:12" ht="12.75">
      <c r="A113" s="331"/>
      <c r="B113" s="337" t="s">
        <v>1101</v>
      </c>
      <c r="C113" s="337" t="s">
        <v>436</v>
      </c>
      <c r="D113" s="340">
        <v>0</v>
      </c>
      <c r="E113" s="2"/>
      <c r="F113" s="196"/>
      <c r="G113" s="2"/>
      <c r="H113" s="723"/>
      <c r="I113" s="331"/>
      <c r="L113" s="336"/>
    </row>
    <row r="114" spans="1:12" ht="12.75">
      <c r="A114" s="331"/>
      <c r="B114" s="337"/>
      <c r="C114" s="337"/>
      <c r="D114" s="341"/>
      <c r="E114" s="2"/>
      <c r="F114" s="716"/>
      <c r="G114" s="2"/>
      <c r="H114" s="723"/>
      <c r="I114" s="331"/>
      <c r="L114" s="336"/>
    </row>
    <row r="115" spans="1:12" ht="12.75">
      <c r="A115" s="331"/>
      <c r="B115" s="337" t="s">
        <v>436</v>
      </c>
      <c r="C115" s="337"/>
      <c r="D115" s="341">
        <f>+D113</f>
        <v>0</v>
      </c>
      <c r="E115"/>
      <c r="F115"/>
      <c r="G115"/>
      <c r="H115" s="723"/>
      <c r="L115" s="336"/>
    </row>
    <row r="116" spans="1:12" ht="12.75">
      <c r="A116" s="331"/>
      <c r="B116" s="337"/>
      <c r="C116" s="337"/>
      <c r="D116" s="341"/>
      <c r="E116" s="2"/>
      <c r="F116"/>
      <c r="G116"/>
      <c r="L116" s="336"/>
    </row>
    <row r="117" spans="1:12" ht="12.75">
      <c r="A117" s="331"/>
      <c r="B117" s="295" t="s">
        <v>247</v>
      </c>
      <c r="C117" s="337"/>
      <c r="D117" s="340">
        <f>+D115</f>
        <v>0</v>
      </c>
      <c r="E117" s="2"/>
      <c r="F117"/>
      <c r="G117"/>
      <c r="L117" s="336"/>
    </row>
    <row r="118" spans="1:12" ht="12.75">
      <c r="A118" s="331"/>
      <c r="B118" s="337"/>
      <c r="C118" s="337"/>
      <c r="D118" s="341"/>
      <c r="E118" s="2"/>
      <c r="F118"/>
      <c r="G118"/>
      <c r="L118" s="336"/>
    </row>
    <row r="119" spans="1:12" ht="12.75">
      <c r="A119" s="331"/>
      <c r="B119" s="337" t="s">
        <v>33</v>
      </c>
      <c r="C119" s="337"/>
      <c r="D119" s="341">
        <f>+D115-D117</f>
        <v>0</v>
      </c>
      <c r="E119"/>
      <c r="F119"/>
      <c r="G119"/>
      <c r="L119" s="336"/>
    </row>
    <row r="120" spans="1:12" ht="12.75">
      <c r="A120" s="331"/>
      <c r="L120" s="336"/>
    </row>
    <row r="121" spans="1:12" ht="12" customHeight="1">
      <c r="A121" s="331"/>
      <c r="B121" s="330" t="s">
        <v>364</v>
      </c>
      <c r="L121" s="336"/>
    </row>
    <row r="122" spans="1:12" ht="12.75">
      <c r="A122" s="331"/>
      <c r="L122" s="336"/>
    </row>
    <row r="123" spans="1:12" ht="12.75">
      <c r="A123" s="331"/>
      <c r="L123" s="336"/>
    </row>
    <row r="124" spans="1:12" ht="12.75">
      <c r="A124" s="331"/>
      <c r="L124" s="336"/>
    </row>
    <row r="125" spans="1:12" ht="12.75">
      <c r="A125" s="331"/>
      <c r="L125" s="336"/>
    </row>
    <row r="126" spans="1:12" ht="12.75">
      <c r="A126" s="331"/>
      <c r="L126" s="336"/>
    </row>
    <row r="127" spans="1:12" ht="12.75">
      <c r="A127" s="331"/>
      <c r="L127" s="336"/>
    </row>
    <row r="128" spans="1:12" ht="12.75">
      <c r="A128" s="331"/>
      <c r="L128" s="336"/>
    </row>
    <row r="129" spans="1:12" ht="12.75">
      <c r="A129" s="331"/>
      <c r="L129" s="336"/>
    </row>
    <row r="130" spans="1:12" ht="12.75">
      <c r="A130" s="331"/>
      <c r="L130" s="336"/>
    </row>
    <row r="131" spans="1:12" ht="12.75">
      <c r="A131" s="331"/>
      <c r="L131" s="336"/>
    </row>
    <row r="132" spans="1:12" ht="12.75">
      <c r="A132" s="331"/>
      <c r="L132" s="336"/>
    </row>
    <row r="133" spans="1:12" ht="12.75">
      <c r="A133" s="331"/>
      <c r="L133" s="336"/>
    </row>
    <row r="134" spans="1:12" ht="12.75">
      <c r="A134" s="331"/>
      <c r="L134" s="336"/>
    </row>
    <row r="135" spans="1:12" ht="12.75">
      <c r="A135" s="331"/>
      <c r="L135" s="336"/>
    </row>
    <row r="136" spans="1:12" ht="12.75">
      <c r="A136" s="331"/>
      <c r="L136" s="336"/>
    </row>
    <row r="137" spans="1:12" ht="12.75">
      <c r="A137" s="331"/>
      <c r="L137" s="336"/>
    </row>
    <row r="138" spans="1:12" ht="12.75">
      <c r="A138" s="331"/>
      <c r="L138" s="336"/>
    </row>
    <row r="139" spans="1:12" ht="12.75">
      <c r="A139" s="331"/>
      <c r="L139" s="336"/>
    </row>
    <row r="140" spans="1:12" ht="12.75">
      <c r="A140" s="331"/>
      <c r="L140" s="336"/>
    </row>
    <row r="141" spans="1:12" ht="12.75">
      <c r="A141" s="331"/>
      <c r="L141" s="336"/>
    </row>
    <row r="142" spans="1:12" ht="12.75">
      <c r="A142" s="331"/>
      <c r="L142" s="336"/>
    </row>
    <row r="143" spans="1:12" ht="12.75">
      <c r="A143" s="331"/>
      <c r="L143" s="336"/>
    </row>
    <row r="144" spans="1:12" ht="12.75">
      <c r="A144" s="331"/>
      <c r="L144" s="336"/>
    </row>
    <row r="145" spans="1:12" ht="12.75">
      <c r="A145" s="331"/>
      <c r="L145" s="336"/>
    </row>
    <row r="146" spans="1:12" ht="12.75">
      <c r="A146" s="331"/>
      <c r="L146" s="336"/>
    </row>
    <row r="147" spans="1:12" ht="12.75">
      <c r="A147" s="331"/>
      <c r="L147" s="336"/>
    </row>
    <row r="148" spans="1:12" ht="12.75">
      <c r="A148" s="331"/>
      <c r="L148" s="336"/>
    </row>
    <row r="149" spans="1:12" ht="12.75">
      <c r="A149" s="331"/>
      <c r="L149" s="336"/>
    </row>
    <row r="150" spans="1:12" ht="12.75">
      <c r="A150" s="331"/>
      <c r="L150" s="336"/>
    </row>
    <row r="151" spans="1:12" ht="12.75">
      <c r="A151" s="331"/>
      <c r="L151" s="336"/>
    </row>
    <row r="152" ht="12.75">
      <c r="A152" s="331"/>
    </row>
    <row r="153" ht="12.75">
      <c r="A153" s="331"/>
    </row>
    <row r="154" ht="12.75">
      <c r="A154" s="331"/>
    </row>
    <row r="155" ht="12.75">
      <c r="A155" s="331"/>
    </row>
    <row r="156" ht="12.75">
      <c r="A156" s="331"/>
    </row>
    <row r="157" ht="12.75">
      <c r="A157" s="331"/>
    </row>
    <row r="158" ht="12.75">
      <c r="A158" s="331"/>
    </row>
    <row r="159" ht="12.75">
      <c r="A159" s="331"/>
    </row>
    <row r="160" ht="12.75">
      <c r="A160" s="331"/>
    </row>
    <row r="161" ht="12.75">
      <c r="A161" s="331"/>
    </row>
    <row r="162" ht="12.75">
      <c r="A162" s="331"/>
    </row>
    <row r="163" ht="12.75">
      <c r="A163" s="331"/>
    </row>
    <row r="164" ht="12.75">
      <c r="A164" s="331"/>
    </row>
    <row r="165" ht="12.75">
      <c r="A165" s="331"/>
    </row>
    <row r="166" ht="12.75">
      <c r="A166" s="331"/>
    </row>
    <row r="167" ht="12.75">
      <c r="A167" s="331"/>
    </row>
    <row r="168" ht="12.75">
      <c r="A168" s="331"/>
    </row>
    <row r="169" ht="12.75">
      <c r="A169" s="331"/>
    </row>
    <row r="170" ht="12.75">
      <c r="A170" s="331"/>
    </row>
    <row r="171" ht="12.75">
      <c r="A171" s="331"/>
    </row>
    <row r="172" ht="12.75">
      <c r="A172" s="331"/>
    </row>
    <row r="173" ht="12.75">
      <c r="A173" s="331"/>
    </row>
    <row r="174" ht="12.75">
      <c r="A174" s="331"/>
    </row>
    <row r="175" ht="12.75">
      <c r="A175" s="331"/>
    </row>
    <row r="176" ht="12.75">
      <c r="A176" s="331"/>
    </row>
    <row r="177" ht="12.75">
      <c r="A177" s="331"/>
    </row>
    <row r="178" ht="12.75">
      <c r="A178" s="331"/>
    </row>
    <row r="179" ht="12.75">
      <c r="A179" s="331"/>
    </row>
    <row r="180" ht="12.75">
      <c r="A180" s="331"/>
    </row>
    <row r="181" ht="12.75">
      <c r="A181" s="331"/>
    </row>
    <row r="182" ht="12.75">
      <c r="A182" s="331"/>
    </row>
    <row r="183" ht="12.75">
      <c r="A183" s="331"/>
    </row>
    <row r="184" ht="12.75">
      <c r="A184" s="331"/>
    </row>
    <row r="185" ht="12.75">
      <c r="A185" s="331"/>
    </row>
    <row r="186" ht="12.75">
      <c r="A186" s="331"/>
    </row>
    <row r="187" ht="12.75">
      <c r="A187" s="331"/>
    </row>
    <row r="188" ht="12.75">
      <c r="A188" s="331"/>
    </row>
    <row r="189" ht="12.75">
      <c r="A189" s="331"/>
    </row>
    <row r="190" ht="12.75">
      <c r="A190" s="331"/>
    </row>
    <row r="191" ht="12.75">
      <c r="A191" s="331"/>
    </row>
    <row r="192" ht="12.75">
      <c r="A192" s="331"/>
    </row>
    <row r="193" ht="12.75">
      <c r="A193" s="331"/>
    </row>
    <row r="194" ht="12.75">
      <c r="A194" s="331"/>
    </row>
    <row r="195" ht="12.75">
      <c r="A195" s="331"/>
    </row>
    <row r="196" ht="12.75">
      <c r="A196" s="331"/>
    </row>
    <row r="197" ht="12.75">
      <c r="A197" s="331"/>
    </row>
    <row r="198" ht="12.75">
      <c r="A198" s="331"/>
    </row>
    <row r="199" ht="12.75">
      <c r="A199" s="331"/>
    </row>
    <row r="200" ht="12.75">
      <c r="A200" s="331"/>
    </row>
    <row r="201" ht="12.75">
      <c r="A201" s="331"/>
    </row>
    <row r="202" ht="12.75">
      <c r="A202" s="331"/>
    </row>
    <row r="203" ht="12.75">
      <c r="A203" s="331"/>
    </row>
    <row r="204" ht="12.75">
      <c r="A204" s="331"/>
    </row>
    <row r="205" ht="12.75">
      <c r="A205" s="331"/>
    </row>
    <row r="206" ht="12.75">
      <c r="A206" s="331"/>
    </row>
    <row r="207" ht="12.75">
      <c r="A207" s="331"/>
    </row>
    <row r="208" ht="12.75">
      <c r="A208" s="331"/>
    </row>
    <row r="209" ht="12.75">
      <c r="A209" s="331"/>
    </row>
    <row r="210" ht="12.75">
      <c r="A210" s="331"/>
    </row>
    <row r="211" ht="12.75">
      <c r="A211" s="331"/>
    </row>
    <row r="212" ht="12.75">
      <c r="A212" s="331"/>
    </row>
    <row r="213" ht="12.75">
      <c r="A213" s="331"/>
    </row>
    <row r="214" ht="12.75">
      <c r="A214" s="331"/>
    </row>
    <row r="215" ht="12.75">
      <c r="A215" s="331"/>
    </row>
    <row r="216" ht="12.75">
      <c r="A216" s="331"/>
    </row>
    <row r="217" ht="12.75">
      <c r="A217" s="331"/>
    </row>
    <row r="218" ht="12.75">
      <c r="A218" s="331"/>
    </row>
    <row r="219" ht="12.75">
      <c r="A219" s="331"/>
    </row>
    <row r="220" ht="12.75">
      <c r="A220" s="331"/>
    </row>
    <row r="221" ht="12.75">
      <c r="A221" s="331"/>
    </row>
    <row r="222" ht="12.75">
      <c r="A222" s="331"/>
    </row>
    <row r="223" ht="12.75">
      <c r="A223" s="331"/>
    </row>
    <row r="224" ht="12.75">
      <c r="A224" s="331"/>
    </row>
    <row r="225" ht="12.75">
      <c r="A225" s="331"/>
    </row>
    <row r="226" ht="12.75">
      <c r="A226" s="331"/>
    </row>
    <row r="227" ht="12.75">
      <c r="A227" s="331"/>
    </row>
    <row r="228" ht="12.75">
      <c r="A228" s="331"/>
    </row>
    <row r="229" ht="12.75">
      <c r="A229" s="331"/>
    </row>
    <row r="230" ht="12.75">
      <c r="A230" s="331"/>
    </row>
    <row r="231" ht="12.75">
      <c r="A231" s="331"/>
    </row>
    <row r="232" ht="12.75">
      <c r="A232" s="331"/>
    </row>
    <row r="233" ht="12.75">
      <c r="A233" s="331"/>
    </row>
    <row r="234" ht="12.75">
      <c r="A234" s="331"/>
    </row>
    <row r="235" ht="12.75">
      <c r="A235" s="331"/>
    </row>
    <row r="236" ht="12.75">
      <c r="A236" s="331"/>
    </row>
    <row r="237" ht="12.75">
      <c r="A237" s="331"/>
    </row>
    <row r="238" ht="12.75">
      <c r="A238" s="331"/>
    </row>
    <row r="239" ht="12.75">
      <c r="A239" s="331"/>
    </row>
    <row r="240" ht="12.75">
      <c r="A240" s="331"/>
    </row>
    <row r="241" ht="12.75">
      <c r="A241" s="331"/>
    </row>
    <row r="242" ht="12.75">
      <c r="A242" s="331"/>
    </row>
    <row r="243" ht="12.75">
      <c r="A243" s="331"/>
    </row>
    <row r="244" ht="12.75">
      <c r="A244" s="331"/>
    </row>
    <row r="245" ht="12.75">
      <c r="A245" s="331"/>
    </row>
    <row r="246" ht="12.75">
      <c r="A246" s="331"/>
    </row>
    <row r="247" ht="12.75">
      <c r="A247" s="331"/>
    </row>
    <row r="248" ht="12.75">
      <c r="A248" s="331"/>
    </row>
    <row r="249" ht="12.75">
      <c r="A249" s="331"/>
    </row>
    <row r="250" ht="12.75">
      <c r="A250" s="331"/>
    </row>
    <row r="251" ht="12.75">
      <c r="A251" s="331"/>
    </row>
    <row r="252" ht="12.75">
      <c r="A252" s="331"/>
    </row>
    <row r="253" ht="12.75">
      <c r="A253" s="331"/>
    </row>
    <row r="254" ht="12.75">
      <c r="A254" s="331"/>
    </row>
    <row r="255" ht="12.75">
      <c r="A255" s="331"/>
    </row>
    <row r="256" ht="12.75">
      <c r="A256" s="331"/>
    </row>
    <row r="257" ht="12.75">
      <c r="A257" s="331"/>
    </row>
    <row r="258" ht="12.75">
      <c r="A258" s="331"/>
    </row>
    <row r="259" ht="12.75">
      <c r="A259" s="331"/>
    </row>
    <row r="260" ht="12.75">
      <c r="A260" s="331"/>
    </row>
    <row r="261" ht="12.75">
      <c r="A261" s="331"/>
    </row>
    <row r="262" ht="12.75">
      <c r="A262" s="331"/>
    </row>
    <row r="263" ht="12.75">
      <c r="A263" s="331"/>
    </row>
    <row r="264" ht="12.75">
      <c r="A264" s="331"/>
    </row>
    <row r="265" ht="12.75">
      <c r="A265" s="331"/>
    </row>
    <row r="266" ht="12.75">
      <c r="A266" s="331"/>
    </row>
    <row r="267" ht="12.75">
      <c r="A267" s="331"/>
    </row>
    <row r="268" ht="12.75">
      <c r="A268" s="331"/>
    </row>
    <row r="269" ht="12.75">
      <c r="A269" s="331"/>
    </row>
    <row r="270" ht="12.75">
      <c r="A270" s="331"/>
    </row>
    <row r="271" ht="12.75">
      <c r="A271" s="331"/>
    </row>
    <row r="272" ht="12.75">
      <c r="A272" s="331"/>
    </row>
    <row r="273" ht="12.75">
      <c r="A273" s="331"/>
    </row>
    <row r="274" ht="12.75">
      <c r="A274" s="331"/>
    </row>
    <row r="275" ht="12.75">
      <c r="A275" s="331"/>
    </row>
    <row r="276" ht="12.75">
      <c r="A276" s="331"/>
    </row>
    <row r="277" ht="12.75">
      <c r="A277" s="331"/>
    </row>
    <row r="278" ht="12.75">
      <c r="A278" s="331"/>
    </row>
    <row r="279" ht="12.75">
      <c r="A279" s="331"/>
    </row>
    <row r="280" ht="12.75">
      <c r="A280" s="331"/>
    </row>
    <row r="281" ht="12.75">
      <c r="A281" s="331"/>
    </row>
    <row r="282" ht="12.75">
      <c r="A282" s="331"/>
    </row>
    <row r="283" spans="1:7" ht="15">
      <c r="A283" s="331"/>
      <c r="C283" s="607"/>
      <c r="D283" s="607"/>
      <c r="E283" s="607"/>
      <c r="F283" s="607"/>
      <c r="G283" s="607"/>
    </row>
    <row r="284" spans="1:7" ht="99.75" customHeight="1">
      <c r="A284" s="331"/>
      <c r="C284" s="607"/>
      <c r="D284" s="607"/>
      <c r="E284" s="607"/>
      <c r="F284" s="607"/>
      <c r="G284" s="607"/>
    </row>
    <row r="285" spans="1:7" ht="15">
      <c r="A285" s="331"/>
      <c r="C285" s="607"/>
      <c r="D285" s="607"/>
      <c r="E285" s="607"/>
      <c r="F285" s="607"/>
      <c r="G285" s="607"/>
    </row>
    <row r="286" spans="1:7" ht="15">
      <c r="A286" s="331"/>
      <c r="C286" s="607"/>
      <c r="D286" s="607"/>
      <c r="E286" s="607"/>
      <c r="F286" s="607"/>
      <c r="G286" s="607"/>
    </row>
    <row r="287" spans="1:7" ht="15">
      <c r="A287" s="331"/>
      <c r="C287" s="607"/>
      <c r="D287" s="607"/>
      <c r="E287" s="607"/>
      <c r="F287" s="607"/>
      <c r="G287" s="607"/>
    </row>
    <row r="288" spans="1:7" ht="15">
      <c r="A288" s="331"/>
      <c r="C288" s="607"/>
      <c r="D288" s="607"/>
      <c r="E288" s="607"/>
      <c r="F288" s="607"/>
      <c r="G288" s="607"/>
    </row>
    <row r="289" spans="1:7" ht="15">
      <c r="A289" s="331"/>
      <c r="C289" s="607"/>
      <c r="D289" s="607"/>
      <c r="E289" s="607"/>
      <c r="F289" s="607"/>
      <c r="G289" s="607"/>
    </row>
    <row r="290" spans="3:7" ht="15">
      <c r="C290" s="607"/>
      <c r="D290" s="607"/>
      <c r="E290" s="607"/>
      <c r="F290" s="607"/>
      <c r="G290" s="607"/>
    </row>
    <row r="291" spans="3:7" ht="15">
      <c r="C291" s="607"/>
      <c r="D291" s="607"/>
      <c r="E291" s="607"/>
      <c r="F291" s="607"/>
      <c r="G291" s="607"/>
    </row>
    <row r="292" spans="3:7" ht="15">
      <c r="C292" s="607"/>
      <c r="D292" s="607"/>
      <c r="E292" s="607"/>
      <c r="F292" s="607"/>
      <c r="G292" s="607"/>
    </row>
    <row r="293" spans="3:7" ht="15">
      <c r="C293" s="607"/>
      <c r="D293" s="607"/>
      <c r="E293" s="607"/>
      <c r="F293" s="607"/>
      <c r="G293" s="607"/>
    </row>
    <row r="294" spans="3:7" ht="15">
      <c r="C294" s="607"/>
      <c r="D294" s="607"/>
      <c r="E294" s="607"/>
      <c r="F294" s="607"/>
      <c r="G294" s="607"/>
    </row>
    <row r="295" spans="3:7" ht="15">
      <c r="C295" s="607"/>
      <c r="D295" s="607"/>
      <c r="E295" s="607"/>
      <c r="F295" s="607"/>
      <c r="G295" s="607"/>
    </row>
    <row r="296" spans="3:7" ht="15">
      <c r="C296" s="607"/>
      <c r="D296" s="607"/>
      <c r="E296" s="607"/>
      <c r="F296" s="607"/>
      <c r="G296" s="607"/>
    </row>
    <row r="297" spans="3:7" ht="15">
      <c r="C297" s="607"/>
      <c r="D297" s="607"/>
      <c r="E297" s="607"/>
      <c r="F297" s="607"/>
      <c r="G297" s="607"/>
    </row>
    <row r="298" spans="3:7" ht="15">
      <c r="C298" s="607"/>
      <c r="D298" s="607"/>
      <c r="E298" s="607"/>
      <c r="F298" s="607"/>
      <c r="G298" s="607"/>
    </row>
    <row r="299" spans="3:7" ht="15">
      <c r="C299" s="607"/>
      <c r="D299" s="607"/>
      <c r="E299" s="607"/>
      <c r="F299" s="607"/>
      <c r="G299" s="607"/>
    </row>
    <row r="300" spans="3:7" ht="15">
      <c r="C300" s="607"/>
      <c r="D300" s="607"/>
      <c r="E300" s="607"/>
      <c r="F300" s="607"/>
      <c r="G300" s="607"/>
    </row>
    <row r="301" spans="3:7" ht="15">
      <c r="C301" s="607"/>
      <c r="D301" s="607"/>
      <c r="E301" s="607"/>
      <c r="F301" s="607"/>
      <c r="G301" s="607"/>
    </row>
    <row r="302" spans="3:7" ht="15">
      <c r="C302" s="607"/>
      <c r="D302" s="607"/>
      <c r="E302" s="607"/>
      <c r="F302" s="607"/>
      <c r="G302" s="607"/>
    </row>
    <row r="303" spans="3:7" ht="15">
      <c r="C303" s="607"/>
      <c r="D303" s="607"/>
      <c r="E303" s="607"/>
      <c r="F303" s="607"/>
      <c r="G303" s="607"/>
    </row>
    <row r="304" spans="2:7" ht="15">
      <c r="B304" s="981"/>
      <c r="C304" s="607"/>
      <c r="D304" s="607"/>
      <c r="E304" s="607"/>
      <c r="F304" s="607"/>
      <c r="G304" s="607"/>
    </row>
    <row r="305" spans="2:7" ht="40.5" customHeight="1">
      <c r="B305" s="981"/>
      <c r="C305" s="607"/>
      <c r="D305" s="607"/>
      <c r="E305" s="607"/>
      <c r="F305" s="607"/>
      <c r="G305" s="607"/>
    </row>
    <row r="306" spans="3:7" ht="15">
      <c r="C306" s="607"/>
      <c r="D306" s="607"/>
      <c r="E306" s="607"/>
      <c r="F306" s="607"/>
      <c r="G306" s="607"/>
    </row>
  </sheetData>
  <sheetProtection/>
  <mergeCells count="1">
    <mergeCell ref="B25:J25"/>
  </mergeCells>
  <printOptions/>
  <pageMargins left="0.5" right="0.5" top="1" bottom="1" header="0.5" footer="0.5"/>
  <pageSetup fitToHeight="2" fitToWidth="1" horizontalDpi="600" verticalDpi="600" orientation="landscape" scale="40" r:id="rId1"/>
  <headerFooter alignWithMargins="0">
    <oddHeader>&amp;CDuquesne Light Company
Attachment H-17A
Attachment 1 - Accumulated Deferred Income Taxes (ADIT) Worksheet Tax Detail&amp;RPage &amp;P of &amp;N</oddHeader>
  </headerFooter>
  <rowBreaks count="1" manualBreakCount="1">
    <brk id="75" max="9" man="1"/>
  </rowBreaks>
</worksheet>
</file>

<file path=xl/worksheets/sheet3.xml><?xml version="1.0" encoding="utf-8"?>
<worksheet xmlns="http://schemas.openxmlformats.org/spreadsheetml/2006/main" xmlns:r="http://schemas.openxmlformats.org/officeDocument/2006/relationships">
  <sheetPr>
    <pageSetUpPr fitToPage="1"/>
  </sheetPr>
  <dimension ref="A1:T304"/>
  <sheetViews>
    <sheetView zoomScale="80" zoomScaleNormal="80" zoomScaleSheetLayoutView="75" workbookViewId="0" topLeftCell="A1">
      <selection activeCell="I2" sqref="I2"/>
    </sheetView>
  </sheetViews>
  <sheetFormatPr defaultColWidth="9.140625" defaultRowHeight="12.75"/>
  <cols>
    <col min="1" max="1" width="4.57421875" style="0" customWidth="1"/>
    <col min="2" max="2" width="5.57421875" style="0" customWidth="1"/>
    <col min="3" max="3" width="39.57421875" style="0" customWidth="1"/>
    <col min="4" max="4" width="10.421875" style="0" bestFit="1" customWidth="1"/>
    <col min="5" max="5" width="14.00390625" style="206" bestFit="1" customWidth="1"/>
    <col min="6" max="6" width="9.57421875" style="0" customWidth="1"/>
    <col min="7" max="7" width="12.00390625" style="0" bestFit="1" customWidth="1"/>
    <col min="14" max="14" width="13.421875" style="0" bestFit="1" customWidth="1"/>
  </cols>
  <sheetData>
    <row r="1" spans="4:8" ht="12.75">
      <c r="D1" s="349" t="s">
        <v>479</v>
      </c>
      <c r="F1" s="199"/>
      <c r="G1" s="199" t="s">
        <v>543</v>
      </c>
      <c r="H1" s="199"/>
    </row>
    <row r="2" spans="1:19" ht="12.75">
      <c r="A2" s="193" t="s">
        <v>314</v>
      </c>
      <c r="B2" s="193"/>
      <c r="D2" s="199" t="s">
        <v>540</v>
      </c>
      <c r="F2" s="199" t="s">
        <v>489</v>
      </c>
      <c r="G2" s="199" t="s">
        <v>544</v>
      </c>
      <c r="H2" s="199"/>
      <c r="K2" s="2"/>
      <c r="L2" s="2"/>
      <c r="M2" s="2"/>
      <c r="N2" s="2"/>
      <c r="O2" s="2"/>
      <c r="P2" s="2"/>
      <c r="Q2" s="2"/>
      <c r="R2" s="2"/>
      <c r="S2" s="2"/>
    </row>
    <row r="3" spans="1:19" ht="12.75">
      <c r="A3" s="193"/>
      <c r="B3" s="193"/>
      <c r="D3" s="199" t="s">
        <v>541</v>
      </c>
      <c r="E3" s="220"/>
      <c r="F3" s="199"/>
      <c r="G3" s="199"/>
      <c r="H3" s="199"/>
      <c r="K3" s="2"/>
      <c r="L3" s="2"/>
      <c r="M3" s="2"/>
      <c r="N3" s="2"/>
      <c r="O3" s="2"/>
      <c r="P3" s="2"/>
      <c r="Q3" s="2"/>
      <c r="R3" s="2"/>
      <c r="S3" s="2"/>
    </row>
    <row r="4" spans="1:20" ht="12.75">
      <c r="A4" s="193"/>
      <c r="B4" s="193"/>
      <c r="D4" s="199"/>
      <c r="E4" s="220"/>
      <c r="F4" s="199"/>
      <c r="G4" s="199"/>
      <c r="H4" s="199"/>
      <c r="K4" s="363"/>
      <c r="L4" s="363"/>
      <c r="M4" s="363"/>
      <c r="N4" s="363"/>
      <c r="O4" s="363"/>
      <c r="P4" s="363"/>
      <c r="Q4" s="363"/>
      <c r="R4" s="363"/>
      <c r="S4" s="363"/>
      <c r="T4" s="349"/>
    </row>
    <row r="5" spans="1:20" ht="12.75">
      <c r="A5" s="193"/>
      <c r="B5" s="193"/>
      <c r="D5" s="199"/>
      <c r="E5" s="220"/>
      <c r="F5" s="199"/>
      <c r="G5" s="199"/>
      <c r="H5" s="199"/>
      <c r="K5" s="1120"/>
      <c r="L5" s="1120"/>
      <c r="M5" s="363"/>
      <c r="N5" s="363"/>
      <c r="O5" s="363"/>
      <c r="P5" s="363"/>
      <c r="Q5" s="363"/>
      <c r="R5" s="363"/>
      <c r="S5" s="363"/>
      <c r="T5" s="349"/>
    </row>
    <row r="6" spans="2:20" ht="12.75">
      <c r="B6" s="193" t="s">
        <v>539</v>
      </c>
      <c r="E6" s="739" t="s">
        <v>289</v>
      </c>
      <c r="G6" s="199"/>
      <c r="H6" s="205"/>
      <c r="K6" s="1120"/>
      <c r="L6" s="1120"/>
      <c r="M6" s="363"/>
      <c r="N6" s="363"/>
      <c r="O6" s="363"/>
      <c r="P6" s="363"/>
      <c r="Q6" s="363"/>
      <c r="R6" s="363"/>
      <c r="S6" s="363"/>
      <c r="T6" s="349"/>
    </row>
    <row r="7" spans="2:20" ht="12.75">
      <c r="B7" s="193"/>
      <c r="F7" s="738"/>
      <c r="G7" s="199"/>
      <c r="H7" s="205"/>
      <c r="K7" s="1120"/>
      <c r="L7" s="1120"/>
      <c r="M7" s="363"/>
      <c r="N7" s="363"/>
      <c r="O7" s="363"/>
      <c r="P7" s="363"/>
      <c r="Q7" s="363"/>
      <c r="R7" s="363"/>
      <c r="S7" s="363"/>
      <c r="T7" s="349"/>
    </row>
    <row r="8" spans="1:20" ht="12.75" customHeight="1">
      <c r="A8" s="2"/>
      <c r="B8">
        <v>1</v>
      </c>
      <c r="C8" s="463" t="s">
        <v>524</v>
      </c>
      <c r="D8" t="s">
        <v>525</v>
      </c>
      <c r="E8" s="866">
        <v>0</v>
      </c>
      <c r="F8" s="1431"/>
      <c r="G8" s="351"/>
      <c r="H8" s="363"/>
      <c r="I8" s="349"/>
      <c r="J8" s="349"/>
      <c r="K8" s="363"/>
      <c r="L8" s="363"/>
      <c r="M8" s="363"/>
      <c r="N8" s="363"/>
      <c r="O8" s="363"/>
      <c r="P8" s="363"/>
      <c r="Q8" s="363"/>
      <c r="R8" s="363"/>
      <c r="S8" s="363"/>
      <c r="T8" s="349"/>
    </row>
    <row r="9" spans="1:20" ht="12.75" customHeight="1">
      <c r="A9" s="2"/>
      <c r="B9">
        <v>2</v>
      </c>
      <c r="C9" s="463" t="s">
        <v>526</v>
      </c>
      <c r="D9" t="s">
        <v>527</v>
      </c>
      <c r="E9" s="866">
        <v>652478</v>
      </c>
      <c r="F9" s="1431"/>
      <c r="G9" s="351"/>
      <c r="H9" s="363"/>
      <c r="I9" s="349"/>
      <c r="J9" s="363"/>
      <c r="K9" s="363"/>
      <c r="L9" s="363"/>
      <c r="M9" s="363"/>
      <c r="N9" s="363"/>
      <c r="O9" s="363"/>
      <c r="P9" s="363"/>
      <c r="Q9" s="363"/>
      <c r="R9" s="363"/>
      <c r="S9" s="363"/>
      <c r="T9" s="349"/>
    </row>
    <row r="10" spans="1:20" ht="12.75" customHeight="1">
      <c r="A10" s="2"/>
      <c r="B10">
        <v>3</v>
      </c>
      <c r="C10" s="283" t="s">
        <v>528</v>
      </c>
      <c r="D10" t="s">
        <v>529</v>
      </c>
      <c r="E10" s="867">
        <v>929193</v>
      </c>
      <c r="F10" s="1431"/>
      <c r="G10" s="351"/>
      <c r="H10" s="363"/>
      <c r="I10" s="349"/>
      <c r="J10" s="349"/>
      <c r="K10" s="350"/>
      <c r="L10" s="363"/>
      <c r="M10" s="363"/>
      <c r="N10" s="363"/>
      <c r="O10" s="363"/>
      <c r="P10" s="363"/>
      <c r="Q10" s="363"/>
      <c r="R10" s="363"/>
      <c r="S10" s="363"/>
      <c r="T10" s="349"/>
    </row>
    <row r="11" spans="1:20" ht="12.75" customHeight="1">
      <c r="A11" s="2"/>
      <c r="B11">
        <f>B10+1</f>
        <v>4</v>
      </c>
      <c r="C11" s="193" t="str">
        <f>"Total Plant Related -- Sum of line "&amp;B8&amp;" through line "&amp;B10&amp;""</f>
        <v>Total Plant Related -- Sum of line 1 through line 3</v>
      </c>
      <c r="E11" s="810">
        <f>SUM(E8:E10)</f>
        <v>1581671</v>
      </c>
      <c r="F11" s="1323">
        <f>'Appendix A'!G20</f>
        <v>0.24176769056019692</v>
      </c>
      <c r="G11" s="352">
        <f>E11*F11</f>
        <v>382396.9448960372</v>
      </c>
      <c r="H11" s="259"/>
      <c r="K11" s="363"/>
      <c r="L11" s="363"/>
      <c r="M11" s="363"/>
      <c r="N11" s="363"/>
      <c r="O11" s="363"/>
      <c r="P11" s="363"/>
      <c r="Q11" s="363"/>
      <c r="R11" s="363"/>
      <c r="S11" s="363"/>
      <c r="T11" s="349"/>
    </row>
    <row r="12" spans="1:20" ht="12.75" customHeight="1">
      <c r="A12" s="2"/>
      <c r="E12" s="810"/>
      <c r="F12" s="195"/>
      <c r="G12" s="351"/>
      <c r="H12" s="259"/>
      <c r="K12" s="363"/>
      <c r="L12" s="363"/>
      <c r="M12" s="363"/>
      <c r="N12" s="363"/>
      <c r="O12" s="363"/>
      <c r="P12" s="363"/>
      <c r="Q12" s="363"/>
      <c r="R12" s="363"/>
      <c r="S12" s="363"/>
      <c r="T12" s="349"/>
    </row>
    <row r="13" spans="1:19" ht="12.75" customHeight="1">
      <c r="A13" s="2"/>
      <c r="D13" s="195"/>
      <c r="E13" s="810"/>
      <c r="F13" s="195"/>
      <c r="G13" s="351"/>
      <c r="H13" s="259"/>
      <c r="K13" s="2"/>
      <c r="L13" s="2"/>
      <c r="M13" s="2"/>
      <c r="N13" s="2"/>
      <c r="O13" s="2"/>
      <c r="P13" s="2"/>
      <c r="Q13" s="2"/>
      <c r="R13" s="2"/>
      <c r="S13" s="2"/>
    </row>
    <row r="14" spans="1:19" ht="12.75" customHeight="1">
      <c r="A14" s="2"/>
      <c r="B14" s="193"/>
      <c r="D14" s="195"/>
      <c r="E14" s="740" t="s">
        <v>35</v>
      </c>
      <c r="G14" s="351"/>
      <c r="H14" s="259"/>
      <c r="K14" s="2"/>
      <c r="L14" s="2"/>
      <c r="M14" s="2"/>
      <c r="N14" s="2"/>
      <c r="O14" s="2"/>
      <c r="P14" s="2"/>
      <c r="Q14" s="2"/>
      <c r="R14" s="2"/>
      <c r="S14" s="2"/>
    </row>
    <row r="15" spans="1:19" ht="12.75" customHeight="1">
      <c r="A15" s="2"/>
      <c r="D15" s="195"/>
      <c r="E15" s="810"/>
      <c r="F15" s="195"/>
      <c r="G15" s="351"/>
      <c r="H15" s="259"/>
      <c r="I15" s="2"/>
      <c r="J15" s="2"/>
      <c r="K15" s="2"/>
      <c r="L15" s="2"/>
      <c r="M15" s="2"/>
      <c r="N15" s="2"/>
      <c r="O15" s="2"/>
      <c r="P15" s="2"/>
      <c r="Q15" s="2"/>
      <c r="R15" s="2"/>
      <c r="S15" s="2"/>
    </row>
    <row r="16" spans="1:19" ht="12.75" customHeight="1">
      <c r="A16" s="2"/>
      <c r="B16">
        <v>5</v>
      </c>
      <c r="C16" s="283" t="s">
        <v>155</v>
      </c>
      <c r="D16" s="253" t="s">
        <v>154</v>
      </c>
      <c r="E16" s="866">
        <v>35634</v>
      </c>
      <c r="F16" s="260"/>
      <c r="G16" s="353"/>
      <c r="H16" s="363"/>
      <c r="I16" s="2"/>
      <c r="J16" s="2"/>
      <c r="K16" s="2"/>
      <c r="L16" s="2"/>
      <c r="M16" s="2"/>
      <c r="N16" s="2"/>
      <c r="O16" s="2"/>
      <c r="P16" s="2"/>
      <c r="Q16" s="2"/>
      <c r="R16" s="2"/>
      <c r="S16" s="2"/>
    </row>
    <row r="17" spans="1:19" ht="12.75">
      <c r="A17" s="2"/>
      <c r="B17">
        <v>6</v>
      </c>
      <c r="C17" s="283" t="s">
        <v>530</v>
      </c>
      <c r="D17" s="240" t="s">
        <v>232</v>
      </c>
      <c r="E17" s="866">
        <v>6546801</v>
      </c>
      <c r="F17" s="2"/>
      <c r="G17" s="354"/>
      <c r="H17" s="363"/>
      <c r="I17" s="2"/>
      <c r="J17" s="2"/>
      <c r="K17" s="2"/>
      <c r="L17" s="2"/>
      <c r="M17" s="2"/>
      <c r="N17" s="2"/>
      <c r="O17" s="2"/>
      <c r="P17" s="2"/>
      <c r="Q17" s="2"/>
      <c r="R17" s="2"/>
      <c r="S17" s="2"/>
    </row>
    <row r="18" spans="1:19" ht="12.75">
      <c r="A18" s="2"/>
      <c r="B18">
        <v>7</v>
      </c>
      <c r="C18" s="283" t="s">
        <v>152</v>
      </c>
      <c r="D18" s="240" t="s">
        <v>153</v>
      </c>
      <c r="E18" s="866">
        <v>172087</v>
      </c>
      <c r="F18" s="2"/>
      <c r="G18" s="354"/>
      <c r="H18" s="363"/>
      <c r="I18" s="2"/>
      <c r="J18" s="2"/>
      <c r="K18" s="819"/>
      <c r="L18" s="1121"/>
      <c r="M18" s="2"/>
      <c r="N18" s="2"/>
      <c r="O18" s="2"/>
      <c r="P18" s="2"/>
      <c r="Q18" s="2"/>
      <c r="R18" s="2"/>
      <c r="S18" s="2"/>
    </row>
    <row r="19" spans="1:19" ht="12.75">
      <c r="A19" s="2"/>
      <c r="B19">
        <v>8</v>
      </c>
      <c r="C19" s="2" t="s">
        <v>531</v>
      </c>
      <c r="D19" t="s">
        <v>532</v>
      </c>
      <c r="E19" s="867">
        <v>269962</v>
      </c>
      <c r="F19" s="2"/>
      <c r="G19" s="354"/>
      <c r="H19" s="363"/>
      <c r="I19" s="2"/>
      <c r="J19" s="2"/>
      <c r="K19" s="2"/>
      <c r="L19" s="2"/>
      <c r="M19" s="2"/>
      <c r="N19" s="2"/>
      <c r="O19" s="2"/>
      <c r="P19" s="2"/>
      <c r="Q19" s="2"/>
      <c r="R19" s="2"/>
      <c r="S19" s="2"/>
    </row>
    <row r="20" spans="1:19" ht="12.75">
      <c r="A20" s="2"/>
      <c r="B20">
        <v>9</v>
      </c>
      <c r="C20" s="193" t="s">
        <v>215</v>
      </c>
      <c r="E20" s="810">
        <f>SUM(E16:E19)</f>
        <v>7024484</v>
      </c>
      <c r="F20" s="1323">
        <f>+'Appendix A'!G12</f>
        <v>0.20110413825455342</v>
      </c>
      <c r="G20" s="352">
        <f>+F20*E20</f>
        <v>1412652.8015028983</v>
      </c>
      <c r="H20" s="2"/>
      <c r="I20" s="2"/>
      <c r="J20" s="2"/>
      <c r="K20" s="2"/>
      <c r="L20" s="2"/>
      <c r="M20" s="2"/>
      <c r="N20" s="2"/>
      <c r="O20" s="2"/>
      <c r="P20" s="2"/>
      <c r="Q20" s="2"/>
      <c r="R20" s="2"/>
      <c r="S20" s="2"/>
    </row>
    <row r="21" spans="1:19" ht="12.75">
      <c r="A21" s="2"/>
      <c r="B21" s="193"/>
      <c r="C21" s="207"/>
      <c r="E21" s="811"/>
      <c r="F21" s="2"/>
      <c r="G21" s="354"/>
      <c r="H21" s="2"/>
      <c r="I21" s="2"/>
      <c r="J21" s="2"/>
      <c r="K21" s="2"/>
      <c r="L21" s="2"/>
      <c r="M21" s="2"/>
      <c r="N21" s="2"/>
      <c r="O21" s="2"/>
      <c r="P21" s="2"/>
      <c r="Q21" s="2"/>
      <c r="R21" s="2"/>
      <c r="S21" s="2"/>
    </row>
    <row r="22" spans="1:19" ht="12.75">
      <c r="A22" s="2"/>
      <c r="E22" s="811"/>
      <c r="G22" s="354"/>
      <c r="H22" s="2"/>
      <c r="I22" s="2"/>
      <c r="J22" s="2"/>
      <c r="K22" s="2"/>
      <c r="L22" s="2"/>
      <c r="M22" s="2"/>
      <c r="N22" s="2"/>
      <c r="O22" s="2"/>
      <c r="P22" s="2"/>
      <c r="Q22" s="2"/>
      <c r="R22" s="2"/>
      <c r="S22" s="2"/>
    </row>
    <row r="23" spans="1:19" ht="12.75">
      <c r="A23" s="2"/>
      <c r="B23" s="193" t="s">
        <v>653</v>
      </c>
      <c r="E23" s="811"/>
      <c r="F23" s="209" t="s">
        <v>227</v>
      </c>
      <c r="G23" s="354"/>
      <c r="H23" s="2"/>
      <c r="I23" s="2"/>
      <c r="J23" s="2"/>
      <c r="K23" s="2"/>
      <c r="L23" s="2"/>
      <c r="M23" s="2"/>
      <c r="N23" s="2"/>
      <c r="O23" s="2"/>
      <c r="P23" s="2"/>
      <c r="Q23" s="2"/>
      <c r="R23" s="2"/>
      <c r="S23" s="2"/>
    </row>
    <row r="24" spans="1:19" ht="12.75">
      <c r="A24" s="2"/>
      <c r="E24" s="811"/>
      <c r="G24" s="354"/>
      <c r="H24" s="2"/>
      <c r="I24" s="2"/>
      <c r="J24" s="2"/>
      <c r="K24" s="2"/>
      <c r="L24" s="2"/>
      <c r="M24" s="2"/>
      <c r="N24" s="2"/>
      <c r="O24" s="2"/>
      <c r="P24" s="2"/>
      <c r="Q24" s="2"/>
      <c r="R24" s="2"/>
      <c r="S24" s="2"/>
    </row>
    <row r="25" spans="1:19" ht="12.75">
      <c r="A25" s="2"/>
      <c r="B25">
        <v>10</v>
      </c>
      <c r="C25" t="s">
        <v>156</v>
      </c>
      <c r="D25" t="s">
        <v>158</v>
      </c>
      <c r="E25" s="866">
        <v>0</v>
      </c>
      <c r="F25" s="2"/>
      <c r="G25" s="354"/>
      <c r="H25" s="363"/>
      <c r="I25" s="349"/>
      <c r="J25" s="2"/>
      <c r="K25" s="2"/>
      <c r="L25" s="2"/>
      <c r="M25" s="2"/>
      <c r="N25" s="2"/>
      <c r="O25" s="2"/>
      <c r="P25" s="2"/>
      <c r="Q25" s="2"/>
      <c r="R25" s="2"/>
      <c r="S25" s="2"/>
    </row>
    <row r="26" spans="1:19" ht="12.75">
      <c r="A26" s="2"/>
      <c r="B26">
        <v>11</v>
      </c>
      <c r="C26" t="s">
        <v>157</v>
      </c>
      <c r="D26" t="s">
        <v>159</v>
      </c>
      <c r="E26" s="866">
        <v>0</v>
      </c>
      <c r="F26" s="2"/>
      <c r="G26" s="354"/>
      <c r="H26" s="363"/>
      <c r="I26" s="349"/>
      <c r="J26" s="2"/>
      <c r="K26" s="2"/>
      <c r="L26" s="2"/>
      <c r="M26" s="2"/>
      <c r="N26" s="2"/>
      <c r="O26" s="2"/>
      <c r="P26" s="2"/>
      <c r="Q26" s="2"/>
      <c r="R26" s="2"/>
      <c r="S26" s="2"/>
    </row>
    <row r="27" spans="1:19" ht="12.75">
      <c r="A27" s="2"/>
      <c r="B27">
        <v>12</v>
      </c>
      <c r="C27" t="s">
        <v>160</v>
      </c>
      <c r="D27" t="s">
        <v>233</v>
      </c>
      <c r="E27" s="866">
        <v>59552078</v>
      </c>
      <c r="F27" s="2"/>
      <c r="G27" s="354"/>
      <c r="H27" s="363"/>
      <c r="I27" s="2"/>
      <c r="J27" s="2"/>
      <c r="K27" s="2"/>
      <c r="L27" s="2"/>
      <c r="M27" s="2"/>
      <c r="N27" s="2"/>
      <c r="O27" s="2"/>
      <c r="P27" s="2"/>
      <c r="Q27" s="2"/>
      <c r="R27" s="2"/>
      <c r="S27" s="2"/>
    </row>
    <row r="28" spans="1:19" ht="12.75">
      <c r="A28" s="2"/>
      <c r="B28">
        <v>13</v>
      </c>
      <c r="C28" t="s">
        <v>161</v>
      </c>
      <c r="D28" t="s">
        <v>162</v>
      </c>
      <c r="E28" s="866">
        <v>0</v>
      </c>
      <c r="F28" s="2"/>
      <c r="G28" s="354"/>
      <c r="H28" s="363"/>
      <c r="I28" s="349"/>
      <c r="J28" s="2"/>
      <c r="K28" s="2"/>
      <c r="L28" s="2"/>
      <c r="M28" s="2"/>
      <c r="N28" s="2"/>
      <c r="O28" s="2"/>
      <c r="P28" s="2"/>
      <c r="Q28" s="2"/>
      <c r="R28" s="2"/>
      <c r="S28" s="2"/>
    </row>
    <row r="29" spans="1:19" ht="12.75">
      <c r="A29" s="2"/>
      <c r="B29">
        <v>14</v>
      </c>
      <c r="C29" t="s">
        <v>163</v>
      </c>
      <c r="D29" t="s">
        <v>164</v>
      </c>
      <c r="E29" s="866">
        <v>0</v>
      </c>
      <c r="F29" s="2"/>
      <c r="G29" s="354"/>
      <c r="H29" s="363"/>
      <c r="I29" s="349"/>
      <c r="J29" s="2"/>
      <c r="K29" s="2"/>
      <c r="L29" s="2"/>
      <c r="M29" s="2"/>
      <c r="N29" s="2"/>
      <c r="O29" s="2"/>
      <c r="P29" s="2"/>
      <c r="Q29" s="2"/>
      <c r="R29" s="2"/>
      <c r="S29" s="2"/>
    </row>
    <row r="30" spans="1:19" ht="12.75">
      <c r="A30" s="2"/>
      <c r="B30">
        <v>15</v>
      </c>
      <c r="C30" t="s">
        <v>463</v>
      </c>
      <c r="D30" t="s">
        <v>165</v>
      </c>
      <c r="E30" s="866">
        <v>0</v>
      </c>
      <c r="F30" s="2"/>
      <c r="G30" s="354"/>
      <c r="H30" s="363"/>
      <c r="I30" s="349"/>
      <c r="K30" s="2"/>
      <c r="L30" s="2"/>
      <c r="M30" s="2"/>
      <c r="N30" s="2"/>
      <c r="O30" s="2"/>
      <c r="P30" s="2"/>
      <c r="Q30" s="2"/>
      <c r="R30" s="2"/>
      <c r="S30" s="2"/>
    </row>
    <row r="31" spans="1:19" ht="12.75">
      <c r="A31" s="2"/>
      <c r="B31">
        <v>16</v>
      </c>
      <c r="C31" t="s">
        <v>166</v>
      </c>
      <c r="D31" t="s">
        <v>168</v>
      </c>
      <c r="E31" s="866">
        <v>0</v>
      </c>
      <c r="F31" s="2"/>
      <c r="G31" s="354"/>
      <c r="H31" s="363"/>
      <c r="I31" s="349"/>
      <c r="K31" s="2"/>
      <c r="L31" s="2"/>
      <c r="M31" s="2"/>
      <c r="N31" s="2"/>
      <c r="O31" s="2"/>
      <c r="P31" s="2"/>
      <c r="Q31" s="2"/>
      <c r="R31" s="2"/>
      <c r="S31" s="2"/>
    </row>
    <row r="32" spans="1:19" ht="12.75">
      <c r="A32" s="2"/>
      <c r="B32">
        <v>17</v>
      </c>
      <c r="C32" t="s">
        <v>167</v>
      </c>
      <c r="D32" t="s">
        <v>169</v>
      </c>
      <c r="E32" s="866">
        <v>477219</v>
      </c>
      <c r="F32" s="2"/>
      <c r="G32" s="354"/>
      <c r="H32" s="363"/>
      <c r="K32" s="819"/>
      <c r="L32" s="1121"/>
      <c r="M32" s="2"/>
      <c r="N32" s="2"/>
      <c r="O32" s="2"/>
      <c r="P32" s="2"/>
      <c r="Q32" s="2"/>
      <c r="R32" s="2"/>
      <c r="S32" s="2"/>
    </row>
    <row r="33" spans="1:9" ht="12.75">
      <c r="A33" s="2"/>
      <c r="B33">
        <v>18</v>
      </c>
      <c r="C33" t="s">
        <v>170</v>
      </c>
      <c r="D33" t="s">
        <v>172</v>
      </c>
      <c r="E33" s="866">
        <v>0</v>
      </c>
      <c r="F33" s="2"/>
      <c r="G33" s="354"/>
      <c r="H33" s="363"/>
      <c r="I33" s="349"/>
    </row>
    <row r="34" spans="1:9" ht="12.75">
      <c r="A34" s="2"/>
      <c r="B34">
        <v>19</v>
      </c>
      <c r="C34" t="s">
        <v>171</v>
      </c>
      <c r="D34" t="s">
        <v>173</v>
      </c>
      <c r="E34" s="866">
        <v>0</v>
      </c>
      <c r="F34" s="2"/>
      <c r="G34" s="354"/>
      <c r="H34" s="363"/>
      <c r="I34" s="349"/>
    </row>
    <row r="35" spans="1:8" ht="12.75">
      <c r="A35" s="2"/>
      <c r="B35">
        <v>20</v>
      </c>
      <c r="C35" t="s">
        <v>558</v>
      </c>
      <c r="D35" t="s">
        <v>174</v>
      </c>
      <c r="E35" s="867">
        <v>0</v>
      </c>
      <c r="F35" s="2"/>
      <c r="G35" s="354"/>
      <c r="H35" s="260"/>
    </row>
    <row r="36" spans="1:7" ht="12.75">
      <c r="A36" s="2"/>
      <c r="E36" s="812"/>
      <c r="G36" s="354"/>
    </row>
    <row r="37" spans="1:7" ht="12.75">
      <c r="A37" s="2"/>
      <c r="B37">
        <f>B35+1</f>
        <v>21</v>
      </c>
      <c r="C37" s="193" t="s">
        <v>219</v>
      </c>
      <c r="E37" s="810">
        <f>SUM(E25:E35)</f>
        <v>60029297</v>
      </c>
      <c r="F37" s="464">
        <v>0</v>
      </c>
      <c r="G37" s="637"/>
    </row>
    <row r="38" spans="1:7" ht="12.75">
      <c r="A38" s="2"/>
      <c r="E38" s="811"/>
      <c r="G38" s="354"/>
    </row>
    <row r="39" spans="1:14" ht="12.75">
      <c r="A39" s="2"/>
      <c r="B39">
        <f>B37+1</f>
        <v>22</v>
      </c>
      <c r="C39" s="193" t="str">
        <f>"Total    (line "&amp;B11&amp;" + line "&amp;B20&amp;" + line "&amp;B37&amp;""</f>
        <v>Total    (line 4 + line 9 + line 21</v>
      </c>
      <c r="E39" s="810">
        <f>+E37+E20+E11</f>
        <v>68635452</v>
      </c>
      <c r="G39" s="352">
        <f>+G37+G20+G11</f>
        <v>1795049.7463989356</v>
      </c>
      <c r="N39" s="508"/>
    </row>
    <row r="40" spans="1:8" ht="12.75">
      <c r="A40" s="2"/>
      <c r="B40" s="2"/>
      <c r="C40" s="222"/>
      <c r="D40" s="2"/>
      <c r="E40" s="812"/>
      <c r="F40" s="269"/>
      <c r="G40" s="2"/>
      <c r="H40" s="2"/>
    </row>
    <row r="41" spans="1:8" ht="12.75">
      <c r="A41" s="2"/>
      <c r="B41" s="2">
        <f>B39+1</f>
        <v>23</v>
      </c>
      <c r="C41" s="236" t="str">
        <f>"Total 'Other' Taxes included on p.114.14c"</f>
        <v>Total 'Other' Taxes included on p.114.14c</v>
      </c>
      <c r="D41" s="240"/>
      <c r="E41" s="867">
        <v>68635452</v>
      </c>
      <c r="F41" s="2"/>
      <c r="G41" s="254"/>
      <c r="H41" s="2"/>
    </row>
    <row r="42" spans="1:8" ht="12.75">
      <c r="A42" s="2"/>
      <c r="B42" s="2"/>
      <c r="C42" s="236"/>
      <c r="D42" s="240"/>
      <c r="E42" s="270"/>
      <c r="F42" s="270"/>
      <c r="G42" s="254"/>
      <c r="H42" s="2"/>
    </row>
    <row r="43" spans="1:8" ht="12.75">
      <c r="A43" s="2"/>
      <c r="B43" s="2"/>
      <c r="C43" s="236" t="s">
        <v>339</v>
      </c>
      <c r="D43" s="240"/>
      <c r="E43" s="270">
        <f>E41-E39</f>
        <v>0</v>
      </c>
      <c r="F43" s="270"/>
      <c r="G43" s="254"/>
      <c r="H43" s="2"/>
    </row>
    <row r="44" spans="1:19" ht="12.75">
      <c r="A44" s="2"/>
      <c r="B44" s="2"/>
      <c r="C44" s="240"/>
      <c r="D44" s="283"/>
      <c r="E44" s="270"/>
      <c r="F44" s="271"/>
      <c r="G44" s="255"/>
      <c r="H44" s="256"/>
      <c r="I44" s="256"/>
      <c r="J44" s="242"/>
      <c r="K44" s="2"/>
      <c r="L44" s="2"/>
      <c r="M44" s="2"/>
      <c r="N44" s="2"/>
      <c r="O44" s="2"/>
      <c r="P44" s="2"/>
      <c r="Q44" s="2"/>
      <c r="R44" s="2"/>
      <c r="S44" s="2"/>
    </row>
    <row r="45" spans="1:19" ht="12.75">
      <c r="A45" s="2"/>
      <c r="B45" s="2" t="s">
        <v>34</v>
      </c>
      <c r="C45" s="196"/>
      <c r="D45" s="2"/>
      <c r="E45" s="241"/>
      <c r="F45" s="242"/>
      <c r="G45" s="242"/>
      <c r="H45" s="242"/>
      <c r="I45" s="242"/>
      <c r="J45" s="242"/>
      <c r="K45" s="2"/>
      <c r="L45" s="2"/>
      <c r="M45" s="2"/>
      <c r="N45" s="2"/>
      <c r="O45" s="2"/>
      <c r="P45" s="2"/>
      <c r="Q45" s="2"/>
      <c r="R45" s="2"/>
      <c r="S45" s="2"/>
    </row>
    <row r="46" spans="1:19" ht="27" customHeight="1">
      <c r="A46" s="2"/>
      <c r="B46" s="297" t="s">
        <v>306</v>
      </c>
      <c r="C46" s="1547" t="s">
        <v>83</v>
      </c>
      <c r="D46" s="1547"/>
      <c r="E46" s="1547"/>
      <c r="F46" s="1547"/>
      <c r="G46" s="1547"/>
      <c r="H46" s="242"/>
      <c r="I46" s="242"/>
      <c r="J46" s="242"/>
      <c r="K46" s="2"/>
      <c r="L46" s="2"/>
      <c r="M46" s="2"/>
      <c r="N46" s="2"/>
      <c r="O46" s="2"/>
      <c r="P46" s="2"/>
      <c r="Q46" s="2"/>
      <c r="R46" s="2"/>
      <c r="S46" s="2"/>
    </row>
    <row r="47" spans="2:19" ht="27.75" customHeight="1">
      <c r="B47" s="297" t="s">
        <v>437</v>
      </c>
      <c r="C47" s="1552" t="s">
        <v>185</v>
      </c>
      <c r="D47" s="1552"/>
      <c r="E47" s="1552"/>
      <c r="F47" s="1552"/>
      <c r="G47" s="1552"/>
      <c r="H47" s="242"/>
      <c r="I47" s="242"/>
      <c r="J47" s="242"/>
      <c r="K47" s="2"/>
      <c r="L47" s="2"/>
      <c r="M47" s="2"/>
      <c r="N47" s="2"/>
      <c r="O47" s="2"/>
      <c r="P47" s="2"/>
      <c r="Q47" s="2"/>
      <c r="R47" s="2"/>
      <c r="S47" s="2"/>
    </row>
    <row r="48" spans="2:19" ht="42" customHeight="1">
      <c r="B48" s="297" t="s">
        <v>287</v>
      </c>
      <c r="C48" s="1550" t="s">
        <v>234</v>
      </c>
      <c r="D48" s="1550"/>
      <c r="E48" s="1550"/>
      <c r="F48" s="1550"/>
      <c r="G48" s="1550"/>
      <c r="H48" s="242"/>
      <c r="I48" s="242"/>
      <c r="J48" s="242"/>
      <c r="K48" s="2"/>
      <c r="L48" s="2"/>
      <c r="M48" s="2"/>
      <c r="N48" s="2"/>
      <c r="O48" s="2"/>
      <c r="P48" s="2"/>
      <c r="Q48" s="2"/>
      <c r="R48" s="2"/>
      <c r="S48" s="2"/>
    </row>
    <row r="49" spans="2:19" ht="44.25" customHeight="1">
      <c r="B49" s="297" t="s">
        <v>307</v>
      </c>
      <c r="C49" s="1550" t="s">
        <v>235</v>
      </c>
      <c r="D49" s="1550"/>
      <c r="E49" s="1550"/>
      <c r="F49" s="1550"/>
      <c r="G49" s="1550"/>
      <c r="H49" s="242"/>
      <c r="I49" s="242"/>
      <c r="J49" s="242"/>
      <c r="K49" s="2"/>
      <c r="L49" s="2"/>
      <c r="M49" s="2"/>
      <c r="N49" s="2"/>
      <c r="O49" s="2"/>
      <c r="P49" s="2"/>
      <c r="Q49" s="2"/>
      <c r="R49" s="2"/>
      <c r="S49" s="2"/>
    </row>
    <row r="50" spans="2:19" ht="17.25" customHeight="1">
      <c r="B50" s="297" t="s">
        <v>305</v>
      </c>
      <c r="C50" s="530" t="s">
        <v>365</v>
      </c>
      <c r="D50" s="2"/>
      <c r="E50" s="241"/>
      <c r="F50" s="2"/>
      <c r="G50" s="242"/>
      <c r="H50" s="242"/>
      <c r="I50" s="242"/>
      <c r="J50" s="242"/>
      <c r="K50" s="2"/>
      <c r="L50" s="2"/>
      <c r="M50" s="2"/>
      <c r="N50" s="2"/>
      <c r="O50" s="2"/>
      <c r="P50" s="2"/>
      <c r="Q50" s="2"/>
      <c r="R50" s="2"/>
      <c r="S50" s="2"/>
    </row>
    <row r="51" spans="2:10" s="2" customFormat="1" ht="29.25" customHeight="1">
      <c r="B51" s="297" t="s">
        <v>590</v>
      </c>
      <c r="C51" s="1551" t="s">
        <v>366</v>
      </c>
      <c r="D51" s="1551"/>
      <c r="E51" s="1551"/>
      <c r="F51" s="1551"/>
      <c r="G51" s="1551"/>
      <c r="H51" s="242"/>
      <c r="I51" s="242"/>
      <c r="J51" s="242"/>
    </row>
    <row r="52" spans="2:6" s="2" customFormat="1" ht="12.75">
      <c r="B52" s="2" t="s">
        <v>308</v>
      </c>
      <c r="C52" s="1548" t="s">
        <v>239</v>
      </c>
      <c r="D52" s="1549"/>
      <c r="E52" s="1549"/>
      <c r="F52" s="1549"/>
    </row>
    <row r="53" spans="3:16" ht="12.75">
      <c r="C53" s="196"/>
      <c r="P53" s="2"/>
    </row>
    <row r="54" spans="3:16" ht="12.75">
      <c r="C54" s="196"/>
      <c r="P54" s="2"/>
    </row>
    <row r="55" spans="3:16" ht="12.75">
      <c r="C55" s="243"/>
      <c r="P55" s="2"/>
    </row>
    <row r="56" spans="7:16" ht="12.75">
      <c r="G56" s="206"/>
      <c r="P56" s="2"/>
    </row>
    <row r="57" spans="7:16" ht="12.75">
      <c r="G57" s="252"/>
      <c r="P57" s="2"/>
    </row>
    <row r="58" ht="12.75">
      <c r="G58" s="252"/>
    </row>
    <row r="59" ht="12.75">
      <c r="G59" s="252"/>
    </row>
    <row r="60" ht="12.75">
      <c r="G60" s="206"/>
    </row>
    <row r="281" spans="3:7" ht="15">
      <c r="C281" s="514"/>
      <c r="D281" s="514"/>
      <c r="E281" s="621"/>
      <c r="F281" s="514"/>
      <c r="G281" s="514"/>
    </row>
    <row r="282" spans="3:7" ht="99.75" customHeight="1">
      <c r="C282" s="514"/>
      <c r="D282" s="514"/>
      <c r="E282" s="621"/>
      <c r="F282" s="514"/>
      <c r="G282" s="514"/>
    </row>
    <row r="283" spans="3:7" ht="15">
      <c r="C283" s="514"/>
      <c r="D283" s="514"/>
      <c r="E283" s="621"/>
      <c r="F283" s="514"/>
      <c r="G283" s="514"/>
    </row>
    <row r="284" spans="3:7" ht="15">
      <c r="C284" s="514"/>
      <c r="D284" s="514"/>
      <c r="E284" s="621"/>
      <c r="F284" s="514"/>
      <c r="G284" s="514"/>
    </row>
    <row r="285" spans="3:7" ht="15">
      <c r="C285" s="514"/>
      <c r="D285" s="514"/>
      <c r="E285" s="621"/>
      <c r="F285" s="514"/>
      <c r="G285" s="514"/>
    </row>
    <row r="286" spans="3:7" ht="15">
      <c r="C286" s="514"/>
      <c r="D286" s="514"/>
      <c r="E286" s="621"/>
      <c r="F286" s="514"/>
      <c r="G286" s="514"/>
    </row>
    <row r="287" spans="3:7" ht="15">
      <c r="C287" s="514"/>
      <c r="D287" s="514"/>
      <c r="E287" s="621"/>
      <c r="F287" s="514"/>
      <c r="G287" s="514"/>
    </row>
    <row r="288" spans="3:7" ht="15">
      <c r="C288" s="514"/>
      <c r="D288" s="514"/>
      <c r="E288" s="621"/>
      <c r="F288" s="514"/>
      <c r="G288" s="514"/>
    </row>
    <row r="289" spans="3:7" ht="15">
      <c r="C289" s="514"/>
      <c r="D289" s="514"/>
      <c r="E289" s="621"/>
      <c r="F289" s="514"/>
      <c r="G289" s="514"/>
    </row>
    <row r="290" spans="3:7" ht="15">
      <c r="C290" s="514"/>
      <c r="D290" s="514"/>
      <c r="E290" s="621"/>
      <c r="F290" s="514"/>
      <c r="G290" s="514"/>
    </row>
    <row r="291" spans="3:7" ht="15">
      <c r="C291" s="514"/>
      <c r="D291" s="514"/>
      <c r="E291" s="621"/>
      <c r="F291" s="514"/>
      <c r="G291" s="514"/>
    </row>
    <row r="292" spans="3:7" ht="15">
      <c r="C292" s="514"/>
      <c r="D292" s="514"/>
      <c r="E292" s="621"/>
      <c r="F292" s="514"/>
      <c r="G292" s="514"/>
    </row>
    <row r="293" spans="3:7" ht="15">
      <c r="C293" s="514"/>
      <c r="D293" s="514"/>
      <c r="E293" s="621"/>
      <c r="F293" s="514"/>
      <c r="G293" s="514"/>
    </row>
    <row r="294" spans="3:7" ht="15">
      <c r="C294" s="514"/>
      <c r="D294" s="514"/>
      <c r="E294" s="621"/>
      <c r="F294" s="514"/>
      <c r="G294" s="514"/>
    </row>
    <row r="295" spans="3:7" ht="15">
      <c r="C295" s="514"/>
      <c r="D295" s="514"/>
      <c r="E295" s="621"/>
      <c r="F295" s="514"/>
      <c r="G295" s="514"/>
    </row>
    <row r="296" spans="3:7" ht="15">
      <c r="C296" s="514"/>
      <c r="D296" s="514"/>
      <c r="E296" s="621"/>
      <c r="F296" s="514"/>
      <c r="G296" s="514"/>
    </row>
    <row r="297" spans="3:7" ht="15">
      <c r="C297" s="514"/>
      <c r="D297" s="514"/>
      <c r="E297" s="621"/>
      <c r="F297" s="514"/>
      <c r="G297" s="514"/>
    </row>
    <row r="298" spans="3:7" ht="15">
      <c r="C298" s="514"/>
      <c r="D298" s="514"/>
      <c r="E298" s="621"/>
      <c r="F298" s="514"/>
      <c r="G298" s="514"/>
    </row>
    <row r="299" spans="3:7" ht="15">
      <c r="C299" s="514"/>
      <c r="D299" s="514"/>
      <c r="E299" s="621"/>
      <c r="F299" s="514"/>
      <c r="G299" s="514"/>
    </row>
    <row r="300" spans="3:7" ht="15">
      <c r="C300" s="514"/>
      <c r="D300" s="514"/>
      <c r="E300" s="621"/>
      <c r="F300" s="514"/>
      <c r="G300" s="514"/>
    </row>
    <row r="301" spans="3:7" ht="15">
      <c r="C301" s="514"/>
      <c r="D301" s="514"/>
      <c r="E301" s="621"/>
      <c r="F301" s="514"/>
      <c r="G301" s="514"/>
    </row>
    <row r="302" spans="3:7" ht="15">
      <c r="C302" s="514"/>
      <c r="D302" s="514"/>
      <c r="E302" s="621"/>
      <c r="F302" s="514"/>
      <c r="G302" s="514"/>
    </row>
    <row r="303" spans="2:7" ht="40.5" customHeight="1">
      <c r="B303" s="979"/>
      <c r="C303" s="514"/>
      <c r="D303" s="514"/>
      <c r="E303" s="621"/>
      <c r="F303" s="514"/>
      <c r="G303" s="514"/>
    </row>
    <row r="304" spans="2:7" ht="15">
      <c r="B304" s="979"/>
      <c r="C304" s="514"/>
      <c r="D304" s="514"/>
      <c r="E304" s="621"/>
      <c r="F304" s="514"/>
      <c r="G304" s="514"/>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80"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305"/>
  <sheetViews>
    <sheetView zoomScale="89" zoomScaleNormal="89" zoomScalePageLayoutView="0" workbookViewId="0" topLeftCell="A1">
      <selection activeCell="I2" sqref="I2"/>
    </sheetView>
  </sheetViews>
  <sheetFormatPr defaultColWidth="9.140625" defaultRowHeight="12.75"/>
  <cols>
    <col min="1" max="1" width="6.421875" style="0" customWidth="1"/>
    <col min="2" max="2" width="74.421875" style="0" customWidth="1"/>
    <col min="3" max="3" width="23.421875" style="0" bestFit="1" customWidth="1"/>
    <col min="4" max="4" width="14.421875" style="247" bestFit="1" customWidth="1"/>
    <col min="5" max="5" width="14.421875" style="0" customWidth="1"/>
    <col min="6" max="6" width="43.00390625" style="0" customWidth="1"/>
    <col min="7" max="7" width="16.421875" style="0" customWidth="1"/>
    <col min="8" max="8" width="14.421875" style="0" bestFit="1" customWidth="1"/>
    <col min="9" max="9" width="19.57421875" style="0" customWidth="1"/>
    <col min="10" max="10" width="27.421875" style="0" customWidth="1"/>
    <col min="11" max="11" width="3.00390625" style="0" bestFit="1" customWidth="1"/>
    <col min="12" max="12" width="37.421875" style="0" customWidth="1"/>
    <col min="13" max="13" width="2.57421875" style="0" customWidth="1"/>
    <col min="14" max="14" width="15.00390625" style="0" bestFit="1" customWidth="1"/>
    <col min="15" max="15" width="2.57421875" style="0" customWidth="1"/>
    <col min="16" max="16" width="12.421875" style="0" bestFit="1" customWidth="1"/>
    <col min="17" max="17" width="13.421875" style="0" bestFit="1" customWidth="1"/>
  </cols>
  <sheetData>
    <row r="1" spans="1:5" ht="15">
      <c r="A1" s="514"/>
      <c r="B1" s="515" t="s">
        <v>705</v>
      </c>
      <c r="C1" s="514"/>
      <c r="D1" s="516"/>
      <c r="E1" s="514"/>
    </row>
    <row r="2" spans="1:6" ht="15">
      <c r="A2" s="520">
        <v>1</v>
      </c>
      <c r="B2" s="517" t="s">
        <v>346</v>
      </c>
      <c r="C2" s="514"/>
      <c r="D2" s="518">
        <f>D51</f>
        <v>9879802</v>
      </c>
      <c r="E2" s="514"/>
      <c r="F2" s="721" t="s">
        <v>1003</v>
      </c>
    </row>
    <row r="3" spans="1:7" ht="15">
      <c r="A3" s="520">
        <f>A2+1</f>
        <v>2</v>
      </c>
      <c r="B3" s="519" t="s">
        <v>347</v>
      </c>
      <c r="C3" s="177"/>
      <c r="D3" s="518">
        <f>C51</f>
        <v>291946</v>
      </c>
      <c r="E3" s="520"/>
      <c r="F3" s="769" t="s">
        <v>1004</v>
      </c>
      <c r="G3" s="195"/>
    </row>
    <row r="4" spans="1:7" s="244" customFormat="1" ht="15">
      <c r="A4" s="520">
        <f>A3+1</f>
        <v>3</v>
      </c>
      <c r="B4" s="625"/>
      <c r="C4" s="520"/>
      <c r="D4" s="521"/>
      <c r="E4" s="522"/>
      <c r="G4" s="245"/>
    </row>
    <row r="5" spans="1:7" ht="15">
      <c r="A5" s="520"/>
      <c r="B5" s="517"/>
      <c r="C5" s="517"/>
      <c r="D5" s="521"/>
      <c r="E5" s="520"/>
      <c r="G5" s="197"/>
    </row>
    <row r="6" spans="1:7" ht="15">
      <c r="A6" s="520"/>
      <c r="B6" s="515"/>
      <c r="C6" s="517"/>
      <c r="D6" s="516"/>
      <c r="E6" s="520"/>
      <c r="G6" s="198"/>
    </row>
    <row r="7" spans="1:7" ht="15">
      <c r="A7" s="520">
        <f>+A4+1</f>
        <v>4</v>
      </c>
      <c r="B7" s="517" t="s">
        <v>144</v>
      </c>
      <c r="C7" s="517" t="str">
        <f>"See "&amp;A36&amp;""</f>
        <v>See Note 5</v>
      </c>
      <c r="D7" s="518">
        <f>D54</f>
        <v>80761425</v>
      </c>
      <c r="E7" s="520"/>
      <c r="F7" s="721" t="s">
        <v>776</v>
      </c>
      <c r="G7" s="198"/>
    </row>
    <row r="8" spans="1:7" ht="15">
      <c r="A8" s="551">
        <f>+A7+1</f>
        <v>5</v>
      </c>
      <c r="B8" s="517" t="s">
        <v>145</v>
      </c>
      <c r="C8" s="517" t="str">
        <f>"See "&amp;A37&amp;""</f>
        <v>See Note 6</v>
      </c>
      <c r="D8" s="518">
        <f>D55</f>
        <v>-2959302.8600000134</v>
      </c>
      <c r="E8" s="520"/>
      <c r="F8" s="721" t="s">
        <v>1005</v>
      </c>
      <c r="G8" s="198"/>
    </row>
    <row r="9" spans="1:16" ht="15">
      <c r="A9" s="551">
        <f aca="true" t="shared" si="0" ref="A9:A21">+A8+1</f>
        <v>6</v>
      </c>
      <c r="B9" s="517" t="s">
        <v>186</v>
      </c>
      <c r="C9" s="517" t="str">
        <f>"See "&amp;A38&amp;""</f>
        <v>See Note 7</v>
      </c>
      <c r="D9" s="518">
        <f>D56</f>
        <v>0</v>
      </c>
      <c r="E9" s="520"/>
      <c r="F9" s="2"/>
      <c r="G9" s="261"/>
      <c r="H9" s="2"/>
      <c r="I9" s="2"/>
      <c r="J9" s="2"/>
      <c r="K9" s="2"/>
      <c r="L9" s="2"/>
      <c r="M9" s="2"/>
      <c r="N9" s="2"/>
      <c r="O9" s="2"/>
      <c r="P9" s="2"/>
    </row>
    <row r="10" spans="1:16" ht="15">
      <c r="A10" s="551">
        <f t="shared" si="0"/>
        <v>7</v>
      </c>
      <c r="B10" s="519" t="s">
        <v>313</v>
      </c>
      <c r="C10" s="523"/>
      <c r="D10" s="943">
        <v>736693</v>
      </c>
      <c r="E10" s="1432"/>
      <c r="F10" s="196"/>
      <c r="G10" s="196"/>
      <c r="H10" s="888"/>
      <c r="I10" s="2"/>
      <c r="J10" s="2"/>
      <c r="K10" s="2"/>
      <c r="L10" s="2"/>
      <c r="M10" s="2"/>
      <c r="N10" s="2"/>
      <c r="O10" s="2"/>
      <c r="P10" s="2"/>
    </row>
    <row r="11" spans="1:16" ht="46.5">
      <c r="A11" s="551">
        <f t="shared" si="0"/>
        <v>8</v>
      </c>
      <c r="B11" s="523" t="s">
        <v>663</v>
      </c>
      <c r="C11" s="523"/>
      <c r="D11" s="518">
        <f>C59+C60+C61</f>
        <v>2216048</v>
      </c>
      <c r="E11" s="520"/>
      <c r="F11" s="721" t="s">
        <v>1006</v>
      </c>
      <c r="G11" s="455"/>
      <c r="H11" s="196"/>
      <c r="I11" s="2"/>
      <c r="J11" s="2"/>
      <c r="K11" s="2"/>
      <c r="L11" s="2"/>
      <c r="M11" s="2"/>
      <c r="N11" s="2"/>
      <c r="O11" s="2"/>
      <c r="P11" s="2"/>
    </row>
    <row r="12" spans="1:16" ht="15">
      <c r="A12" s="551">
        <f t="shared" si="0"/>
        <v>9</v>
      </c>
      <c r="B12" s="517" t="s">
        <v>187</v>
      </c>
      <c r="C12" s="523"/>
      <c r="D12" s="518">
        <f>C57</f>
        <v>0</v>
      </c>
      <c r="E12" s="520"/>
      <c r="F12" s="721" t="s">
        <v>771</v>
      </c>
      <c r="G12" s="259"/>
      <c r="H12" s="2"/>
      <c r="I12" s="2"/>
      <c r="J12" s="2"/>
      <c r="K12" s="2"/>
      <c r="L12" s="2"/>
      <c r="M12" s="2"/>
      <c r="N12" s="2"/>
      <c r="O12" s="2"/>
      <c r="P12" s="2"/>
    </row>
    <row r="13" spans="1:7" ht="15">
      <c r="A13" s="551">
        <f t="shared" si="0"/>
        <v>10</v>
      </c>
      <c r="B13" s="517" t="s">
        <v>664</v>
      </c>
      <c r="C13" s="524"/>
      <c r="D13" s="518">
        <v>0</v>
      </c>
      <c r="E13" s="520"/>
      <c r="F13" s="2"/>
      <c r="G13" s="260"/>
    </row>
    <row r="14" spans="1:7" ht="15">
      <c r="A14" s="551">
        <f t="shared" si="0"/>
        <v>11</v>
      </c>
      <c r="B14" s="517" t="s">
        <v>665</v>
      </c>
      <c r="C14" s="523"/>
      <c r="D14" s="518">
        <v>0</v>
      </c>
      <c r="E14" s="520"/>
      <c r="F14" s="2"/>
      <c r="G14" s="259"/>
    </row>
    <row r="15" spans="1:7" ht="15">
      <c r="A15" s="551">
        <f t="shared" si="0"/>
        <v>12</v>
      </c>
      <c r="B15" s="517" t="s">
        <v>666</v>
      </c>
      <c r="C15" s="177"/>
      <c r="D15" s="518">
        <v>0</v>
      </c>
      <c r="E15" s="520"/>
      <c r="F15" s="2"/>
      <c r="G15" s="261"/>
    </row>
    <row r="16" spans="1:6" ht="15">
      <c r="A16" s="551">
        <f t="shared" si="0"/>
        <v>13</v>
      </c>
      <c r="B16" s="517" t="s">
        <v>667</v>
      </c>
      <c r="C16" s="520"/>
      <c r="D16" s="518">
        <f>C58</f>
        <v>288000</v>
      </c>
      <c r="E16" s="520"/>
      <c r="F16" s="769" t="s">
        <v>1007</v>
      </c>
    </row>
    <row r="17" spans="1:5" ht="15">
      <c r="A17" s="551">
        <f t="shared" si="0"/>
        <v>14</v>
      </c>
      <c r="B17" s="517" t="s">
        <v>668</v>
      </c>
      <c r="C17" s="520"/>
      <c r="D17" s="518">
        <v>0</v>
      </c>
      <c r="E17" s="520"/>
    </row>
    <row r="18" spans="1:5" ht="15">
      <c r="A18" s="551"/>
      <c r="B18" s="517"/>
      <c r="C18" s="514"/>
      <c r="D18" s="525"/>
      <c r="E18" s="520"/>
    </row>
    <row r="19" spans="1:6" ht="15">
      <c r="A19" s="551">
        <f>A17+1</f>
        <v>15</v>
      </c>
      <c r="B19" s="517" t="s">
        <v>26</v>
      </c>
      <c r="C19" s="514" t="str">
        <f>"Sum Lines "&amp;A10&amp;" to "&amp;A17&amp;" + line "&amp;A3&amp;""</f>
        <v>Sum Lines 7 to 14 + line 2</v>
      </c>
      <c r="D19" s="286">
        <f>SUM(D10:D18)+D3</f>
        <v>3532687</v>
      </c>
      <c r="E19" s="520"/>
      <c r="F19" s="769" t="s">
        <v>1008</v>
      </c>
    </row>
    <row r="20" spans="1:5" ht="15">
      <c r="A20" s="551">
        <f t="shared" si="0"/>
        <v>16</v>
      </c>
      <c r="B20" s="680" t="s">
        <v>1062</v>
      </c>
      <c r="C20" s="681" t="str">
        <f>" - line "&amp;A29&amp;""</f>
        <v> - line 23</v>
      </c>
      <c r="D20" s="682">
        <f>-D29</f>
        <v>-109984.47843299998</v>
      </c>
      <c r="E20" s="520"/>
    </row>
    <row r="21" spans="1:6" ht="15">
      <c r="A21" s="551">
        <f t="shared" si="0"/>
        <v>17</v>
      </c>
      <c r="B21" s="177" t="s">
        <v>12</v>
      </c>
      <c r="C21" s="520" t="str">
        <f>"line "&amp;A19&amp;" + line "&amp;A20&amp;""</f>
        <v>line 15 + line 16</v>
      </c>
      <c r="D21" s="286">
        <f>+D19+D20</f>
        <v>3422702.521567</v>
      </c>
      <c r="E21" s="520"/>
      <c r="F21" s="770" t="s">
        <v>772</v>
      </c>
    </row>
    <row r="22" spans="1:5" ht="15">
      <c r="A22" s="520"/>
      <c r="B22" s="514"/>
      <c r="C22" s="520"/>
      <c r="D22" s="286"/>
      <c r="E22" s="520"/>
    </row>
    <row r="23" spans="1:5" ht="15">
      <c r="A23" s="520"/>
      <c r="B23" s="526"/>
      <c r="C23" s="514"/>
      <c r="D23" s="525"/>
      <c r="E23" s="520"/>
    </row>
    <row r="24" spans="1:7" ht="30.75">
      <c r="A24" s="551">
        <f>A21+1</f>
        <v>18</v>
      </c>
      <c r="B24" s="284" t="s">
        <v>1063</v>
      </c>
      <c r="C24" s="284"/>
      <c r="D24" s="285">
        <f>+D3+D15+D17</f>
        <v>291946</v>
      </c>
      <c r="E24" s="520"/>
      <c r="F24" s="287"/>
      <c r="G24" s="287"/>
    </row>
    <row r="25" spans="1:7" ht="15">
      <c r="A25" s="551">
        <f>A24+1</f>
        <v>19</v>
      </c>
      <c r="B25" s="284" t="s">
        <v>1064</v>
      </c>
      <c r="C25" s="284"/>
      <c r="D25" s="1324">
        <f>+'Appendix A'!G208*'3 - Revenue Credits'!D24</f>
        <v>82042.956866</v>
      </c>
      <c r="E25" s="520"/>
      <c r="F25" s="287"/>
      <c r="G25" s="1127"/>
    </row>
    <row r="26" spans="1:17" ht="15">
      <c r="A26" s="551">
        <f>A25+1</f>
        <v>20</v>
      </c>
      <c r="B26" s="284" t="s">
        <v>1065</v>
      </c>
      <c r="C26" s="284"/>
      <c r="D26" s="285">
        <f>(D24-D25)/2</f>
        <v>104951.521567</v>
      </c>
      <c r="E26" s="520"/>
      <c r="F26" s="287"/>
      <c r="G26" s="287"/>
      <c r="K26" s="236"/>
      <c r="L26" s="1553"/>
      <c r="M26" s="1553"/>
      <c r="N26" s="1553"/>
      <c r="O26" s="1553"/>
      <c r="P26" s="1553"/>
      <c r="Q26" s="1553"/>
    </row>
    <row r="27" spans="1:17" ht="52.5" customHeight="1">
      <c r="A27" s="177">
        <f>+A26+1</f>
        <v>21</v>
      </c>
      <c r="B27" s="1128" t="s">
        <v>1066</v>
      </c>
      <c r="C27" s="639"/>
      <c r="D27" s="286">
        <v>77010</v>
      </c>
      <c r="E27" s="1432"/>
      <c r="F27" s="196"/>
      <c r="G27" s="1127"/>
      <c r="K27" s="236"/>
      <c r="L27" s="236"/>
      <c r="M27" s="236"/>
      <c r="N27" s="236"/>
      <c r="O27" s="236"/>
      <c r="P27" s="236"/>
      <c r="Q27" s="236"/>
    </row>
    <row r="28" spans="1:17" ht="15">
      <c r="A28" s="551">
        <f>A27+1</f>
        <v>22</v>
      </c>
      <c r="B28" s="177" t="s">
        <v>1067</v>
      </c>
      <c r="C28" s="520"/>
      <c r="D28" s="286">
        <f>+D26+D27</f>
        <v>181961.52156700002</v>
      </c>
      <c r="E28" s="520"/>
      <c r="F28" s="287"/>
      <c r="G28" s="287"/>
      <c r="K28" s="236"/>
      <c r="L28" s="821"/>
      <c r="M28" s="236"/>
      <c r="N28" s="236"/>
      <c r="O28" s="788"/>
      <c r="P28" s="236"/>
      <c r="Q28" s="818"/>
    </row>
    <row r="29" spans="1:17" ht="15">
      <c r="A29" s="551">
        <f>A28+1</f>
        <v>23</v>
      </c>
      <c r="B29" s="284" t="s">
        <v>1068</v>
      </c>
      <c r="C29" s="514"/>
      <c r="D29" s="286">
        <f>+D24-D28</f>
        <v>109984.47843299998</v>
      </c>
      <c r="E29" s="552"/>
      <c r="K29" s="236"/>
      <c r="L29" s="789"/>
      <c r="M29" s="236"/>
      <c r="N29" s="788"/>
      <c r="O29" s="236"/>
      <c r="P29" s="236"/>
      <c r="Q29" s="818"/>
    </row>
    <row r="30" spans="1:17" ht="12.75">
      <c r="A30" s="2"/>
      <c r="B30" s="2"/>
      <c r="D30" s="248"/>
      <c r="E30" s="194"/>
      <c r="K30" s="236"/>
      <c r="L30" s="789"/>
      <c r="M30" s="236"/>
      <c r="N30" s="788"/>
      <c r="O30" s="236"/>
      <c r="P30" s="236"/>
      <c r="Q30" s="818"/>
    </row>
    <row r="31" spans="1:17" s="244" customFormat="1" ht="15.75" customHeight="1">
      <c r="A31" s="2"/>
      <c r="B31" s="196"/>
      <c r="C31" s="196"/>
      <c r="D31" s="361"/>
      <c r="E31" s="258"/>
      <c r="K31" s="236"/>
      <c r="L31" s="789"/>
      <c r="M31" s="236"/>
      <c r="N31" s="788"/>
      <c r="O31" s="236"/>
      <c r="P31" s="822"/>
      <c r="Q31" s="818"/>
    </row>
    <row r="32" spans="1:17" ht="37.5" customHeight="1">
      <c r="A32" s="297" t="s">
        <v>243</v>
      </c>
      <c r="B32" s="1555" t="s">
        <v>147</v>
      </c>
      <c r="C32" s="1554"/>
      <c r="D32" s="1554"/>
      <c r="E32" s="2"/>
      <c r="K32" s="236"/>
      <c r="L32" s="789"/>
      <c r="M32" s="236"/>
      <c r="N32" s="788"/>
      <c r="O32" s="236"/>
      <c r="P32" s="236"/>
      <c r="Q32" s="818"/>
    </row>
    <row r="33" spans="1:17" ht="39.75" customHeight="1">
      <c r="A33" s="297" t="s">
        <v>238</v>
      </c>
      <c r="B33" s="1556" t="s">
        <v>148</v>
      </c>
      <c r="C33" s="1554"/>
      <c r="D33" s="1554"/>
      <c r="E33" s="2"/>
      <c r="K33" s="236"/>
      <c r="L33" s="789"/>
      <c r="M33" s="236"/>
      <c r="N33" s="788"/>
      <c r="O33" s="236"/>
      <c r="P33" s="236"/>
      <c r="Q33" s="818"/>
    </row>
    <row r="34" spans="1:17" ht="104.25" customHeight="1">
      <c r="A34" s="290" t="s">
        <v>237</v>
      </c>
      <c r="B34" s="1557" t="s">
        <v>149</v>
      </c>
      <c r="C34" s="1554"/>
      <c r="D34" s="1554"/>
      <c r="E34" s="284"/>
      <c r="F34" s="196"/>
      <c r="G34" s="287"/>
      <c r="K34" s="236"/>
      <c r="L34" s="789"/>
      <c r="M34" s="236"/>
      <c r="N34" s="788"/>
      <c r="O34" s="236"/>
      <c r="P34" s="236"/>
      <c r="Q34" s="818"/>
    </row>
    <row r="35" spans="1:17" ht="37.5" customHeight="1">
      <c r="A35" s="355" t="s">
        <v>266</v>
      </c>
      <c r="B35" s="1556" t="s">
        <v>150</v>
      </c>
      <c r="C35" s="1554"/>
      <c r="D35" s="1554"/>
      <c r="E35" s="257"/>
      <c r="F35" s="246"/>
      <c r="K35" s="236"/>
      <c r="L35" s="789"/>
      <c r="M35" s="236"/>
      <c r="N35" s="788"/>
      <c r="O35" s="236"/>
      <c r="P35" s="236"/>
      <c r="Q35" s="818"/>
    </row>
    <row r="36" spans="1:17" ht="25.5" customHeight="1">
      <c r="A36" s="290" t="s">
        <v>188</v>
      </c>
      <c r="B36" s="1554" t="s">
        <v>189</v>
      </c>
      <c r="C36" s="1554"/>
      <c r="D36" s="1554"/>
      <c r="E36" s="2"/>
      <c r="F36" s="246"/>
      <c r="J36" s="508"/>
      <c r="K36" s="236"/>
      <c r="L36" s="789"/>
      <c r="M36" s="236"/>
      <c r="N36" s="788"/>
      <c r="O36" s="236"/>
      <c r="P36" s="236"/>
      <c r="Q36" s="819"/>
    </row>
    <row r="37" spans="1:17" ht="24.75" customHeight="1">
      <c r="A37" s="290" t="s">
        <v>190</v>
      </c>
      <c r="B37" s="1554" t="s">
        <v>151</v>
      </c>
      <c r="C37" s="1554"/>
      <c r="D37" s="1554"/>
      <c r="F37" s="246"/>
      <c r="G37" s="1403"/>
      <c r="J37" s="508"/>
      <c r="K37" s="236"/>
      <c r="L37" s="789"/>
      <c r="M37" s="236"/>
      <c r="N37" s="788"/>
      <c r="O37" s="236"/>
      <c r="P37" s="236"/>
      <c r="Q37" s="823"/>
    </row>
    <row r="38" spans="1:17" s="244" customFormat="1" ht="24" customHeight="1">
      <c r="A38" s="290" t="s">
        <v>191</v>
      </c>
      <c r="B38" s="1555" t="s">
        <v>367</v>
      </c>
      <c r="C38" s="1554"/>
      <c r="D38" s="1554"/>
      <c r="F38" s="246"/>
      <c r="J38" s="790"/>
      <c r="K38" s="236"/>
      <c r="L38" s="787"/>
      <c r="M38" s="236"/>
      <c r="N38" s="788"/>
      <c r="O38" s="236"/>
      <c r="P38" s="822"/>
      <c r="Q38" s="818"/>
    </row>
    <row r="39" spans="1:17" ht="12.75">
      <c r="A39" s="2"/>
      <c r="B39" s="196"/>
      <c r="G39" s="508"/>
      <c r="K39" s="236"/>
      <c r="L39" s="787"/>
      <c r="M39" s="236"/>
      <c r="N39" s="788"/>
      <c r="O39" s="236"/>
      <c r="P39" s="236"/>
      <c r="Q39" s="818"/>
    </row>
    <row r="40" spans="1:17" ht="12.75">
      <c r="A40" s="2" t="s">
        <v>654</v>
      </c>
      <c r="B40" s="2" t="s">
        <v>655</v>
      </c>
      <c r="C40" s="2"/>
      <c r="D40" s="548"/>
      <c r="I40" s="849"/>
      <c r="K40" s="236"/>
      <c r="L40" s="787"/>
      <c r="M40" s="236"/>
      <c r="N40" s="788"/>
      <c r="O40" s="236"/>
      <c r="P40" s="236"/>
      <c r="Q40" s="818"/>
    </row>
    <row r="41" spans="1:17" ht="12.75">
      <c r="A41" s="2"/>
      <c r="B41" s="2" t="s">
        <v>240</v>
      </c>
      <c r="C41" s="282" t="s">
        <v>657</v>
      </c>
      <c r="D41" s="270" t="s">
        <v>658</v>
      </c>
      <c r="E41" s="2"/>
      <c r="F41" s="1404"/>
      <c r="G41" s="1401"/>
      <c r="H41" s="1401"/>
      <c r="I41" s="648"/>
      <c r="J41" s="889"/>
      <c r="K41" s="236"/>
      <c r="L41" s="787"/>
      <c r="M41" s="236"/>
      <c r="N41" s="788"/>
      <c r="O41" s="236"/>
      <c r="P41" s="236"/>
      <c r="Q41" s="823"/>
    </row>
    <row r="42" spans="1:17" ht="12.75">
      <c r="A42" s="2"/>
      <c r="B42" s="549" t="s">
        <v>340</v>
      </c>
      <c r="C42" s="296">
        <v>0</v>
      </c>
      <c r="D42" s="296">
        <f>8683622-53049</f>
        <v>8630573</v>
      </c>
      <c r="E42" s="1108"/>
      <c r="F42" s="1433"/>
      <c r="G42" s="1405"/>
      <c r="H42" s="1405"/>
      <c r="I42" s="648"/>
      <c r="J42" s="2"/>
      <c r="K42" s="236"/>
      <c r="L42" s="787"/>
      <c r="M42" s="236"/>
      <c r="N42" s="788"/>
      <c r="O42" s="236"/>
      <c r="P42" s="236"/>
      <c r="Q42" s="818"/>
    </row>
    <row r="43" spans="1:17" ht="12.75">
      <c r="A43" s="2"/>
      <c r="B43" s="549" t="s">
        <v>100</v>
      </c>
      <c r="C43" s="296">
        <v>0</v>
      </c>
      <c r="D43" s="296">
        <v>0</v>
      </c>
      <c r="E43" s="1108"/>
      <c r="F43" s="1433"/>
      <c r="G43" s="1405"/>
      <c r="H43" s="1405"/>
      <c r="I43" s="648"/>
      <c r="J43" s="2"/>
      <c r="K43" s="236"/>
      <c r="L43" s="787"/>
      <c r="M43" s="236"/>
      <c r="N43" s="788"/>
      <c r="O43" s="236"/>
      <c r="P43" s="236"/>
      <c r="Q43" s="818"/>
    </row>
    <row r="44" spans="1:17" ht="12.75">
      <c r="A44" s="2"/>
      <c r="B44" s="549" t="s">
        <v>1009</v>
      </c>
      <c r="C44" s="296">
        <f>238897+53049</f>
        <v>291946</v>
      </c>
      <c r="D44" s="296">
        <v>0</v>
      </c>
      <c r="E44" s="1432"/>
      <c r="F44" s="1433"/>
      <c r="G44" s="1405"/>
      <c r="H44" s="1405"/>
      <c r="I44" s="648"/>
      <c r="J44" s="2"/>
      <c r="K44" s="236"/>
      <c r="L44" s="787"/>
      <c r="M44" s="236"/>
      <c r="N44" s="788"/>
      <c r="O44" s="236"/>
      <c r="P44" s="236"/>
      <c r="Q44" s="818"/>
    </row>
    <row r="45" spans="1:17" ht="12.75">
      <c r="A45" s="2"/>
      <c r="B45" s="549" t="s">
        <v>341</v>
      </c>
      <c r="C45" s="296">
        <v>0</v>
      </c>
      <c r="D45" s="296">
        <v>0</v>
      </c>
      <c r="E45" s="1108"/>
      <c r="F45" s="1433"/>
      <c r="G45" s="1405"/>
      <c r="H45" s="1405"/>
      <c r="I45" s="2"/>
      <c r="J45" s="2"/>
      <c r="K45" s="236"/>
      <c r="L45" s="787"/>
      <c r="M45" s="236"/>
      <c r="N45" s="788"/>
      <c r="O45" s="236"/>
      <c r="P45" s="236"/>
      <c r="Q45" s="818"/>
    </row>
    <row r="46" spans="1:17" ht="12.75">
      <c r="A46" s="2"/>
      <c r="B46" s="208" t="s">
        <v>775</v>
      </c>
      <c r="C46" s="296">
        <v>0</v>
      </c>
      <c r="D46" s="296">
        <v>0</v>
      </c>
      <c r="E46" s="1108"/>
      <c r="F46" s="1433"/>
      <c r="G46" s="1405"/>
      <c r="H46" s="1405"/>
      <c r="I46" s="2"/>
      <c r="J46" s="2"/>
      <c r="K46" s="236"/>
      <c r="L46" s="787"/>
      <c r="M46" s="236"/>
      <c r="N46" s="788"/>
      <c r="O46" s="236"/>
      <c r="P46" s="236"/>
      <c r="Q46" s="818"/>
    </row>
    <row r="47" spans="1:17" ht="12.75">
      <c r="A47" s="2"/>
      <c r="B47" s="549" t="s">
        <v>344</v>
      </c>
      <c r="C47" s="296">
        <v>0</v>
      </c>
      <c r="D47" s="296">
        <v>0</v>
      </c>
      <c r="E47" s="1108"/>
      <c r="F47" s="1433"/>
      <c r="G47" s="1405"/>
      <c r="H47" s="1405"/>
      <c r="I47" s="2"/>
      <c r="J47" s="2"/>
      <c r="K47" s="236"/>
      <c r="L47" s="787"/>
      <c r="M47" s="236"/>
      <c r="N47" s="788"/>
      <c r="O47" s="236"/>
      <c r="P47" s="236"/>
      <c r="Q47" s="818"/>
    </row>
    <row r="48" spans="1:17" ht="12.75">
      <c r="A48" s="2"/>
      <c r="B48" s="549" t="s">
        <v>345</v>
      </c>
      <c r="C48" s="296">
        <v>0</v>
      </c>
      <c r="D48" s="296">
        <v>0</v>
      </c>
      <c r="E48" s="1108"/>
      <c r="F48" s="1433"/>
      <c r="G48" s="1405"/>
      <c r="H48" s="1405"/>
      <c r="I48" s="2"/>
      <c r="J48" s="2"/>
      <c r="K48" s="236"/>
      <c r="L48" s="787"/>
      <c r="M48" s="236"/>
      <c r="N48" s="788"/>
      <c r="O48" s="236"/>
      <c r="P48" s="236"/>
      <c r="Q48" s="820"/>
    </row>
    <row r="49" spans="1:17" ht="12.75">
      <c r="A49" s="2"/>
      <c r="B49" s="208" t="s">
        <v>217</v>
      </c>
      <c r="C49" s="296">
        <v>0</v>
      </c>
      <c r="D49" s="296"/>
      <c r="E49" s="1108"/>
      <c r="F49" s="1434"/>
      <c r="G49" s="1402"/>
      <c r="H49" s="1402"/>
      <c r="I49" s="2"/>
      <c r="J49" s="2"/>
      <c r="K49" s="236"/>
      <c r="L49" s="787"/>
      <c r="M49" s="236"/>
      <c r="N49" s="788"/>
      <c r="O49" s="236"/>
      <c r="P49" s="236"/>
      <c r="Q49" s="820"/>
    </row>
    <row r="50" spans="1:17" ht="12.75">
      <c r="A50" s="2"/>
      <c r="B50" s="741" t="s">
        <v>778</v>
      </c>
      <c r="C50" s="983">
        <v>0</v>
      </c>
      <c r="D50" s="983">
        <v>1249229</v>
      </c>
      <c r="E50" s="1108"/>
      <c r="F50" s="1433"/>
      <c r="G50" s="1405"/>
      <c r="H50" s="1405"/>
      <c r="I50" s="2"/>
      <c r="J50" s="2"/>
      <c r="K50" s="2"/>
      <c r="L50" s="787"/>
      <c r="M50" s="236"/>
      <c r="N50" s="788"/>
      <c r="O50" s="236"/>
      <c r="P50" s="236"/>
      <c r="Q50" s="823"/>
    </row>
    <row r="51" spans="1:17" ht="12.75">
      <c r="A51" s="2"/>
      <c r="B51" s="549" t="s">
        <v>436</v>
      </c>
      <c r="C51" s="562">
        <f>SUM(C42:C50)</f>
        <v>291946</v>
      </c>
      <c r="D51" s="562">
        <f>SUM(D42:D50)</f>
        <v>9879802</v>
      </c>
      <c r="E51" s="1108"/>
      <c r="F51" s="1433"/>
      <c r="G51" s="1405"/>
      <c r="H51" s="1405"/>
      <c r="K51" s="2"/>
      <c r="L51" s="236"/>
      <c r="M51" s="236"/>
      <c r="N51" s="236"/>
      <c r="O51" s="236"/>
      <c r="P51" s="236"/>
      <c r="Q51" s="236"/>
    </row>
    <row r="52" spans="1:17" ht="12.75">
      <c r="A52" s="2"/>
      <c r="B52" s="549"/>
      <c r="C52" s="562"/>
      <c r="D52" s="550"/>
      <c r="E52" s="1108"/>
      <c r="F52" s="1433"/>
      <c r="G52" s="1405"/>
      <c r="H52" s="1405"/>
      <c r="J52" s="2"/>
      <c r="K52" s="236"/>
      <c r="L52" s="236"/>
      <c r="M52" s="236"/>
      <c r="N52" s="236"/>
      <c r="O52" s="236"/>
      <c r="P52" s="236"/>
      <c r="Q52" s="236"/>
    </row>
    <row r="53" spans="1:17" ht="12.75">
      <c r="A53" s="2"/>
      <c r="B53" s="549" t="s">
        <v>659</v>
      </c>
      <c r="C53" s="296" t="str">
        <f>+C41</f>
        <v>Include</v>
      </c>
      <c r="D53" s="296" t="str">
        <f>+D41</f>
        <v>Exclude</v>
      </c>
      <c r="E53" s="1108"/>
      <c r="F53" s="1433"/>
      <c r="G53" s="1405"/>
      <c r="H53" s="1405"/>
      <c r="J53" s="2"/>
      <c r="K53" s="236"/>
      <c r="L53" s="236"/>
      <c r="M53" s="236"/>
      <c r="N53" s="236"/>
      <c r="O53" s="236"/>
      <c r="P53" s="236"/>
      <c r="Q53" s="236"/>
    </row>
    <row r="54" spans="1:17" ht="12.75">
      <c r="A54" s="2"/>
      <c r="B54" s="208" t="s">
        <v>766</v>
      </c>
      <c r="C54" s="296">
        <v>0</v>
      </c>
      <c r="D54" s="296">
        <v>80761425</v>
      </c>
      <c r="E54" s="1108"/>
      <c r="F54" s="1433"/>
      <c r="G54" s="1405"/>
      <c r="H54" s="1405"/>
      <c r="I54" s="775"/>
      <c r="J54" s="768"/>
      <c r="K54" s="1553"/>
      <c r="L54" s="1553"/>
      <c r="M54" s="1553"/>
      <c r="N54" s="1553"/>
      <c r="O54" s="1553"/>
      <c r="P54" s="1553"/>
      <c r="Q54" s="236"/>
    </row>
    <row r="55" spans="1:17" ht="12.75">
      <c r="A55" s="2"/>
      <c r="B55" s="208" t="s">
        <v>794</v>
      </c>
      <c r="C55" s="296">
        <v>0</v>
      </c>
      <c r="D55" s="296">
        <v>-2959302.8600000134</v>
      </c>
      <c r="E55" s="1108"/>
      <c r="F55" s="1433"/>
      <c r="G55" s="1405"/>
      <c r="H55" s="1405"/>
      <c r="I55" s="880"/>
      <c r="J55" s="768"/>
      <c r="K55" s="236"/>
      <c r="L55" s="787"/>
      <c r="M55" s="236"/>
      <c r="N55" s="788"/>
      <c r="O55" s="236"/>
      <c r="P55" s="818"/>
      <c r="Q55" s="236"/>
    </row>
    <row r="56" spans="1:17" ht="12.75">
      <c r="A56" s="2"/>
      <c r="B56" s="549" t="s">
        <v>348</v>
      </c>
      <c r="C56" s="296">
        <v>0</v>
      </c>
      <c r="D56" s="296">
        <v>0</v>
      </c>
      <c r="E56" s="1108"/>
      <c r="F56" s="1433"/>
      <c r="G56" s="1405"/>
      <c r="H56" s="1405"/>
      <c r="I56" s="2"/>
      <c r="J56" s="2"/>
      <c r="K56" s="236"/>
      <c r="L56" s="787"/>
      <c r="M56" s="236"/>
      <c r="N56" s="788"/>
      <c r="O56" s="236"/>
      <c r="P56" s="820"/>
      <c r="Q56" s="236"/>
    </row>
    <row r="57" spans="1:17" ht="12.75">
      <c r="A57" s="2"/>
      <c r="B57" s="868" t="s">
        <v>106</v>
      </c>
      <c r="C57" s="296">
        <v>0</v>
      </c>
      <c r="D57" s="296">
        <v>0</v>
      </c>
      <c r="E57" s="1108"/>
      <c r="F57" s="1433"/>
      <c r="G57" s="1405"/>
      <c r="H57" s="1405"/>
      <c r="I57" s="196"/>
      <c r="J57" s="2"/>
      <c r="K57" s="2"/>
      <c r="L57" s="2"/>
      <c r="M57" s="2"/>
      <c r="N57" s="788"/>
      <c r="O57" s="236"/>
      <c r="P57" s="820"/>
      <c r="Q57" s="236"/>
    </row>
    <row r="58" spans="1:17" ht="12.75">
      <c r="A58" s="2"/>
      <c r="B58" s="869" t="s">
        <v>241</v>
      </c>
      <c r="C58" s="296">
        <v>288000</v>
      </c>
      <c r="D58" s="296">
        <v>0</v>
      </c>
      <c r="E58" s="1108"/>
      <c r="F58" s="1433"/>
      <c r="G58" s="1405"/>
      <c r="H58" s="1405"/>
      <c r="I58" s="196"/>
      <c r="J58" s="2"/>
      <c r="K58" s="2"/>
      <c r="L58" s="2"/>
      <c r="M58" s="2"/>
      <c r="N58" s="788"/>
      <c r="O58" s="236"/>
      <c r="P58" s="818"/>
      <c r="Q58" s="236"/>
    </row>
    <row r="59" spans="1:17" ht="12.75">
      <c r="A59" s="2"/>
      <c r="B59" s="868" t="s">
        <v>107</v>
      </c>
      <c r="C59" s="296">
        <v>2216048</v>
      </c>
      <c r="D59" s="296">
        <v>0</v>
      </c>
      <c r="E59" s="1108"/>
      <c r="F59" s="1433"/>
      <c r="G59" s="1405"/>
      <c r="H59" s="1405"/>
      <c r="I59" s="2"/>
      <c r="J59" s="2"/>
      <c r="K59" s="236"/>
      <c r="L59" s="787"/>
      <c r="M59" s="236"/>
      <c r="N59" s="788"/>
      <c r="O59" s="236"/>
      <c r="P59" s="818"/>
      <c r="Q59" s="236"/>
    </row>
    <row r="60" spans="1:17" ht="12.75">
      <c r="A60" s="2"/>
      <c r="B60" s="869" t="s">
        <v>242</v>
      </c>
      <c r="C60" s="296">
        <v>0</v>
      </c>
      <c r="D60" s="296">
        <v>0</v>
      </c>
      <c r="E60" s="1108"/>
      <c r="F60" s="1434"/>
      <c r="G60" s="1402"/>
      <c r="H60" s="1402"/>
      <c r="I60" s="2"/>
      <c r="J60" s="2"/>
      <c r="K60" s="236"/>
      <c r="L60" s="787"/>
      <c r="M60" s="236"/>
      <c r="N60" s="788"/>
      <c r="O60" s="236"/>
      <c r="P60" s="820"/>
      <c r="Q60" s="236"/>
    </row>
    <row r="61" spans="1:17" ht="12.75">
      <c r="A61" s="2"/>
      <c r="B61" s="868" t="s">
        <v>656</v>
      </c>
      <c r="C61" s="984"/>
      <c r="D61" s="984"/>
      <c r="E61" s="1108"/>
      <c r="F61" s="1435"/>
      <c r="G61" s="196"/>
      <c r="H61" s="2"/>
      <c r="I61" s="2"/>
      <c r="J61" s="2"/>
      <c r="K61" s="236"/>
      <c r="L61" s="787"/>
      <c r="M61" s="236"/>
      <c r="N61" s="788"/>
      <c r="O61" s="236"/>
      <c r="P61" s="820"/>
      <c r="Q61" s="236"/>
    </row>
    <row r="62" spans="1:17" ht="12.75">
      <c r="A62" s="2"/>
      <c r="B62" s="750" t="s">
        <v>656</v>
      </c>
      <c r="C62" s="296"/>
      <c r="D62" s="296"/>
      <c r="E62" s="1108"/>
      <c r="F62" s="1435"/>
      <c r="G62" s="196"/>
      <c r="H62" s="2"/>
      <c r="I62" s="775"/>
      <c r="J62" s="768"/>
      <c r="K62" s="236"/>
      <c r="L62" s="787"/>
      <c r="M62" s="236"/>
      <c r="N62" s="788"/>
      <c r="O62" s="236"/>
      <c r="P62" s="820"/>
      <c r="Q62" s="236"/>
    </row>
    <row r="63" spans="1:17" ht="12.75">
      <c r="A63" s="2"/>
      <c r="B63" s="750" t="s">
        <v>656</v>
      </c>
      <c r="C63" s="296"/>
      <c r="D63" s="296"/>
      <c r="E63" s="1108"/>
      <c r="F63" s="2"/>
      <c r="G63" s="1436"/>
      <c r="H63" s="2"/>
      <c r="I63" s="716"/>
      <c r="J63" s="2"/>
      <c r="K63" s="236"/>
      <c r="L63" s="787"/>
      <c r="M63" s="236"/>
      <c r="N63" s="788"/>
      <c r="O63" s="236"/>
      <c r="P63" s="820"/>
      <c r="Q63" s="236"/>
    </row>
    <row r="64" spans="1:17" ht="12.75">
      <c r="A64" s="2"/>
      <c r="B64" s="624" t="s">
        <v>656</v>
      </c>
      <c r="C64" s="983"/>
      <c r="D64" s="983"/>
      <c r="E64" s="1108"/>
      <c r="F64" s="2"/>
      <c r="G64" s="1437"/>
      <c r="H64" s="2"/>
      <c r="I64" s="824"/>
      <c r="J64" s="2"/>
      <c r="K64" s="236"/>
      <c r="L64" s="787"/>
      <c r="M64" s="236"/>
      <c r="N64" s="788"/>
      <c r="O64" s="236"/>
      <c r="P64" s="818"/>
      <c r="Q64" s="236"/>
    </row>
    <row r="65" spans="1:17" ht="12.75">
      <c r="A65" s="2"/>
      <c r="B65" s="549" t="s">
        <v>436</v>
      </c>
      <c r="C65" s="562">
        <f>SUM(C54:C64)</f>
        <v>2504048</v>
      </c>
      <c r="D65" s="562">
        <f>SUM(D54:D64)</f>
        <v>77802122.13999999</v>
      </c>
      <c r="E65" s="753"/>
      <c r="F65" s="1109"/>
      <c r="G65" s="986"/>
      <c r="H65" s="716"/>
      <c r="I65" s="236"/>
      <c r="J65" s="2"/>
      <c r="K65" s="236"/>
      <c r="L65" s="787"/>
      <c r="M65" s="236"/>
      <c r="N65" s="788"/>
      <c r="O65" s="236"/>
      <c r="P65" s="820"/>
      <c r="Q65" s="236"/>
    </row>
    <row r="66" spans="6:17" ht="12.75">
      <c r="F66" s="985"/>
      <c r="G66" s="721"/>
      <c r="H66" s="716"/>
      <c r="I66" s="236"/>
      <c r="K66" s="236"/>
      <c r="L66" s="787"/>
      <c r="M66" s="236"/>
      <c r="N66" s="788"/>
      <c r="O66" s="236"/>
      <c r="P66" s="823"/>
      <c r="Q66" s="236"/>
    </row>
    <row r="67" spans="5:17" ht="12.75">
      <c r="E67" s="967"/>
      <c r="F67" s="721"/>
      <c r="G67" s="716"/>
      <c r="H67" s="648"/>
      <c r="I67" s="246"/>
      <c r="K67" s="236"/>
      <c r="L67" s="236"/>
      <c r="M67" s="236"/>
      <c r="N67" s="236"/>
      <c r="O67" s="236"/>
      <c r="P67" s="236"/>
      <c r="Q67" s="236"/>
    </row>
    <row r="68" spans="2:17" ht="12.75">
      <c r="B68" s="291"/>
      <c r="D68" s="795"/>
      <c r="E68" s="794"/>
      <c r="F68" s="508"/>
      <c r="G68" s="508"/>
      <c r="K68" s="236"/>
      <c r="L68" s="236"/>
      <c r="M68" s="236"/>
      <c r="N68" s="236"/>
      <c r="O68" s="236"/>
      <c r="P68" s="236"/>
      <c r="Q68" s="236"/>
    </row>
    <row r="69" spans="5:17" ht="12.75">
      <c r="E69" s="236"/>
      <c r="G69" s="236"/>
      <c r="H69" s="236"/>
      <c r="I69" s="236"/>
      <c r="J69" s="236"/>
      <c r="K69" s="236"/>
      <c r="L69" s="236"/>
      <c r="M69" s="236"/>
      <c r="N69" s="236"/>
      <c r="O69" s="236"/>
      <c r="P69" s="236"/>
      <c r="Q69" s="236"/>
    </row>
    <row r="70" spans="2:17" ht="12.75">
      <c r="B70" s="291"/>
      <c r="C70" s="236"/>
      <c r="D70" s="793"/>
      <c r="E70" s="236"/>
      <c r="F70" s="236"/>
      <c r="G70" s="236"/>
      <c r="H70" s="236"/>
      <c r="I70" s="236"/>
      <c r="J70" s="236"/>
      <c r="K70" s="236"/>
      <c r="L70" s="236"/>
      <c r="M70" s="236"/>
      <c r="N70" s="236"/>
      <c r="O70" s="236"/>
      <c r="P70" s="236"/>
      <c r="Q70" s="236"/>
    </row>
    <row r="71" spans="2:17" ht="12.75">
      <c r="B71" s="291"/>
      <c r="C71" s="824"/>
      <c r="D71" s="792"/>
      <c r="I71" s="236"/>
      <c r="J71" s="236"/>
      <c r="K71" s="236"/>
      <c r="L71" s="236"/>
      <c r="M71" s="236"/>
      <c r="N71" s="236"/>
      <c r="O71" s="236"/>
      <c r="P71" s="236"/>
      <c r="Q71" s="236"/>
    </row>
    <row r="72" spans="2:17" ht="12.75">
      <c r="B72" s="291"/>
      <c r="C72" s="291"/>
      <c r="D72" s="825"/>
      <c r="I72" s="236"/>
      <c r="J72" s="236"/>
      <c r="K72" s="236"/>
      <c r="L72" s="236"/>
      <c r="M72" s="236"/>
      <c r="N72" s="236"/>
      <c r="O72" s="236"/>
      <c r="P72" s="236"/>
      <c r="Q72" s="236"/>
    </row>
    <row r="73" spans="2:17" ht="12.75">
      <c r="B73" s="291"/>
      <c r="C73" s="291"/>
      <c r="D73" s="291"/>
      <c r="E73" s="236"/>
      <c r="F73" s="824"/>
      <c r="G73" s="236"/>
      <c r="H73" s="236"/>
      <c r="I73" s="236"/>
      <c r="J73" s="236"/>
      <c r="K73" s="236"/>
      <c r="L73" s="236"/>
      <c r="M73" s="236"/>
      <c r="N73" s="236"/>
      <c r="O73" s="236"/>
      <c r="P73" s="236"/>
      <c r="Q73" s="236"/>
    </row>
    <row r="74" spans="2:17" ht="12.75">
      <c r="B74" s="291"/>
      <c r="C74" s="368"/>
      <c r="D74" s="793"/>
      <c r="E74" s="236"/>
      <c r="F74" s="236"/>
      <c r="G74" s="236"/>
      <c r="H74" s="236"/>
      <c r="I74" s="236"/>
      <c r="J74" s="236"/>
      <c r="K74" s="236"/>
      <c r="L74" s="236"/>
      <c r="M74" s="236"/>
      <c r="N74" s="236"/>
      <c r="O74" s="236"/>
      <c r="P74" s="236"/>
      <c r="Q74" s="236"/>
    </row>
    <row r="75" spans="2:12" ht="12.75">
      <c r="B75" s="291"/>
      <c r="C75" s="291"/>
      <c r="D75" s="793"/>
      <c r="E75" s="236"/>
      <c r="F75" s="236"/>
      <c r="G75" s="236"/>
      <c r="H75" s="236"/>
      <c r="I75" s="236"/>
      <c r="J75" s="236"/>
      <c r="K75" s="236"/>
      <c r="L75" s="236"/>
    </row>
    <row r="76" spans="2:10" ht="12.75">
      <c r="B76" s="291"/>
      <c r="C76" s="913"/>
      <c r="D76" s="793"/>
      <c r="E76" s="236"/>
      <c r="F76" s="236"/>
      <c r="G76" s="236"/>
      <c r="H76" s="2"/>
      <c r="I76" s="2"/>
      <c r="J76" s="2"/>
    </row>
    <row r="77" spans="2:10" ht="12.75">
      <c r="B77" s="291"/>
      <c r="C77" s="913"/>
      <c r="D77" s="793"/>
      <c r="E77" s="236"/>
      <c r="F77" s="236"/>
      <c r="G77" s="236"/>
      <c r="H77" s="2"/>
      <c r="I77" s="2"/>
      <c r="J77" s="2"/>
    </row>
    <row r="78" spans="2:7" ht="12.75">
      <c r="B78" s="291"/>
      <c r="C78" s="913"/>
      <c r="D78" s="291"/>
      <c r="E78" s="911"/>
      <c r="F78" s="786"/>
      <c r="G78" s="786"/>
    </row>
    <row r="79" spans="2:7" ht="12.75">
      <c r="B79" s="236"/>
      <c r="C79" s="813"/>
      <c r="D79" s="792"/>
      <c r="E79" s="786"/>
      <c r="F79" s="912"/>
      <c r="G79" s="786"/>
    </row>
    <row r="80" spans="2:7" ht="12.75">
      <c r="B80" s="786"/>
      <c r="C80" s="814"/>
      <c r="D80" s="815"/>
      <c r="E80" s="786"/>
      <c r="F80" s="912"/>
      <c r="G80" s="786"/>
    </row>
    <row r="81" spans="2:7" ht="12.75">
      <c r="B81" s="786"/>
      <c r="C81" s="814"/>
      <c r="D81" s="815"/>
      <c r="E81" s="786"/>
      <c r="F81" s="786"/>
      <c r="G81" s="786"/>
    </row>
    <row r="82" spans="2:7" ht="12.75">
      <c r="B82" s="786"/>
      <c r="C82" s="814"/>
      <c r="D82" s="815"/>
      <c r="E82" s="786"/>
      <c r="F82" s="786"/>
      <c r="G82" s="786"/>
    </row>
    <row r="83" spans="2:7" ht="12.75">
      <c r="B83" s="786"/>
      <c r="C83" s="814"/>
      <c r="D83" s="815"/>
      <c r="E83" s="786"/>
      <c r="F83" s="786"/>
      <c r="G83" s="786"/>
    </row>
    <row r="84" spans="2:7" ht="13.5">
      <c r="B84" s="786"/>
      <c r="C84" s="816"/>
      <c r="D84" s="817"/>
      <c r="E84" s="786"/>
      <c r="F84" s="786"/>
      <c r="G84" s="786"/>
    </row>
    <row r="85" spans="2:7" ht="12.75">
      <c r="B85" s="786"/>
      <c r="C85" s="236"/>
      <c r="D85" s="792"/>
      <c r="E85" s="786"/>
      <c r="F85" s="786"/>
      <c r="G85" s="786"/>
    </row>
    <row r="86" spans="2:7" ht="12.75">
      <c r="B86" s="786"/>
      <c r="C86" s="786"/>
      <c r="D86" s="248"/>
      <c r="E86" s="786"/>
      <c r="F86" s="786"/>
      <c r="G86" s="786"/>
    </row>
    <row r="87" spans="2:7" ht="12.75">
      <c r="B87" s="786"/>
      <c r="C87" s="786"/>
      <c r="D87" s="248"/>
      <c r="E87" s="786"/>
      <c r="F87" s="786"/>
      <c r="G87" s="786"/>
    </row>
    <row r="88" spans="2:7" ht="12.75">
      <c r="B88" s="786"/>
      <c r="C88" s="786"/>
      <c r="D88" s="248"/>
      <c r="E88" s="786"/>
      <c r="F88" s="786"/>
      <c r="G88" s="786"/>
    </row>
    <row r="274" spans="3:7" ht="15">
      <c r="C274" s="514"/>
      <c r="D274" s="516"/>
      <c r="E274" s="514"/>
      <c r="F274" s="514"/>
      <c r="G274" s="514"/>
    </row>
    <row r="275" spans="3:7" ht="99.75" customHeight="1">
      <c r="C275" s="514"/>
      <c r="D275" s="516"/>
      <c r="E275" s="514"/>
      <c r="F275" s="514"/>
      <c r="G275" s="514"/>
    </row>
    <row r="276" spans="3:7" ht="15">
      <c r="C276" s="514"/>
      <c r="D276" s="516"/>
      <c r="E276" s="514"/>
      <c r="F276" s="514"/>
      <c r="G276" s="514"/>
    </row>
    <row r="277" spans="3:7" ht="15">
      <c r="C277" s="514"/>
      <c r="D277" s="516"/>
      <c r="E277" s="514"/>
      <c r="F277" s="514"/>
      <c r="G277" s="514"/>
    </row>
    <row r="278" spans="3:7" ht="15">
      <c r="C278" s="514"/>
      <c r="D278" s="516"/>
      <c r="E278" s="514"/>
      <c r="F278" s="514"/>
      <c r="G278" s="514"/>
    </row>
    <row r="279" spans="3:7" ht="15">
      <c r="C279" s="514"/>
      <c r="D279" s="516"/>
      <c r="E279" s="514"/>
      <c r="F279" s="514"/>
      <c r="G279" s="514"/>
    </row>
    <row r="280" spans="3:7" ht="15">
      <c r="C280" s="514"/>
      <c r="D280" s="516"/>
      <c r="E280" s="514"/>
      <c r="F280" s="514"/>
      <c r="G280" s="514"/>
    </row>
    <row r="281" spans="3:7" ht="15">
      <c r="C281" s="514"/>
      <c r="D281" s="516"/>
      <c r="E281" s="514"/>
      <c r="F281" s="514"/>
      <c r="G281" s="514"/>
    </row>
    <row r="282" spans="3:7" ht="15">
      <c r="C282" s="514"/>
      <c r="D282" s="516"/>
      <c r="E282" s="514"/>
      <c r="F282" s="514"/>
      <c r="G282" s="514"/>
    </row>
    <row r="283" spans="3:7" ht="15">
      <c r="C283" s="514"/>
      <c r="D283" s="516"/>
      <c r="E283" s="514"/>
      <c r="F283" s="514"/>
      <c r="G283" s="514"/>
    </row>
    <row r="284" spans="3:7" ht="15">
      <c r="C284" s="514"/>
      <c r="D284" s="516"/>
      <c r="E284" s="514"/>
      <c r="F284" s="514"/>
      <c r="G284" s="514"/>
    </row>
    <row r="285" spans="3:7" ht="15">
      <c r="C285" s="514"/>
      <c r="D285" s="516"/>
      <c r="E285" s="514"/>
      <c r="F285" s="514"/>
      <c r="G285" s="514"/>
    </row>
    <row r="286" spans="3:7" ht="15">
      <c r="C286" s="514"/>
      <c r="D286" s="516"/>
      <c r="E286" s="514"/>
      <c r="F286" s="514"/>
      <c r="G286" s="514"/>
    </row>
    <row r="287" spans="3:7" ht="15">
      <c r="C287" s="514"/>
      <c r="D287" s="516"/>
      <c r="E287" s="514"/>
      <c r="F287" s="514"/>
      <c r="G287" s="514"/>
    </row>
    <row r="288" spans="3:7" ht="15">
      <c r="C288" s="514"/>
      <c r="D288" s="516"/>
      <c r="E288" s="514"/>
      <c r="F288" s="514"/>
      <c r="G288" s="514"/>
    </row>
    <row r="289" spans="3:7" ht="15">
      <c r="C289" s="514"/>
      <c r="D289" s="516"/>
      <c r="E289" s="514"/>
      <c r="F289" s="514"/>
      <c r="G289" s="514"/>
    </row>
    <row r="290" spans="3:7" ht="15">
      <c r="C290" s="514"/>
      <c r="D290" s="516"/>
      <c r="E290" s="514"/>
      <c r="F290" s="514"/>
      <c r="G290" s="514"/>
    </row>
    <row r="291" spans="3:7" ht="15">
      <c r="C291" s="514"/>
      <c r="D291" s="516"/>
      <c r="E291" s="514"/>
      <c r="F291" s="514"/>
      <c r="G291" s="514"/>
    </row>
    <row r="292" spans="3:7" ht="15">
      <c r="C292" s="514"/>
      <c r="D292" s="516"/>
      <c r="E292" s="514"/>
      <c r="F292" s="514"/>
      <c r="G292" s="514"/>
    </row>
    <row r="293" spans="3:7" ht="15">
      <c r="C293" s="514"/>
      <c r="D293" s="516"/>
      <c r="E293" s="514"/>
      <c r="F293" s="514"/>
      <c r="G293" s="514"/>
    </row>
    <row r="294" spans="3:7" ht="15">
      <c r="C294" s="514"/>
      <c r="D294" s="516"/>
      <c r="E294" s="514"/>
      <c r="F294" s="514"/>
      <c r="G294" s="514"/>
    </row>
    <row r="295" spans="3:7" ht="15">
      <c r="C295" s="514"/>
      <c r="D295" s="516"/>
      <c r="E295" s="514"/>
      <c r="F295" s="514"/>
      <c r="G295" s="514"/>
    </row>
    <row r="296" spans="3:7" ht="40.5" customHeight="1">
      <c r="C296" s="514"/>
      <c r="D296" s="516"/>
      <c r="E296" s="514"/>
      <c r="F296" s="514"/>
      <c r="G296" s="514"/>
    </row>
    <row r="297" spans="3:7" ht="15">
      <c r="C297" s="514"/>
      <c r="D297" s="516"/>
      <c r="E297" s="514"/>
      <c r="F297" s="514"/>
      <c r="G297" s="514"/>
    </row>
    <row r="304" ht="12.75">
      <c r="B304" s="979"/>
    </row>
    <row r="305" ht="12.75">
      <c r="B305" s="979"/>
    </row>
  </sheetData>
  <sheetProtection/>
  <mergeCells count="9">
    <mergeCell ref="K54:P54"/>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5"/>
  <sheetViews>
    <sheetView zoomScale="70" zoomScaleNormal="70" zoomScaleSheetLayoutView="66" zoomScalePageLayoutView="0" workbookViewId="0" topLeftCell="A1">
      <selection activeCell="I2" sqref="I2"/>
    </sheetView>
  </sheetViews>
  <sheetFormatPr defaultColWidth="9.421875" defaultRowHeight="12.75"/>
  <cols>
    <col min="1" max="1" width="9.421875" style="2" bestFit="1" customWidth="1"/>
    <col min="2" max="2" width="3.00390625" style="2" customWidth="1"/>
    <col min="3" max="3" width="50.421875" style="2" customWidth="1"/>
    <col min="4" max="4" width="41.421875" style="2" bestFit="1" customWidth="1"/>
    <col min="5" max="5" width="40.421875" style="2" bestFit="1" customWidth="1"/>
    <col min="6" max="6" width="3.57421875" style="2" customWidth="1"/>
    <col min="7" max="7" width="16.421875" style="2" bestFit="1" customWidth="1"/>
    <col min="8" max="8" width="11.00390625" style="2" bestFit="1" customWidth="1"/>
    <col min="9" max="10" width="9.421875" style="2" customWidth="1"/>
    <col min="11" max="11" width="13.421875" style="2" bestFit="1" customWidth="1"/>
    <col min="12" max="12" width="11.421875" style="2" bestFit="1" customWidth="1"/>
    <col min="13" max="16384" width="9.421875" style="2" customWidth="1"/>
  </cols>
  <sheetData>
    <row r="1" spans="1:7" s="52" customFormat="1" ht="15">
      <c r="A1" s="84" t="s">
        <v>306</v>
      </c>
      <c r="B1" s="84"/>
      <c r="C1" s="52" t="s">
        <v>699</v>
      </c>
      <c r="E1" s="52" t="str">
        <f>"Line "&amp;A21&amp;" + Line "&amp;A42&amp;""</f>
        <v>Line 12 + Line 23</v>
      </c>
      <c r="G1" s="281">
        <f>+G21+G42</f>
        <v>81305450.40834126</v>
      </c>
    </row>
    <row r="2" spans="1:2" s="52" customFormat="1" ht="15">
      <c r="A2" s="84"/>
      <c r="B2" s="84"/>
    </row>
    <row r="3" spans="1:12" s="52" customFormat="1" ht="15">
      <c r="A3" s="84" t="s">
        <v>437</v>
      </c>
      <c r="B3" s="84"/>
      <c r="C3" s="52" t="str">
        <f>G3*10000&amp;" Basis Point increase in ROE"</f>
        <v>100 Basis Point increase in ROE</v>
      </c>
      <c r="G3" s="217">
        <v>0.01</v>
      </c>
      <c r="I3" s="944" t="s">
        <v>852</v>
      </c>
      <c r="J3" s="944"/>
      <c r="K3" s="944"/>
      <c r="L3" s="944"/>
    </row>
    <row r="4" spans="1:7" s="52" customFormat="1" ht="15">
      <c r="A4" s="84"/>
      <c r="B4" s="84"/>
      <c r="G4" s="217"/>
    </row>
    <row r="5" spans="1:7" s="52" customFormat="1" ht="15">
      <c r="A5" s="237" t="s">
        <v>645</v>
      </c>
      <c r="B5" s="112"/>
      <c r="C5" s="112"/>
      <c r="D5" s="112"/>
      <c r="E5" s="112"/>
      <c r="F5" s="112"/>
      <c r="G5" s="112"/>
    </row>
    <row r="6" spans="1:7" s="52" customFormat="1" ht="15">
      <c r="A6" s="84">
        <v>1</v>
      </c>
      <c r="C6" s="61" t="s">
        <v>423</v>
      </c>
      <c r="E6" s="61" t="s">
        <v>1102</v>
      </c>
      <c r="G6" s="1314">
        <f>+'Appendix A'!G92</f>
        <v>725155927.627185</v>
      </c>
    </row>
    <row r="7" spans="6:7" s="52" customFormat="1" ht="15">
      <c r="F7" s="61"/>
      <c r="G7" s="1325"/>
    </row>
    <row r="8" spans="1:7" s="52" customFormat="1" ht="15">
      <c r="A8" s="25">
        <f>A6+1</f>
        <v>2</v>
      </c>
      <c r="B8" s="69"/>
      <c r="C8" s="249" t="s">
        <v>500</v>
      </c>
      <c r="D8" s="41" t="s">
        <v>1103</v>
      </c>
      <c r="E8" s="96" t="s">
        <v>1104</v>
      </c>
      <c r="F8" s="9"/>
      <c r="G8" s="1326">
        <f>'Appendix A'!G187</f>
        <v>0.4526408888095225</v>
      </c>
    </row>
    <row r="9" spans="1:7" s="52" customFormat="1" ht="15">
      <c r="A9" s="25">
        <f>A8+1</f>
        <v>3</v>
      </c>
      <c r="B9" s="69"/>
      <c r="C9" s="249" t="s">
        <v>507</v>
      </c>
      <c r="D9" s="41" t="s">
        <v>1105</v>
      </c>
      <c r="E9" s="96" t="s">
        <v>1106</v>
      </c>
      <c r="F9" s="9"/>
      <c r="G9" s="1326">
        <f>'Appendix A'!G188</f>
        <v>0</v>
      </c>
    </row>
    <row r="10" spans="1:7" s="52" customFormat="1" ht="15">
      <c r="A10" s="25">
        <f>A9+1</f>
        <v>4</v>
      </c>
      <c r="B10" s="69"/>
      <c r="C10" s="249" t="s">
        <v>501</v>
      </c>
      <c r="D10" s="41" t="s">
        <v>1107</v>
      </c>
      <c r="E10" s="96" t="s">
        <v>1108</v>
      </c>
      <c r="F10" s="9"/>
      <c r="G10" s="1326">
        <f>'Appendix A'!G189</f>
        <v>0.5473591111904775</v>
      </c>
    </row>
    <row r="11" spans="1:7" s="52" customFormat="1" ht="15">
      <c r="A11" s="25"/>
      <c r="B11" s="69"/>
      <c r="C11" s="301"/>
      <c r="D11" s="9"/>
      <c r="E11" s="96"/>
      <c r="F11" s="9"/>
      <c r="G11" s="238"/>
    </row>
    <row r="12" spans="1:7" s="52" customFormat="1" ht="15">
      <c r="A12" s="25">
        <f>A10+1</f>
        <v>5</v>
      </c>
      <c r="B12" s="69"/>
      <c r="C12" s="301" t="s">
        <v>502</v>
      </c>
      <c r="D12" s="41" t="s">
        <v>1109</v>
      </c>
      <c r="E12" s="96" t="s">
        <v>1110</v>
      </c>
      <c r="F12" s="9"/>
      <c r="G12" s="1327">
        <f>'Appendix A'!G191</f>
        <v>0.044979498707234764</v>
      </c>
    </row>
    <row r="13" spans="1:7" s="52" customFormat="1" ht="15">
      <c r="A13" s="25">
        <f>A12+1</f>
        <v>6</v>
      </c>
      <c r="B13" s="69"/>
      <c r="C13" s="301" t="s">
        <v>508</v>
      </c>
      <c r="D13" s="41" t="s">
        <v>1111</v>
      </c>
      <c r="E13" s="96" t="s">
        <v>1112</v>
      </c>
      <c r="F13" s="9"/>
      <c r="G13" s="1327">
        <f>'Appendix A'!G192</f>
        <v>0</v>
      </c>
    </row>
    <row r="14" spans="1:7" s="52" customFormat="1" ht="15">
      <c r="A14" s="25">
        <f>A13+1</f>
        <v>7</v>
      </c>
      <c r="B14" s="69"/>
      <c r="C14" s="301" t="s">
        <v>503</v>
      </c>
      <c r="D14" s="181" t="s">
        <v>700</v>
      </c>
      <c r="E14" s="96" t="s">
        <v>1113</v>
      </c>
      <c r="F14" s="9"/>
      <c r="G14" s="1327">
        <f>+'Appendix A'!G193+'4 - 100 Basis Pt ROE'!G3</f>
        <v>0.124</v>
      </c>
    </row>
    <row r="15" spans="1:7" s="52" customFormat="1" ht="15">
      <c r="A15" s="25"/>
      <c r="B15" s="69"/>
      <c r="C15" s="301"/>
      <c r="D15" s="302"/>
      <c r="E15" s="9"/>
      <c r="F15" s="9"/>
      <c r="G15" s="1306"/>
    </row>
    <row r="16" spans="1:8" s="52" customFormat="1" ht="15">
      <c r="A16" s="25">
        <f>A14+1</f>
        <v>8</v>
      </c>
      <c r="B16" s="69"/>
      <c r="C16" s="249" t="s">
        <v>504</v>
      </c>
      <c r="D16" s="41" t="s">
        <v>1114</v>
      </c>
      <c r="E16" s="96" t="s">
        <v>1115</v>
      </c>
      <c r="F16" s="303"/>
      <c r="G16" s="1328">
        <f>+'Appendix A'!G195</f>
        <v>0.020359560273049512</v>
      </c>
      <c r="H16" s="626"/>
    </row>
    <row r="17" spans="1:8" s="52" customFormat="1" ht="15">
      <c r="A17" s="25">
        <f>A16+1</f>
        <v>9</v>
      </c>
      <c r="B17" s="69"/>
      <c r="C17" s="249" t="s">
        <v>509</v>
      </c>
      <c r="D17" s="41" t="s">
        <v>1116</v>
      </c>
      <c r="E17" s="96" t="s">
        <v>1117</v>
      </c>
      <c r="F17" s="95"/>
      <c r="G17" s="1328">
        <f>+'Appendix A'!G196</f>
        <v>0</v>
      </c>
      <c r="H17" s="626"/>
    </row>
    <row r="18" spans="1:8" s="52" customFormat="1" ht="15">
      <c r="A18" s="25">
        <f>A17+1</f>
        <v>10</v>
      </c>
      <c r="B18" s="155"/>
      <c r="C18" s="250" t="s">
        <v>505</v>
      </c>
      <c r="D18" s="101" t="s">
        <v>1118</v>
      </c>
      <c r="E18" s="232" t="str">
        <f>"Line "&amp;A10&amp;" * Line "&amp;A14&amp;""</f>
        <v>Line 4 * Line 7</v>
      </c>
      <c r="F18" s="300"/>
      <c r="G18" s="1329">
        <f>G14*G10</f>
        <v>0.0678725297876192</v>
      </c>
      <c r="H18" s="626"/>
    </row>
    <row r="19" spans="1:8" s="52" customFormat="1" ht="15">
      <c r="A19" s="25">
        <f>A18+1</f>
        <v>11</v>
      </c>
      <c r="B19" s="45"/>
      <c r="C19" s="45"/>
      <c r="D19" s="41" t="s">
        <v>1119</v>
      </c>
      <c r="E19" s="96" t="str">
        <f>"Sum Lines "&amp;A16&amp;" to "&amp;A18&amp;""</f>
        <v>Sum Lines 8 to 10</v>
      </c>
      <c r="F19" s="305"/>
      <c r="G19" s="1330">
        <f>SUM(G16:G18)</f>
        <v>0.08823209006066872</v>
      </c>
      <c r="H19" s="626"/>
    </row>
    <row r="20" spans="1:7" s="52" customFormat="1" ht="15">
      <c r="A20" s="43"/>
      <c r="B20" s="43"/>
      <c r="C20" s="45"/>
      <c r="D20" s="304"/>
      <c r="E20" s="116"/>
      <c r="F20" s="305"/>
      <c r="G20" s="1305"/>
    </row>
    <row r="21" spans="1:7" s="52" customFormat="1" ht="15.75" thickBot="1">
      <c r="A21" s="69">
        <f>A19+1</f>
        <v>12</v>
      </c>
      <c r="B21" s="306"/>
      <c r="C21" s="307"/>
      <c r="D21" s="308" t="s">
        <v>1120</v>
      </c>
      <c r="E21" s="307" t="str">
        <f>"Line "&amp;A19&amp;" * Line "&amp;A6&amp;""</f>
        <v>Line 11 * Line 1</v>
      </c>
      <c r="F21" s="309"/>
      <c r="G21" s="1331">
        <f>+G19*G6</f>
        <v>63982023.114429556</v>
      </c>
    </row>
    <row r="22" spans="1:7" s="52" customFormat="1" ht="15" thickTop="1">
      <c r="A22" s="25"/>
      <c r="B22" s="69"/>
      <c r="C22" s="22"/>
      <c r="D22" s="84"/>
      <c r="E22" s="9"/>
      <c r="F22" s="9"/>
      <c r="G22" s="41"/>
    </row>
    <row r="23" spans="1:7" s="52" customFormat="1" ht="15">
      <c r="A23" s="126" t="s">
        <v>592</v>
      </c>
      <c r="B23" s="109"/>
      <c r="C23" s="110"/>
      <c r="D23" s="227"/>
      <c r="E23" s="112"/>
      <c r="F23" s="112"/>
      <c r="G23" s="263"/>
    </row>
    <row r="24" spans="1:7" s="52" customFormat="1" ht="15">
      <c r="A24" s="25"/>
      <c r="B24" s="310"/>
      <c r="C24" s="51"/>
      <c r="D24" s="24"/>
      <c r="E24" s="9"/>
      <c r="F24" s="311"/>
      <c r="G24" s="41"/>
    </row>
    <row r="25" spans="1:7" s="52" customFormat="1" ht="15">
      <c r="A25" s="25">
        <f>A21+1</f>
        <v>13</v>
      </c>
      <c r="B25" s="69"/>
      <c r="C25" s="51" t="s">
        <v>399</v>
      </c>
      <c r="D25" s="84"/>
      <c r="E25" s="52" t="s">
        <v>1121</v>
      </c>
      <c r="F25" s="29"/>
      <c r="G25" s="1332">
        <f>+'Appendix A'!G205</f>
        <v>0.21</v>
      </c>
    </row>
    <row r="26" spans="1:7" s="52" customFormat="1" ht="15">
      <c r="A26" s="25">
        <f>A25+1</f>
        <v>14</v>
      </c>
      <c r="B26" s="69"/>
      <c r="C26" s="29" t="s">
        <v>398</v>
      </c>
      <c r="D26" s="172"/>
      <c r="E26" s="52" t="s">
        <v>1122</v>
      </c>
      <c r="F26" s="29"/>
      <c r="G26" s="1332">
        <f>+'Appendix A'!G206</f>
        <v>0.0899</v>
      </c>
    </row>
    <row r="27" spans="1:7" s="52" customFormat="1" ht="15">
      <c r="A27" s="25">
        <f>A26+1</f>
        <v>15</v>
      </c>
      <c r="B27" s="69"/>
      <c r="C27" s="29" t="s">
        <v>175</v>
      </c>
      <c r="D27" s="84"/>
      <c r="E27" s="52" t="s">
        <v>1123</v>
      </c>
      <c r="F27" s="29"/>
      <c r="G27" s="1332">
        <f>+'Appendix A'!G207</f>
        <v>0</v>
      </c>
    </row>
    <row r="28" spans="1:7" s="52" customFormat="1" ht="15">
      <c r="A28" s="25">
        <f>A27+1</f>
        <v>16</v>
      </c>
      <c r="B28" s="69"/>
      <c r="C28" s="29" t="s">
        <v>176</v>
      </c>
      <c r="D28" s="84"/>
      <c r="E28" s="52" t="s">
        <v>1124</v>
      </c>
      <c r="F28" s="29"/>
      <c r="G28" s="1333">
        <f>IF(G25&gt;0,1-(((1-G26)*(1-G25))/(1-G26*G25*G27)),0)</f>
        <v>0.28102099999999997</v>
      </c>
    </row>
    <row r="29" spans="1:7" s="52" customFormat="1" ht="15">
      <c r="A29" s="25">
        <f>A28+1</f>
        <v>17</v>
      </c>
      <c r="B29" s="69"/>
      <c r="C29" s="29" t="s">
        <v>487</v>
      </c>
      <c r="D29" s="84"/>
      <c r="E29" s="52" t="s">
        <v>1125</v>
      </c>
      <c r="F29" s="29"/>
      <c r="G29" s="1332">
        <f>+G28/(1-G28)</f>
        <v>0.39086120735097957</v>
      </c>
    </row>
    <row r="30" spans="1:7" s="52" customFormat="1" ht="15">
      <c r="A30" s="25"/>
      <c r="B30" s="69"/>
      <c r="C30" s="51"/>
      <c r="D30" s="313"/>
      <c r="E30" s="312"/>
      <c r="F30" s="311"/>
      <c r="G30" s="1333"/>
    </row>
    <row r="31" spans="1:8" s="52" customFormat="1" ht="15">
      <c r="A31" s="25"/>
      <c r="B31" s="310" t="s">
        <v>396</v>
      </c>
      <c r="C31" s="22"/>
      <c r="D31" s="172"/>
      <c r="E31" s="9"/>
      <c r="F31" s="311"/>
      <c r="G31" s="1327"/>
      <c r="H31" s="187"/>
    </row>
    <row r="32" spans="1:7" s="52" customFormat="1" ht="15">
      <c r="A32" s="25">
        <f>A29+1</f>
        <v>18</v>
      </c>
      <c r="B32" s="69"/>
      <c r="C32" s="22" t="s">
        <v>267</v>
      </c>
      <c r="D32" s="139" t="s">
        <v>7</v>
      </c>
      <c r="E32" s="52" t="s">
        <v>1126</v>
      </c>
      <c r="G32" s="1306">
        <f>'Appendix A'!G212</f>
        <v>0</v>
      </c>
    </row>
    <row r="33" spans="1:12" s="52" customFormat="1" ht="15">
      <c r="A33" s="25">
        <f>A32+1</f>
        <v>19</v>
      </c>
      <c r="B33" s="69"/>
      <c r="C33" s="22" t="s">
        <v>747</v>
      </c>
      <c r="D33" s="41" t="s">
        <v>1127</v>
      </c>
      <c r="E33" s="52" t="s">
        <v>1128</v>
      </c>
      <c r="F33" s="311"/>
      <c r="G33" s="1327">
        <f>1/(1-G28)</f>
        <v>1.3908612073509796</v>
      </c>
      <c r="H33" s="187"/>
      <c r="I33" s="187"/>
      <c r="J33" s="187"/>
      <c r="K33" s="304"/>
      <c r="L33" s="304"/>
    </row>
    <row r="34" spans="1:12" s="52" customFormat="1" ht="15">
      <c r="A34" s="25">
        <f>A33+1</f>
        <v>20</v>
      </c>
      <c r="B34" s="166"/>
      <c r="C34" s="134" t="s">
        <v>386</v>
      </c>
      <c r="D34" s="101" t="s">
        <v>1129</v>
      </c>
      <c r="E34" s="232" t="s">
        <v>1130</v>
      </c>
      <c r="F34" s="314"/>
      <c r="G34" s="60">
        <f>+'Appendix A'!G23</f>
        <v>0.24687857582138092</v>
      </c>
      <c r="H34" s="187"/>
      <c r="I34" s="187"/>
      <c r="J34" s="187"/>
      <c r="K34" s="595"/>
      <c r="L34" s="188"/>
    </row>
    <row r="35" spans="1:12" s="52" customFormat="1" ht="15">
      <c r="A35" s="25">
        <f>A34+1</f>
        <v>21</v>
      </c>
      <c r="B35" s="69"/>
      <c r="C35" s="315" t="s">
        <v>397</v>
      </c>
      <c r="D35" s="41" t="s">
        <v>1131</v>
      </c>
      <c r="E35" s="52" t="s">
        <v>1132</v>
      </c>
      <c r="F35" s="316"/>
      <c r="G35" s="1334">
        <f>+G32*(1+G33)*G34</f>
        <v>0</v>
      </c>
      <c r="H35" s="187"/>
      <c r="I35" s="187"/>
      <c r="J35" s="187"/>
      <c r="K35" s="928"/>
      <c r="L35" s="188"/>
    </row>
    <row r="36" spans="1:12" s="52" customFormat="1" ht="15">
      <c r="A36" s="25"/>
      <c r="B36" s="69"/>
      <c r="C36" s="235"/>
      <c r="D36" s="41"/>
      <c r="F36" s="314"/>
      <c r="G36" s="1335"/>
      <c r="H36" s="187"/>
      <c r="I36" s="187"/>
      <c r="J36" s="187"/>
      <c r="K36" s="928"/>
      <c r="L36" s="188"/>
    </row>
    <row r="37" spans="1:12" s="52" customFormat="1" ht="15">
      <c r="A37" s="25"/>
      <c r="B37" s="310" t="s">
        <v>821</v>
      </c>
      <c r="C37" s="835"/>
      <c r="D37" s="41"/>
      <c r="F37" s="314"/>
      <c r="G37" s="1335"/>
      <c r="H37" s="187"/>
      <c r="I37" s="187"/>
      <c r="J37" s="187"/>
      <c r="K37" s="601"/>
      <c r="L37" s="188"/>
    </row>
    <row r="38" spans="1:10" s="52" customFormat="1" ht="15">
      <c r="A38" s="69" t="s">
        <v>824</v>
      </c>
      <c r="B38" s="69"/>
      <c r="C38" s="317" t="s">
        <v>821</v>
      </c>
      <c r="D38" s="317" t="str">
        <f>"Appendix A, (Note "&amp;'[1]Appendix A'!B304&amp;")"</f>
        <v>Appendix A, (Note S)</v>
      </c>
      <c r="E38" s="713" t="s">
        <v>873</v>
      </c>
      <c r="F38" s="314"/>
      <c r="G38" s="1336">
        <f>'Appendix A'!G218</f>
        <v>-1914045</v>
      </c>
      <c r="H38" s="187"/>
      <c r="I38" s="187"/>
      <c r="J38" s="187"/>
    </row>
    <row r="39" spans="1:12" s="52" customFormat="1" ht="15">
      <c r="A39" s="25"/>
      <c r="B39" s="69"/>
      <c r="C39" s="235"/>
      <c r="D39" s="41"/>
      <c r="F39" s="314"/>
      <c r="G39" s="1335"/>
      <c r="H39" s="187"/>
      <c r="I39" s="187"/>
      <c r="J39" s="187"/>
      <c r="K39" s="187"/>
      <c r="L39" s="187"/>
    </row>
    <row r="40" spans="1:12" ht="15">
      <c r="A40" s="25">
        <f>A35+1</f>
        <v>22</v>
      </c>
      <c r="B40" s="187" t="s">
        <v>268</v>
      </c>
      <c r="C40" s="52"/>
      <c r="D40" s="23"/>
      <c r="E40" s="41" t="str">
        <f>"Line "&amp;A29&amp;"*Line "&amp;A21&amp;"*(1-(Line "&amp;A16&amp;"/Line "&amp;A19&amp;"))"</f>
        <v>Line 17*Line 12*(1-(Line 8/Line 11))</v>
      </c>
      <c r="F40" s="51"/>
      <c r="G40" s="1305">
        <f>IF(G19=0,0,G29*G21*(1-(G16/G19)))</f>
        <v>19237472.293911703</v>
      </c>
      <c r="L40" s="716"/>
    </row>
    <row r="41" spans="1:7" ht="15">
      <c r="A41" s="25"/>
      <c r="B41" s="69"/>
      <c r="C41" s="317"/>
      <c r="D41" s="166"/>
      <c r="E41" s="314"/>
      <c r="F41" s="314"/>
      <c r="G41" s="1337"/>
    </row>
    <row r="42" spans="1:7" ht="15.75" thickBot="1">
      <c r="A42" s="25">
        <f>A40+1</f>
        <v>23</v>
      </c>
      <c r="B42" s="306" t="s">
        <v>281</v>
      </c>
      <c r="C42" s="306"/>
      <c r="D42" s="318"/>
      <c r="E42" s="308" t="s">
        <v>877</v>
      </c>
      <c r="F42" s="319"/>
      <c r="G42" s="1338">
        <f>+G40+G38+G35</f>
        <v>17323427.293911703</v>
      </c>
    </row>
    <row r="43" spans="1:7" ht="15.75" thickTop="1">
      <c r="A43" s="25"/>
      <c r="B43" s="69"/>
      <c r="C43" s="312"/>
      <c r="D43" s="84"/>
      <c r="E43" s="16"/>
      <c r="F43" s="320"/>
      <c r="G43" s="218"/>
    </row>
    <row r="44" ht="15">
      <c r="A44" s="25"/>
    </row>
    <row r="45" spans="1:7" ht="15">
      <c r="A45" s="25"/>
      <c r="G45" s="716"/>
    </row>
    <row r="46" ht="15">
      <c r="A46" s="25"/>
    </row>
    <row r="47" ht="15">
      <c r="A47" s="25"/>
    </row>
    <row r="48" ht="15">
      <c r="A48" s="25"/>
    </row>
    <row r="49" ht="15">
      <c r="A49" s="25"/>
    </row>
    <row r="50" ht="15">
      <c r="A50" s="25"/>
    </row>
    <row r="51" ht="15">
      <c r="A51" s="25"/>
    </row>
    <row r="52" ht="15">
      <c r="A52" s="25"/>
    </row>
    <row r="53" ht="15">
      <c r="A53" s="25"/>
    </row>
    <row r="54" ht="15">
      <c r="A54" s="25"/>
    </row>
    <row r="55" ht="15">
      <c r="A55" s="25"/>
    </row>
    <row r="56" ht="15">
      <c r="A56" s="25"/>
    </row>
    <row r="57" ht="15">
      <c r="A57" s="25"/>
    </row>
    <row r="58" ht="15">
      <c r="A58" s="25"/>
    </row>
    <row r="59" ht="15">
      <c r="A59" s="25"/>
    </row>
    <row r="60" ht="15">
      <c r="A60" s="25"/>
    </row>
    <row r="61" ht="15">
      <c r="A61" s="25"/>
    </row>
    <row r="267" spans="1:5" ht="12.75">
      <c r="A267" s="236"/>
      <c r="B267" s="236"/>
      <c r="C267" s="236"/>
      <c r="D267" s="236"/>
      <c r="E267" s="236"/>
    </row>
    <row r="268" spans="1:5" ht="12.75">
      <c r="A268" s="236"/>
      <c r="B268" s="236"/>
      <c r="C268" s="236"/>
      <c r="D268" s="236"/>
      <c r="E268" s="236"/>
    </row>
    <row r="269" spans="1:5" ht="12.75">
      <c r="A269" s="236"/>
      <c r="B269" s="236"/>
      <c r="C269" s="236"/>
      <c r="D269" s="236"/>
      <c r="E269" s="236"/>
    </row>
    <row r="270" spans="1:5" ht="12.75">
      <c r="A270" s="236"/>
      <c r="B270" s="236"/>
      <c r="C270" s="236"/>
      <c r="D270" s="236"/>
      <c r="E270" s="236"/>
    </row>
    <row r="271" spans="1:5" ht="12.75">
      <c r="A271" s="236"/>
      <c r="B271" s="236"/>
      <c r="C271" s="236"/>
      <c r="D271" s="236"/>
      <c r="E271" s="236"/>
    </row>
    <row r="272" spans="1:5" ht="12.75">
      <c r="A272" s="236"/>
      <c r="B272" s="236"/>
      <c r="C272" s="236"/>
      <c r="D272" s="236"/>
      <c r="E272" s="236"/>
    </row>
    <row r="273" spans="1:5" ht="12.75">
      <c r="A273" s="236"/>
      <c r="B273" s="236"/>
      <c r="C273" s="236"/>
      <c r="D273" s="236"/>
      <c r="E273" s="236"/>
    </row>
    <row r="274" spans="1:5" ht="12.75">
      <c r="A274" s="236"/>
      <c r="B274" s="236"/>
      <c r="C274" s="236"/>
      <c r="D274" s="236"/>
      <c r="E274" s="236"/>
    </row>
    <row r="275" spans="1:5" ht="12.75">
      <c r="A275" s="236"/>
      <c r="B275" s="236"/>
      <c r="C275" s="236"/>
      <c r="D275" s="236"/>
      <c r="E275" s="236"/>
    </row>
    <row r="282" spans="3:7" ht="15">
      <c r="C282" s="520"/>
      <c r="D282" s="520"/>
      <c r="E282" s="520"/>
      <c r="F282" s="520"/>
      <c r="G282" s="520"/>
    </row>
    <row r="283" spans="3:7" ht="99.75" customHeight="1">
      <c r="C283" s="520"/>
      <c r="D283" s="520"/>
      <c r="E283" s="520"/>
      <c r="F283" s="520"/>
      <c r="G283" s="520"/>
    </row>
    <row r="284" spans="3:7" ht="15">
      <c r="C284" s="520"/>
      <c r="D284" s="520"/>
      <c r="E284" s="520"/>
      <c r="F284" s="520"/>
      <c r="G284" s="520"/>
    </row>
    <row r="285" spans="3:7" ht="15">
      <c r="C285" s="520"/>
      <c r="D285" s="520"/>
      <c r="E285" s="520"/>
      <c r="F285" s="520"/>
      <c r="G285" s="520"/>
    </row>
    <row r="286" spans="3:7" ht="15">
      <c r="C286" s="520"/>
      <c r="D286" s="520"/>
      <c r="E286" s="520"/>
      <c r="F286" s="520"/>
      <c r="G286" s="520"/>
    </row>
    <row r="287" spans="3:7" ht="15">
      <c r="C287" s="520"/>
      <c r="D287" s="520"/>
      <c r="E287" s="520"/>
      <c r="F287" s="520"/>
      <c r="G287" s="520"/>
    </row>
    <row r="288" spans="3:7" ht="15">
      <c r="C288" s="520"/>
      <c r="D288" s="520"/>
      <c r="E288" s="520"/>
      <c r="F288" s="520"/>
      <c r="G288" s="520"/>
    </row>
    <row r="289" spans="3:7" ht="15">
      <c r="C289" s="520"/>
      <c r="D289" s="520"/>
      <c r="E289" s="520"/>
      <c r="F289" s="520"/>
      <c r="G289" s="520"/>
    </row>
    <row r="290" spans="3:7" ht="15">
      <c r="C290" s="520"/>
      <c r="D290" s="520"/>
      <c r="E290" s="520"/>
      <c r="F290" s="520"/>
      <c r="G290" s="520"/>
    </row>
    <row r="291" spans="3:7" ht="15">
      <c r="C291" s="520"/>
      <c r="D291" s="520"/>
      <c r="E291" s="520"/>
      <c r="F291" s="520"/>
      <c r="G291" s="520"/>
    </row>
    <row r="292" spans="3:7" ht="15">
      <c r="C292" s="520"/>
      <c r="D292" s="520"/>
      <c r="E292" s="520"/>
      <c r="F292" s="520"/>
      <c r="G292" s="520"/>
    </row>
    <row r="293" spans="3:7" ht="15">
      <c r="C293" s="520"/>
      <c r="D293" s="520"/>
      <c r="E293" s="520"/>
      <c r="F293" s="520"/>
      <c r="G293" s="520"/>
    </row>
    <row r="294" spans="3:7" ht="15">
      <c r="C294" s="520"/>
      <c r="D294" s="520"/>
      <c r="E294" s="520"/>
      <c r="F294" s="520"/>
      <c r="G294" s="520"/>
    </row>
    <row r="295" spans="3:7" ht="15">
      <c r="C295" s="520"/>
      <c r="D295" s="520"/>
      <c r="E295" s="520"/>
      <c r="F295" s="520"/>
      <c r="G295" s="520"/>
    </row>
    <row r="296" spans="3:7" ht="15">
      <c r="C296" s="520"/>
      <c r="D296" s="520"/>
      <c r="E296" s="520"/>
      <c r="F296" s="520"/>
      <c r="G296" s="520"/>
    </row>
    <row r="297" spans="3:7" ht="15">
      <c r="C297" s="520"/>
      <c r="D297" s="520"/>
      <c r="E297" s="520"/>
      <c r="F297" s="520"/>
      <c r="G297" s="520"/>
    </row>
    <row r="298" spans="3:7" ht="15">
      <c r="C298" s="520"/>
      <c r="D298" s="520"/>
      <c r="E298" s="520"/>
      <c r="F298" s="520"/>
      <c r="G298" s="520"/>
    </row>
    <row r="299" spans="3:7" ht="15">
      <c r="C299" s="520"/>
      <c r="D299" s="520"/>
      <c r="E299" s="520"/>
      <c r="F299" s="520"/>
      <c r="G299" s="520"/>
    </row>
    <row r="300" spans="3:7" ht="15">
      <c r="C300" s="520"/>
      <c r="D300" s="520"/>
      <c r="E300" s="520"/>
      <c r="F300" s="520"/>
      <c r="G300" s="520"/>
    </row>
    <row r="301" spans="3:7" ht="15">
      <c r="C301" s="520"/>
      <c r="D301" s="520"/>
      <c r="E301" s="520"/>
      <c r="F301" s="520"/>
      <c r="G301" s="520"/>
    </row>
    <row r="302" spans="3:7" ht="15">
      <c r="C302" s="520"/>
      <c r="D302" s="520"/>
      <c r="E302" s="520"/>
      <c r="F302" s="520"/>
      <c r="G302" s="520"/>
    </row>
    <row r="303" spans="2:7" ht="15">
      <c r="B303" s="355"/>
      <c r="C303" s="520"/>
      <c r="D303" s="520"/>
      <c r="E303" s="520"/>
      <c r="F303" s="520"/>
      <c r="G303" s="520"/>
    </row>
    <row r="304" spans="2:7" ht="40.5" customHeight="1">
      <c r="B304" s="355"/>
      <c r="C304" s="520"/>
      <c r="D304" s="520"/>
      <c r="E304" s="520"/>
      <c r="F304" s="520"/>
      <c r="G304" s="520"/>
    </row>
    <row r="305" spans="3:7" ht="15">
      <c r="C305" s="520"/>
      <c r="D305" s="520"/>
      <c r="E305" s="520"/>
      <c r="F305" s="520"/>
      <c r="G305" s="520"/>
    </row>
  </sheetData>
  <sheetProtection/>
  <printOptions/>
  <pageMargins left="0.75" right="0.75" top="1" bottom="1" header="0.5" footer="0.5"/>
  <pageSetup fitToHeight="1" fitToWidth="1" horizontalDpi="600" verticalDpi="600" orientation="portrait" scale="55"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Y367"/>
  <sheetViews>
    <sheetView zoomScale="69" zoomScaleNormal="69" zoomScaleSheetLayoutView="70" zoomScalePageLayoutView="60" workbookViewId="0" topLeftCell="A1">
      <selection activeCell="I2" sqref="I2"/>
    </sheetView>
  </sheetViews>
  <sheetFormatPr defaultColWidth="9.421875" defaultRowHeight="12.75"/>
  <cols>
    <col min="1" max="1" width="6.421875" style="246" customWidth="1"/>
    <col min="2" max="2" width="6.00390625" style="246" customWidth="1"/>
    <col min="3" max="3" width="82.57421875" style="246" customWidth="1"/>
    <col min="4" max="5" width="24.00390625" style="246" customWidth="1"/>
    <col min="6" max="6" width="23.421875" style="246" customWidth="1"/>
    <col min="7" max="10" width="25.00390625" style="246" customWidth="1"/>
    <col min="11" max="11" width="18.00390625" style="246" customWidth="1"/>
    <col min="12" max="12" width="16.421875" style="246" customWidth="1"/>
    <col min="13" max="13" width="16.00390625" style="246" customWidth="1"/>
    <col min="14" max="14" width="9.421875" style="246" customWidth="1"/>
    <col min="15" max="15" width="14.421875" style="246" customWidth="1"/>
    <col min="16" max="18" width="9.421875" style="246" customWidth="1"/>
    <col min="19" max="19" width="3.00390625" style="246" customWidth="1"/>
    <col min="20" max="20" width="11.00390625" style="246" bestFit="1" customWidth="1"/>
    <col min="21" max="21" width="10.421875" style="246" bestFit="1" customWidth="1"/>
    <col min="22" max="16384" width="9.421875" style="246" customWidth="1"/>
  </cols>
  <sheetData>
    <row r="1" ht="13.5" thickBot="1">
      <c r="A1" s="647" t="s">
        <v>730</v>
      </c>
    </row>
    <row r="2" spans="1:13" ht="12.75">
      <c r="A2" s="1583" t="s">
        <v>50</v>
      </c>
      <c r="B2" s="1584"/>
      <c r="C2" s="1584"/>
      <c r="D2" s="1584"/>
      <c r="E2" s="1584"/>
      <c r="F2" s="1585"/>
      <c r="G2" s="509"/>
      <c r="H2" s="389"/>
      <c r="I2" s="389"/>
      <c r="J2" s="1586" t="s">
        <v>551</v>
      </c>
      <c r="K2" s="1587"/>
      <c r="L2" s="1587"/>
      <c r="M2" s="1588"/>
    </row>
    <row r="3" spans="1:28" ht="17.25">
      <c r="A3" s="412"/>
      <c r="B3" s="438"/>
      <c r="C3" s="1345" t="s">
        <v>710</v>
      </c>
      <c r="D3" s="370" t="s">
        <v>718</v>
      </c>
      <c r="E3" s="379"/>
      <c r="F3" s="653" t="s">
        <v>650</v>
      </c>
      <c r="G3" s="450" t="s">
        <v>651</v>
      </c>
      <c r="H3" s="370"/>
      <c r="I3" s="370"/>
      <c r="J3" s="373"/>
      <c r="K3" s="373"/>
      <c r="L3" s="373"/>
      <c r="M3" s="374"/>
      <c r="O3" s="806"/>
      <c r="P3" s="196"/>
      <c r="Q3" s="196"/>
      <c r="R3" s="196"/>
      <c r="S3" s="196"/>
      <c r="T3" s="196"/>
      <c r="U3" s="196"/>
      <c r="V3" s="196"/>
      <c r="W3" s="196"/>
      <c r="X3" s="196"/>
      <c r="Y3" s="196"/>
      <c r="Z3" s="196"/>
      <c r="AA3" s="196"/>
      <c r="AB3" s="196"/>
    </row>
    <row r="4" spans="1:13" ht="15">
      <c r="A4" s="372"/>
      <c r="B4" s="291"/>
      <c r="C4" s="246" t="s">
        <v>711</v>
      </c>
      <c r="D4" s="72" t="s">
        <v>724</v>
      </c>
      <c r="E4" s="1110" t="s">
        <v>1010</v>
      </c>
      <c r="F4" s="798">
        <v>1040232373</v>
      </c>
      <c r="G4" s="547"/>
      <c r="H4" s="292"/>
      <c r="I4" s="1348"/>
      <c r="J4" s="373"/>
      <c r="K4" s="373"/>
      <c r="L4" s="373"/>
      <c r="M4" s="374"/>
    </row>
    <row r="5" spans="1:13" ht="12.75">
      <c r="A5" s="412"/>
      <c r="B5" s="438"/>
      <c r="C5" s="1346" t="s">
        <v>712</v>
      </c>
      <c r="D5" s="408" t="s">
        <v>85</v>
      </c>
      <c r="E5" s="1110" t="s">
        <v>1135</v>
      </c>
      <c r="F5" s="798">
        <v>1041879611.98</v>
      </c>
      <c r="G5" s="547"/>
      <c r="H5" s="762"/>
      <c r="I5" s="762"/>
      <c r="J5" s="373"/>
      <c r="K5" s="373"/>
      <c r="L5" s="373"/>
      <c r="M5" s="374"/>
    </row>
    <row r="6" spans="1:13" ht="12.75">
      <c r="A6" s="414"/>
      <c r="B6" s="419"/>
      <c r="C6" s="1346" t="s">
        <v>713</v>
      </c>
      <c r="D6" s="408" t="s">
        <v>85</v>
      </c>
      <c r="E6" s="1110" t="s">
        <v>1135</v>
      </c>
      <c r="F6" s="798">
        <v>1075457008.62</v>
      </c>
      <c r="G6" s="547"/>
      <c r="H6" s="762"/>
      <c r="I6" s="623"/>
      <c r="J6" s="373"/>
      <c r="K6" s="373"/>
      <c r="L6" s="373"/>
      <c r="M6" s="374"/>
    </row>
    <row r="7" spans="1:13" ht="12.75">
      <c r="A7" s="414"/>
      <c r="B7" s="419"/>
      <c r="C7" s="1346" t="s">
        <v>216</v>
      </c>
      <c r="D7" s="408" t="s">
        <v>85</v>
      </c>
      <c r="E7" s="1110" t="s">
        <v>1135</v>
      </c>
      <c r="F7" s="798">
        <v>1075522398.93</v>
      </c>
      <c r="G7" s="547"/>
      <c r="H7" s="762"/>
      <c r="I7" s="623"/>
      <c r="J7" s="373"/>
      <c r="K7" s="373"/>
      <c r="L7" s="373"/>
      <c r="M7" s="374"/>
    </row>
    <row r="8" spans="1:13" ht="12.75">
      <c r="A8" s="412"/>
      <c r="B8" s="408"/>
      <c r="C8" s="1346" t="s">
        <v>598</v>
      </c>
      <c r="D8" s="408" t="s">
        <v>85</v>
      </c>
      <c r="E8" s="1110" t="s">
        <v>1135</v>
      </c>
      <c r="F8" s="798">
        <v>1075335440.81</v>
      </c>
      <c r="G8" s="547"/>
      <c r="H8" s="762"/>
      <c r="I8" s="623"/>
      <c r="J8" s="373"/>
      <c r="K8" s="373"/>
      <c r="L8" s="373"/>
      <c r="M8" s="374"/>
    </row>
    <row r="9" spans="1:13" ht="12.75">
      <c r="A9" s="414"/>
      <c r="B9" s="438"/>
      <c r="C9" s="1346" t="s">
        <v>599</v>
      </c>
      <c r="D9" s="408" t="s">
        <v>85</v>
      </c>
      <c r="E9" s="1110" t="s">
        <v>1135</v>
      </c>
      <c r="F9" s="798">
        <v>1089611702.98</v>
      </c>
      <c r="G9" s="547"/>
      <c r="H9" s="408"/>
      <c r="I9" s="408"/>
      <c r="J9" s="370"/>
      <c r="K9" s="370"/>
      <c r="L9" s="370"/>
      <c r="M9" s="405"/>
    </row>
    <row r="10" spans="1:13" ht="12.75">
      <c r="A10" s="414"/>
      <c r="B10" s="408"/>
      <c r="C10" s="1346" t="s">
        <v>714</v>
      </c>
      <c r="D10" s="408" t="s">
        <v>85</v>
      </c>
      <c r="E10" s="1110" t="s">
        <v>1135</v>
      </c>
      <c r="F10" s="798">
        <v>1093847012.05</v>
      </c>
      <c r="G10" s="547"/>
      <c r="H10" s="356"/>
      <c r="I10" s="376"/>
      <c r="J10" s="373"/>
      <c r="K10" s="373"/>
      <c r="L10" s="373"/>
      <c r="M10" s="374"/>
    </row>
    <row r="11" spans="1:13" ht="12.75">
      <c r="A11" s="412"/>
      <c r="B11" s="438"/>
      <c r="C11" s="1346" t="s">
        <v>715</v>
      </c>
      <c r="D11" s="408" t="s">
        <v>85</v>
      </c>
      <c r="E11" s="1110" t="s">
        <v>1135</v>
      </c>
      <c r="F11" s="798">
        <v>1094659188</v>
      </c>
      <c r="G11" s="547"/>
      <c r="H11" s="751"/>
      <c r="I11" s="408"/>
      <c r="J11" s="373"/>
      <c r="K11" s="373"/>
      <c r="L11" s="373"/>
      <c r="M11" s="374"/>
    </row>
    <row r="12" spans="1:13" ht="12.75">
      <c r="A12" s="414"/>
      <c r="B12" s="419"/>
      <c r="C12" s="1346" t="s">
        <v>716</v>
      </c>
      <c r="D12" s="408" t="s">
        <v>85</v>
      </c>
      <c r="E12" s="1110" t="s">
        <v>1135</v>
      </c>
      <c r="F12" s="798">
        <v>1092134430.66</v>
      </c>
      <c r="G12" s="547"/>
      <c r="H12" s="356"/>
      <c r="I12" s="356"/>
      <c r="J12" s="373"/>
      <c r="K12" s="373"/>
      <c r="L12" s="373"/>
      <c r="M12" s="374"/>
    </row>
    <row r="13" spans="1:13" ht="12.75">
      <c r="A13" s="414"/>
      <c r="B13" s="419"/>
      <c r="C13" s="1346" t="s">
        <v>717</v>
      </c>
      <c r="D13" s="408" t="s">
        <v>85</v>
      </c>
      <c r="E13" s="1110" t="s">
        <v>1135</v>
      </c>
      <c r="F13" s="798">
        <v>1094560806.98</v>
      </c>
      <c r="G13" s="547"/>
      <c r="H13" s="356"/>
      <c r="I13" s="356"/>
      <c r="J13" s="373"/>
      <c r="K13" s="373"/>
      <c r="L13" s="373"/>
      <c r="M13" s="374"/>
    </row>
    <row r="14" spans="1:13" ht="12.75">
      <c r="A14" s="412"/>
      <c r="B14" s="408"/>
      <c r="C14" s="1346" t="s">
        <v>630</v>
      </c>
      <c r="D14" s="408" t="s">
        <v>85</v>
      </c>
      <c r="E14" s="1110" t="s">
        <v>1135</v>
      </c>
      <c r="F14" s="798">
        <v>1096066970.06</v>
      </c>
      <c r="G14" s="547"/>
      <c r="H14" s="356"/>
      <c r="I14" s="356"/>
      <c r="J14" s="373"/>
      <c r="K14" s="373"/>
      <c r="L14" s="373"/>
      <c r="M14" s="374"/>
    </row>
    <row r="15" spans="1:13" ht="12.75">
      <c r="A15" s="412"/>
      <c r="B15" s="408"/>
      <c r="C15" s="1346" t="s">
        <v>631</v>
      </c>
      <c r="D15" s="408" t="s">
        <v>85</v>
      </c>
      <c r="E15" s="1110" t="s">
        <v>1135</v>
      </c>
      <c r="F15" s="798">
        <v>1099930005.81</v>
      </c>
      <c r="G15" s="547"/>
      <c r="H15" s="356"/>
      <c r="I15" s="356"/>
      <c r="J15" s="373"/>
      <c r="K15" s="373"/>
      <c r="L15" s="373"/>
      <c r="M15" s="374"/>
    </row>
    <row r="16" spans="1:13" ht="15">
      <c r="A16" s="414"/>
      <c r="B16" s="438"/>
      <c r="C16" s="1347" t="s">
        <v>711</v>
      </c>
      <c r="D16" s="101" t="s">
        <v>315</v>
      </c>
      <c r="E16" s="797" t="s">
        <v>1135</v>
      </c>
      <c r="F16" s="799">
        <v>1102624428</v>
      </c>
      <c r="G16" s="777">
        <f>+F16</f>
        <v>1102624428</v>
      </c>
      <c r="H16" s="292"/>
      <c r="I16" s="1348"/>
      <c r="J16" s="370"/>
      <c r="K16" s="370"/>
      <c r="L16" s="904"/>
      <c r="M16" s="405"/>
    </row>
    <row r="17" spans="1:13" ht="12.75">
      <c r="A17" s="412">
        <f>'Appendix A'!A28</f>
        <v>13</v>
      </c>
      <c r="B17" s="408"/>
      <c r="C17" s="1348" t="str">
        <f>'Appendix A'!C28</f>
        <v>Transmission Plant In Service</v>
      </c>
      <c r="D17" s="370"/>
      <c r="F17" s="447">
        <f>AVERAGE(F4:F16)</f>
        <v>1082450875.2215383</v>
      </c>
      <c r="G17" s="751">
        <f>+G16</f>
        <v>1102624428</v>
      </c>
      <c r="H17" s="408"/>
      <c r="I17" s="408"/>
      <c r="J17" s="373"/>
      <c r="K17" s="373"/>
      <c r="L17" s="373"/>
      <c r="M17" s="374"/>
    </row>
    <row r="18" spans="1:13" ht="12.75">
      <c r="A18" s="412"/>
      <c r="B18" s="419"/>
      <c r="C18" s="1346"/>
      <c r="D18" s="370"/>
      <c r="E18" s="415"/>
      <c r="F18" s="381"/>
      <c r="G18" s="534"/>
      <c r="H18" s="356"/>
      <c r="I18" s="356"/>
      <c r="J18" s="373"/>
      <c r="K18" s="373"/>
      <c r="L18" s="373"/>
      <c r="M18" s="374"/>
    </row>
    <row r="19" spans="1:13" ht="12.75">
      <c r="A19" s="412"/>
      <c r="B19" s="438"/>
      <c r="C19" s="1345" t="s">
        <v>725</v>
      </c>
      <c r="D19" s="370" t="s">
        <v>718</v>
      </c>
      <c r="E19" s="356"/>
      <c r="F19" s="381"/>
      <c r="G19" s="534"/>
      <c r="H19" s="408"/>
      <c r="I19" s="408"/>
      <c r="J19" s="373"/>
      <c r="K19" s="373"/>
      <c r="L19" s="373"/>
      <c r="M19" s="374"/>
    </row>
    <row r="20" spans="1:13" ht="15">
      <c r="A20" s="372"/>
      <c r="B20" s="291"/>
      <c r="C20" s="246" t="s">
        <v>711</v>
      </c>
      <c r="D20" s="41" t="s">
        <v>723</v>
      </c>
      <c r="E20" s="1110" t="s">
        <v>1010</v>
      </c>
      <c r="F20" s="798">
        <v>3262545565</v>
      </c>
      <c r="G20" s="1438"/>
      <c r="H20" s="292"/>
      <c r="I20" s="1348"/>
      <c r="J20" s="373"/>
      <c r="K20" s="373"/>
      <c r="L20" s="373"/>
      <c r="M20" s="374"/>
    </row>
    <row r="21" spans="1:13" ht="12.75">
      <c r="A21" s="412"/>
      <c r="B21" s="438"/>
      <c r="C21" s="1346" t="s">
        <v>712</v>
      </c>
      <c r="D21" s="408" t="s">
        <v>85</v>
      </c>
      <c r="E21" s="1110" t="s">
        <v>1135</v>
      </c>
      <c r="F21" s="798">
        <v>3274481612.58</v>
      </c>
      <c r="G21" s="547"/>
      <c r="H21" s="762"/>
      <c r="I21" s="762"/>
      <c r="J21" s="373"/>
      <c r="K21" s="373"/>
      <c r="L21" s="373"/>
      <c r="M21" s="374"/>
    </row>
    <row r="22" spans="1:13" ht="12.75">
      <c r="A22" s="412"/>
      <c r="B22" s="419"/>
      <c r="C22" s="1346" t="s">
        <v>713</v>
      </c>
      <c r="D22" s="408" t="s">
        <v>85</v>
      </c>
      <c r="E22" s="1110" t="s">
        <v>1135</v>
      </c>
      <c r="F22" s="798">
        <v>3289210340.48</v>
      </c>
      <c r="G22" s="547"/>
      <c r="H22" s="762"/>
      <c r="I22" s="623"/>
      <c r="J22" s="373"/>
      <c r="K22" s="373"/>
      <c r="L22" s="373"/>
      <c r="M22" s="374"/>
    </row>
    <row r="23" spans="1:13" ht="12.75">
      <c r="A23" s="412"/>
      <c r="B23" s="419"/>
      <c r="C23" s="1346" t="s">
        <v>216</v>
      </c>
      <c r="D23" s="408" t="s">
        <v>85</v>
      </c>
      <c r="E23" s="1110" t="s">
        <v>1135</v>
      </c>
      <c r="F23" s="798">
        <v>3295335200.23</v>
      </c>
      <c r="G23" s="547"/>
      <c r="H23" s="762"/>
      <c r="I23" s="623"/>
      <c r="J23" s="373"/>
      <c r="K23" s="373"/>
      <c r="L23" s="373"/>
      <c r="M23" s="374"/>
    </row>
    <row r="24" spans="1:13" ht="12.75">
      <c r="A24" s="412"/>
      <c r="B24" s="408"/>
      <c r="C24" s="1346" t="s">
        <v>598</v>
      </c>
      <c r="D24" s="408" t="s">
        <v>85</v>
      </c>
      <c r="E24" s="1110" t="s">
        <v>1135</v>
      </c>
      <c r="F24" s="798">
        <v>3311041714.57</v>
      </c>
      <c r="G24" s="547"/>
      <c r="H24" s="762"/>
      <c r="I24" s="623"/>
      <c r="J24" s="373"/>
      <c r="K24" s="373"/>
      <c r="L24" s="373"/>
      <c r="M24" s="374"/>
    </row>
    <row r="25" spans="1:13" ht="12.75">
      <c r="A25" s="412"/>
      <c r="B25" s="438"/>
      <c r="C25" s="1346" t="s">
        <v>599</v>
      </c>
      <c r="D25" s="408" t="s">
        <v>85</v>
      </c>
      <c r="E25" s="1110" t="s">
        <v>1135</v>
      </c>
      <c r="F25" s="798">
        <v>3325439736.65</v>
      </c>
      <c r="G25" s="547"/>
      <c r="H25" s="991"/>
      <c r="I25" s="446"/>
      <c r="J25" s="370"/>
      <c r="K25" s="370"/>
      <c r="L25" s="408"/>
      <c r="M25" s="405"/>
    </row>
    <row r="26" spans="1:13" ht="12.75">
      <c r="A26" s="412"/>
      <c r="B26" s="408"/>
      <c r="C26" s="1346" t="s">
        <v>714</v>
      </c>
      <c r="D26" s="408" t="s">
        <v>85</v>
      </c>
      <c r="E26" s="1110" t="s">
        <v>1135</v>
      </c>
      <c r="F26" s="798">
        <v>3343514214.14</v>
      </c>
      <c r="G26" s="547"/>
      <c r="H26" s="356"/>
      <c r="I26" s="376"/>
      <c r="J26" s="373"/>
      <c r="K26" s="373"/>
      <c r="L26" s="373"/>
      <c r="M26" s="374"/>
    </row>
    <row r="27" spans="1:13" ht="12.75">
      <c r="A27" s="412"/>
      <c r="B27" s="438"/>
      <c r="C27" s="1346" t="s">
        <v>715</v>
      </c>
      <c r="D27" s="408" t="s">
        <v>85</v>
      </c>
      <c r="E27" s="1110" t="s">
        <v>1135</v>
      </c>
      <c r="F27" s="798">
        <v>3357071447.69</v>
      </c>
      <c r="G27" s="547"/>
      <c r="H27" s="408"/>
      <c r="I27" s="408"/>
      <c r="J27" s="373"/>
      <c r="K27" s="373"/>
      <c r="L27" s="373"/>
      <c r="M27" s="374"/>
    </row>
    <row r="28" spans="1:13" ht="12.75">
      <c r="A28" s="412"/>
      <c r="B28" s="419"/>
      <c r="C28" s="1346" t="s">
        <v>716</v>
      </c>
      <c r="D28" s="408" t="s">
        <v>85</v>
      </c>
      <c r="E28" s="1110" t="s">
        <v>1135</v>
      </c>
      <c r="F28" s="798">
        <v>3365629351</v>
      </c>
      <c r="G28" s="547"/>
      <c r="H28" s="356"/>
      <c r="I28" s="356"/>
      <c r="J28" s="373"/>
      <c r="K28" s="373"/>
      <c r="L28" s="373"/>
      <c r="M28" s="374"/>
    </row>
    <row r="29" spans="1:13" ht="12.75">
      <c r="A29" s="412"/>
      <c r="B29" s="419"/>
      <c r="C29" s="1346" t="s">
        <v>717</v>
      </c>
      <c r="D29" s="408" t="s">
        <v>85</v>
      </c>
      <c r="E29" s="1110" t="s">
        <v>1135</v>
      </c>
      <c r="F29" s="798">
        <v>3383219943.52</v>
      </c>
      <c r="G29" s="547"/>
      <c r="H29" s="356"/>
      <c r="I29" s="356"/>
      <c r="J29" s="373"/>
      <c r="K29" s="373"/>
      <c r="L29" s="373"/>
      <c r="M29" s="374"/>
    </row>
    <row r="30" spans="1:13" ht="12.75">
      <c r="A30" s="412"/>
      <c r="B30" s="408"/>
      <c r="C30" s="1346" t="s">
        <v>632</v>
      </c>
      <c r="D30" s="408" t="s">
        <v>85</v>
      </c>
      <c r="E30" s="1110" t="s">
        <v>1135</v>
      </c>
      <c r="F30" s="798">
        <v>3400525273.83</v>
      </c>
      <c r="G30" s="547"/>
      <c r="H30" s="356"/>
      <c r="I30" s="356"/>
      <c r="J30" s="373"/>
      <c r="K30" s="373"/>
      <c r="L30" s="373"/>
      <c r="M30" s="374"/>
    </row>
    <row r="31" spans="1:13" ht="12.75">
      <c r="A31" s="412"/>
      <c r="B31" s="408"/>
      <c r="C31" s="1346" t="s">
        <v>631</v>
      </c>
      <c r="D31" s="408" t="s">
        <v>85</v>
      </c>
      <c r="E31" s="1110" t="s">
        <v>1135</v>
      </c>
      <c r="F31" s="798">
        <v>3413855056.99</v>
      </c>
      <c r="G31" s="547"/>
      <c r="H31" s="356"/>
      <c r="I31" s="356"/>
      <c r="J31" s="373"/>
      <c r="K31" s="373"/>
      <c r="L31" s="373"/>
      <c r="M31" s="374"/>
    </row>
    <row r="32" spans="1:13" ht="15">
      <c r="A32" s="412"/>
      <c r="B32" s="438"/>
      <c r="C32" s="1347" t="s">
        <v>711</v>
      </c>
      <c r="D32" s="101" t="s">
        <v>722</v>
      </c>
      <c r="E32" s="797" t="s">
        <v>1135</v>
      </c>
      <c r="F32" s="799">
        <v>3434001208</v>
      </c>
      <c r="G32" s="777">
        <f>+F32</f>
        <v>3434001208</v>
      </c>
      <c r="H32" s="292"/>
      <c r="I32" s="1348"/>
      <c r="J32" s="370"/>
      <c r="K32" s="370"/>
      <c r="L32" s="904"/>
      <c r="M32" s="405"/>
    </row>
    <row r="33" spans="1:13" ht="12.75">
      <c r="A33" s="412"/>
      <c r="B33" s="408"/>
      <c r="C33" s="1348" t="s">
        <v>729</v>
      </c>
      <c r="D33" s="370"/>
      <c r="E33" s="416"/>
      <c r="F33" s="447">
        <f>AVERAGE(F20:F32)</f>
        <v>3342759281.898461</v>
      </c>
      <c r="G33" s="751">
        <f>+G32</f>
        <v>3434001208</v>
      </c>
      <c r="H33" s="408"/>
      <c r="I33" s="408"/>
      <c r="J33" s="373"/>
      <c r="K33" s="373"/>
      <c r="L33" s="373"/>
      <c r="M33" s="374"/>
    </row>
    <row r="34" spans="1:13" ht="12.75">
      <c r="A34" s="412"/>
      <c r="B34" s="419"/>
      <c r="C34" s="1346"/>
      <c r="D34" s="370"/>
      <c r="E34" s="415"/>
      <c r="F34" s="428"/>
      <c r="G34" s="534"/>
      <c r="H34" s="356"/>
      <c r="I34" s="356"/>
      <c r="J34" s="373"/>
      <c r="K34" s="373"/>
      <c r="L34" s="373"/>
      <c r="M34" s="374"/>
    </row>
    <row r="35" spans="1:13" ht="12.75">
      <c r="A35" s="412"/>
      <c r="B35" s="438"/>
      <c r="C35" s="1345" t="s">
        <v>720</v>
      </c>
      <c r="D35" s="370" t="s">
        <v>718</v>
      </c>
      <c r="E35" s="356"/>
      <c r="F35" s="405"/>
      <c r="G35" s="408"/>
      <c r="H35" s="408"/>
      <c r="I35" s="408"/>
      <c r="J35" s="373"/>
      <c r="K35" s="373"/>
      <c r="L35" s="373"/>
      <c r="M35" s="374"/>
    </row>
    <row r="36" spans="1:13" ht="15">
      <c r="A36" s="372"/>
      <c r="B36" s="408"/>
      <c r="C36" s="246" t="s">
        <v>711</v>
      </c>
      <c r="D36" s="41" t="s">
        <v>179</v>
      </c>
      <c r="E36" s="1110" t="s">
        <v>1010</v>
      </c>
      <c r="F36" s="1111">
        <v>409815888</v>
      </c>
      <c r="G36" s="534"/>
      <c r="H36" s="1398"/>
      <c r="I36" s="1348"/>
      <c r="J36" s="373"/>
      <c r="K36" s="373"/>
      <c r="L36" s="373"/>
      <c r="M36" s="374"/>
    </row>
    <row r="37" spans="1:13" ht="15">
      <c r="A37" s="412"/>
      <c r="B37" s="408"/>
      <c r="C37" s="1347" t="s">
        <v>711</v>
      </c>
      <c r="D37" s="101" t="s">
        <v>180</v>
      </c>
      <c r="E37" s="797" t="s">
        <v>1135</v>
      </c>
      <c r="F37" s="801">
        <v>404105291</v>
      </c>
      <c r="G37" s="777">
        <f>+F37</f>
        <v>404105291</v>
      </c>
      <c r="H37" s="1398"/>
      <c r="I37" s="1348"/>
      <c r="J37" s="370"/>
      <c r="K37" s="370"/>
      <c r="L37" s="370"/>
      <c r="M37" s="405"/>
    </row>
    <row r="38" spans="1:13" ht="12.75">
      <c r="A38" s="412">
        <f>+'Appendix A'!A32</f>
        <v>16</v>
      </c>
      <c r="B38" s="408"/>
      <c r="C38" s="1348" t="s">
        <v>727</v>
      </c>
      <c r="D38" s="370"/>
      <c r="E38" s="416"/>
      <c r="F38" s="447">
        <f>AVERAGE(F36:F37)</f>
        <v>406960589.5</v>
      </c>
      <c r="G38" s="751">
        <f>+G37</f>
        <v>404105291</v>
      </c>
      <c r="H38" s="408"/>
      <c r="I38" s="258"/>
      <c r="J38" s="373"/>
      <c r="K38" s="373"/>
      <c r="L38" s="373"/>
      <c r="M38" s="374"/>
    </row>
    <row r="39" spans="1:13" ht="12.75">
      <c r="A39" s="412"/>
      <c r="B39" s="408"/>
      <c r="C39" s="1346"/>
      <c r="D39" s="370"/>
      <c r="E39" s="711"/>
      <c r="F39" s="429"/>
      <c r="G39" s="534"/>
      <c r="H39" s="356"/>
      <c r="I39" s="356"/>
      <c r="J39" s="373"/>
      <c r="K39" s="373"/>
      <c r="L39" s="373"/>
      <c r="M39" s="374"/>
    </row>
    <row r="40" spans="1:13" ht="12.75">
      <c r="A40" s="412"/>
      <c r="B40" s="438"/>
      <c r="C40" s="1345" t="s">
        <v>721</v>
      </c>
      <c r="D40" s="370" t="s">
        <v>718</v>
      </c>
      <c r="E40" s="356"/>
      <c r="F40" s="405"/>
      <c r="G40" s="408"/>
      <c r="H40" s="754"/>
      <c r="I40" s="408"/>
      <c r="J40" s="373"/>
      <c r="K40" s="373"/>
      <c r="L40" s="373"/>
      <c r="M40" s="374"/>
    </row>
    <row r="41" spans="1:13" ht="15">
      <c r="A41" s="372"/>
      <c r="B41" s="408"/>
      <c r="C41" s="246" t="s">
        <v>711</v>
      </c>
      <c r="D41" s="41" t="s">
        <v>192</v>
      </c>
      <c r="E41" s="1110" t="s">
        <v>1010</v>
      </c>
      <c r="F41" s="1111">
        <v>393761918</v>
      </c>
      <c r="G41" s="534"/>
      <c r="H41" s="1398"/>
      <c r="I41" s="1348"/>
      <c r="J41" s="373"/>
      <c r="K41" s="373"/>
      <c r="L41" s="373"/>
      <c r="M41" s="374"/>
    </row>
    <row r="42" spans="1:13" ht="15">
      <c r="A42" s="412"/>
      <c r="B42" s="408"/>
      <c r="C42" s="1347" t="s">
        <v>711</v>
      </c>
      <c r="D42" s="101" t="s">
        <v>193</v>
      </c>
      <c r="E42" s="797" t="s">
        <v>1135</v>
      </c>
      <c r="F42" s="801">
        <v>402236770</v>
      </c>
      <c r="G42" s="777">
        <f>+F42</f>
        <v>402236770</v>
      </c>
      <c r="H42" s="1398"/>
      <c r="I42" s="1348"/>
      <c r="J42" s="370"/>
      <c r="K42" s="370"/>
      <c r="L42" s="370"/>
      <c r="M42" s="405"/>
    </row>
    <row r="43" spans="1:13" ht="12.75">
      <c r="A43" s="412">
        <f>+'Appendix A'!A32</f>
        <v>16</v>
      </c>
      <c r="B43" s="408"/>
      <c r="C43" s="1348" t="s">
        <v>728</v>
      </c>
      <c r="D43" s="370"/>
      <c r="E43" s="416"/>
      <c r="F43" s="447">
        <f>AVERAGE(F41:F42)</f>
        <v>397999344</v>
      </c>
      <c r="G43" s="751">
        <f>+G42</f>
        <v>402236770</v>
      </c>
      <c r="H43" s="408"/>
      <c r="I43" s="258"/>
      <c r="J43" s="373"/>
      <c r="K43" s="373"/>
      <c r="L43" s="373"/>
      <c r="M43" s="374"/>
    </row>
    <row r="44" spans="1:13" ht="12.75">
      <c r="A44" s="412"/>
      <c r="B44" s="438"/>
      <c r="C44" s="1346"/>
      <c r="D44" s="430"/>
      <c r="E44" s="431"/>
      <c r="F44" s="432"/>
      <c r="G44" s="408"/>
      <c r="H44" s="408"/>
      <c r="I44" s="408"/>
      <c r="J44" s="370"/>
      <c r="K44" s="370"/>
      <c r="L44" s="370"/>
      <c r="M44" s="405"/>
    </row>
    <row r="45" spans="1:13" ht="12.75">
      <c r="A45" s="412"/>
      <c r="B45" s="438"/>
      <c r="C45" s="1345" t="s">
        <v>719</v>
      </c>
      <c r="D45" s="370" t="s">
        <v>718</v>
      </c>
      <c r="E45" s="379"/>
      <c r="F45" s="405"/>
      <c r="G45" s="408"/>
      <c r="H45" s="408"/>
      <c r="I45" s="408"/>
      <c r="J45" s="373"/>
      <c r="K45" s="373"/>
      <c r="L45" s="373"/>
      <c r="M45" s="374"/>
    </row>
    <row r="46" spans="1:13" ht="15">
      <c r="A46" s="412"/>
      <c r="B46" s="291"/>
      <c r="C46" s="246" t="s">
        <v>711</v>
      </c>
      <c r="D46" s="41" t="s">
        <v>178</v>
      </c>
      <c r="E46" s="1110" t="s">
        <v>1010</v>
      </c>
      <c r="F46" s="742">
        <v>0</v>
      </c>
      <c r="G46" s="408"/>
      <c r="H46" s="292"/>
      <c r="I46" s="623"/>
      <c r="J46" s="373"/>
      <c r="K46" s="373"/>
      <c r="L46" s="373"/>
      <c r="M46" s="374"/>
    </row>
    <row r="47" spans="1:13" ht="12.75">
      <c r="A47" s="412"/>
      <c r="B47" s="438"/>
      <c r="C47" s="1346" t="s">
        <v>712</v>
      </c>
      <c r="D47" s="408" t="s">
        <v>85</v>
      </c>
      <c r="E47" s="1110" t="s">
        <v>1135</v>
      </c>
      <c r="F47" s="742">
        <v>0</v>
      </c>
      <c r="G47" s="408"/>
      <c r="H47" s="762"/>
      <c r="I47" s="623"/>
      <c r="J47" s="373"/>
      <c r="K47" s="373"/>
      <c r="L47" s="373"/>
      <c r="M47" s="374"/>
    </row>
    <row r="48" spans="1:13" ht="12.75">
      <c r="A48" s="412"/>
      <c r="B48" s="419"/>
      <c r="C48" s="1346" t="s">
        <v>713</v>
      </c>
      <c r="D48" s="408" t="s">
        <v>85</v>
      </c>
      <c r="E48" s="1110" t="s">
        <v>1135</v>
      </c>
      <c r="F48" s="742">
        <v>0</v>
      </c>
      <c r="G48" s="408"/>
      <c r="H48" s="762"/>
      <c r="I48" s="623"/>
      <c r="J48" s="373"/>
      <c r="K48" s="373"/>
      <c r="L48" s="373"/>
      <c r="M48" s="374"/>
    </row>
    <row r="49" spans="1:13" ht="12.75">
      <c r="A49" s="412"/>
      <c r="B49" s="419"/>
      <c r="C49" s="1346" t="s">
        <v>216</v>
      </c>
      <c r="D49" s="408" t="s">
        <v>85</v>
      </c>
      <c r="E49" s="1110" t="s">
        <v>1135</v>
      </c>
      <c r="F49" s="742">
        <v>0</v>
      </c>
      <c r="G49" s="408"/>
      <c r="H49" s="762"/>
      <c r="I49" s="623"/>
      <c r="J49" s="373"/>
      <c r="K49" s="373"/>
      <c r="L49" s="373"/>
      <c r="M49" s="374"/>
    </row>
    <row r="50" spans="1:13" ht="12.75">
      <c r="A50" s="412"/>
      <c r="B50" s="408"/>
      <c r="C50" s="1346" t="s">
        <v>598</v>
      </c>
      <c r="D50" s="408" t="s">
        <v>85</v>
      </c>
      <c r="E50" s="1110" t="s">
        <v>1135</v>
      </c>
      <c r="F50" s="742">
        <v>0</v>
      </c>
      <c r="G50" s="408"/>
      <c r="H50" s="408"/>
      <c r="I50" s="408"/>
      <c r="J50" s="373"/>
      <c r="K50" s="373"/>
      <c r="L50" s="373"/>
      <c r="M50" s="374"/>
    </row>
    <row r="51" spans="1:13" ht="12.75">
      <c r="A51" s="412"/>
      <c r="B51" s="438"/>
      <c r="C51" s="1346" t="s">
        <v>599</v>
      </c>
      <c r="D51" s="408" t="s">
        <v>85</v>
      </c>
      <c r="E51" s="1110" t="s">
        <v>1135</v>
      </c>
      <c r="F51" s="742">
        <v>0</v>
      </c>
      <c r="G51" s="408"/>
      <c r="H51" s="408"/>
      <c r="I51" s="408"/>
      <c r="J51" s="373"/>
      <c r="K51" s="373"/>
      <c r="L51" s="373"/>
      <c r="M51" s="374"/>
    </row>
    <row r="52" spans="1:13" ht="12.75">
      <c r="A52" s="412"/>
      <c r="B52" s="408"/>
      <c r="C52" s="1346" t="s">
        <v>714</v>
      </c>
      <c r="D52" s="408" t="s">
        <v>85</v>
      </c>
      <c r="E52" s="1110" t="s">
        <v>1135</v>
      </c>
      <c r="F52" s="742">
        <v>0</v>
      </c>
      <c r="G52" s="408"/>
      <c r="H52" s="408"/>
      <c r="I52" s="408"/>
      <c r="J52" s="373"/>
      <c r="K52" s="373"/>
      <c r="L52" s="373"/>
      <c r="M52" s="374"/>
    </row>
    <row r="53" spans="1:13" ht="12.75">
      <c r="A53" s="412"/>
      <c r="B53" s="438"/>
      <c r="C53" s="1346" t="s">
        <v>715</v>
      </c>
      <c r="D53" s="408" t="s">
        <v>85</v>
      </c>
      <c r="E53" s="1110" t="s">
        <v>1135</v>
      </c>
      <c r="F53" s="742">
        <v>0</v>
      </c>
      <c r="G53" s="408"/>
      <c r="H53" s="408"/>
      <c r="I53" s="408"/>
      <c r="J53" s="373"/>
      <c r="K53" s="373"/>
      <c r="L53" s="373"/>
      <c r="M53" s="374"/>
    </row>
    <row r="54" spans="1:13" ht="12.75">
      <c r="A54" s="412"/>
      <c r="B54" s="419"/>
      <c r="C54" s="1346" t="s">
        <v>716</v>
      </c>
      <c r="D54" s="408" t="s">
        <v>85</v>
      </c>
      <c r="E54" s="1110" t="s">
        <v>1135</v>
      </c>
      <c r="F54" s="742">
        <v>0</v>
      </c>
      <c r="G54" s="408"/>
      <c r="H54" s="408"/>
      <c r="I54" s="408"/>
      <c r="J54" s="373"/>
      <c r="K54" s="373"/>
      <c r="L54" s="373"/>
      <c r="M54" s="374"/>
    </row>
    <row r="55" spans="1:13" ht="12.75">
      <c r="A55" s="412"/>
      <c r="B55" s="419"/>
      <c r="C55" s="1346" t="s">
        <v>717</v>
      </c>
      <c r="D55" s="408" t="s">
        <v>85</v>
      </c>
      <c r="E55" s="1110" t="s">
        <v>1135</v>
      </c>
      <c r="F55" s="742">
        <v>0</v>
      </c>
      <c r="G55" s="408"/>
      <c r="H55" s="408"/>
      <c r="I55" s="408"/>
      <c r="J55" s="373"/>
      <c r="K55" s="373"/>
      <c r="L55" s="373"/>
      <c r="M55" s="374"/>
    </row>
    <row r="56" spans="1:13" ht="12.75">
      <c r="A56" s="412"/>
      <c r="B56" s="408"/>
      <c r="C56" s="1346" t="s">
        <v>632</v>
      </c>
      <c r="D56" s="408" t="s">
        <v>85</v>
      </c>
      <c r="E56" s="1110" t="s">
        <v>1135</v>
      </c>
      <c r="F56" s="742">
        <v>0</v>
      </c>
      <c r="G56" s="408"/>
      <c r="H56" s="408"/>
      <c r="I56" s="408"/>
      <c r="J56" s="373"/>
      <c r="K56" s="373"/>
      <c r="L56" s="373"/>
      <c r="M56" s="374"/>
    </row>
    <row r="57" spans="1:13" ht="12.75">
      <c r="A57" s="412"/>
      <c r="B57" s="408"/>
      <c r="C57" s="1346" t="s">
        <v>631</v>
      </c>
      <c r="D57" s="408" t="s">
        <v>85</v>
      </c>
      <c r="E57" s="1110" t="s">
        <v>1135</v>
      </c>
      <c r="F57" s="742">
        <v>0</v>
      </c>
      <c r="G57" s="408"/>
      <c r="H57" s="408"/>
      <c r="I57" s="408"/>
      <c r="J57" s="373"/>
      <c r="K57" s="373"/>
      <c r="L57" s="373"/>
      <c r="M57" s="374"/>
    </row>
    <row r="58" spans="1:13" ht="15">
      <c r="A58" s="412"/>
      <c r="B58" s="438"/>
      <c r="C58" s="1347" t="s">
        <v>711</v>
      </c>
      <c r="D58" s="101" t="s">
        <v>177</v>
      </c>
      <c r="E58" s="797" t="s">
        <v>1135</v>
      </c>
      <c r="F58" s="802">
        <v>0</v>
      </c>
      <c r="G58" s="777">
        <f>+F58</f>
        <v>0</v>
      </c>
      <c r="H58" s="292"/>
      <c r="I58" s="408"/>
      <c r="J58" s="370"/>
      <c r="K58" s="370"/>
      <c r="L58" s="370"/>
      <c r="M58" s="405"/>
    </row>
    <row r="59" spans="1:13" ht="12.75">
      <c r="A59" s="412"/>
      <c r="B59" s="408"/>
      <c r="C59" s="1348" t="s">
        <v>726</v>
      </c>
      <c r="D59" s="370"/>
      <c r="E59" s="416"/>
      <c r="F59" s="447">
        <f>AVERAGE(F58:F58)</f>
        <v>0</v>
      </c>
      <c r="G59" s="751">
        <f>+G58</f>
        <v>0</v>
      </c>
      <c r="H59" s="408"/>
      <c r="I59" s="258"/>
      <c r="J59" s="373"/>
      <c r="K59" s="373"/>
      <c r="L59" s="373"/>
      <c r="M59" s="374"/>
    </row>
    <row r="60" spans="1:13" ht="12.75">
      <c r="A60" s="412"/>
      <c r="B60" s="408"/>
      <c r="C60" s="1346"/>
      <c r="D60" s="370"/>
      <c r="E60" s="415"/>
      <c r="F60" s="428"/>
      <c r="G60" s="534"/>
      <c r="H60" s="356"/>
      <c r="I60" s="376"/>
      <c r="J60" s="373"/>
      <c r="K60" s="373"/>
      <c r="L60" s="373"/>
      <c r="M60" s="374"/>
    </row>
    <row r="61" spans="1:13" ht="12.75">
      <c r="A61" s="412"/>
      <c r="B61" s="438"/>
      <c r="C61" s="1345" t="s">
        <v>731</v>
      </c>
      <c r="D61" s="370" t="s">
        <v>718</v>
      </c>
      <c r="E61" s="356"/>
      <c r="F61" s="405"/>
      <c r="G61" s="393"/>
      <c r="H61" s="408"/>
      <c r="I61" s="408"/>
      <c r="J61" s="373"/>
      <c r="K61" s="373"/>
      <c r="L61" s="373"/>
      <c r="M61" s="374"/>
    </row>
    <row r="62" spans="1:13" ht="15">
      <c r="A62" s="412"/>
      <c r="B62" s="438"/>
      <c r="C62" s="246" t="s">
        <v>733</v>
      </c>
      <c r="D62" s="41" t="s">
        <v>303</v>
      </c>
      <c r="E62" s="1110" t="s">
        <v>1010</v>
      </c>
      <c r="F62" s="800">
        <v>0</v>
      </c>
      <c r="G62" s="446"/>
      <c r="H62" s="356"/>
      <c r="I62" s="647"/>
      <c r="J62" s="373"/>
      <c r="K62" s="373"/>
      <c r="L62" s="373"/>
      <c r="M62" s="374"/>
    </row>
    <row r="63" spans="1:13" ht="15">
      <c r="A63" s="412"/>
      <c r="B63" s="438"/>
      <c r="C63" s="1347" t="s">
        <v>733</v>
      </c>
      <c r="D63" s="101" t="s">
        <v>303</v>
      </c>
      <c r="E63" s="797" t="s">
        <v>1135</v>
      </c>
      <c r="F63" s="801">
        <v>0</v>
      </c>
      <c r="G63" s="778">
        <f>+F63</f>
        <v>0</v>
      </c>
      <c r="H63" s="356"/>
      <c r="I63" s="406"/>
      <c r="J63" s="373"/>
      <c r="K63" s="373"/>
      <c r="L63" s="373"/>
      <c r="M63" s="374"/>
    </row>
    <row r="64" spans="1:13" ht="12.75">
      <c r="A64" s="412">
        <f>+'Appendix A'!A33</f>
        <v>17</v>
      </c>
      <c r="B64" s="408"/>
      <c r="C64" s="1348" t="s">
        <v>732</v>
      </c>
      <c r="D64" s="370"/>
      <c r="E64" s="416"/>
      <c r="F64" s="447">
        <f>AVERAGE(F62:F63)</f>
        <v>0</v>
      </c>
      <c r="G64" s="446">
        <f>+G63</f>
        <v>0</v>
      </c>
      <c r="H64" s="356"/>
      <c r="I64" s="357"/>
      <c r="J64" s="373"/>
      <c r="K64" s="373"/>
      <c r="L64" s="373"/>
      <c r="M64" s="374"/>
    </row>
    <row r="65" spans="1:13" ht="12.75">
      <c r="A65" s="412"/>
      <c r="B65" s="408"/>
      <c r="C65" s="1348"/>
      <c r="D65" s="370"/>
      <c r="E65" s="416"/>
      <c r="F65" s="447"/>
      <c r="G65" s="446"/>
      <c r="H65" s="533"/>
      <c r="I65" s="406"/>
      <c r="J65" s="373"/>
      <c r="K65" s="373"/>
      <c r="L65" s="373"/>
      <c r="M65" s="374"/>
    </row>
    <row r="66" spans="1:13" ht="12.75">
      <c r="A66" s="412">
        <f>'Appendix A'!A15</f>
        <v>6</v>
      </c>
      <c r="B66" s="438"/>
      <c r="C66" s="1345" t="str">
        <f>'Appendix A'!C15</f>
        <v>Total Plant In Service</v>
      </c>
      <c r="D66" s="430" t="s">
        <v>734</v>
      </c>
      <c r="E66" s="431"/>
      <c r="F66" s="604">
        <f>F17+F33+F38+F43+F59+F64</f>
        <v>5230170090.619999</v>
      </c>
      <c r="G66" s="446">
        <f>G17+G33+G38+G43+G59+G64</f>
        <v>5342967697</v>
      </c>
      <c r="H66" s="258"/>
      <c r="I66" s="258"/>
      <c r="J66" s="370"/>
      <c r="K66" s="370"/>
      <c r="L66" s="370"/>
      <c r="M66" s="405"/>
    </row>
    <row r="67" spans="1:15" ht="13.5" thickBot="1">
      <c r="A67" s="421"/>
      <c r="B67" s="425"/>
      <c r="C67" s="422"/>
      <c r="D67" s="410"/>
      <c r="E67" s="424"/>
      <c r="F67" s="426"/>
      <c r="G67" s="662"/>
      <c r="H67" s="382"/>
      <c r="I67" s="382"/>
      <c r="J67" s="377"/>
      <c r="K67" s="377"/>
      <c r="L67" s="377"/>
      <c r="M67" s="378"/>
      <c r="O67" s="446"/>
    </row>
    <row r="68" spans="1:15" ht="12.75">
      <c r="A68" s="419"/>
      <c r="B68" s="411"/>
      <c r="C68" s="222"/>
      <c r="D68" s="370"/>
      <c r="E68" s="415"/>
      <c r="F68" s="222"/>
      <c r="G68" s="446"/>
      <c r="H68" s="379"/>
      <c r="I68" s="379"/>
      <c r="J68" s="373"/>
      <c r="K68" s="373"/>
      <c r="L68" s="373"/>
      <c r="M68" s="373"/>
      <c r="O68" s="446"/>
    </row>
    <row r="69" spans="1:15" ht="13.5" thickBot="1">
      <c r="A69" s="647" t="s">
        <v>735</v>
      </c>
      <c r="O69" s="446"/>
    </row>
    <row r="70" spans="1:15" ht="12.75">
      <c r="A70" s="1583" t="s">
        <v>50</v>
      </c>
      <c r="B70" s="1584"/>
      <c r="C70" s="1584"/>
      <c r="D70" s="1584"/>
      <c r="E70" s="1584"/>
      <c r="F70" s="1585"/>
      <c r="G70" s="389"/>
      <c r="H70" s="389"/>
      <c r="I70" s="389"/>
      <c r="J70" s="1586" t="s">
        <v>551</v>
      </c>
      <c r="K70" s="1587"/>
      <c r="L70" s="1587"/>
      <c r="M70" s="1588"/>
      <c r="O70" s="446"/>
    </row>
    <row r="71" spans="1:29" ht="17.25">
      <c r="A71" s="412"/>
      <c r="B71" s="438"/>
      <c r="C71" s="1345" t="s">
        <v>736</v>
      </c>
      <c r="D71" s="370" t="s">
        <v>718</v>
      </c>
      <c r="E71" s="379"/>
      <c r="F71" s="653" t="s">
        <v>650</v>
      </c>
      <c r="G71" s="450" t="s">
        <v>651</v>
      </c>
      <c r="H71" s="370"/>
      <c r="I71" s="370"/>
      <c r="J71" s="373"/>
      <c r="K71" s="373"/>
      <c r="L71" s="373"/>
      <c r="M71" s="374"/>
      <c r="O71" s="446"/>
      <c r="P71" s="196"/>
      <c r="Q71" s="196"/>
      <c r="R71" s="196"/>
      <c r="S71" s="196"/>
      <c r="T71" s="196"/>
      <c r="U71" s="196"/>
      <c r="V71" s="196"/>
      <c r="W71" s="196"/>
      <c r="X71" s="196"/>
      <c r="Y71" s="196"/>
      <c r="Z71" s="196"/>
      <c r="AA71" s="196"/>
      <c r="AB71" s="196"/>
      <c r="AC71" s="806"/>
    </row>
    <row r="72" spans="1:29" ht="15">
      <c r="A72" s="372"/>
      <c r="B72" s="291"/>
      <c r="C72" s="246" t="s">
        <v>711</v>
      </c>
      <c r="D72" s="41" t="s">
        <v>196</v>
      </c>
      <c r="E72" s="1110" t="s">
        <v>1010</v>
      </c>
      <c r="F72" s="1111">
        <v>303891135</v>
      </c>
      <c r="G72" s="408"/>
      <c r="H72" s="196"/>
      <c r="I72" s="982"/>
      <c r="J72" s="376"/>
      <c r="K72" s="373"/>
      <c r="L72" s="373"/>
      <c r="M72" s="374"/>
      <c r="O72" s="446"/>
      <c r="P72" s="196"/>
      <c r="Q72" s="196"/>
      <c r="R72" s="196"/>
      <c r="S72" s="196"/>
      <c r="T72" s="196"/>
      <c r="U72" s="196"/>
      <c r="V72" s="196"/>
      <c r="W72" s="196"/>
      <c r="X72" s="196"/>
      <c r="Y72" s="196"/>
      <c r="Z72" s="196"/>
      <c r="AA72" s="196"/>
      <c r="AB72" s="196"/>
      <c r="AC72" s="196"/>
    </row>
    <row r="73" spans="1:29" ht="12.75">
      <c r="A73" s="412"/>
      <c r="B73" s="438"/>
      <c r="C73" s="1346" t="s">
        <v>712</v>
      </c>
      <c r="D73" s="408" t="s">
        <v>85</v>
      </c>
      <c r="E73" s="1110" t="s">
        <v>1135</v>
      </c>
      <c r="F73" s="742">
        <v>307120493.40883356</v>
      </c>
      <c r="G73" s="547"/>
      <c r="H73" s="648"/>
      <c r="I73" s="982"/>
      <c r="J73" s="408"/>
      <c r="K73" s="373"/>
      <c r="L73" s="373"/>
      <c r="M73" s="374"/>
      <c r="O73" s="446"/>
      <c r="P73" s="196"/>
      <c r="Q73" s="196"/>
      <c r="R73" s="196"/>
      <c r="S73" s="196"/>
      <c r="T73" s="196"/>
      <c r="U73" s="196"/>
      <c r="V73" s="196"/>
      <c r="W73" s="196"/>
      <c r="X73" s="196"/>
      <c r="Y73" s="196"/>
      <c r="Z73" s="196"/>
      <c r="AA73" s="196"/>
      <c r="AB73" s="196"/>
      <c r="AC73" s="196"/>
    </row>
    <row r="74" spans="1:15" ht="12.75">
      <c r="A74" s="414"/>
      <c r="B74" s="419"/>
      <c r="C74" s="1346" t="s">
        <v>713</v>
      </c>
      <c r="D74" s="408" t="s">
        <v>85</v>
      </c>
      <c r="E74" s="1110" t="s">
        <v>1135</v>
      </c>
      <c r="F74" s="742">
        <v>308291560.4721485</v>
      </c>
      <c r="G74" s="547"/>
      <c r="H74" s="648"/>
      <c r="I74" s="982"/>
      <c r="J74" s="356"/>
      <c r="K74" s="373"/>
      <c r="L74" s="373"/>
      <c r="M74" s="374"/>
      <c r="O74" s="446"/>
    </row>
    <row r="75" spans="1:15" ht="12.75">
      <c r="A75" s="414"/>
      <c r="B75" s="419"/>
      <c r="C75" s="1346" t="s">
        <v>216</v>
      </c>
      <c r="D75" s="408" t="s">
        <v>85</v>
      </c>
      <c r="E75" s="1110" t="s">
        <v>1135</v>
      </c>
      <c r="F75" s="742">
        <v>310391210.99824184</v>
      </c>
      <c r="G75" s="547"/>
      <c r="H75" s="648"/>
      <c r="I75" s="982"/>
      <c r="J75" s="373"/>
      <c r="K75" s="373"/>
      <c r="L75" s="373"/>
      <c r="M75" s="374"/>
      <c r="O75" s="446"/>
    </row>
    <row r="76" spans="1:15" ht="12.75">
      <c r="A76" s="412"/>
      <c r="B76" s="408"/>
      <c r="C76" s="1346" t="s">
        <v>598</v>
      </c>
      <c r="D76" s="408" t="s">
        <v>85</v>
      </c>
      <c r="E76" s="1110" t="s">
        <v>1135</v>
      </c>
      <c r="F76" s="742">
        <v>311112520.8403773</v>
      </c>
      <c r="G76" s="547"/>
      <c r="H76" s="648"/>
      <c r="I76" s="982"/>
      <c r="J76" s="373"/>
      <c r="K76" s="373"/>
      <c r="L76" s="373"/>
      <c r="M76" s="374"/>
      <c r="O76" s="446"/>
    </row>
    <row r="77" spans="1:15" ht="12.75">
      <c r="A77" s="414"/>
      <c r="B77" s="438"/>
      <c r="C77" s="1346" t="s">
        <v>599</v>
      </c>
      <c r="D77" s="408" t="s">
        <v>85</v>
      </c>
      <c r="E77" s="1110" t="s">
        <v>1135</v>
      </c>
      <c r="F77" s="742">
        <v>312171442.69032973</v>
      </c>
      <c r="G77" s="547"/>
      <c r="H77" s="648"/>
      <c r="I77" s="982"/>
      <c r="J77" s="370"/>
      <c r="K77" s="370"/>
      <c r="L77" s="370"/>
      <c r="M77" s="405"/>
      <c r="O77" s="446"/>
    </row>
    <row r="78" spans="1:15" ht="12.75">
      <c r="A78" s="414"/>
      <c r="B78" s="408"/>
      <c r="C78" s="1346" t="s">
        <v>714</v>
      </c>
      <c r="D78" s="408" t="s">
        <v>85</v>
      </c>
      <c r="E78" s="1110" t="s">
        <v>1135</v>
      </c>
      <c r="F78" s="742">
        <v>313199634.1754274</v>
      </c>
      <c r="G78" s="547"/>
      <c r="H78" s="648"/>
      <c r="I78" s="982"/>
      <c r="J78" s="373"/>
      <c r="K78" s="373"/>
      <c r="L78" s="373"/>
      <c r="M78" s="374"/>
      <c r="O78" s="446"/>
    </row>
    <row r="79" spans="1:15" ht="12.75">
      <c r="A79" s="412"/>
      <c r="B79" s="438"/>
      <c r="C79" s="1346" t="s">
        <v>715</v>
      </c>
      <c r="D79" s="408" t="s">
        <v>85</v>
      </c>
      <c r="E79" s="1110" t="s">
        <v>1135</v>
      </c>
      <c r="F79" s="742">
        <v>315034828.2141956</v>
      </c>
      <c r="G79" s="547"/>
      <c r="H79" s="648"/>
      <c r="I79" s="982"/>
      <c r="J79" s="373"/>
      <c r="K79" s="373"/>
      <c r="L79" s="373"/>
      <c r="M79" s="374"/>
      <c r="O79" s="446"/>
    </row>
    <row r="80" spans="1:15" ht="12.75">
      <c r="A80" s="414"/>
      <c r="B80" s="419"/>
      <c r="C80" s="1346" t="s">
        <v>716</v>
      </c>
      <c r="D80" s="408" t="s">
        <v>85</v>
      </c>
      <c r="E80" s="1110" t="s">
        <v>1135</v>
      </c>
      <c r="F80" s="742">
        <v>316269326.1127408</v>
      </c>
      <c r="G80" s="547"/>
      <c r="H80" s="648"/>
      <c r="I80" s="982"/>
      <c r="J80" s="373"/>
      <c r="K80" s="373"/>
      <c r="L80" s="373"/>
      <c r="M80" s="374"/>
      <c r="O80" s="446"/>
    </row>
    <row r="81" spans="1:15" ht="12.75">
      <c r="A81" s="414"/>
      <c r="B81" s="419"/>
      <c r="C81" s="1346" t="s">
        <v>717</v>
      </c>
      <c r="D81" s="408" t="s">
        <v>85</v>
      </c>
      <c r="E81" s="1110" t="s">
        <v>1135</v>
      </c>
      <c r="F81" s="742">
        <v>317557639.28564906</v>
      </c>
      <c r="G81" s="547"/>
      <c r="H81" s="648"/>
      <c r="I81" s="982"/>
      <c r="J81" s="373"/>
      <c r="K81" s="373"/>
      <c r="L81" s="373"/>
      <c r="M81" s="374"/>
      <c r="O81" s="446"/>
    </row>
    <row r="82" spans="1:15" ht="12.75">
      <c r="A82" s="412"/>
      <c r="B82" s="408"/>
      <c r="C82" s="1346" t="s">
        <v>632</v>
      </c>
      <c r="D82" s="408" t="s">
        <v>85</v>
      </c>
      <c r="E82" s="1110" t="s">
        <v>1135</v>
      </c>
      <c r="F82" s="742">
        <v>319362733.44323605</v>
      </c>
      <c r="G82" s="547"/>
      <c r="H82" s="648"/>
      <c r="I82" s="982"/>
      <c r="J82" s="373"/>
      <c r="K82" s="373"/>
      <c r="L82" s="373"/>
      <c r="M82" s="374"/>
      <c r="O82" s="446"/>
    </row>
    <row r="83" spans="1:15" ht="12.75">
      <c r="A83" s="412"/>
      <c r="B83" s="408"/>
      <c r="C83" s="1346" t="s">
        <v>631</v>
      </c>
      <c r="D83" s="408" t="s">
        <v>85</v>
      </c>
      <c r="E83" s="1110" t="s">
        <v>1135</v>
      </c>
      <c r="F83" s="742">
        <v>320543103.88135225</v>
      </c>
      <c r="G83" s="547"/>
      <c r="H83" s="648"/>
      <c r="I83" s="982"/>
      <c r="J83" s="373"/>
      <c r="K83" s="373"/>
      <c r="L83" s="373"/>
      <c r="M83" s="374"/>
      <c r="O83" s="446"/>
    </row>
    <row r="84" spans="1:15" ht="15">
      <c r="A84" s="414"/>
      <c r="B84" s="438"/>
      <c r="C84" s="1347" t="s">
        <v>711</v>
      </c>
      <c r="D84" s="101" t="s">
        <v>738</v>
      </c>
      <c r="E84" s="797" t="s">
        <v>1135</v>
      </c>
      <c r="F84" s="801">
        <v>321962340</v>
      </c>
      <c r="G84" s="771">
        <f>+F84</f>
        <v>321962340</v>
      </c>
      <c r="H84" s="648"/>
      <c r="I84" s="982"/>
      <c r="J84" s="370"/>
      <c r="K84" s="370"/>
      <c r="L84" s="904"/>
      <c r="M84" s="405"/>
      <c r="O84" s="446"/>
    </row>
    <row r="85" spans="1:15" ht="12.75">
      <c r="A85" s="412">
        <f>+'Appendix A'!A42</f>
        <v>22</v>
      </c>
      <c r="B85" s="408"/>
      <c r="C85" s="1348" t="s">
        <v>481</v>
      </c>
      <c r="D85" s="408"/>
      <c r="E85" s="416"/>
      <c r="F85" s="447">
        <f>AVERAGE(F72:F84)</f>
        <v>313608305.270964</v>
      </c>
      <c r="G85" s="361">
        <f>+G84</f>
        <v>321962340</v>
      </c>
      <c r="H85" s="408"/>
      <c r="I85" s="408"/>
      <c r="J85" s="373"/>
      <c r="K85" s="373"/>
      <c r="L85" s="373"/>
      <c r="M85" s="374"/>
      <c r="O85" s="446"/>
    </row>
    <row r="86" spans="1:15" ht="12.75">
      <c r="A86" s="412"/>
      <c r="B86" s="419"/>
      <c r="C86" s="1346"/>
      <c r="D86" s="408"/>
      <c r="E86" s="415"/>
      <c r="F86" s="428"/>
      <c r="G86" s="547"/>
      <c r="H86" s="356"/>
      <c r="I86" s="356"/>
      <c r="J86" s="373"/>
      <c r="K86" s="373"/>
      <c r="L86" s="373"/>
      <c r="M86" s="374"/>
      <c r="O86" s="446"/>
    </row>
    <row r="87" spans="1:15" ht="12.75">
      <c r="A87" s="412"/>
      <c r="B87" s="438"/>
      <c r="C87" s="1345" t="s">
        <v>0</v>
      </c>
      <c r="D87" s="408" t="s">
        <v>718</v>
      </c>
      <c r="E87" s="356"/>
      <c r="F87" s="405"/>
      <c r="G87" s="408"/>
      <c r="H87" s="408"/>
      <c r="I87" s="408"/>
      <c r="J87" s="373"/>
      <c r="K87" s="373"/>
      <c r="L87" s="373"/>
      <c r="M87" s="374"/>
      <c r="O87" s="446"/>
    </row>
    <row r="88" spans="1:15" ht="15">
      <c r="A88" s="372"/>
      <c r="B88" s="291"/>
      <c r="C88" s="246" t="s">
        <v>711</v>
      </c>
      <c r="D88" s="41" t="s">
        <v>195</v>
      </c>
      <c r="E88" s="1110" t="s">
        <v>1010</v>
      </c>
      <c r="F88" s="1111">
        <v>949672944</v>
      </c>
      <c r="G88" s="408"/>
      <c r="H88" s="648"/>
      <c r="I88" s="982"/>
      <c r="J88" s="373"/>
      <c r="K88" s="373"/>
      <c r="L88" s="373"/>
      <c r="M88" s="374"/>
      <c r="O88" s="446"/>
    </row>
    <row r="89" spans="1:15" ht="12.75">
      <c r="A89" s="412"/>
      <c r="B89" s="438"/>
      <c r="C89" s="1346" t="s">
        <v>712</v>
      </c>
      <c r="D89" s="408" t="s">
        <v>85</v>
      </c>
      <c r="E89" s="1110" t="s">
        <v>1135</v>
      </c>
      <c r="F89" s="742">
        <v>954073252.9711664</v>
      </c>
      <c r="G89" s="547"/>
      <c r="H89" s="648"/>
      <c r="I89" s="982"/>
      <c r="J89" s="373"/>
      <c r="K89" s="373"/>
      <c r="L89" s="373"/>
      <c r="M89" s="374"/>
      <c r="O89" s="446"/>
    </row>
    <row r="90" spans="1:13" ht="12.75">
      <c r="A90" s="412"/>
      <c r="B90" s="419"/>
      <c r="C90" s="1346" t="s">
        <v>713</v>
      </c>
      <c r="D90" s="408" t="s">
        <v>85</v>
      </c>
      <c r="E90" s="1110" t="s">
        <v>1135</v>
      </c>
      <c r="F90" s="742">
        <v>960199090.0178516</v>
      </c>
      <c r="G90" s="547"/>
      <c r="H90" s="648"/>
      <c r="I90" s="982"/>
      <c r="J90" s="373"/>
      <c r="K90" s="373"/>
      <c r="L90" s="373"/>
      <c r="M90" s="374"/>
    </row>
    <row r="91" spans="1:13" ht="12.75">
      <c r="A91" s="412"/>
      <c r="B91" s="419"/>
      <c r="C91" s="1346" t="s">
        <v>216</v>
      </c>
      <c r="D91" s="408" t="s">
        <v>85</v>
      </c>
      <c r="E91" s="1110" t="s">
        <v>1135</v>
      </c>
      <c r="F91" s="742">
        <v>964592597.8717581</v>
      </c>
      <c r="G91" s="547"/>
      <c r="H91" s="648"/>
      <c r="I91" s="982"/>
      <c r="J91" s="373"/>
      <c r="K91" s="373"/>
      <c r="L91" s="373"/>
      <c r="M91" s="374"/>
    </row>
    <row r="92" spans="1:13" ht="12.75">
      <c r="A92" s="412"/>
      <c r="B92" s="408"/>
      <c r="C92" s="1346" t="s">
        <v>598</v>
      </c>
      <c r="D92" s="408" t="s">
        <v>85</v>
      </c>
      <c r="E92" s="1110" t="s">
        <v>1135</v>
      </c>
      <c r="F92" s="742">
        <v>970503608.5296228</v>
      </c>
      <c r="G92" s="547"/>
      <c r="H92" s="648"/>
      <c r="I92" s="982"/>
      <c r="J92" s="373"/>
      <c r="K92" s="373"/>
      <c r="L92" s="373"/>
      <c r="M92" s="374"/>
    </row>
    <row r="93" spans="1:13" ht="12.75">
      <c r="A93" s="412"/>
      <c r="B93" s="438"/>
      <c r="C93" s="1346" t="s">
        <v>599</v>
      </c>
      <c r="D93" s="408" t="s">
        <v>85</v>
      </c>
      <c r="E93" s="1110" t="s">
        <v>1135</v>
      </c>
      <c r="F93" s="742">
        <v>977192107.5296704</v>
      </c>
      <c r="G93" s="547"/>
      <c r="H93" s="648"/>
      <c r="I93" s="982"/>
      <c r="J93" s="370"/>
      <c r="K93" s="370"/>
      <c r="L93" s="408"/>
      <c r="M93" s="405"/>
    </row>
    <row r="94" spans="1:13" ht="12.75">
      <c r="A94" s="412"/>
      <c r="B94" s="408"/>
      <c r="C94" s="1346" t="s">
        <v>714</v>
      </c>
      <c r="D94" s="408" t="s">
        <v>85</v>
      </c>
      <c r="E94" s="1110" t="s">
        <v>1135</v>
      </c>
      <c r="F94" s="742">
        <v>983723388.9645724</v>
      </c>
      <c r="G94" s="547"/>
      <c r="H94" s="648"/>
      <c r="I94" s="982"/>
      <c r="J94" s="373"/>
      <c r="K94" s="373"/>
      <c r="L94" s="373"/>
      <c r="M94" s="374"/>
    </row>
    <row r="95" spans="1:13" ht="12.75">
      <c r="A95" s="412"/>
      <c r="B95" s="438"/>
      <c r="C95" s="1346" t="s">
        <v>715</v>
      </c>
      <c r="D95" s="408" t="s">
        <v>85</v>
      </c>
      <c r="E95" s="1110" t="s">
        <v>1135</v>
      </c>
      <c r="F95" s="742">
        <v>988438912.4158043</v>
      </c>
      <c r="G95" s="547"/>
      <c r="H95" s="648"/>
      <c r="I95" s="982"/>
      <c r="J95" s="373"/>
      <c r="K95" s="373"/>
      <c r="L95" s="373"/>
      <c r="M95" s="374"/>
    </row>
    <row r="96" spans="1:13" ht="12.75">
      <c r="A96" s="412"/>
      <c r="B96" s="419"/>
      <c r="C96" s="1346" t="s">
        <v>716</v>
      </c>
      <c r="D96" s="408" t="s">
        <v>85</v>
      </c>
      <c r="E96" s="1110" t="s">
        <v>1135</v>
      </c>
      <c r="F96" s="742">
        <v>993264307.7172593</v>
      </c>
      <c r="G96" s="547"/>
      <c r="H96" s="648"/>
      <c r="I96" s="982"/>
      <c r="J96" s="373"/>
      <c r="K96" s="373"/>
      <c r="L96" s="373"/>
      <c r="M96" s="374"/>
    </row>
    <row r="97" spans="1:13" ht="12.75">
      <c r="A97" s="412"/>
      <c r="B97" s="419"/>
      <c r="C97" s="1346" t="s">
        <v>717</v>
      </c>
      <c r="D97" s="408" t="s">
        <v>85</v>
      </c>
      <c r="E97" s="1110" t="s">
        <v>1135</v>
      </c>
      <c r="F97" s="742">
        <v>997808966.8643514</v>
      </c>
      <c r="G97" s="547"/>
      <c r="H97" s="648"/>
      <c r="I97" s="982"/>
      <c r="L97" s="196"/>
      <c r="M97" s="374"/>
    </row>
    <row r="98" spans="1:13" ht="12.75">
      <c r="A98" s="412"/>
      <c r="B98" s="408"/>
      <c r="C98" s="1346" t="s">
        <v>630</v>
      </c>
      <c r="D98" s="408" t="s">
        <v>85</v>
      </c>
      <c r="E98" s="1110" t="s">
        <v>1135</v>
      </c>
      <c r="F98" s="742">
        <v>1002596003.7767639</v>
      </c>
      <c r="G98" s="547"/>
      <c r="H98" s="648"/>
      <c r="I98" s="982"/>
      <c r="L98" s="196"/>
      <c r="M98" s="374"/>
    </row>
    <row r="99" spans="1:13" ht="12.75">
      <c r="A99" s="412"/>
      <c r="B99" s="408"/>
      <c r="C99" s="1346" t="s">
        <v>631</v>
      </c>
      <c r="D99" s="408" t="s">
        <v>85</v>
      </c>
      <c r="E99" s="1110" t="s">
        <v>1135</v>
      </c>
      <c r="F99" s="742">
        <v>1007212536.6986476</v>
      </c>
      <c r="G99" s="547"/>
      <c r="H99" s="648"/>
      <c r="I99" s="982"/>
      <c r="L99" s="196"/>
      <c r="M99" s="374"/>
    </row>
    <row r="100" spans="1:13" ht="15">
      <c r="A100" s="412"/>
      <c r="B100" s="438"/>
      <c r="C100" s="1347" t="s">
        <v>711</v>
      </c>
      <c r="D100" s="101" t="s">
        <v>740</v>
      </c>
      <c r="E100" s="797" t="s">
        <v>1135</v>
      </c>
      <c r="F100" s="801">
        <v>1010875039</v>
      </c>
      <c r="G100" s="771">
        <f>+F100</f>
        <v>1010875039</v>
      </c>
      <c r="H100" s="648"/>
      <c r="I100" s="982"/>
      <c r="L100" s="904"/>
      <c r="M100" s="405"/>
    </row>
    <row r="101" spans="1:13" ht="12.75">
      <c r="A101" s="412"/>
      <c r="B101" s="408"/>
      <c r="C101" s="1348" t="s">
        <v>1</v>
      </c>
      <c r="D101" s="408"/>
      <c r="E101" s="416"/>
      <c r="F101" s="447">
        <f>AVERAGE(F88:F100)</f>
        <v>981550212.0274975</v>
      </c>
      <c r="G101" s="361">
        <f>+G100</f>
        <v>1010875039</v>
      </c>
      <c r="H101" s="408"/>
      <c r="I101" s="196"/>
      <c r="L101" s="196"/>
      <c r="M101" s="374"/>
    </row>
    <row r="102" spans="1:13" ht="12.75">
      <c r="A102" s="412"/>
      <c r="B102" s="419"/>
      <c r="C102" s="1346"/>
      <c r="D102" s="408"/>
      <c r="E102" s="415"/>
      <c r="F102" s="428"/>
      <c r="G102" s="547"/>
      <c r="H102" s="751"/>
      <c r="I102" s="752"/>
      <c r="J102" s="408"/>
      <c r="K102" s="373"/>
      <c r="L102" s="373"/>
      <c r="M102" s="374"/>
    </row>
    <row r="103" spans="1:13" ht="12.75">
      <c r="A103" s="412"/>
      <c r="B103" s="438"/>
      <c r="C103" s="1345" t="s">
        <v>745</v>
      </c>
      <c r="D103" s="408" t="s">
        <v>718</v>
      </c>
      <c r="E103" s="379"/>
      <c r="F103" s="405"/>
      <c r="G103" s="408"/>
      <c r="H103" s="751"/>
      <c r="I103" s="753"/>
      <c r="J103" s="373"/>
      <c r="K103" s="373"/>
      <c r="L103" s="373"/>
      <c r="M103" s="374"/>
    </row>
    <row r="104" spans="1:13" ht="15">
      <c r="A104" s="372"/>
      <c r="B104" s="408"/>
      <c r="C104" s="246" t="s">
        <v>711</v>
      </c>
      <c r="D104" s="41" t="s">
        <v>194</v>
      </c>
      <c r="E104" s="1110" t="s">
        <v>1010</v>
      </c>
      <c r="F104" s="1111">
        <v>246084021</v>
      </c>
      <c r="G104" s="408"/>
      <c r="H104" s="1112"/>
      <c r="I104" s="292"/>
      <c r="J104" s="373"/>
      <c r="K104" s="373"/>
      <c r="L104" s="373"/>
      <c r="M104" s="374"/>
    </row>
    <row r="105" spans="1:13" ht="15">
      <c r="A105" s="412"/>
      <c r="B105" s="408"/>
      <c r="C105" s="1347" t="s">
        <v>711</v>
      </c>
      <c r="D105" s="101" t="s">
        <v>494</v>
      </c>
      <c r="E105" s="797" t="s">
        <v>1135</v>
      </c>
      <c r="F105" s="801">
        <v>280681159</v>
      </c>
      <c r="G105" s="771">
        <f>+F105</f>
        <v>280681159</v>
      </c>
      <c r="H105" s="1398"/>
      <c r="I105" s="1348"/>
      <c r="J105" s="408"/>
      <c r="K105" s="408"/>
      <c r="L105" s="408"/>
      <c r="M105" s="405"/>
    </row>
    <row r="106" spans="1:13" ht="12.75">
      <c r="A106" s="412">
        <f>'Appendix A'!A47</f>
        <v>26</v>
      </c>
      <c r="B106" s="408"/>
      <c r="C106" s="1348" t="str">
        <f>'Appendix A'!C47</f>
        <v>Accumulated Intangible Depreciation</v>
      </c>
      <c r="D106" s="408"/>
      <c r="E106" s="416"/>
      <c r="F106" s="447">
        <f>AVERAGE(F104:F105)</f>
        <v>263382590</v>
      </c>
      <c r="G106" s="361">
        <f>+G105</f>
        <v>280681159</v>
      </c>
      <c r="H106" s="751"/>
      <c r="I106" s="753"/>
      <c r="J106" s="373"/>
      <c r="K106" s="373"/>
      <c r="L106" s="373"/>
      <c r="M106" s="374"/>
    </row>
    <row r="107" spans="1:13" ht="12.75">
      <c r="A107" s="412"/>
      <c r="B107" s="408"/>
      <c r="C107" s="1346"/>
      <c r="D107" s="408"/>
      <c r="E107" s="711"/>
      <c r="F107" s="429"/>
      <c r="G107" s="547"/>
      <c r="H107" s="752"/>
      <c r="I107" s="752"/>
      <c r="J107" s="406"/>
      <c r="K107" s="373"/>
      <c r="L107" s="373"/>
      <c r="M107" s="374"/>
    </row>
    <row r="108" spans="1:13" ht="12.75">
      <c r="A108" s="412"/>
      <c r="B108" s="438"/>
      <c r="C108" s="1345" t="s">
        <v>746</v>
      </c>
      <c r="D108" s="408" t="s">
        <v>718</v>
      </c>
      <c r="E108" s="356"/>
      <c r="F108" s="405"/>
      <c r="G108" s="408"/>
      <c r="H108" s="291"/>
      <c r="I108" s="408"/>
      <c r="J108" s="408"/>
      <c r="K108" s="373"/>
      <c r="L108" s="373"/>
      <c r="M108" s="374"/>
    </row>
    <row r="109" spans="1:13" ht="15">
      <c r="A109" s="372"/>
      <c r="B109" s="408"/>
      <c r="C109" s="246" t="s">
        <v>711</v>
      </c>
      <c r="D109" s="41" t="s">
        <v>196</v>
      </c>
      <c r="E109" s="1110" t="s">
        <v>1010</v>
      </c>
      <c r="F109" s="800">
        <v>160768700</v>
      </c>
      <c r="G109" s="408"/>
      <c r="H109" s="648"/>
      <c r="I109" s="753"/>
      <c r="J109" s="373"/>
      <c r="K109" s="373"/>
      <c r="L109" s="373"/>
      <c r="M109" s="374"/>
    </row>
    <row r="110" spans="1:13" ht="15">
      <c r="A110" s="412"/>
      <c r="B110" s="408"/>
      <c r="C110" s="1347" t="s">
        <v>711</v>
      </c>
      <c r="D110" s="101" t="s">
        <v>197</v>
      </c>
      <c r="E110" s="797" t="s">
        <v>1135</v>
      </c>
      <c r="F110" s="801">
        <v>166371951</v>
      </c>
      <c r="G110" s="771">
        <f>+F110</f>
        <v>166371951</v>
      </c>
      <c r="H110" s="648"/>
      <c r="I110" s="968"/>
      <c r="J110" s="376"/>
      <c r="K110" s="373"/>
      <c r="L110" s="373"/>
      <c r="M110" s="405"/>
    </row>
    <row r="111" spans="1:13" ht="12.75">
      <c r="A111" s="412">
        <f>'Appendix A'!A46</f>
        <v>25</v>
      </c>
      <c r="B111" s="408"/>
      <c r="C111" s="1348" t="str">
        <f>'Appendix A'!C46</f>
        <v>Accumulated General Depreciation</v>
      </c>
      <c r="D111" s="408"/>
      <c r="E111" s="416"/>
      <c r="F111" s="447">
        <f>AVERAGE(F109:F110)</f>
        <v>163570325.5</v>
      </c>
      <c r="G111" s="361">
        <f>+G110</f>
        <v>166371951</v>
      </c>
      <c r="H111" s="648"/>
      <c r="I111" s="752"/>
      <c r="J111" s="373"/>
      <c r="K111" s="373"/>
      <c r="L111" s="373"/>
      <c r="M111" s="374"/>
    </row>
    <row r="112" spans="1:13" ht="12.75">
      <c r="A112" s="412"/>
      <c r="B112" s="438"/>
      <c r="C112" s="1346"/>
      <c r="D112" s="430"/>
      <c r="E112" s="416"/>
      <c r="F112" s="432"/>
      <c r="G112" s="408"/>
      <c r="H112" s="648"/>
      <c r="I112" s="752"/>
      <c r="J112" s="373"/>
      <c r="K112" s="373"/>
      <c r="L112" s="373"/>
      <c r="M112" s="405"/>
    </row>
    <row r="113" spans="1:13" ht="12.75">
      <c r="A113" s="412"/>
      <c r="B113" s="438"/>
      <c r="C113" s="1345" t="s">
        <v>737</v>
      </c>
      <c r="D113" s="408" t="s">
        <v>718</v>
      </c>
      <c r="E113" s="356"/>
      <c r="F113" s="405"/>
      <c r="G113" s="408"/>
      <c r="H113" s="648"/>
      <c r="I113" s="753"/>
      <c r="J113" s="373"/>
      <c r="K113" s="373"/>
      <c r="L113" s="373"/>
      <c r="M113" s="374"/>
    </row>
    <row r="114" spans="1:13" ht="15">
      <c r="A114" s="412"/>
      <c r="B114" s="408"/>
      <c r="C114" s="246" t="s">
        <v>711</v>
      </c>
      <c r="D114" s="41" t="s">
        <v>196</v>
      </c>
      <c r="E114" s="1110" t="s">
        <v>1010</v>
      </c>
      <c r="F114" s="742">
        <v>0</v>
      </c>
      <c r="G114" s="408"/>
      <c r="H114" s="648"/>
      <c r="I114" s="752"/>
      <c r="J114" s="373"/>
      <c r="K114" s="373"/>
      <c r="L114" s="373"/>
      <c r="M114" s="374"/>
    </row>
    <row r="115" spans="1:13" ht="12.75">
      <c r="A115" s="412"/>
      <c r="B115" s="408"/>
      <c r="C115" s="1346" t="s">
        <v>712</v>
      </c>
      <c r="D115" s="408" t="s">
        <v>85</v>
      </c>
      <c r="E115" s="1110" t="s">
        <v>1135</v>
      </c>
      <c r="F115" s="742">
        <v>0</v>
      </c>
      <c r="G115" s="408"/>
      <c r="H115" s="408"/>
      <c r="I115" s="408"/>
      <c r="J115" s="408"/>
      <c r="K115" s="408"/>
      <c r="L115" s="408"/>
      <c r="M115" s="374"/>
    </row>
    <row r="116" spans="1:13" ht="12.75">
      <c r="A116" s="412"/>
      <c r="B116" s="408"/>
      <c r="C116" s="1346" t="s">
        <v>713</v>
      </c>
      <c r="D116" s="408" t="s">
        <v>85</v>
      </c>
      <c r="E116" s="1110" t="s">
        <v>1135</v>
      </c>
      <c r="F116" s="742">
        <v>0</v>
      </c>
      <c r="G116" s="408"/>
      <c r="H116" s="408"/>
      <c r="I116" s="408"/>
      <c r="J116" s="373"/>
      <c r="K116" s="373"/>
      <c r="L116" s="373"/>
      <c r="M116" s="374"/>
    </row>
    <row r="117" spans="1:13" ht="12.75">
      <c r="A117" s="412"/>
      <c r="B117" s="408"/>
      <c r="C117" s="1346" t="s">
        <v>216</v>
      </c>
      <c r="D117" s="408" t="s">
        <v>85</v>
      </c>
      <c r="E117" s="1110" t="s">
        <v>1135</v>
      </c>
      <c r="F117" s="742">
        <v>0</v>
      </c>
      <c r="G117" s="408"/>
      <c r="H117" s="196"/>
      <c r="I117" s="196"/>
      <c r="M117" s="374"/>
    </row>
    <row r="118" spans="1:13" ht="12.75">
      <c r="A118" s="412"/>
      <c r="B118" s="408"/>
      <c r="C118" s="1346" t="s">
        <v>598</v>
      </c>
      <c r="D118" s="408" t="s">
        <v>85</v>
      </c>
      <c r="E118" s="1110" t="s">
        <v>1135</v>
      </c>
      <c r="F118" s="742">
        <v>0</v>
      </c>
      <c r="G118" s="408"/>
      <c r="H118" s="196"/>
      <c r="I118" s="196"/>
      <c r="M118" s="374"/>
    </row>
    <row r="119" spans="1:13" ht="12.75">
      <c r="A119" s="412"/>
      <c r="B119" s="408"/>
      <c r="C119" s="1346" t="s">
        <v>599</v>
      </c>
      <c r="D119" s="408" t="s">
        <v>85</v>
      </c>
      <c r="E119" s="1110" t="s">
        <v>1135</v>
      </c>
      <c r="F119" s="742">
        <v>0</v>
      </c>
      <c r="G119" s="408"/>
      <c r="H119" s="196"/>
      <c r="I119" s="196"/>
      <c r="M119" s="374"/>
    </row>
    <row r="120" spans="1:13" ht="12.75">
      <c r="A120" s="412"/>
      <c r="B120" s="408"/>
      <c r="C120" s="1346" t="s">
        <v>714</v>
      </c>
      <c r="D120" s="408" t="s">
        <v>85</v>
      </c>
      <c r="E120" s="1110" t="s">
        <v>1135</v>
      </c>
      <c r="F120" s="742">
        <v>0</v>
      </c>
      <c r="G120" s="408"/>
      <c r="H120" s="196"/>
      <c r="I120" s="196"/>
      <c r="M120" s="374"/>
    </row>
    <row r="121" spans="1:13" ht="12.75">
      <c r="A121" s="412"/>
      <c r="B121" s="408"/>
      <c r="C121" s="1346" t="s">
        <v>715</v>
      </c>
      <c r="D121" s="408" t="s">
        <v>85</v>
      </c>
      <c r="E121" s="1110" t="s">
        <v>1135</v>
      </c>
      <c r="F121" s="742">
        <v>0</v>
      </c>
      <c r="G121" s="408"/>
      <c r="H121" s="196"/>
      <c r="I121" s="196"/>
      <c r="M121" s="374"/>
    </row>
    <row r="122" spans="1:13" ht="12.75">
      <c r="A122" s="412"/>
      <c r="B122" s="408"/>
      <c r="C122" s="1346" t="s">
        <v>716</v>
      </c>
      <c r="D122" s="408" t="s">
        <v>85</v>
      </c>
      <c r="E122" s="1110" t="s">
        <v>1135</v>
      </c>
      <c r="F122" s="742">
        <v>0</v>
      </c>
      <c r="G122" s="408"/>
      <c r="H122" s="196"/>
      <c r="I122" s="196"/>
      <c r="M122" s="374"/>
    </row>
    <row r="123" spans="1:13" ht="12.75">
      <c r="A123" s="412"/>
      <c r="B123" s="408"/>
      <c r="C123" s="1346" t="s">
        <v>717</v>
      </c>
      <c r="D123" s="408" t="s">
        <v>85</v>
      </c>
      <c r="E123" s="1110" t="s">
        <v>1135</v>
      </c>
      <c r="F123" s="742">
        <v>0</v>
      </c>
      <c r="G123" s="408"/>
      <c r="H123" s="196"/>
      <c r="I123" s="196"/>
      <c r="M123" s="374"/>
    </row>
    <row r="124" spans="1:13" ht="12.75">
      <c r="A124" s="412"/>
      <c r="B124" s="408"/>
      <c r="C124" s="1346" t="s">
        <v>630</v>
      </c>
      <c r="D124" s="408" t="s">
        <v>85</v>
      </c>
      <c r="E124" s="1110" t="s">
        <v>1135</v>
      </c>
      <c r="F124" s="742">
        <v>0</v>
      </c>
      <c r="G124" s="408"/>
      <c r="H124" s="196"/>
      <c r="I124" s="196"/>
      <c r="M124" s="374"/>
    </row>
    <row r="125" spans="1:13" ht="12.75">
      <c r="A125" s="372"/>
      <c r="B125" s="408"/>
      <c r="C125" s="1346" t="s">
        <v>631</v>
      </c>
      <c r="D125" s="408" t="s">
        <v>85</v>
      </c>
      <c r="E125" s="1110" t="s">
        <v>1135</v>
      </c>
      <c r="F125" s="800">
        <v>0</v>
      </c>
      <c r="G125" s="547"/>
      <c r="H125" s="196"/>
      <c r="I125" s="196"/>
      <c r="M125" s="374"/>
    </row>
    <row r="126" spans="1:13" ht="15">
      <c r="A126" s="412"/>
      <c r="B126" s="408"/>
      <c r="C126" s="1347" t="s">
        <v>711</v>
      </c>
      <c r="D126" s="101" t="s">
        <v>739</v>
      </c>
      <c r="E126" s="797" t="s">
        <v>1135</v>
      </c>
      <c r="F126" s="802">
        <v>0</v>
      </c>
      <c r="G126" s="771">
        <f>+F126</f>
        <v>0</v>
      </c>
      <c r="H126" s="196"/>
      <c r="I126" s="408"/>
      <c r="J126" s="370"/>
      <c r="K126" s="370"/>
      <c r="L126" s="370"/>
      <c r="M126" s="405"/>
    </row>
    <row r="127" spans="1:13" ht="12.75">
      <c r="A127" s="412"/>
      <c r="B127" s="408"/>
      <c r="C127" s="1348" t="s">
        <v>743</v>
      </c>
      <c r="D127" s="408"/>
      <c r="E127" s="416"/>
      <c r="F127" s="447">
        <f>AVERAGE(F125:F126)</f>
        <v>0</v>
      </c>
      <c r="G127" s="361">
        <f>+G126</f>
        <v>0</v>
      </c>
      <c r="H127" s="408"/>
      <c r="I127" s="370"/>
      <c r="J127" s="373"/>
      <c r="K127" s="373"/>
      <c r="L127" s="373"/>
      <c r="M127" s="374"/>
    </row>
    <row r="128" spans="1:13" ht="12.75">
      <c r="A128" s="412"/>
      <c r="B128" s="408"/>
      <c r="C128" s="1346"/>
      <c r="D128" s="408"/>
      <c r="E128" s="415"/>
      <c r="F128" s="428"/>
      <c r="G128" s="547"/>
      <c r="H128" s="356"/>
      <c r="I128" s="375"/>
      <c r="J128" s="373"/>
      <c r="K128" s="373"/>
      <c r="L128" s="373"/>
      <c r="M128" s="374"/>
    </row>
    <row r="129" spans="1:13" ht="12.75">
      <c r="A129" s="412"/>
      <c r="B129" s="438"/>
      <c r="C129" s="1345" t="s">
        <v>2</v>
      </c>
      <c r="D129" s="408" t="s">
        <v>718</v>
      </c>
      <c r="E129" s="356"/>
      <c r="F129" s="405"/>
      <c r="G129" s="393"/>
      <c r="H129" s="408"/>
      <c r="I129" s="370"/>
      <c r="J129" s="373"/>
      <c r="K129" s="373"/>
      <c r="L129" s="373"/>
      <c r="M129" s="374"/>
    </row>
    <row r="130" spans="1:13" ht="15">
      <c r="A130" s="412"/>
      <c r="B130" s="408"/>
      <c r="C130" s="246" t="s">
        <v>733</v>
      </c>
      <c r="D130" s="41" t="s">
        <v>303</v>
      </c>
      <c r="E130" s="1110" t="s">
        <v>1010</v>
      </c>
      <c r="F130" s="800">
        <v>0</v>
      </c>
      <c r="G130" s="547"/>
      <c r="H130" s="356"/>
      <c r="I130" s="647"/>
      <c r="J130" s="373"/>
      <c r="K130" s="373"/>
      <c r="L130" s="373"/>
      <c r="M130" s="374"/>
    </row>
    <row r="131" spans="1:13" ht="15">
      <c r="A131" s="412"/>
      <c r="B131" s="438"/>
      <c r="C131" s="1347" t="s">
        <v>733</v>
      </c>
      <c r="D131" s="101" t="s">
        <v>303</v>
      </c>
      <c r="E131" s="797" t="s">
        <v>1135</v>
      </c>
      <c r="F131" s="801">
        <v>0</v>
      </c>
      <c r="G131" s="771">
        <f>+F131</f>
        <v>0</v>
      </c>
      <c r="H131" s="356"/>
      <c r="I131" s="406"/>
      <c r="J131" s="373"/>
      <c r="K131" s="373"/>
      <c r="L131" s="373"/>
      <c r="M131" s="374"/>
    </row>
    <row r="132" spans="1:13" ht="12.75">
      <c r="A132" s="412">
        <f>'Appendix A'!A49</f>
        <v>28</v>
      </c>
      <c r="B132" s="370"/>
      <c r="C132" s="369" t="str">
        <f>'Appendix A'!C49</f>
        <v>Common Plant Accumulated Depreciation (Electric Only)</v>
      </c>
      <c r="D132" s="408"/>
      <c r="E132" s="623"/>
      <c r="F132" s="447">
        <f>AVERAGE(F130:F131)</f>
        <v>0</v>
      </c>
      <c r="G132" s="361">
        <f>+G131</f>
        <v>0</v>
      </c>
      <c r="H132" s="379"/>
      <c r="I132" s="406"/>
      <c r="J132" s="373"/>
      <c r="K132" s="373"/>
      <c r="L132" s="373"/>
      <c r="M132" s="374"/>
    </row>
    <row r="133" spans="1:13" ht="12.75">
      <c r="A133" s="412"/>
      <c r="B133" s="370"/>
      <c r="C133" s="1348"/>
      <c r="D133" s="370"/>
      <c r="E133" s="416"/>
      <c r="F133" s="447"/>
      <c r="G133" s="534"/>
      <c r="H133" s="379"/>
      <c r="I133" s="406"/>
      <c r="J133" s="373"/>
      <c r="K133" s="373"/>
      <c r="L133" s="373"/>
      <c r="M133" s="374"/>
    </row>
    <row r="134" spans="1:13" s="397" customFormat="1" ht="13.5" thickBot="1">
      <c r="A134" s="1339">
        <f>'Appendix A'!A16</f>
        <v>7</v>
      </c>
      <c r="B134" s="658"/>
      <c r="C134" s="1349" t="str">
        <f>'Appendix A'!C16</f>
        <v>Total Accumulated Depreciation</v>
      </c>
      <c r="D134" s="659" t="s">
        <v>734</v>
      </c>
      <c r="E134" s="660"/>
      <c r="F134" s="661">
        <f>F85+F101+F106+F111+F127+F132</f>
        <v>1722111432.7984614</v>
      </c>
      <c r="G134" s="662">
        <f>G85+G101+G106+G111+G127+G132</f>
        <v>1779890489</v>
      </c>
      <c r="H134" s="663"/>
      <c r="I134" s="649"/>
      <c r="J134" s="423"/>
      <c r="K134" s="410"/>
      <c r="L134" s="410"/>
      <c r="M134" s="664"/>
    </row>
    <row r="135" spans="1:13" ht="12.75">
      <c r="A135" s="419"/>
      <c r="B135" s="411"/>
      <c r="C135" s="222"/>
      <c r="D135" s="370"/>
      <c r="E135" s="415"/>
      <c r="F135" s="222"/>
      <c r="G135" s="446"/>
      <c r="H135" s="379"/>
      <c r="I135" s="379"/>
      <c r="J135" s="373"/>
      <c r="K135" s="373"/>
      <c r="L135" s="373"/>
      <c r="M135" s="373"/>
    </row>
    <row r="136" spans="1:17" ht="14.25" thickBot="1">
      <c r="A136" s="647" t="s">
        <v>181</v>
      </c>
      <c r="B136" s="476"/>
      <c r="C136" s="333"/>
      <c r="D136" s="477"/>
      <c r="E136" s="478"/>
      <c r="F136" s="479"/>
      <c r="G136" s="202"/>
      <c r="H136" s="202"/>
      <c r="I136" s="202"/>
      <c r="J136" s="202"/>
      <c r="K136" s="202"/>
      <c r="L136" s="202"/>
      <c r="M136" s="202"/>
      <c r="N136" s="202"/>
      <c r="O136" s="202"/>
      <c r="P136" s="202"/>
      <c r="Q136" s="202"/>
    </row>
    <row r="137" spans="1:13" ht="13.5">
      <c r="A137" s="1573" t="s">
        <v>50</v>
      </c>
      <c r="B137" s="1574"/>
      <c r="C137" s="1574"/>
      <c r="D137" s="1574"/>
      <c r="E137" s="1574"/>
      <c r="F137" s="1575"/>
      <c r="G137" s="655" t="s">
        <v>574</v>
      </c>
      <c r="H137" s="656" t="s">
        <v>182</v>
      </c>
      <c r="I137" s="656" t="s">
        <v>183</v>
      </c>
      <c r="J137" s="656" t="s">
        <v>551</v>
      </c>
      <c r="K137" s="465"/>
      <c r="L137" s="487"/>
      <c r="M137" s="488"/>
    </row>
    <row r="138" spans="1:13" ht="13.5">
      <c r="A138" s="480"/>
      <c r="B138" s="1350" t="s">
        <v>425</v>
      </c>
      <c r="C138" s="202"/>
      <c r="D138" s="203"/>
      <c r="E138" s="233"/>
      <c r="F138" s="225"/>
      <c r="G138" s="226"/>
      <c r="H138" s="203"/>
      <c r="I138" s="203"/>
      <c r="J138" s="489"/>
      <c r="K138" s="489"/>
      <c r="L138" s="490"/>
      <c r="M138" s="491"/>
    </row>
    <row r="139" spans="1:13" ht="15.75" customHeight="1">
      <c r="A139" s="480">
        <f>'Appendix A'!A47</f>
        <v>26</v>
      </c>
      <c r="B139" s="202"/>
      <c r="C139" s="1351" t="str">
        <f>'Appendix A'!C47</f>
        <v>Accumulated Intangible Depreciation</v>
      </c>
      <c r="D139" s="292"/>
      <c r="E139" s="408"/>
      <c r="F139" s="969" t="s">
        <v>184</v>
      </c>
      <c r="G139" s="743">
        <v>280681159</v>
      </c>
      <c r="H139" s="505">
        <v>280681159</v>
      </c>
      <c r="I139" s="472"/>
      <c r="J139" s="492"/>
      <c r="K139" s="492"/>
      <c r="L139" s="493"/>
      <c r="M139" s="494"/>
    </row>
    <row r="140" spans="1:13" ht="13.5">
      <c r="A140" s="480">
        <f>'Appendix A'!A48</f>
        <v>27</v>
      </c>
      <c r="B140" s="202"/>
      <c r="C140" s="1351" t="str">
        <f>'Appendix A'!C48</f>
        <v>Accumulated Common Amortization - Electric</v>
      </c>
      <c r="D140" s="484"/>
      <c r="E140" s="408"/>
      <c r="F140" s="970" t="s">
        <v>303</v>
      </c>
      <c r="G140" s="743">
        <v>0</v>
      </c>
      <c r="H140" s="851">
        <v>0</v>
      </c>
      <c r="I140" s="472"/>
      <c r="J140" s="492"/>
      <c r="K140" s="492"/>
      <c r="L140" s="493"/>
      <c r="M140" s="494"/>
    </row>
    <row r="141" spans="1:13" ht="13.5">
      <c r="A141" s="480">
        <f>'Appendix A'!A49</f>
        <v>28</v>
      </c>
      <c r="B141" s="202"/>
      <c r="C141" s="1351" t="str">
        <f>'Appendix A'!C49</f>
        <v>Common Plant Accumulated Depreciation (Electric Only)</v>
      </c>
      <c r="D141" s="484"/>
      <c r="E141" s="408"/>
      <c r="F141" s="970" t="s">
        <v>303</v>
      </c>
      <c r="G141" s="743">
        <v>0</v>
      </c>
      <c r="H141" s="851">
        <v>0</v>
      </c>
      <c r="I141" s="472"/>
      <c r="J141" s="492"/>
      <c r="K141" s="492"/>
      <c r="L141" s="493"/>
      <c r="M141" s="494"/>
    </row>
    <row r="142" spans="1:13" ht="13.5">
      <c r="A142" s="480"/>
      <c r="B142" s="1350" t="s">
        <v>385</v>
      </c>
      <c r="C142" s="202"/>
      <c r="D142" s="484"/>
      <c r="E142" s="481"/>
      <c r="F142" s="482"/>
      <c r="G142" s="226"/>
      <c r="H142" s="203"/>
      <c r="I142" s="204"/>
      <c r="J142" s="469"/>
      <c r="K142" s="469"/>
      <c r="L142" s="470"/>
      <c r="M142" s="471"/>
    </row>
    <row r="143" spans="1:13" ht="13.5">
      <c r="A143" s="480">
        <f>'Appendix A'!A33</f>
        <v>17</v>
      </c>
      <c r="B143" s="1352"/>
      <c r="C143" s="1351" t="str">
        <f>'Appendix A'!C33</f>
        <v>Common Plant (Electric Only)</v>
      </c>
      <c r="D143" s="335"/>
      <c r="E143" s="408"/>
      <c r="F143" s="970" t="s">
        <v>303</v>
      </c>
      <c r="G143" s="853">
        <v>0</v>
      </c>
      <c r="H143" s="851">
        <v>0</v>
      </c>
      <c r="I143" s="472"/>
      <c r="J143" s="495"/>
      <c r="K143" s="495"/>
      <c r="L143" s="496"/>
      <c r="M143" s="497"/>
    </row>
    <row r="144" spans="1:13" ht="13.5">
      <c r="A144" s="480"/>
      <c r="B144" s="1353" t="s">
        <v>330</v>
      </c>
      <c r="C144" s="1351"/>
      <c r="D144" s="645"/>
      <c r="E144" s="644"/>
      <c r="F144" s="483"/>
      <c r="G144" s="226"/>
      <c r="H144" s="203"/>
      <c r="I144" s="204"/>
      <c r="J144" s="469"/>
      <c r="K144" s="469"/>
      <c r="L144" s="470"/>
      <c r="M144" s="471"/>
    </row>
    <row r="145" spans="1:14" ht="15.75" customHeight="1">
      <c r="A145" s="480">
        <f>'Appendix A'!A78</f>
        <v>42</v>
      </c>
      <c r="B145" s="202"/>
      <c r="C145" s="1351" t="str">
        <f>'Appendix A'!C78</f>
        <v>Undistributed Stores Exp</v>
      </c>
      <c r="D145" s="647"/>
      <c r="E145" s="408"/>
      <c r="F145" s="485" t="s">
        <v>198</v>
      </c>
      <c r="G145" s="743">
        <v>951433</v>
      </c>
      <c r="H145" s="505">
        <v>951433</v>
      </c>
      <c r="I145" s="472"/>
      <c r="J145" s="498"/>
      <c r="K145" s="498"/>
      <c r="L145" s="493"/>
      <c r="M145" s="494"/>
      <c r="N145" s="292"/>
    </row>
    <row r="146" spans="1:13" ht="13.5">
      <c r="A146" s="480"/>
      <c r="B146" s="1350" t="s">
        <v>321</v>
      </c>
      <c r="C146" s="1351"/>
      <c r="D146" s="645"/>
      <c r="E146" s="646"/>
      <c r="F146" s="485"/>
      <c r="G146" s="226"/>
      <c r="H146" s="203"/>
      <c r="I146" s="204"/>
      <c r="J146" s="469"/>
      <c r="K146" s="469"/>
      <c r="L146" s="470"/>
      <c r="M146" s="471"/>
    </row>
    <row r="147" spans="1:13" ht="13.5">
      <c r="A147" s="480">
        <f>'Appendix A'!A100</f>
        <v>55</v>
      </c>
      <c r="B147" s="1350"/>
      <c r="C147" s="1351" t="str">
        <f>'Appendix A'!C100</f>
        <v>     Plus Net Transmission Lease Payments</v>
      </c>
      <c r="D147" s="947"/>
      <c r="E147" s="408"/>
      <c r="F147" s="485" t="s">
        <v>269</v>
      </c>
      <c r="G147" s="853">
        <v>0</v>
      </c>
      <c r="H147" s="853">
        <v>0</v>
      </c>
      <c r="I147" s="204"/>
      <c r="J147" s="469"/>
      <c r="K147" s="469"/>
      <c r="L147" s="470"/>
      <c r="M147" s="471"/>
    </row>
    <row r="148" spans="1:13" ht="13.5">
      <c r="A148" s="480">
        <f>'Appendix A'!A104</f>
        <v>57</v>
      </c>
      <c r="B148" s="1352"/>
      <c r="C148" s="1351" t="str">
        <f>'Appendix A'!C104</f>
        <v>Common Plant O&amp;M</v>
      </c>
      <c r="D148" s="645"/>
      <c r="E148" s="408"/>
      <c r="F148" s="970" t="s">
        <v>303</v>
      </c>
      <c r="G148" s="853">
        <v>0</v>
      </c>
      <c r="H148" s="1397">
        <v>0</v>
      </c>
      <c r="I148" s="472"/>
      <c r="J148" s="492"/>
      <c r="K148" s="492"/>
      <c r="L148" s="493"/>
      <c r="M148" s="494"/>
    </row>
    <row r="149" spans="1:18" ht="13.5">
      <c r="A149" s="480"/>
      <c r="B149" s="1353" t="s">
        <v>299</v>
      </c>
      <c r="C149" s="1351"/>
      <c r="D149" s="484"/>
      <c r="E149" s="905"/>
      <c r="F149" s="485"/>
      <c r="G149" s="645"/>
      <c r="H149" s="204"/>
      <c r="I149" s="204"/>
      <c r="J149" s="499"/>
      <c r="K149" s="499"/>
      <c r="L149" s="499"/>
      <c r="M149" s="500"/>
      <c r="O149" s="892"/>
      <c r="P149" s="892"/>
      <c r="Q149" s="892"/>
      <c r="R149" s="892"/>
    </row>
    <row r="150" spans="1:18" ht="15.75" customHeight="1">
      <c r="A150" s="480">
        <f>'Appendix A'!A137</f>
        <v>80</v>
      </c>
      <c r="B150" s="1354"/>
      <c r="C150" s="1351" t="str">
        <f>'Appendix A'!C137</f>
        <v>Intangible Amortization</v>
      </c>
      <c r="D150" s="196"/>
      <c r="E150" s="408"/>
      <c r="F150" s="970" t="s">
        <v>545</v>
      </c>
      <c r="G150" s="743">
        <v>57171606</v>
      </c>
      <c r="H150" s="505">
        <v>57171606</v>
      </c>
      <c r="I150" s="204"/>
      <c r="J150" s="492"/>
      <c r="K150" s="492"/>
      <c r="L150" s="493"/>
      <c r="M150" s="494"/>
      <c r="O150" s="891"/>
      <c r="P150" s="891"/>
      <c r="Q150" s="891"/>
      <c r="R150" s="891"/>
    </row>
    <row r="151" spans="1:18" ht="13.5">
      <c r="A151" s="480">
        <f>'Appendix A'!A142</f>
        <v>84</v>
      </c>
      <c r="B151" s="1354"/>
      <c r="C151" s="1351" t="str">
        <f>'Appendix A'!C142</f>
        <v>Common Depreciation - Electric Only</v>
      </c>
      <c r="D151" s="484"/>
      <c r="E151" s="408"/>
      <c r="F151" s="970" t="s">
        <v>455</v>
      </c>
      <c r="G151" s="743">
        <v>0</v>
      </c>
      <c r="H151" s="850">
        <v>0</v>
      </c>
      <c r="I151" s="472"/>
      <c r="J151" s="475"/>
      <c r="K151" s="475"/>
      <c r="L151" s="475"/>
      <c r="M151" s="501"/>
      <c r="O151" s="891"/>
      <c r="P151" s="891"/>
      <c r="Q151" s="891"/>
      <c r="R151" s="891"/>
    </row>
    <row r="152" spans="1:18" ht="14.25" thickBot="1">
      <c r="A152" s="1340">
        <f>'Appendix A'!A143</f>
        <v>85</v>
      </c>
      <c r="B152" s="1355"/>
      <c r="C152" s="1356" t="str">
        <f>'Appendix A'!C143</f>
        <v>Common Amortization - Electric Only</v>
      </c>
      <c r="D152" s="486"/>
      <c r="E152" s="486"/>
      <c r="F152" s="971" t="s">
        <v>454</v>
      </c>
      <c r="G152" s="506">
        <v>0</v>
      </c>
      <c r="H152" s="852">
        <v>0</v>
      </c>
      <c r="I152" s="1439"/>
      <c r="J152" s="502"/>
      <c r="K152" s="502"/>
      <c r="L152" s="502"/>
      <c r="M152" s="503"/>
      <c r="O152" s="891"/>
      <c r="P152" s="891"/>
      <c r="Q152" s="891"/>
      <c r="R152" s="891"/>
    </row>
    <row r="153" spans="1:17" ht="15">
      <c r="A153" s="224"/>
      <c r="B153" s="473"/>
      <c r="C153" s="466"/>
      <c r="D153" s="223"/>
      <c r="E153" s="467"/>
      <c r="F153" s="474"/>
      <c r="G153" s="468"/>
      <c r="H153" s="472"/>
      <c r="I153" s="468"/>
      <c r="J153" s="475"/>
      <c r="K153" s="475"/>
      <c r="L153" s="475"/>
      <c r="M153" s="475"/>
      <c r="N153" s="475"/>
      <c r="O153" s="475"/>
      <c r="P153" s="475"/>
      <c r="Q153" s="475"/>
    </row>
    <row r="154" ht="13.5" thickBot="1">
      <c r="A154" s="647" t="s">
        <v>626</v>
      </c>
    </row>
    <row r="155" spans="1:13" ht="50.25" customHeight="1" thickBot="1">
      <c r="A155" s="1576" t="s">
        <v>50</v>
      </c>
      <c r="B155" s="1577"/>
      <c r="C155" s="1577"/>
      <c r="D155" s="1577"/>
      <c r="E155" s="1577"/>
      <c r="F155" s="1578"/>
      <c r="G155" s="726" t="s">
        <v>707</v>
      </c>
      <c r="H155" s="657" t="s">
        <v>706</v>
      </c>
      <c r="I155" s="657" t="s">
        <v>478</v>
      </c>
      <c r="J155" s="1558" t="s">
        <v>551</v>
      </c>
      <c r="K155" s="1558"/>
      <c r="L155" s="1558"/>
      <c r="M155" s="1559"/>
    </row>
    <row r="156" spans="1:13" ht="12.75">
      <c r="A156" s="1341">
        <f>+'Appendix A'!A68</f>
        <v>38</v>
      </c>
      <c r="B156" s="438"/>
      <c r="C156" s="1357" t="str">
        <f>+'Appendix A'!B68</f>
        <v>Plant Held for Future Use </v>
      </c>
      <c r="D156" s="992"/>
      <c r="E156" s="1440" t="s">
        <v>464</v>
      </c>
      <c r="F156" s="395" t="s">
        <v>436</v>
      </c>
      <c r="G156" s="853">
        <v>0</v>
      </c>
      <c r="H156" s="853">
        <v>0</v>
      </c>
      <c r="I156" s="853">
        <f>H156</f>
        <v>0</v>
      </c>
      <c r="J156" s="772"/>
      <c r="K156" s="373"/>
      <c r="L156" s="373"/>
      <c r="M156" s="374"/>
    </row>
    <row r="157" spans="1:13" ht="12.75">
      <c r="A157" s="545"/>
      <c r="B157" s="546"/>
      <c r="C157" s="546"/>
      <c r="D157" s="546"/>
      <c r="E157" s="291"/>
      <c r="F157" s="418" t="s">
        <v>621</v>
      </c>
      <c r="G157" s="853">
        <v>0</v>
      </c>
      <c r="H157" s="853">
        <v>0</v>
      </c>
      <c r="I157" s="853"/>
      <c r="J157" s="772"/>
      <c r="K157" s="373"/>
      <c r="L157" s="373"/>
      <c r="M157" s="374"/>
    </row>
    <row r="158" spans="1:13" ht="13.5" thickBot="1">
      <c r="A158" s="396"/>
      <c r="B158" s="397"/>
      <c r="C158" s="397"/>
      <c r="D158" s="397"/>
      <c r="E158" s="397"/>
      <c r="F158" s="426" t="s">
        <v>575</v>
      </c>
      <c r="G158" s="854">
        <f>G156-G157</f>
        <v>0</v>
      </c>
      <c r="H158" s="855">
        <f>H156-H157</f>
        <v>0</v>
      </c>
      <c r="I158" s="856">
        <f>+(G158+H158)/2</f>
        <v>0</v>
      </c>
      <c r="J158" s="1560"/>
      <c r="K158" s="1560"/>
      <c r="L158" s="1560"/>
      <c r="M158" s="1561"/>
    </row>
    <row r="159" spans="1:13" ht="12.75">
      <c r="A159" s="419"/>
      <c r="B159" s="419"/>
      <c r="C159" s="417"/>
      <c r="D159" s="427"/>
      <c r="E159" s="415"/>
      <c r="F159" s="222"/>
      <c r="G159" s="375"/>
      <c r="H159" s="375"/>
      <c r="I159" s="375"/>
      <c r="J159" s="373"/>
      <c r="K159" s="373"/>
      <c r="L159" s="373"/>
      <c r="M159" s="373"/>
    </row>
    <row r="160" ht="13.5" thickBot="1">
      <c r="A160" s="647" t="s">
        <v>644</v>
      </c>
    </row>
    <row r="161" spans="1:13" ht="61.5" customHeight="1" thickBot="1">
      <c r="A161" s="1576" t="s">
        <v>50</v>
      </c>
      <c r="B161" s="1577"/>
      <c r="C161" s="1577"/>
      <c r="D161" s="1577"/>
      <c r="E161" s="1577"/>
      <c r="F161" s="1578"/>
      <c r="G161" s="657" t="s">
        <v>574</v>
      </c>
      <c r="H161" s="657" t="s">
        <v>622</v>
      </c>
      <c r="I161" s="657" t="s">
        <v>576</v>
      </c>
      <c r="J161" s="1558" t="s">
        <v>551</v>
      </c>
      <c r="K161" s="1558"/>
      <c r="L161" s="1558"/>
      <c r="M161" s="1559"/>
    </row>
    <row r="162" spans="1:13" ht="12.75">
      <c r="A162" s="412"/>
      <c r="B162" s="349" t="s">
        <v>425</v>
      </c>
      <c r="C162" s="1346"/>
      <c r="D162" s="264"/>
      <c r="E162" s="379"/>
      <c r="F162" s="381"/>
      <c r="G162" s="264"/>
      <c r="H162" s="264"/>
      <c r="I162" s="264"/>
      <c r="J162" s="1566"/>
      <c r="K162" s="1566"/>
      <c r="L162" s="1566"/>
      <c r="M162" s="1567"/>
    </row>
    <row r="163" spans="1:13" ht="12.75">
      <c r="A163" s="412">
        <f>'Appendix A'!A15</f>
        <v>6</v>
      </c>
      <c r="C163" s="1346" t="str">
        <f>'Appendix A'!C15</f>
        <v>Total Plant In Service</v>
      </c>
      <c r="D163" s="408"/>
      <c r="E163" s="1441"/>
      <c r="F163" s="418" t="s">
        <v>466</v>
      </c>
      <c r="G163" s="743">
        <v>5342967697</v>
      </c>
      <c r="H163" s="356"/>
      <c r="I163" s="375"/>
      <c r="J163" s="1569"/>
      <c r="K163" s="1569"/>
      <c r="L163" s="1569"/>
      <c r="M163" s="1570"/>
    </row>
    <row r="164" spans="1:13" ht="12.75">
      <c r="A164" s="412"/>
      <c r="B164" s="349" t="s">
        <v>385</v>
      </c>
      <c r="C164" s="1346"/>
      <c r="D164" s="408"/>
      <c r="E164" s="1442"/>
      <c r="F164" s="418"/>
      <c r="G164" s="380"/>
      <c r="H164" s="291"/>
      <c r="I164" s="264"/>
      <c r="J164" s="1569"/>
      <c r="K164" s="1569"/>
      <c r="L164" s="1569"/>
      <c r="M164" s="1570"/>
    </row>
    <row r="165" spans="1:13" ht="12.75">
      <c r="A165" s="412">
        <f>+'Appendix A'!A28</f>
        <v>13</v>
      </c>
      <c r="B165" s="535"/>
      <c r="C165" s="1346" t="str">
        <f>+'Appendix A'!C28</f>
        <v>Transmission Plant In Service</v>
      </c>
      <c r="D165" s="408"/>
      <c r="E165" s="1441"/>
      <c r="F165" s="418" t="s">
        <v>315</v>
      </c>
      <c r="G165" s="743">
        <v>1102624428</v>
      </c>
      <c r="H165" s="356"/>
      <c r="I165" s="379"/>
      <c r="J165" s="1569"/>
      <c r="K165" s="1569"/>
      <c r="L165" s="1569"/>
      <c r="M165" s="1570"/>
    </row>
    <row r="166" spans="1:13" ht="12.75">
      <c r="A166" s="412">
        <f>+'Appendix A'!A33</f>
        <v>17</v>
      </c>
      <c r="C166" s="1346" t="str">
        <f>+'Appendix A'!C33</f>
        <v>Common Plant (Electric Only)</v>
      </c>
      <c r="D166" s="408"/>
      <c r="E166" s="711"/>
      <c r="F166" s="418" t="s">
        <v>303</v>
      </c>
      <c r="G166" s="743">
        <v>0</v>
      </c>
      <c r="H166" s="356"/>
      <c r="I166" s="379"/>
      <c r="J166" s="1569"/>
      <c r="K166" s="1569"/>
      <c r="L166" s="1569"/>
      <c r="M166" s="1570"/>
    </row>
    <row r="167" spans="1:13" ht="12.75">
      <c r="A167" s="412"/>
      <c r="B167" s="349" t="s">
        <v>332</v>
      </c>
      <c r="C167" s="1348"/>
      <c r="D167" s="430"/>
      <c r="E167" s="416"/>
      <c r="F167" s="418"/>
      <c r="G167" s="264"/>
      <c r="H167" s="291"/>
      <c r="I167" s="264"/>
      <c r="J167" s="264"/>
      <c r="K167" s="264"/>
      <c r="L167" s="264"/>
      <c r="M167" s="381"/>
    </row>
    <row r="168" spans="1:13" ht="13.5" thickBot="1">
      <c r="A168" s="1339">
        <f>+'Appendix A'!A42</f>
        <v>22</v>
      </c>
      <c r="B168" s="382"/>
      <c r="C168" s="1358" t="str">
        <f>+'Appendix A'!C42</f>
        <v>Transmission Accumulated Depreciation</v>
      </c>
      <c r="D168" s="423"/>
      <c r="E168" s="424"/>
      <c r="F168" s="426" t="s">
        <v>465</v>
      </c>
      <c r="G168" s="506">
        <v>321962340</v>
      </c>
      <c r="H168" s="773"/>
      <c r="I168" s="382"/>
      <c r="J168" s="1560"/>
      <c r="K168" s="1560"/>
      <c r="L168" s="1560"/>
      <c r="M168" s="1561"/>
    </row>
    <row r="170" ht="13.5" thickBot="1">
      <c r="A170" s="647" t="s">
        <v>121</v>
      </c>
    </row>
    <row r="171" spans="1:13" ht="25.5" customHeight="1" thickBot="1">
      <c r="A171" s="1576" t="s">
        <v>50</v>
      </c>
      <c r="B171" s="1577"/>
      <c r="C171" s="1577"/>
      <c r="D171" s="1577"/>
      <c r="E171" s="1577"/>
      <c r="F171" s="1578"/>
      <c r="G171" s="726" t="s">
        <v>574</v>
      </c>
      <c r="H171" s="657" t="s">
        <v>202</v>
      </c>
      <c r="I171" s="657" t="s">
        <v>227</v>
      </c>
      <c r="J171" s="1558" t="s">
        <v>551</v>
      </c>
      <c r="K171" s="1558"/>
      <c r="L171" s="1558"/>
      <c r="M171" s="1559"/>
    </row>
    <row r="172" spans="1:29" ht="17.25">
      <c r="A172" s="414"/>
      <c r="B172" s="349" t="s">
        <v>321</v>
      </c>
      <c r="D172" s="408"/>
      <c r="E172" s="376"/>
      <c r="F172" s="418"/>
      <c r="G172" s="196"/>
      <c r="H172" s="196"/>
      <c r="M172" s="381"/>
      <c r="P172" s="806"/>
      <c r="Q172" s="806"/>
      <c r="R172" s="196"/>
      <c r="S172" s="196"/>
      <c r="T172" s="196"/>
      <c r="U172" s="196"/>
      <c r="V172" s="196"/>
      <c r="W172" s="196"/>
      <c r="X172" s="196"/>
      <c r="Y172" s="196"/>
      <c r="Z172" s="196"/>
      <c r="AA172" s="196"/>
      <c r="AB172" s="196"/>
      <c r="AC172" s="196"/>
    </row>
    <row r="173" spans="1:29" ht="12.75">
      <c r="A173" s="414"/>
      <c r="B173" s="535"/>
      <c r="C173" s="246" t="s">
        <v>210</v>
      </c>
      <c r="E173" s="1441"/>
      <c r="F173" s="418"/>
      <c r="G173" s="743">
        <v>13809980</v>
      </c>
      <c r="H173" s="505">
        <v>1932857</v>
      </c>
      <c r="I173" s="505">
        <f>G173-H173</f>
        <v>11877123</v>
      </c>
      <c r="J173" s="196" t="s">
        <v>212</v>
      </c>
      <c r="K173" s="196"/>
      <c r="L173" s="196"/>
      <c r="M173" s="381"/>
      <c r="P173" s="196"/>
      <c r="Q173" s="196"/>
      <c r="R173" s="196"/>
      <c r="S173" s="196"/>
      <c r="T173" s="196"/>
      <c r="U173" s="196"/>
      <c r="V173" s="196"/>
      <c r="W173" s="196"/>
      <c r="X173" s="196"/>
      <c r="Y173" s="196"/>
      <c r="Z173" s="196"/>
      <c r="AA173" s="196"/>
      <c r="AB173" s="196"/>
      <c r="AC173" s="196"/>
    </row>
    <row r="174" spans="1:29" ht="18" thickBot="1">
      <c r="A174" s="414"/>
      <c r="B174" s="535"/>
      <c r="C174" s="246" t="s">
        <v>211</v>
      </c>
      <c r="E174" s="1441"/>
      <c r="F174" s="418" t="s">
        <v>777</v>
      </c>
      <c r="G174" s="506">
        <v>18274121</v>
      </c>
      <c r="H174" s="506">
        <v>1888149</v>
      </c>
      <c r="I174" s="506">
        <f>G174-H174</f>
        <v>16385972</v>
      </c>
      <c r="J174" s="196" t="s">
        <v>209</v>
      </c>
      <c r="K174" s="196"/>
      <c r="L174" s="196"/>
      <c r="M174" s="381"/>
      <c r="P174" s="806"/>
      <c r="Q174" s="806"/>
      <c r="R174" s="806"/>
      <c r="S174" s="806"/>
      <c r="T174" s="806"/>
      <c r="U174" s="806"/>
      <c r="V174" s="806"/>
      <c r="W174" s="806"/>
      <c r="X174" s="806"/>
      <c r="Y174" s="806"/>
      <c r="Z174" s="806"/>
      <c r="AA174" s="196"/>
      <c r="AB174" s="196"/>
      <c r="AC174" s="196"/>
    </row>
    <row r="175" spans="1:29" ht="17.25">
      <c r="A175" s="414"/>
      <c r="B175" s="535"/>
      <c r="C175" s="246" t="s">
        <v>213</v>
      </c>
      <c r="E175" s="376"/>
      <c r="F175" s="418"/>
      <c r="G175" s="531">
        <f>G174-G173</f>
        <v>4464141</v>
      </c>
      <c r="H175" s="368">
        <f>H174-H173</f>
        <v>-44708</v>
      </c>
      <c r="I175" s="531">
        <f>I174-I173</f>
        <v>4508849</v>
      </c>
      <c r="J175" s="507"/>
      <c r="K175" s="373"/>
      <c r="L175" s="373"/>
      <c r="M175" s="374"/>
      <c r="P175" s="806"/>
      <c r="Q175" s="806"/>
      <c r="R175" s="806"/>
      <c r="S175" s="806"/>
      <c r="T175" s="806"/>
      <c r="U175" s="806"/>
      <c r="V175" s="806"/>
      <c r="W175" s="806"/>
      <c r="X175" s="806"/>
      <c r="Y175" s="806"/>
      <c r="Z175" s="806"/>
      <c r="AA175" s="196"/>
      <c r="AB175" s="196"/>
      <c r="AC175" s="196"/>
    </row>
    <row r="176" spans="1:29" ht="12.75">
      <c r="A176" s="414"/>
      <c r="D176" s="408"/>
      <c r="E176" s="376"/>
      <c r="F176" s="418"/>
      <c r="G176" s="372"/>
      <c r="H176" s="264"/>
      <c r="I176" s="531"/>
      <c r="J176" s="507"/>
      <c r="K176" s="373"/>
      <c r="L176" s="373"/>
      <c r="M176" s="374"/>
      <c r="P176" s="196"/>
      <c r="Q176" s="196"/>
      <c r="R176" s="196"/>
      <c r="S176" s="196"/>
      <c r="T176" s="196"/>
      <c r="U176" s="196"/>
      <c r="V176" s="196"/>
      <c r="W176" s="196"/>
      <c r="X176" s="196"/>
      <c r="Y176" s="196"/>
      <c r="Z176" s="196"/>
      <c r="AA176" s="196"/>
      <c r="AB176" s="196"/>
      <c r="AC176" s="196"/>
    </row>
    <row r="177" spans="1:29" ht="17.25">
      <c r="A177" s="414"/>
      <c r="B177" s="246" t="s">
        <v>203</v>
      </c>
      <c r="D177" s="408"/>
      <c r="E177" s="376"/>
      <c r="F177" s="418"/>
      <c r="G177" s="372"/>
      <c r="H177" s="264"/>
      <c r="I177" s="264"/>
      <c r="J177" s="507"/>
      <c r="K177" s="373"/>
      <c r="L177" s="373"/>
      <c r="M177" s="374"/>
      <c r="P177" s="806"/>
      <c r="Q177" s="806"/>
      <c r="R177" s="806"/>
      <c r="S177" s="806"/>
      <c r="T177" s="806"/>
      <c r="U177" s="806"/>
      <c r="V177" s="806"/>
      <c r="W177" s="806"/>
      <c r="X177" s="806"/>
      <c r="Y177" s="806"/>
      <c r="Z177" s="806"/>
      <c r="AA177" s="806"/>
      <c r="AB177" s="806"/>
      <c r="AC177" s="806"/>
    </row>
    <row r="178" spans="1:13" ht="12.75">
      <c r="A178" s="414"/>
      <c r="B178" s="535">
        <v>1</v>
      </c>
      <c r="C178" s="246" t="s">
        <v>205</v>
      </c>
      <c r="E178" s="246">
        <v>0.05</v>
      </c>
      <c r="F178" s="418"/>
      <c r="G178" s="372"/>
      <c r="H178" s="264"/>
      <c r="I178" s="533"/>
      <c r="J178" s="507"/>
      <c r="K178" s="373"/>
      <c r="L178" s="373"/>
      <c r="M178" s="374"/>
    </row>
    <row r="179" spans="1:13" ht="12.75">
      <c r="A179" s="414"/>
      <c r="B179" s="535">
        <v>2</v>
      </c>
      <c r="C179" s="246" t="s">
        <v>204</v>
      </c>
      <c r="D179" s="408"/>
      <c r="E179" s="1343">
        <f>IF('Appendix A'!G278=0,0,'Appendix A'!G278/1000/12)</f>
        <v>5.27751704071297</v>
      </c>
      <c r="F179" s="418"/>
      <c r="G179" s="372"/>
      <c r="H179" s="264"/>
      <c r="I179" s="264"/>
      <c r="J179" s="507"/>
      <c r="K179" s="373"/>
      <c r="L179" s="373"/>
      <c r="M179" s="374"/>
    </row>
    <row r="180" spans="1:13" ht="12.75">
      <c r="A180" s="414"/>
      <c r="B180" s="535">
        <v>3</v>
      </c>
      <c r="C180" s="246" t="s">
        <v>206</v>
      </c>
      <c r="D180" s="408"/>
      <c r="E180" s="1344">
        <f>IF(E179=0,0,'Appendix A'!G272*E178/E179)</f>
        <v>1629000</v>
      </c>
      <c r="F180" s="418"/>
      <c r="G180" s="372"/>
      <c r="H180" s="264"/>
      <c r="I180" s="264"/>
      <c r="J180" s="507"/>
      <c r="K180" s="373"/>
      <c r="L180" s="373"/>
      <c r="M180" s="374"/>
    </row>
    <row r="181" spans="1:13" ht="12.75">
      <c r="A181" s="414"/>
      <c r="B181" s="535">
        <v>4</v>
      </c>
      <c r="C181" s="246" t="s">
        <v>207</v>
      </c>
      <c r="D181" s="408"/>
      <c r="E181" s="1344">
        <f>IF('Appendix A'!G12=0,0,E180/'Appendix A'!G12)</f>
        <v>8100280.85020332</v>
      </c>
      <c r="F181" s="418" t="s">
        <v>208</v>
      </c>
      <c r="G181" s="372"/>
      <c r="H181" s="264"/>
      <c r="I181" s="264"/>
      <c r="J181" s="507"/>
      <c r="K181" s="373"/>
      <c r="L181" s="373"/>
      <c r="M181" s="374"/>
    </row>
    <row r="182" spans="1:13" ht="12.75">
      <c r="A182" s="414"/>
      <c r="B182" s="535">
        <v>5</v>
      </c>
      <c r="C182" s="246" t="s">
        <v>214</v>
      </c>
      <c r="D182" s="408"/>
      <c r="E182" s="1343">
        <f>H175-E181</f>
        <v>-8144988.85020332</v>
      </c>
      <c r="F182" s="418"/>
      <c r="G182" s="372"/>
      <c r="H182" s="264"/>
      <c r="I182" s="264"/>
      <c r="J182" s="507"/>
      <c r="K182" s="373"/>
      <c r="L182" s="373"/>
      <c r="M182" s="374"/>
    </row>
    <row r="183" spans="1:13" ht="12.75">
      <c r="A183" s="414"/>
      <c r="B183" s="535">
        <v>6</v>
      </c>
      <c r="C183" s="1346" t="s">
        <v>469</v>
      </c>
      <c r="D183" s="408"/>
      <c r="E183" s="1343"/>
      <c r="F183" s="418"/>
      <c r="G183" s="372"/>
      <c r="H183" s="264"/>
      <c r="I183" s="264"/>
      <c r="J183" s="507"/>
      <c r="K183" s="373"/>
      <c r="L183" s="373"/>
      <c r="M183" s="374"/>
    </row>
    <row r="184" spans="1:13" ht="12.75">
      <c r="A184" s="414"/>
      <c r="B184" s="535"/>
      <c r="C184" s="1346"/>
      <c r="D184" s="408"/>
      <c r="E184" s="1343"/>
      <c r="F184" s="418"/>
      <c r="G184" s="372"/>
      <c r="H184" s="264"/>
      <c r="I184" s="264"/>
      <c r="J184" s="507"/>
      <c r="K184" s="373"/>
      <c r="L184" s="373"/>
      <c r="M184" s="374"/>
    </row>
    <row r="185" spans="1:13" ht="12.75">
      <c r="A185" s="412">
        <f>'Appendix A'!A106</f>
        <v>59</v>
      </c>
      <c r="B185" s="535"/>
      <c r="C185" s="1346" t="str">
        <f>'Appendix A'!C106</f>
        <v>    Less PBOP Expense in Acct. 926 in Excess of Allowed Amount</v>
      </c>
      <c r="D185" s="408"/>
      <c r="E185" s="1343">
        <v>0</v>
      </c>
      <c r="F185" s="418"/>
      <c r="G185" s="372"/>
      <c r="H185" s="264"/>
      <c r="I185" s="264"/>
      <c r="J185" s="507"/>
      <c r="K185" s="373"/>
      <c r="L185" s="373"/>
      <c r="M185" s="374"/>
    </row>
    <row r="186" spans="1:13" ht="12.75">
      <c r="A186" s="414"/>
      <c r="B186" s="413"/>
      <c r="C186" s="222"/>
      <c r="D186" s="408"/>
      <c r="E186" s="534"/>
      <c r="F186" s="418"/>
      <c r="G186" s="196"/>
      <c r="H186" s="196"/>
      <c r="I186" s="196"/>
      <c r="J186" s="507"/>
      <c r="K186" s="373"/>
      <c r="L186" s="373"/>
      <c r="M186" s="374"/>
    </row>
    <row r="187" spans="1:13" ht="13.5" thickBot="1">
      <c r="A187" s="421"/>
      <c r="B187" s="425"/>
      <c r="C187" s="422"/>
      <c r="D187" s="364"/>
      <c r="E187" s="424"/>
      <c r="F187" s="528"/>
      <c r="G187" s="536"/>
      <c r="H187" s="537"/>
      <c r="I187" s="404"/>
      <c r="J187" s="1560"/>
      <c r="K187" s="1560"/>
      <c r="L187" s="1560"/>
      <c r="M187" s="1561"/>
    </row>
    <row r="189" ht="13.5" thickBot="1">
      <c r="A189" s="647" t="s">
        <v>627</v>
      </c>
    </row>
    <row r="190" spans="1:13" ht="13.5" thickBot="1">
      <c r="A190" s="1576" t="s">
        <v>50</v>
      </c>
      <c r="B190" s="1577"/>
      <c r="C190" s="1577"/>
      <c r="D190" s="1577"/>
      <c r="E190" s="1577"/>
      <c r="F190" s="1578"/>
      <c r="G190" s="657" t="str">
        <f>+G161</f>
        <v>Form 1 Amount</v>
      </c>
      <c r="H190" s="657" t="s">
        <v>572</v>
      </c>
      <c r="I190" s="657"/>
      <c r="J190" s="1558" t="s">
        <v>551</v>
      </c>
      <c r="K190" s="1558"/>
      <c r="L190" s="1558"/>
      <c r="M190" s="1559"/>
    </row>
    <row r="191" spans="1:13" ht="12.75">
      <c r="A191" s="414"/>
      <c r="B191" s="349" t="s">
        <v>321</v>
      </c>
      <c r="D191" s="408"/>
      <c r="E191" s="376"/>
      <c r="F191" s="418"/>
      <c r="G191" s="264"/>
      <c r="H191" s="264"/>
      <c r="I191" s="264"/>
      <c r="J191" s="1566"/>
      <c r="K191" s="1566"/>
      <c r="L191" s="1566"/>
      <c r="M191" s="1567"/>
    </row>
    <row r="192" spans="1:13" ht="13.5" thickBot="1">
      <c r="A192" s="1339">
        <f>'Appendix A'!A110</f>
        <v>63</v>
      </c>
      <c r="B192" s="382"/>
      <c r="C192" s="1358" t="str">
        <f>+'Appendix A'!C110</f>
        <v>    Less EPRI Dues</v>
      </c>
      <c r="D192" s="1571"/>
      <c r="E192" s="1572"/>
      <c r="F192" s="528" t="str">
        <f>+'Appendix A'!E110</f>
        <v>p352-353</v>
      </c>
      <c r="G192" s="506">
        <v>64105</v>
      </c>
      <c r="H192" s="852">
        <v>64105</v>
      </c>
      <c r="I192" s="773"/>
      <c r="J192" s="1560"/>
      <c r="K192" s="1560"/>
      <c r="L192" s="1560"/>
      <c r="M192" s="1561"/>
    </row>
    <row r="194" ht="13.5" thickBot="1">
      <c r="A194" s="647" t="s">
        <v>628</v>
      </c>
    </row>
    <row r="195" spans="1:13" ht="13.5" thickBot="1">
      <c r="A195" s="1576" t="s">
        <v>50</v>
      </c>
      <c r="B195" s="1577"/>
      <c r="C195" s="1577"/>
      <c r="D195" s="1577"/>
      <c r="E195" s="1577"/>
      <c r="F195" s="1578"/>
      <c r="G195" s="657" t="s">
        <v>574</v>
      </c>
      <c r="H195" s="657" t="s">
        <v>575</v>
      </c>
      <c r="I195" s="657" t="s">
        <v>621</v>
      </c>
      <c r="J195" s="1558" t="s">
        <v>551</v>
      </c>
      <c r="K195" s="1558"/>
      <c r="L195" s="1558"/>
      <c r="M195" s="1559"/>
    </row>
    <row r="196" spans="1:13" ht="12.75">
      <c r="A196" s="414"/>
      <c r="B196" s="349" t="s">
        <v>320</v>
      </c>
      <c r="C196" s="1346"/>
      <c r="D196" s="408"/>
      <c r="E196" s="431"/>
      <c r="F196" s="429"/>
      <c r="G196" s="274"/>
      <c r="H196" s="383"/>
      <c r="I196" s="784"/>
      <c r="J196" s="264"/>
      <c r="K196" s="264"/>
      <c r="L196" s="264"/>
      <c r="M196" s="381"/>
    </row>
    <row r="197" spans="1:13" ht="13.5" customHeight="1" thickBot="1">
      <c r="A197" s="1339">
        <f>'Appendix A'!A116</f>
        <v>67</v>
      </c>
      <c r="B197" s="1359"/>
      <c r="C197" s="1358" t="str">
        <f>+'Appendix A'!C116</f>
        <v>Regulatory Commission Exp Account 928</v>
      </c>
      <c r="D197" s="1126"/>
      <c r="E197" s="1443"/>
      <c r="F197" s="426" t="s">
        <v>245</v>
      </c>
      <c r="G197" s="506">
        <v>719033</v>
      </c>
      <c r="H197" s="506">
        <v>0</v>
      </c>
      <c r="I197" s="506">
        <f>G197-H197</f>
        <v>719033</v>
      </c>
      <c r="J197" s="1560" t="s">
        <v>270</v>
      </c>
      <c r="K197" s="1560"/>
      <c r="L197" s="1560"/>
      <c r="M197" s="1561"/>
    </row>
    <row r="199" ht="13.5" thickBot="1">
      <c r="A199" s="647" t="s">
        <v>629</v>
      </c>
    </row>
    <row r="200" spans="1:13" ht="12.75">
      <c r="A200" s="1573" t="s">
        <v>50</v>
      </c>
      <c r="B200" s="1574"/>
      <c r="C200" s="1574"/>
      <c r="D200" s="1574"/>
      <c r="E200" s="1574"/>
      <c r="F200" s="1575"/>
      <c r="G200" s="654" t="s">
        <v>574</v>
      </c>
      <c r="H200" s="654" t="s">
        <v>577</v>
      </c>
      <c r="I200" s="654" t="s">
        <v>623</v>
      </c>
      <c r="J200" s="1562" t="s">
        <v>551</v>
      </c>
      <c r="K200" s="1562"/>
      <c r="L200" s="1562"/>
      <c r="M200" s="1563"/>
    </row>
    <row r="201" spans="1:13" ht="12.75">
      <c r="A201" s="414"/>
      <c r="B201" s="349" t="s">
        <v>320</v>
      </c>
      <c r="D201" s="408"/>
      <c r="E201" s="375"/>
      <c r="F201" s="405"/>
      <c r="G201" s="264"/>
      <c r="H201" s="264"/>
      <c r="I201" s="785"/>
      <c r="J201" s="264"/>
      <c r="K201" s="264"/>
      <c r="L201" s="264"/>
      <c r="M201" s="381"/>
    </row>
    <row r="202" spans="1:13" ht="13.5" thickBot="1">
      <c r="A202" s="1339">
        <f>'Appendix A'!A117</f>
        <v>68</v>
      </c>
      <c r="B202" s="1359"/>
      <c r="C202" s="1358" t="str">
        <f>+'Appendix A'!C121</f>
        <v>General Advertising Exp Account 930.1</v>
      </c>
      <c r="D202" s="423"/>
      <c r="E202" s="1443"/>
      <c r="F202" s="426" t="s">
        <v>246</v>
      </c>
      <c r="G202" s="506">
        <v>463623</v>
      </c>
      <c r="H202" s="506">
        <v>0</v>
      </c>
      <c r="I202" s="506">
        <f>G202</f>
        <v>463623</v>
      </c>
      <c r="J202" s="1564" t="s">
        <v>4</v>
      </c>
      <c r="K202" s="1564"/>
      <c r="L202" s="1564"/>
      <c r="M202" s="1565"/>
    </row>
    <row r="204" ht="13.5" thickBot="1">
      <c r="A204" s="647" t="s">
        <v>573</v>
      </c>
    </row>
    <row r="205" spans="1:13" ht="12.75">
      <c r="A205" s="1573" t="s">
        <v>50</v>
      </c>
      <c r="B205" s="1574"/>
      <c r="C205" s="1574"/>
      <c r="D205" s="1574"/>
      <c r="E205" s="1574"/>
      <c r="F205" s="1575"/>
      <c r="G205" s="654" t="s">
        <v>578</v>
      </c>
      <c r="H205" s="654" t="s">
        <v>579</v>
      </c>
      <c r="I205" s="654" t="s">
        <v>580</v>
      </c>
      <c r="J205" s="654" t="s">
        <v>581</v>
      </c>
      <c r="K205" s="654" t="s">
        <v>582</v>
      </c>
      <c r="L205" s="1562" t="s">
        <v>551</v>
      </c>
      <c r="M205" s="1563"/>
    </row>
    <row r="206" spans="1:17" ht="12.75">
      <c r="A206" s="420" t="s">
        <v>304</v>
      </c>
      <c r="B206" s="1360" t="s">
        <v>401</v>
      </c>
      <c r="D206" s="370"/>
      <c r="E206" s="375"/>
      <c r="F206" s="435"/>
      <c r="G206" s="264"/>
      <c r="H206" s="264"/>
      <c r="I206" s="264"/>
      <c r="J206" s="264"/>
      <c r="K206" s="264"/>
      <c r="L206" s="264"/>
      <c r="M206" s="381"/>
      <c r="Q206" s="384"/>
    </row>
    <row r="207" spans="1:13" ht="12.75">
      <c r="A207" s="420"/>
      <c r="B207" s="1360"/>
      <c r="D207" s="370"/>
      <c r="E207" s="375"/>
      <c r="F207" s="435"/>
      <c r="G207" s="385" t="s">
        <v>9</v>
      </c>
      <c r="H207" s="274"/>
      <c r="I207" s="274"/>
      <c r="J207" s="274"/>
      <c r="K207" s="274"/>
      <c r="L207" s="1581"/>
      <c r="M207" s="1582"/>
    </row>
    <row r="208" spans="1:13" ht="13.5" thickBot="1">
      <c r="A208" s="1339">
        <f>+'Appendix A'!A206</f>
        <v>125</v>
      </c>
      <c r="B208" s="382"/>
      <c r="C208" s="1358" t="str">
        <f>+'Appendix A'!C206</f>
        <v>SIT=State Income Tax Rate or Composite</v>
      </c>
      <c r="D208" s="436"/>
      <c r="E208" s="433"/>
      <c r="F208" s="434"/>
      <c r="G208" s="629">
        <v>0.0899</v>
      </c>
      <c r="H208" s="386"/>
      <c r="I208" s="387"/>
      <c r="J208" s="387"/>
      <c r="K208" s="382"/>
      <c r="L208" s="1560"/>
      <c r="M208" s="1561"/>
    </row>
    <row r="210" ht="13.5" thickBot="1">
      <c r="A210" s="647" t="s">
        <v>641</v>
      </c>
    </row>
    <row r="211" spans="1:13" ht="12.75">
      <c r="A211" s="1573" t="s">
        <v>50</v>
      </c>
      <c r="B211" s="1574"/>
      <c r="C211" s="1574"/>
      <c r="D211" s="1574"/>
      <c r="E211" s="1574"/>
      <c r="F211" s="1575"/>
      <c r="G211" s="654" t="s">
        <v>574</v>
      </c>
      <c r="H211" s="654" t="s">
        <v>583</v>
      </c>
      <c r="I211" s="654" t="s">
        <v>584</v>
      </c>
      <c r="J211" s="1562" t="s">
        <v>551</v>
      </c>
      <c r="K211" s="1562"/>
      <c r="L211" s="1562"/>
      <c r="M211" s="1563"/>
    </row>
    <row r="212" spans="1:13" ht="12.75">
      <c r="A212" s="414"/>
      <c r="B212" s="349" t="s">
        <v>320</v>
      </c>
      <c r="D212" s="408"/>
      <c r="E212" s="375"/>
      <c r="F212" s="405"/>
      <c r="G212" s="264"/>
      <c r="H212" s="264"/>
      <c r="I212" s="784"/>
      <c r="J212" s="264"/>
      <c r="K212" s="264"/>
      <c r="L212" s="264"/>
      <c r="M212" s="381"/>
    </row>
    <row r="213" spans="1:13" ht="13.5" thickBot="1">
      <c r="A213" s="1339">
        <f>+'Appendix A'!A117</f>
        <v>68</v>
      </c>
      <c r="B213" s="1359"/>
      <c r="C213" s="1358" t="str">
        <f>+'Appendix A'!C117</f>
        <v>General Advertising Exp Account 930.1</v>
      </c>
      <c r="D213" s="423"/>
      <c r="E213" s="1443"/>
      <c r="F213" s="426" t="s">
        <v>246</v>
      </c>
      <c r="G213" s="506">
        <v>463623</v>
      </c>
      <c r="H213" s="506">
        <v>0</v>
      </c>
      <c r="I213" s="506">
        <f>G213-H213</f>
        <v>463623</v>
      </c>
      <c r="J213" s="1579" t="str">
        <f>+J202</f>
        <v>None</v>
      </c>
      <c r="K213" s="1579"/>
      <c r="L213" s="1579"/>
      <c r="M213" s="1580"/>
    </row>
    <row r="214" ht="12.75">
      <c r="F214" s="196"/>
    </row>
    <row r="215" ht="13.5" thickBot="1">
      <c r="A215" s="647" t="s">
        <v>643</v>
      </c>
    </row>
    <row r="216" spans="1:13" ht="27" thickBot="1">
      <c r="A216" s="1600" t="s">
        <v>50</v>
      </c>
      <c r="B216" s="1601"/>
      <c r="C216" s="1601"/>
      <c r="D216" s="1601"/>
      <c r="E216" s="1601"/>
      <c r="F216" s="1602"/>
      <c r="G216" s="727" t="str">
        <f>+C218</f>
        <v>Excluded Transmission Facilities</v>
      </c>
      <c r="H216" s="1591" t="s">
        <v>586</v>
      </c>
      <c r="I216" s="1591"/>
      <c r="J216" s="1591"/>
      <c r="K216" s="1591"/>
      <c r="L216" s="1591"/>
      <c r="M216" s="1592"/>
    </row>
    <row r="217" spans="1:13" ht="12.75">
      <c r="A217" s="437"/>
      <c r="B217" s="1348" t="s">
        <v>323</v>
      </c>
      <c r="C217" s="349"/>
      <c r="D217" s="349"/>
      <c r="E217" s="1361"/>
      <c r="F217" s="1362"/>
      <c r="G217" s="264"/>
      <c r="H217" s="264"/>
      <c r="I217" s="264"/>
      <c r="J217" s="264"/>
      <c r="K217" s="264"/>
      <c r="L217" s="264"/>
      <c r="M217" s="381"/>
    </row>
    <row r="218" spans="1:13" ht="12.75" customHeight="1">
      <c r="A218" s="412">
        <f>+'Appendix A'!A241</f>
        <v>145</v>
      </c>
      <c r="B218" s="535"/>
      <c r="C218" s="1346" t="str">
        <f>+'Appendix A'!C241</f>
        <v>Excluded Transmission Facilities</v>
      </c>
      <c r="D218" s="349"/>
      <c r="E218" s="1363"/>
      <c r="F218" s="429"/>
      <c r="G218" s="390">
        <v>0</v>
      </c>
      <c r="H218" s="1581" t="s">
        <v>588</v>
      </c>
      <c r="I218" s="1581"/>
      <c r="J218" s="1581"/>
      <c r="K218" s="1581"/>
      <c r="L218" s="1581"/>
      <c r="M218" s="1582"/>
    </row>
    <row r="219" spans="1:13" ht="12.75">
      <c r="A219" s="414"/>
      <c r="B219" s="535"/>
      <c r="D219" s="349"/>
      <c r="E219" s="1364"/>
      <c r="F219" s="1365"/>
      <c r="G219" s="264"/>
      <c r="H219" s="264"/>
      <c r="I219" s="264"/>
      <c r="J219" s="264"/>
      <c r="K219" s="264"/>
      <c r="L219" s="264"/>
      <c r="M219" s="381"/>
    </row>
    <row r="220" spans="1:13" ht="12.75">
      <c r="A220" s="414"/>
      <c r="B220" s="535"/>
      <c r="C220" s="246" t="s">
        <v>14</v>
      </c>
      <c r="D220" s="349"/>
      <c r="E220" s="1364"/>
      <c r="F220" s="1365"/>
      <c r="G220" s="274" t="s">
        <v>585</v>
      </c>
      <c r="H220" s="1581" t="s">
        <v>4</v>
      </c>
      <c r="I220" s="1581"/>
      <c r="J220" s="1581"/>
      <c r="K220" s="1581"/>
      <c r="L220" s="1581"/>
      <c r="M220" s="1582"/>
    </row>
    <row r="221" spans="1:13" ht="49.5" customHeight="1">
      <c r="A221" s="414"/>
      <c r="B221" s="1366">
        <v>1</v>
      </c>
      <c r="C221" s="1603" t="s">
        <v>695</v>
      </c>
      <c r="D221" s="1603"/>
      <c r="E221" s="1603"/>
      <c r="F221" s="1604"/>
      <c r="G221" s="391"/>
      <c r="H221" s="1581"/>
      <c r="I221" s="1581"/>
      <c r="J221" s="1581"/>
      <c r="K221" s="1581"/>
      <c r="L221" s="1581"/>
      <c r="M221" s="1582"/>
    </row>
    <row r="222" spans="1:13" ht="12.75">
      <c r="A222" s="414"/>
      <c r="B222" s="535">
        <v>2</v>
      </c>
      <c r="C222" s="246" t="s">
        <v>15</v>
      </c>
      <c r="D222" s="349"/>
      <c r="E222" s="1364"/>
      <c r="F222" s="1365"/>
      <c r="G222" s="274" t="s">
        <v>46</v>
      </c>
      <c r="H222" s="1581"/>
      <c r="I222" s="1581"/>
      <c r="J222" s="1581"/>
      <c r="K222" s="1581"/>
      <c r="L222" s="1581"/>
      <c r="M222" s="1582"/>
    </row>
    <row r="223" spans="1:13" ht="12.75">
      <c r="A223" s="414"/>
      <c r="B223" s="535"/>
      <c r="C223" s="246" t="s">
        <v>16</v>
      </c>
      <c r="D223" s="1367" t="s">
        <v>19</v>
      </c>
      <c r="E223" s="1364"/>
      <c r="F223" s="1365"/>
      <c r="G223" s="274" t="str">
        <f>+G220</f>
        <v>Enter $</v>
      </c>
      <c r="H223" s="1581"/>
      <c r="I223" s="1581"/>
      <c r="J223" s="1581"/>
      <c r="K223" s="1581"/>
      <c r="L223" s="1581"/>
      <c r="M223" s="1582"/>
    </row>
    <row r="224" spans="1:13" ht="12.75">
      <c r="A224" s="392"/>
      <c r="B224" s="1301" t="s">
        <v>306</v>
      </c>
      <c r="C224" s="246" t="s">
        <v>17</v>
      </c>
      <c r="D224" s="1209">
        <v>1000000</v>
      </c>
      <c r="F224" s="381"/>
      <c r="G224" s="391"/>
      <c r="H224" s="1581"/>
      <c r="I224" s="1581"/>
      <c r="J224" s="1581"/>
      <c r="K224" s="1581"/>
      <c r="L224" s="1581"/>
      <c r="M224" s="1582"/>
    </row>
    <row r="225" spans="1:13" ht="12.75">
      <c r="A225" s="392"/>
      <c r="B225" s="1301" t="s">
        <v>437</v>
      </c>
      <c r="C225" s="246" t="s">
        <v>44</v>
      </c>
      <c r="D225" s="1209">
        <v>500000</v>
      </c>
      <c r="F225" s="381"/>
      <c r="G225" s="391"/>
      <c r="H225" s="1581"/>
      <c r="I225" s="1581"/>
      <c r="J225" s="1581"/>
      <c r="K225" s="1581"/>
      <c r="L225" s="1581"/>
      <c r="M225" s="1582"/>
    </row>
    <row r="226" spans="1:13" ht="12.75">
      <c r="A226" s="392"/>
      <c r="B226" s="1301" t="s">
        <v>287</v>
      </c>
      <c r="C226" s="246" t="s">
        <v>45</v>
      </c>
      <c r="D226" s="1209">
        <v>400000</v>
      </c>
      <c r="F226" s="381"/>
      <c r="G226" s="391"/>
      <c r="H226" s="1581"/>
      <c r="I226" s="1581"/>
      <c r="J226" s="1581"/>
      <c r="K226" s="1581"/>
      <c r="L226" s="1581"/>
      <c r="M226" s="1582"/>
    </row>
    <row r="227" spans="1:13" ht="12.75">
      <c r="A227" s="392"/>
      <c r="B227" s="1301" t="s">
        <v>307</v>
      </c>
      <c r="C227" s="246" t="s">
        <v>18</v>
      </c>
      <c r="D227" s="1209">
        <f>+D224*(D226/(D225+D226))</f>
        <v>444444.44444444444</v>
      </c>
      <c r="F227" s="381"/>
      <c r="G227" s="391"/>
      <c r="H227" s="1581"/>
      <c r="I227" s="1581"/>
      <c r="J227" s="1581"/>
      <c r="K227" s="1581"/>
      <c r="L227" s="1581"/>
      <c r="M227" s="1582"/>
    </row>
    <row r="228" spans="1:13" ht="13.5" thickBot="1">
      <c r="A228" s="396"/>
      <c r="B228" s="397"/>
      <c r="C228" s="397"/>
      <c r="D228" s="397"/>
      <c r="E228" s="397"/>
      <c r="F228" s="398"/>
      <c r="G228" s="397"/>
      <c r="H228" s="397"/>
      <c r="I228" s="397"/>
      <c r="J228" s="397"/>
      <c r="K228" s="399" t="s">
        <v>587</v>
      </c>
      <c r="L228" s="397"/>
      <c r="M228" s="398"/>
    </row>
    <row r="229" spans="1:13" ht="12.75">
      <c r="A229" s="264"/>
      <c r="B229" s="264"/>
      <c r="C229" s="264"/>
      <c r="D229" s="264"/>
      <c r="E229" s="264"/>
      <c r="F229" s="264"/>
      <c r="G229" s="264"/>
      <c r="H229" s="264"/>
      <c r="I229" s="264"/>
      <c r="J229" s="264"/>
      <c r="K229" s="400"/>
      <c r="L229" s="264"/>
      <c r="M229" s="264"/>
    </row>
    <row r="230" ht="16.5" customHeight="1" thickBot="1">
      <c r="A230" s="647" t="s">
        <v>36</v>
      </c>
    </row>
    <row r="231" spans="1:13" ht="59.25" customHeight="1" thickBot="1">
      <c r="A231" s="1576" t="s">
        <v>50</v>
      </c>
      <c r="B231" s="1577"/>
      <c r="C231" s="1577"/>
      <c r="D231" s="1577"/>
      <c r="E231" s="1577"/>
      <c r="F231" s="1578"/>
      <c r="G231" s="726" t="s">
        <v>707</v>
      </c>
      <c r="H231" s="657" t="s">
        <v>706</v>
      </c>
      <c r="I231" s="657" t="s">
        <v>478</v>
      </c>
      <c r="J231" s="657" t="s">
        <v>37</v>
      </c>
      <c r="K231" s="657" t="s">
        <v>709</v>
      </c>
      <c r="L231" s="657" t="s">
        <v>551</v>
      </c>
      <c r="M231" s="728"/>
    </row>
    <row r="232" spans="1:25" ht="16.5" customHeight="1">
      <c r="A232" s="385">
        <f>'Appendix A'!A71</f>
        <v>39</v>
      </c>
      <c r="B232" s="349" t="s">
        <v>312</v>
      </c>
      <c r="E232" s="376"/>
      <c r="F232" s="546"/>
      <c r="G232" s="401"/>
      <c r="H232" s="402" t="s">
        <v>585</v>
      </c>
      <c r="I232" s="402"/>
      <c r="J232" s="402"/>
      <c r="K232" s="402" t="s">
        <v>544</v>
      </c>
      <c r="L232" s="264"/>
      <c r="M232" s="381"/>
      <c r="P232" s="805"/>
      <c r="Q232" s="805"/>
      <c r="R232" s="196"/>
      <c r="S232" s="196"/>
      <c r="T232" s="196"/>
      <c r="U232" s="196"/>
      <c r="V232" s="196"/>
      <c r="W232" s="196"/>
      <c r="X232" s="196"/>
      <c r="Y232" s="196"/>
    </row>
    <row r="233" spans="1:25" ht="16.5" customHeight="1">
      <c r="A233" s="414"/>
      <c r="B233" s="349"/>
      <c r="C233" s="246" t="s">
        <v>38</v>
      </c>
      <c r="E233" s="375"/>
      <c r="F233" s="546"/>
      <c r="G233" s="668"/>
      <c r="I233" s="264"/>
      <c r="J233" s="403"/>
      <c r="K233" s="264"/>
      <c r="L233" s="264"/>
      <c r="M233" s="381"/>
      <c r="P233" s="196"/>
      <c r="Q233" s="196"/>
      <c r="R233" s="196"/>
      <c r="S233" s="196"/>
      <c r="T233" s="196"/>
      <c r="U233" s="196"/>
      <c r="V233" s="196"/>
      <c r="W233" s="196"/>
      <c r="X233" s="196"/>
      <c r="Y233" s="196"/>
    </row>
    <row r="234" spans="1:25" ht="16.5" customHeight="1">
      <c r="A234" s="414"/>
      <c r="B234" s="349"/>
      <c r="D234" s="246" t="s">
        <v>521</v>
      </c>
      <c r="E234" s="375"/>
      <c r="F234" s="546"/>
      <c r="G234" s="743">
        <v>0</v>
      </c>
      <c r="H234" s="505">
        <v>0</v>
      </c>
      <c r="I234" s="1374">
        <f>IF('Appendix A'!$I$1=1,('5 - Cost Support 1'!G234+'5 - Cost Support 1'!H234)/2,H234)</f>
        <v>0</v>
      </c>
      <c r="J234" s="1375"/>
      <c r="L234" s="264"/>
      <c r="M234" s="381"/>
      <c r="P234" s="805"/>
      <c r="Q234" s="806"/>
      <c r="R234" s="806"/>
      <c r="S234" s="806"/>
      <c r="T234" s="806"/>
      <c r="U234" s="806"/>
      <c r="V234" s="806"/>
      <c r="W234" s="196"/>
      <c r="X234" s="806"/>
      <c r="Y234" s="196"/>
    </row>
    <row r="235" spans="1:25" ht="16.5" customHeight="1">
      <c r="A235" s="414"/>
      <c r="B235" s="349"/>
      <c r="D235" s="246" t="s">
        <v>122</v>
      </c>
      <c r="E235" s="375"/>
      <c r="F235" s="457"/>
      <c r="G235" s="666">
        <v>0</v>
      </c>
      <c r="H235" s="630">
        <v>0</v>
      </c>
      <c r="I235" s="1376">
        <f>IF('Appendix A'!$I$1=1,('5 - Cost Support 1'!G235+'5 - Cost Support 1'!H235)/2,H235)</f>
        <v>0</v>
      </c>
      <c r="L235" s="264"/>
      <c r="M235" s="381"/>
      <c r="O235" s="246" t="s">
        <v>252</v>
      </c>
      <c r="P235" s="196"/>
      <c r="Q235" s="196"/>
      <c r="R235" s="196"/>
      <c r="S235" s="196"/>
      <c r="T235" s="196"/>
      <c r="U235" s="196"/>
      <c r="V235" s="196"/>
      <c r="W235" s="196"/>
      <c r="X235" s="196"/>
      <c r="Y235" s="196"/>
    </row>
    <row r="236" spans="1:25" ht="16.5" customHeight="1">
      <c r="A236" s="414"/>
      <c r="B236" s="349"/>
      <c r="E236" s="375"/>
      <c r="F236" s="457"/>
      <c r="G236" s="667">
        <f>SUM(G234:G235)</f>
        <v>0</v>
      </c>
      <c r="H236" s="458">
        <f>SUM(H234:H235)</f>
        <v>0</v>
      </c>
      <c r="I236" s="1374">
        <f>SUM(I234:I235)</f>
        <v>0</v>
      </c>
      <c r="J236" s="1377">
        <v>1</v>
      </c>
      <c r="K236" s="1374">
        <f>I236*J236</f>
        <v>0</v>
      </c>
      <c r="L236" s="264"/>
      <c r="M236" s="381"/>
      <c r="P236" s="805"/>
      <c r="Q236" s="806"/>
      <c r="R236" s="806"/>
      <c r="S236" s="806"/>
      <c r="T236" s="806"/>
      <c r="U236" s="806"/>
      <c r="V236" s="806"/>
      <c r="W236" s="196"/>
      <c r="X236" s="196"/>
      <c r="Y236" s="806"/>
    </row>
    <row r="237" spans="1:25" ht="16.5" customHeight="1">
      <c r="A237" s="414"/>
      <c r="B237" s="349"/>
      <c r="E237" s="375"/>
      <c r="F237" s="457"/>
      <c r="G237" s="668"/>
      <c r="H237" s="457"/>
      <c r="I237" s="1374"/>
      <c r="J237" s="1375"/>
      <c r="K237" s="1374"/>
      <c r="L237" s="264"/>
      <c r="M237" s="381"/>
      <c r="P237" s="805"/>
      <c r="Q237" s="806"/>
      <c r="R237" s="806"/>
      <c r="S237" s="806"/>
      <c r="T237" s="806"/>
      <c r="U237" s="806"/>
      <c r="V237" s="806"/>
      <c r="W237" s="196"/>
      <c r="X237" s="196"/>
      <c r="Y237" s="806"/>
    </row>
    <row r="238" spans="1:25" ht="16.5" customHeight="1">
      <c r="A238" s="414"/>
      <c r="B238" s="349"/>
      <c r="C238" s="246" t="s">
        <v>39</v>
      </c>
      <c r="E238" s="375"/>
      <c r="F238" s="457"/>
      <c r="G238" s="1124"/>
      <c r="H238" s="1125"/>
      <c r="I238" s="1374"/>
      <c r="K238" s="1346"/>
      <c r="L238" s="264"/>
      <c r="M238" s="381"/>
      <c r="P238" s="805"/>
      <c r="Q238" s="806"/>
      <c r="R238" s="806"/>
      <c r="S238" s="806"/>
      <c r="T238" s="806"/>
      <c r="U238" s="806"/>
      <c r="V238" s="806"/>
      <c r="W238" s="196"/>
      <c r="X238" s="196"/>
      <c r="Y238" s="806"/>
    </row>
    <row r="239" spans="1:25" ht="16.5" customHeight="1">
      <c r="A239" s="414"/>
      <c r="B239" s="349"/>
      <c r="D239" s="246" t="s">
        <v>123</v>
      </c>
      <c r="E239" s="376"/>
      <c r="F239" s="1444"/>
      <c r="G239" s="743">
        <v>957708</v>
      </c>
      <c r="H239" s="505">
        <v>545214</v>
      </c>
      <c r="I239" s="1374">
        <f>IF('Appendix A'!$I$1=1,('5 - Cost Support 1'!G239+'5 - Cost Support 1'!H239)/2,H239)</f>
        <v>545214</v>
      </c>
      <c r="J239" s="1378"/>
      <c r="K239" s="1374"/>
      <c r="L239" s="264"/>
      <c r="M239" s="381"/>
      <c r="O239" s="246" t="s">
        <v>252</v>
      </c>
      <c r="P239" s="196"/>
      <c r="Q239" s="196"/>
      <c r="R239" s="196"/>
      <c r="S239" s="196"/>
      <c r="T239" s="196"/>
      <c r="U239" s="196"/>
      <c r="V239" s="196"/>
      <c r="W239" s="196"/>
      <c r="X239" s="196"/>
      <c r="Y239" s="196"/>
    </row>
    <row r="240" spans="1:25" ht="16.5" customHeight="1">
      <c r="A240" s="414"/>
      <c r="B240" s="349"/>
      <c r="D240" s="246" t="s">
        <v>124</v>
      </c>
      <c r="E240" s="196"/>
      <c r="F240" s="196"/>
      <c r="G240" s="743">
        <v>2074759</v>
      </c>
      <c r="H240" s="505">
        <v>2427161</v>
      </c>
      <c r="I240" s="1374">
        <f>IF('Appendix A'!$I$1=1,('5 - Cost Support 1'!G240+'5 - Cost Support 1'!H240)/2,H240)</f>
        <v>2427161</v>
      </c>
      <c r="L240" s="531"/>
      <c r="M240" s="381"/>
      <c r="O240" s="246" t="s">
        <v>252</v>
      </c>
      <c r="P240" s="196"/>
      <c r="Q240" s="804"/>
      <c r="R240" s="804"/>
      <c r="S240" s="196"/>
      <c r="T240" s="534"/>
      <c r="U240" s="457"/>
      <c r="V240" s="196"/>
      <c r="W240" s="196"/>
      <c r="X240" s="196"/>
      <c r="Y240" s="196"/>
    </row>
    <row r="241" spans="1:25" ht="16.5" customHeight="1">
      <c r="A241" s="414"/>
      <c r="B241" s="349"/>
      <c r="C241" s="1368"/>
      <c r="D241" s="246" t="s">
        <v>125</v>
      </c>
      <c r="E241" s="376"/>
      <c r="F241" s="1444"/>
      <c r="G241" s="743">
        <v>0</v>
      </c>
      <c r="H241" s="505">
        <v>0</v>
      </c>
      <c r="I241" s="1374">
        <f>IF('Appendix A'!$I$1=1,('5 - Cost Support 1'!G241+'5 - Cost Support 1'!H241)/2,H241)</f>
        <v>0</v>
      </c>
      <c r="J241" s="1378"/>
      <c r="K241" s="1374"/>
      <c r="L241" s="264"/>
      <c r="M241" s="381"/>
      <c r="O241" s="246" t="s">
        <v>252</v>
      </c>
      <c r="P241" s="196"/>
      <c r="Q241" s="196"/>
      <c r="R241" s="196"/>
      <c r="S241" s="196"/>
      <c r="T241" s="196"/>
      <c r="U241" s="196"/>
      <c r="V241" s="196"/>
      <c r="W241" s="196"/>
      <c r="X241" s="196"/>
      <c r="Y241" s="196"/>
    </row>
    <row r="242" spans="1:25" ht="16.5" customHeight="1">
      <c r="A242" s="414"/>
      <c r="B242" s="349"/>
      <c r="C242" s="1368"/>
      <c r="D242" s="246" t="s">
        <v>129</v>
      </c>
      <c r="E242" s="376"/>
      <c r="F242" s="196"/>
      <c r="G242" s="743">
        <v>8509767</v>
      </c>
      <c r="H242" s="505">
        <v>8768974</v>
      </c>
      <c r="I242" s="1374">
        <f>IF('Appendix A'!$I$1=1,('5 - Cost Support 1'!G242+'5 - Cost Support 1'!H242)/2,H242)</f>
        <v>8768974</v>
      </c>
      <c r="L242" s="531"/>
      <c r="M242" s="381"/>
      <c r="O242" s="246" t="s">
        <v>252</v>
      </c>
      <c r="P242" s="805"/>
      <c r="Q242" s="805"/>
      <c r="R242" s="805"/>
      <c r="S242" s="805"/>
      <c r="T242" s="805"/>
      <c r="U242" s="805"/>
      <c r="V242" s="805"/>
      <c r="W242" s="196"/>
      <c r="X242" s="196"/>
      <c r="Y242" s="196"/>
    </row>
    <row r="243" spans="1:25" ht="16.5" customHeight="1">
      <c r="A243" s="414"/>
      <c r="B243" s="349"/>
      <c r="D243" s="246" t="s">
        <v>127</v>
      </c>
      <c r="E243" s="376"/>
      <c r="F243" s="1444"/>
      <c r="G243" s="743">
        <v>7225000</v>
      </c>
      <c r="H243" s="505">
        <v>875000</v>
      </c>
      <c r="I243" s="1374">
        <f>IF('Appendix A'!$I$1=1,('5 - Cost Support 1'!G243+'5 - Cost Support 1'!H243)/2,H243)</f>
        <v>875000</v>
      </c>
      <c r="J243" s="1378"/>
      <c r="K243" s="1374"/>
      <c r="L243" s="264"/>
      <c r="M243" s="381"/>
      <c r="O243" s="246" t="s">
        <v>252</v>
      </c>
      <c r="P243" s="196"/>
      <c r="Q243" s="196"/>
      <c r="R243" s="196"/>
      <c r="S243" s="196"/>
      <c r="T243" s="196"/>
      <c r="U243" s="196"/>
      <c r="V243" s="196"/>
      <c r="W243" s="196"/>
      <c r="X243" s="196"/>
      <c r="Y243" s="196"/>
    </row>
    <row r="244" spans="1:21" ht="16.5" customHeight="1">
      <c r="A244" s="414"/>
      <c r="B244" s="349"/>
      <c r="D244" s="246" t="s">
        <v>126</v>
      </c>
      <c r="E244" s="376"/>
      <c r="F244" s="1444"/>
      <c r="G244" s="743">
        <v>0</v>
      </c>
      <c r="H244" s="505">
        <v>0</v>
      </c>
      <c r="I244" s="1374">
        <f>IF('Appendix A'!$I$1=1,('5 - Cost Support 1'!G244+'5 - Cost Support 1'!H244)/2,H244)</f>
        <v>0</v>
      </c>
      <c r="J244" s="1378"/>
      <c r="K244" s="1374"/>
      <c r="L244" s="264"/>
      <c r="M244" s="381"/>
      <c r="P244" s="196"/>
      <c r="Q244" s="196"/>
      <c r="R244" s="196"/>
      <c r="S244" s="196"/>
      <c r="T244" s="196"/>
      <c r="U244" s="196"/>
    </row>
    <row r="245" spans="1:21" ht="16.5" customHeight="1">
      <c r="A245" s="414"/>
      <c r="B245" s="349"/>
      <c r="C245" s="1369"/>
      <c r="D245" s="246" t="s">
        <v>264</v>
      </c>
      <c r="E245" s="376"/>
      <c r="F245" s="1444"/>
      <c r="G245" s="666">
        <v>16092048</v>
      </c>
      <c r="H245" s="630">
        <v>14638217</v>
      </c>
      <c r="I245" s="1376">
        <f>IF('Appendix A'!$I$1=1,('5 - Cost Support 1'!G245+'5 - Cost Support 1'!H245)/2,H245)</f>
        <v>14638217</v>
      </c>
      <c r="K245" s="1374"/>
      <c r="L245" s="531"/>
      <c r="M245" s="381"/>
      <c r="O245" s="246" t="s">
        <v>252</v>
      </c>
      <c r="P245" s="804"/>
      <c r="Q245" s="804"/>
      <c r="R245" s="804"/>
      <c r="S245" s="196"/>
      <c r="T245" s="196"/>
      <c r="U245" s="457"/>
    </row>
    <row r="246" spans="1:21" ht="16.5" customHeight="1">
      <c r="A246" s="414"/>
      <c r="B246" s="349"/>
      <c r="E246" s="376"/>
      <c r="F246" s="457"/>
      <c r="G246" s="668">
        <f>SUM(G238:G245)</f>
        <v>34859282</v>
      </c>
      <c r="H246" s="457">
        <f>SUM(H238:H245)</f>
        <v>27254566</v>
      </c>
      <c r="I246" s="1374">
        <f>SUM(I239:I245)</f>
        <v>27254566</v>
      </c>
      <c r="J246" s="1379">
        <f>+'Appendix A'!G12</f>
        <v>0.20110413825455342</v>
      </c>
      <c r="K246" s="1374">
        <f>I246*J246</f>
        <v>5481006.008931851</v>
      </c>
      <c r="L246" s="264"/>
      <c r="M246" s="381"/>
      <c r="P246" s="196"/>
      <c r="Q246" s="196"/>
      <c r="R246" s="196"/>
      <c r="S246" s="196"/>
      <c r="T246" s="196"/>
      <c r="U246" s="196"/>
    </row>
    <row r="247" spans="1:21" ht="16.5" customHeight="1">
      <c r="A247" s="414"/>
      <c r="B247" s="349"/>
      <c r="E247" s="376"/>
      <c r="F247" s="457"/>
      <c r="G247" s="668"/>
      <c r="H247" s="457"/>
      <c r="I247" s="1374"/>
      <c r="J247" s="1379"/>
      <c r="K247" s="1374"/>
      <c r="L247" s="264"/>
      <c r="M247" s="381"/>
      <c r="P247" s="196"/>
      <c r="Q247" s="196"/>
      <c r="R247" s="196"/>
      <c r="S247" s="196"/>
      <c r="T247" s="196"/>
      <c r="U247" s="196"/>
    </row>
    <row r="248" spans="1:21" ht="16.5" customHeight="1">
      <c r="A248" s="414"/>
      <c r="B248" s="349"/>
      <c r="C248" s="246" t="s">
        <v>539</v>
      </c>
      <c r="D248" s="246" t="s">
        <v>796</v>
      </c>
      <c r="E248" s="376"/>
      <c r="F248" s="457"/>
      <c r="G248" s="666">
        <v>0</v>
      </c>
      <c r="H248" s="630">
        <v>0</v>
      </c>
      <c r="I248" s="1376">
        <f>IF('Appendix A'!$I$1=1,('5 - Cost Support 1'!G248+'5 - Cost Support 1'!H248)/2,H248)</f>
        <v>0</v>
      </c>
      <c r="J248" s="1379"/>
      <c r="K248" s="1374"/>
      <c r="L248" s="264"/>
      <c r="M248" s="381"/>
      <c r="P248" s="196"/>
      <c r="Q248" s="196"/>
      <c r="R248" s="196"/>
      <c r="S248" s="196"/>
      <c r="T248" s="196"/>
      <c r="U248" s="196"/>
    </row>
    <row r="249" spans="1:21" ht="16.5" customHeight="1">
      <c r="A249" s="414"/>
      <c r="B249" s="349"/>
      <c r="E249" s="376"/>
      <c r="F249" s="457"/>
      <c r="G249" s="668">
        <f>SUM(G248)</f>
        <v>0</v>
      </c>
      <c r="H249" s="457">
        <f>SUM(H248)</f>
        <v>0</v>
      </c>
      <c r="I249" s="1374">
        <f>SUM(I248)</f>
        <v>0</v>
      </c>
      <c r="J249" s="1379">
        <f>'Appendix A'!G23</f>
        <v>0.24687857582138092</v>
      </c>
      <c r="K249" s="1374">
        <f>I249*J249</f>
        <v>0</v>
      </c>
      <c r="L249" s="264"/>
      <c r="M249" s="381"/>
      <c r="P249" s="196"/>
      <c r="Q249" s="196"/>
      <c r="R249" s="196"/>
      <c r="S249" s="196"/>
      <c r="T249" s="196"/>
      <c r="U249" s="196"/>
    </row>
    <row r="250" spans="1:21" ht="16.5" customHeight="1">
      <c r="A250" s="414"/>
      <c r="B250" s="349"/>
      <c r="C250" s="246" t="s">
        <v>584</v>
      </c>
      <c r="E250" s="376"/>
      <c r="F250" s="457"/>
      <c r="G250" s="668"/>
      <c r="H250" s="457"/>
      <c r="I250" s="1374"/>
      <c r="L250" s="264"/>
      <c r="M250" s="381"/>
      <c r="P250" s="196"/>
      <c r="Q250" s="196"/>
      <c r="R250" s="196"/>
      <c r="S250" s="196"/>
      <c r="T250" s="196"/>
      <c r="U250" s="196"/>
    </row>
    <row r="251" spans="1:21" ht="16.5" customHeight="1">
      <c r="A251" s="414"/>
      <c r="B251" s="349"/>
      <c r="D251" s="246" t="s">
        <v>130</v>
      </c>
      <c r="E251" s="376"/>
      <c r="F251" s="1444"/>
      <c r="G251" s="743">
        <v>0</v>
      </c>
      <c r="H251" s="505">
        <v>0</v>
      </c>
      <c r="I251" s="1374">
        <f>IF('Appendix A'!$I$1=1,('5 - Cost Support 1'!G251+'5 - Cost Support 1'!H251)/2,H251)</f>
        <v>0</v>
      </c>
      <c r="J251" s="1378"/>
      <c r="K251" s="1374"/>
      <c r="L251" s="264"/>
      <c r="M251" s="381"/>
      <c r="O251" s="246" t="s">
        <v>252</v>
      </c>
      <c r="P251" s="196"/>
      <c r="Q251" s="196"/>
      <c r="R251" s="196"/>
      <c r="S251" s="196"/>
      <c r="T251" s="196"/>
      <c r="U251" s="196"/>
    </row>
    <row r="252" spans="1:21" ht="16.5" customHeight="1">
      <c r="A252" s="414"/>
      <c r="B252" s="349"/>
      <c r="C252" s="1370"/>
      <c r="D252" s="246" t="s">
        <v>105</v>
      </c>
      <c r="E252" s="534"/>
      <c r="F252" s="1444"/>
      <c r="G252" s="743">
        <v>0</v>
      </c>
      <c r="H252" s="505">
        <v>0</v>
      </c>
      <c r="I252" s="1374">
        <f>IF('Appendix A'!$I$1=1,('5 - Cost Support 1'!G252+'5 - Cost Support 1'!H252)/2,H252)</f>
        <v>0</v>
      </c>
      <c r="L252" s="264"/>
      <c r="M252" s="381"/>
      <c r="O252" s="246" t="s">
        <v>252</v>
      </c>
      <c r="P252" s="804"/>
      <c r="Q252" s="804"/>
      <c r="R252" s="804"/>
      <c r="S252" s="196"/>
      <c r="T252" s="196"/>
      <c r="U252" s="196"/>
    </row>
    <row r="253" spans="1:21" ht="16.5" customHeight="1">
      <c r="A253" s="414"/>
      <c r="B253" s="349"/>
      <c r="C253" s="1370"/>
      <c r="D253" s="246" t="s">
        <v>99</v>
      </c>
      <c r="E253" s="376"/>
      <c r="F253" s="196"/>
      <c r="G253" s="743">
        <v>11931795</v>
      </c>
      <c r="H253" s="505">
        <v>20056918</v>
      </c>
      <c r="I253" s="1374">
        <f>IF('Appendix A'!$I$1=1,('5 - Cost Support 1'!G253+'5 - Cost Support 1'!H253)/2,H253)</f>
        <v>20056918</v>
      </c>
      <c r="L253" s="531"/>
      <c r="M253" s="381"/>
      <c r="O253" s="246" t="s">
        <v>252</v>
      </c>
      <c r="P253" s="804"/>
      <c r="Q253" s="804"/>
      <c r="R253" s="804"/>
      <c r="S253" s="196"/>
      <c r="T253" s="196"/>
      <c r="U253" s="457"/>
    </row>
    <row r="254" spans="1:21" ht="16.5" customHeight="1">
      <c r="A254" s="414"/>
      <c r="B254" s="349"/>
      <c r="C254" s="1370"/>
      <c r="D254" s="246" t="s">
        <v>584</v>
      </c>
      <c r="E254" s="376"/>
      <c r="F254" s="196"/>
      <c r="G254" s="666">
        <v>510000</v>
      </c>
      <c r="H254" s="630">
        <v>530000</v>
      </c>
      <c r="I254" s="1376">
        <f>IF('Appendix A'!$I$1=1,('5 - Cost Support 1'!G254+'5 - Cost Support 1'!H254)/2,H254)</f>
        <v>530000</v>
      </c>
      <c r="L254" s="531"/>
      <c r="M254" s="381"/>
      <c r="O254" s="246" t="s">
        <v>252</v>
      </c>
      <c r="P254" s="804"/>
      <c r="Q254" s="804"/>
      <c r="R254" s="804"/>
      <c r="S254" s="196"/>
      <c r="T254" s="196"/>
      <c r="U254" s="457"/>
    </row>
    <row r="255" spans="1:13" ht="16.5" customHeight="1">
      <c r="A255" s="414"/>
      <c r="B255" s="349"/>
      <c r="E255" s="375"/>
      <c r="F255" s="457"/>
      <c r="G255" s="668">
        <f>SUM(G251:G254)</f>
        <v>12441795</v>
      </c>
      <c r="H255" s="457">
        <f>SUM(H251:H254)</f>
        <v>20586918</v>
      </c>
      <c r="I255" s="1374">
        <f>SUM(I251:I254)</f>
        <v>20586918</v>
      </c>
      <c r="J255" s="1378">
        <v>0</v>
      </c>
      <c r="K255" s="1374">
        <f>I255*J255</f>
        <v>0</v>
      </c>
      <c r="L255" s="264"/>
      <c r="M255" s="381"/>
    </row>
    <row r="256" spans="1:13" ht="16.5" customHeight="1">
      <c r="A256" s="414"/>
      <c r="B256" s="349"/>
      <c r="D256" s="527"/>
      <c r="E256" s="375"/>
      <c r="F256" s="457"/>
      <c r="G256" s="668"/>
      <c r="H256" s="457"/>
      <c r="I256" s="1374"/>
      <c r="J256" s="1379"/>
      <c r="K256" s="1374"/>
      <c r="L256" s="264"/>
      <c r="M256" s="381"/>
    </row>
    <row r="257" spans="1:18" ht="16.5" customHeight="1" thickBot="1">
      <c r="A257" s="456"/>
      <c r="B257" s="1359"/>
      <c r="C257" s="1358" t="s">
        <v>49</v>
      </c>
      <c r="D257" s="1371"/>
      <c r="E257" s="718"/>
      <c r="F257" s="906"/>
      <c r="G257" s="404">
        <f>G236+G246+G249+G255</f>
        <v>47301077</v>
      </c>
      <c r="H257" s="404">
        <f>H236+H246+H255+H249</f>
        <v>47841484</v>
      </c>
      <c r="I257" s="1380">
        <f>I236+I246+I255+I249</f>
        <v>47841484</v>
      </c>
      <c r="J257" s="1381"/>
      <c r="K257" s="1380">
        <f>K236+K246+K255+K249</f>
        <v>5481006.008931851</v>
      </c>
      <c r="L257" s="388"/>
      <c r="M257" s="378"/>
      <c r="O257" s="358"/>
      <c r="P257" s="361"/>
      <c r="Q257" s="196"/>
      <c r="R257" s="196"/>
    </row>
    <row r="258" spans="1:18" ht="12.75">
      <c r="A258" s="419"/>
      <c r="B258" s="419"/>
      <c r="C258" s="419"/>
      <c r="D258" s="419"/>
      <c r="E258" s="415"/>
      <c r="F258" s="419"/>
      <c r="G258" s="531"/>
      <c r="H258" s="264"/>
      <c r="I258" s="531"/>
      <c r="J258" s="264"/>
      <c r="K258" s="400"/>
      <c r="L258" s="264"/>
      <c r="M258" s="264"/>
      <c r="O258" s="358"/>
      <c r="P258" s="196"/>
      <c r="Q258" s="196"/>
      <c r="R258" s="196"/>
    </row>
    <row r="259" spans="1:8" ht="13.5" thickBot="1">
      <c r="A259" s="647"/>
      <c r="G259" s="527"/>
      <c r="H259" s="527"/>
    </row>
    <row r="260" spans="1:13" ht="27" thickBot="1">
      <c r="A260" s="729" t="s">
        <v>50</v>
      </c>
      <c r="B260" s="730"/>
      <c r="C260" s="730"/>
      <c r="D260" s="731"/>
      <c r="E260" s="731"/>
      <c r="F260" s="732"/>
      <c r="G260" s="726" t="s">
        <v>707</v>
      </c>
      <c r="H260" s="657" t="s">
        <v>706</v>
      </c>
      <c r="I260" s="657" t="s">
        <v>478</v>
      </c>
      <c r="J260" s="657" t="s">
        <v>37</v>
      </c>
      <c r="K260" s="657" t="s">
        <v>709</v>
      </c>
      <c r="L260" s="657" t="s">
        <v>551</v>
      </c>
      <c r="M260" s="728"/>
    </row>
    <row r="261" spans="1:25" ht="17.25">
      <c r="A261" s="1342">
        <f>+'Appendix A'!A74</f>
        <v>40</v>
      </c>
      <c r="B261" s="1348" t="s">
        <v>373</v>
      </c>
      <c r="C261" s="349"/>
      <c r="E261" s="264"/>
      <c r="F261" s="546"/>
      <c r="G261" s="776"/>
      <c r="H261" s="304"/>
      <c r="I261" s="1382"/>
      <c r="K261" s="1367" t="s">
        <v>554</v>
      </c>
      <c r="L261" s="370"/>
      <c r="M261" s="405"/>
      <c r="P261" s="805"/>
      <c r="Q261" s="805"/>
      <c r="R261" s="196"/>
      <c r="S261" s="196"/>
      <c r="T261" s="196"/>
      <c r="U261" s="196"/>
      <c r="V261" s="196"/>
      <c r="W261" s="196"/>
      <c r="X261" s="196"/>
      <c r="Y261" s="196"/>
    </row>
    <row r="262" spans="1:25" ht="12.75">
      <c r="A262" s="414"/>
      <c r="B262" s="535"/>
      <c r="C262" s="1372" t="s">
        <v>542</v>
      </c>
      <c r="D262" s="246" t="s">
        <v>248</v>
      </c>
      <c r="E262" s="291"/>
      <c r="F262" s="1390"/>
      <c r="G262" s="743">
        <v>0</v>
      </c>
      <c r="H262" s="505">
        <v>0</v>
      </c>
      <c r="I262" s="1374">
        <f>IF('Appendix A'!$I$1=1,('5 - Cost Support 1'!G262+'5 - Cost Support 1'!H262)/2,H262)</f>
        <v>0</v>
      </c>
      <c r="J262" s="1383">
        <f>'Appendix A'!$G$12</f>
        <v>0.20110413825455342</v>
      </c>
      <c r="K262" s="1384">
        <f>I262*J262</f>
        <v>0</v>
      </c>
      <c r="L262" s="373"/>
      <c r="M262" s="374"/>
      <c r="O262" s="246" t="s">
        <v>252</v>
      </c>
      <c r="P262" s="196"/>
      <c r="Q262" s="196"/>
      <c r="R262" s="196"/>
      <c r="S262" s="196"/>
      <c r="T262" s="196"/>
      <c r="U262" s="196"/>
      <c r="V262" s="196"/>
      <c r="W262" s="196"/>
      <c r="X262" s="196"/>
      <c r="Y262" s="196"/>
    </row>
    <row r="263" spans="1:25" ht="17.25" customHeight="1">
      <c r="A263" s="414"/>
      <c r="B263" s="535"/>
      <c r="D263" s="246" t="s">
        <v>888</v>
      </c>
      <c r="E263" s="408"/>
      <c r="F263" s="1445"/>
      <c r="G263" s="743">
        <v>13100778</v>
      </c>
      <c r="H263" s="505">
        <v>20674532</v>
      </c>
      <c r="I263" s="1374">
        <f>IF('Appendix A'!$I$1=1,('5 - Cost Support 1'!G263+'5 - Cost Support 1'!H263)/2,H263)</f>
        <v>20674532</v>
      </c>
      <c r="J263" s="1383">
        <f>'Appendix A'!$G$12</f>
        <v>0.20110413825455342</v>
      </c>
      <c r="K263" s="1384">
        <f aca="true" t="shared" si="0" ref="K263:K271">I263*J263</f>
        <v>4157733.9416761887</v>
      </c>
      <c r="L263" s="406"/>
      <c r="M263" s="407"/>
      <c r="O263" s="246" t="s">
        <v>252</v>
      </c>
      <c r="P263" s="805"/>
      <c r="Q263" s="806"/>
      <c r="R263" s="806"/>
      <c r="S263" s="806"/>
      <c r="T263" s="806"/>
      <c r="U263" s="806"/>
      <c r="V263" s="806"/>
      <c r="W263" s="196"/>
      <c r="X263" s="806"/>
      <c r="Y263" s="196"/>
    </row>
    <row r="264" spans="1:25" ht="17.25" customHeight="1">
      <c r="A264" s="414"/>
      <c r="B264" s="535"/>
      <c r="D264" s="246" t="s">
        <v>133</v>
      </c>
      <c r="E264" s="291"/>
      <c r="F264" s="1445"/>
      <c r="G264" s="743">
        <v>0</v>
      </c>
      <c r="H264" s="505">
        <v>0</v>
      </c>
      <c r="I264" s="1374">
        <f>IF('Appendix A'!$I$1=1,('5 - Cost Support 1'!G264+'5 - Cost Support 1'!H264)/2,H264)</f>
        <v>0</v>
      </c>
      <c r="J264" s="1383">
        <f>'Appendix A'!$G$12</f>
        <v>0.20110413825455342</v>
      </c>
      <c r="K264" s="1384">
        <f t="shared" si="0"/>
        <v>0</v>
      </c>
      <c r="L264" s="406"/>
      <c r="M264" s="407"/>
      <c r="O264" s="246" t="s">
        <v>252</v>
      </c>
      <c r="P264" s="196"/>
      <c r="Q264" s="196"/>
      <c r="R264" s="196"/>
      <c r="S264" s="196"/>
      <c r="T264" s="196"/>
      <c r="U264" s="196"/>
      <c r="V264" s="196"/>
      <c r="W264" s="196"/>
      <c r="X264" s="196"/>
      <c r="Y264" s="196"/>
    </row>
    <row r="265" spans="1:25" ht="17.25" customHeight="1">
      <c r="A265" s="414"/>
      <c r="B265" s="535"/>
      <c r="D265" s="246" t="s">
        <v>134</v>
      </c>
      <c r="E265" s="291"/>
      <c r="F265" s="1445"/>
      <c r="G265" s="743">
        <v>0</v>
      </c>
      <c r="H265" s="505">
        <v>0</v>
      </c>
      <c r="I265" s="1374">
        <f>IF('Appendix A'!$I$1=1,('5 - Cost Support 1'!G265+'5 - Cost Support 1'!H265)/2,H265)</f>
        <v>0</v>
      </c>
      <c r="J265" s="1383">
        <f>'Appendix A'!$G$12</f>
        <v>0.20110413825455342</v>
      </c>
      <c r="K265" s="1384">
        <f t="shared" si="0"/>
        <v>0</v>
      </c>
      <c r="L265" s="406"/>
      <c r="M265" s="407"/>
      <c r="O265" s="246" t="s">
        <v>252</v>
      </c>
      <c r="P265" s="805"/>
      <c r="Q265" s="806"/>
      <c r="R265" s="806"/>
      <c r="S265" s="806"/>
      <c r="T265" s="806"/>
      <c r="U265" s="806"/>
      <c r="V265" s="806"/>
      <c r="W265" s="196"/>
      <c r="X265" s="196"/>
      <c r="Y265" s="806"/>
    </row>
    <row r="266" spans="1:25" ht="17.25" customHeight="1">
      <c r="A266" s="414"/>
      <c r="B266" s="535"/>
      <c r="D266" s="246" t="s">
        <v>135</v>
      </c>
      <c r="E266" s="291"/>
      <c r="F266" s="1445"/>
      <c r="G266" s="743">
        <v>0</v>
      </c>
      <c r="H266" s="505">
        <v>0</v>
      </c>
      <c r="I266" s="1374">
        <f>IF('Appendix A'!$I$1=1,('5 - Cost Support 1'!G266+'5 - Cost Support 1'!H266)/2,H266)</f>
        <v>0</v>
      </c>
      <c r="J266" s="1383">
        <f>'Appendix A'!$G$12</f>
        <v>0.20110413825455342</v>
      </c>
      <c r="K266" s="1384">
        <f t="shared" si="0"/>
        <v>0</v>
      </c>
      <c r="L266" s="264"/>
      <c r="M266" s="407"/>
      <c r="O266" s="246" t="s">
        <v>252</v>
      </c>
      <c r="P266" s="805"/>
      <c r="Q266" s="806"/>
      <c r="R266" s="806"/>
      <c r="S266" s="806"/>
      <c r="T266" s="806"/>
      <c r="U266" s="806"/>
      <c r="V266" s="806"/>
      <c r="W266" s="196"/>
      <c r="X266" s="196"/>
      <c r="Y266" s="806"/>
    </row>
    <row r="267" spans="1:25" ht="17.25" customHeight="1">
      <c r="A267" s="414"/>
      <c r="B267" s="535"/>
      <c r="D267" s="246" t="s">
        <v>128</v>
      </c>
      <c r="E267" s="196"/>
      <c r="F267" s="1445"/>
      <c r="G267" s="743">
        <v>1911713</v>
      </c>
      <c r="H267" s="505">
        <v>5572356</v>
      </c>
      <c r="I267" s="1374">
        <f>IF('Appendix A'!$I$1=1,('5 - Cost Support 1'!G267+'5 - Cost Support 1'!H267)/2,H267)</f>
        <v>5572356</v>
      </c>
      <c r="J267" s="1383">
        <f>'Appendix A'!$G$12</f>
        <v>0.20110413825455342</v>
      </c>
      <c r="K267" s="1384">
        <f t="shared" si="0"/>
        <v>1120623.8514275902</v>
      </c>
      <c r="L267" s="264"/>
      <c r="M267" s="407"/>
      <c r="O267" s="246" t="s">
        <v>252</v>
      </c>
      <c r="P267" s="805"/>
      <c r="Q267" s="806"/>
      <c r="R267" s="806"/>
      <c r="S267" s="806"/>
      <c r="T267" s="806"/>
      <c r="U267" s="806"/>
      <c r="V267" s="806"/>
      <c r="W267" s="196"/>
      <c r="X267" s="196"/>
      <c r="Y267" s="806"/>
    </row>
    <row r="268" spans="1:13" ht="17.25" customHeight="1">
      <c r="A268" s="414"/>
      <c r="B268" s="535"/>
      <c r="E268" s="368"/>
      <c r="F268" s="196"/>
      <c r="G268" s="372"/>
      <c r="H268" s="291"/>
      <c r="I268" s="1374"/>
      <c r="K268" s="1224"/>
      <c r="L268" s="406"/>
      <c r="M268" s="407"/>
    </row>
    <row r="269" spans="1:15" ht="17.25" customHeight="1">
      <c r="A269" s="414"/>
      <c r="B269" s="535"/>
      <c r="C269" s="246" t="s">
        <v>584</v>
      </c>
      <c r="D269" s="246" t="s">
        <v>249</v>
      </c>
      <c r="E269" s="368"/>
      <c r="F269" s="1445"/>
      <c r="G269" s="743">
        <v>1589732</v>
      </c>
      <c r="H269" s="505">
        <v>1512114</v>
      </c>
      <c r="I269" s="1374">
        <f>IF('Appendix A'!$I$1=1,('5 - Cost Support 1'!G269+'5 - Cost Support 1'!H269)/2,H269)</f>
        <v>1512114</v>
      </c>
      <c r="J269" s="1383">
        <v>0</v>
      </c>
      <c r="K269" s="1384">
        <f t="shared" si="0"/>
        <v>0</v>
      </c>
      <c r="L269" s="406"/>
      <c r="M269" s="407"/>
      <c r="O269" s="246" t="s">
        <v>252</v>
      </c>
    </row>
    <row r="270" spans="1:13" ht="17.25" customHeight="1">
      <c r="A270" s="414"/>
      <c r="B270" s="535"/>
      <c r="E270" s="368"/>
      <c r="F270" s="1445"/>
      <c r="G270" s="372"/>
      <c r="H270" s="291"/>
      <c r="I270" s="1374"/>
      <c r="J270" s="1383"/>
      <c r="K270" s="1384"/>
      <c r="L270" s="406"/>
      <c r="M270" s="407"/>
    </row>
    <row r="271" spans="1:15" ht="17.25" customHeight="1">
      <c r="A271" s="414"/>
      <c r="B271" s="535"/>
      <c r="C271" s="246" t="s">
        <v>539</v>
      </c>
      <c r="D271" s="246" t="s">
        <v>131</v>
      </c>
      <c r="E271" s="368"/>
      <c r="F271" s="1445"/>
      <c r="G271" s="666">
        <v>4234417</v>
      </c>
      <c r="H271" s="630">
        <v>4514394</v>
      </c>
      <c r="I271" s="1376">
        <f>IF('Appendix A'!$I$1=1,('5 - Cost Support 1'!G271+'5 - Cost Support 1'!H271)/2,H271)</f>
        <v>4514394</v>
      </c>
      <c r="J271" s="1385">
        <f>'Appendix A'!G23</f>
        <v>0.24687857582138092</v>
      </c>
      <c r="K271" s="1386">
        <f t="shared" si="0"/>
        <v>1114507.1614165872</v>
      </c>
      <c r="L271" s="406"/>
      <c r="M271" s="407"/>
      <c r="O271" s="246" t="s">
        <v>252</v>
      </c>
    </row>
    <row r="272" spans="1:13" ht="12.75">
      <c r="A272" s="414"/>
      <c r="B272" s="419"/>
      <c r="C272" s="291"/>
      <c r="D272" s="737"/>
      <c r="E272" s="291"/>
      <c r="F272" s="368"/>
      <c r="G272" s="665"/>
      <c r="H272" s="531"/>
      <c r="I272" s="1224"/>
      <c r="K272" s="1224"/>
      <c r="L272" s="258"/>
      <c r="M272" s="374"/>
    </row>
    <row r="273" spans="1:13" ht="13.5" thickBot="1">
      <c r="A273" s="421"/>
      <c r="B273" s="425"/>
      <c r="C273" s="371"/>
      <c r="D273" s="364"/>
      <c r="E273" s="972"/>
      <c r="F273" s="906"/>
      <c r="G273" s="404">
        <f>SUM(G262:G271)</f>
        <v>20836640</v>
      </c>
      <c r="H273" s="404">
        <f>SUM(H262:H271)</f>
        <v>32273396</v>
      </c>
      <c r="I273" s="1226">
        <f>SUM(I262:I271)</f>
        <v>32273396</v>
      </c>
      <c r="J273" s="1387"/>
      <c r="K273" s="1388">
        <f>SUM(K262:K271)</f>
        <v>6392864.954520366</v>
      </c>
      <c r="L273" s="377"/>
      <c r="M273" s="378"/>
    </row>
    <row r="274" spans="1:13" ht="12.75">
      <c r="A274" s="419"/>
      <c r="B274" s="419"/>
      <c r="C274" s="419"/>
      <c r="D274" s="419"/>
      <c r="E274" s="415"/>
      <c r="F274" s="443"/>
      <c r="G274" s="409"/>
      <c r="H274" s="264"/>
      <c r="I274" s="264"/>
      <c r="J274" s="264"/>
      <c r="K274" s="400"/>
      <c r="L274" s="264"/>
      <c r="M274" s="264"/>
    </row>
    <row r="275" spans="1:14" ht="13.5" thickBot="1">
      <c r="A275" s="647" t="s">
        <v>634</v>
      </c>
      <c r="F275" s="397"/>
      <c r="G275" s="264"/>
      <c r="H275" s="264"/>
      <c r="N275" s="196"/>
    </row>
    <row r="276" spans="1:14" ht="27" thickBot="1">
      <c r="A276" s="729" t="s">
        <v>50</v>
      </c>
      <c r="B276" s="730"/>
      <c r="C276" s="730"/>
      <c r="D276" s="731"/>
      <c r="E276" s="731"/>
      <c r="F276" s="732"/>
      <c r="G276" s="726" t="s">
        <v>707</v>
      </c>
      <c r="H276" s="657" t="s">
        <v>773</v>
      </c>
      <c r="I276" s="657" t="s">
        <v>478</v>
      </c>
      <c r="J276" s="657"/>
      <c r="K276" s="657"/>
      <c r="L276" s="657"/>
      <c r="M276" s="728"/>
      <c r="N276" s="543"/>
    </row>
    <row r="277" spans="1:14" ht="12.75">
      <c r="A277" s="450"/>
      <c r="B277" s="417"/>
      <c r="C277" s="439"/>
      <c r="D277" s="264"/>
      <c r="G277" s="504"/>
      <c r="H277" s="440"/>
      <c r="I277" s="444"/>
      <c r="J277" s="408"/>
      <c r="K277" s="441"/>
      <c r="L277" s="408"/>
      <c r="M277" s="418"/>
      <c r="N277" s="196"/>
    </row>
    <row r="278" spans="1:16" ht="12.75">
      <c r="A278" s="392"/>
      <c r="C278" s="246" t="s">
        <v>635</v>
      </c>
      <c r="D278" s="246" t="s">
        <v>636</v>
      </c>
      <c r="E278" s="350"/>
      <c r="F278" s="350"/>
      <c r="G278" s="743">
        <v>630053</v>
      </c>
      <c r="H278" s="505">
        <v>890943</v>
      </c>
      <c r="I278" s="1389">
        <f>IF('Appendix A'!$I$1=1,('5 - Cost Support 1'!G278+'5 - Cost Support 1'!H278)/2,H278)</f>
        <v>890943</v>
      </c>
      <c r="J278" s="539"/>
      <c r="K278" s="442"/>
      <c r="L278" s="373"/>
      <c r="M278" s="374"/>
      <c r="O278" s="246" t="s">
        <v>252</v>
      </c>
      <c r="P278" s="292"/>
    </row>
    <row r="279" spans="1:15" ht="17.25" customHeight="1">
      <c r="A279" s="451"/>
      <c r="B279" s="449"/>
      <c r="C279" s="632" t="s">
        <v>637</v>
      </c>
      <c r="D279" s="632" t="s">
        <v>681</v>
      </c>
      <c r="E279" s="1446"/>
      <c r="F279" s="1447"/>
      <c r="G279" s="630">
        <v>0</v>
      </c>
      <c r="H279" s="630">
        <v>0</v>
      </c>
      <c r="I279" s="630">
        <f>IF('Appendix A'!$I$1=1,('5 - Cost Support 1'!G279+'5 - Cost Support 1'!H279)/2,H279)</f>
        <v>0</v>
      </c>
      <c r="J279" s="539"/>
      <c r="K279" s="442"/>
      <c r="L279" s="406"/>
      <c r="M279" s="407"/>
      <c r="O279" s="246" t="s">
        <v>252</v>
      </c>
    </row>
    <row r="280" spans="1:13" ht="15">
      <c r="A280" s="412">
        <f>'Appendix A'!A78</f>
        <v>42</v>
      </c>
      <c r="B280" s="419"/>
      <c r="C280" s="246" t="str">
        <f>'Appendix A'!C78</f>
        <v>Undistributed Stores Exp</v>
      </c>
      <c r="D280" s="514"/>
      <c r="E280" s="618"/>
      <c r="F280" s="618"/>
      <c r="G280" s="622">
        <f>G278+G279</f>
        <v>630053</v>
      </c>
      <c r="H280" s="452">
        <f>H278+H279</f>
        <v>890943</v>
      </c>
      <c r="I280" s="1390">
        <f>SUM(I278:I279)</f>
        <v>890943</v>
      </c>
      <c r="J280" s="539"/>
      <c r="K280" s="442"/>
      <c r="L280" s="406"/>
      <c r="M280" s="407"/>
    </row>
    <row r="281" spans="1:13" ht="17.25" customHeight="1">
      <c r="A281" s="412"/>
      <c r="B281" s="419"/>
      <c r="C281" s="514"/>
      <c r="D281" s="514"/>
      <c r="E281" s="618"/>
      <c r="F281" s="618"/>
      <c r="G281" s="608"/>
      <c r="H281" s="452"/>
      <c r="I281" s="1224"/>
      <c r="J281" s="539"/>
      <c r="K281" s="442"/>
      <c r="L281" s="406"/>
      <c r="M281" s="407"/>
    </row>
    <row r="282" spans="1:15" ht="17.25" customHeight="1" thickBot="1">
      <c r="A282" s="1339">
        <f>'Appendix A'!A81</f>
        <v>45</v>
      </c>
      <c r="B282" s="425"/>
      <c r="C282" s="397" t="str">
        <f>'Appendix A'!C81</f>
        <v>Transmission Materials &amp; Supplies</v>
      </c>
      <c r="D282" s="397" t="s">
        <v>638</v>
      </c>
      <c r="E282" s="993"/>
      <c r="F282" s="906"/>
      <c r="G282" s="506">
        <v>7465407</v>
      </c>
      <c r="H282" s="506">
        <v>1858924</v>
      </c>
      <c r="I282" s="717">
        <f>IF('Appendix A'!$I$1=1,('5 - Cost Support 1'!G282+'5 - Cost Support 1'!H282)/2,H282)</f>
        <v>1858924</v>
      </c>
      <c r="J282" s="540"/>
      <c r="K282" s="541"/>
      <c r="L282" s="364"/>
      <c r="M282" s="542"/>
      <c r="O282" s="246" t="s">
        <v>252</v>
      </c>
    </row>
    <row r="283" spans="1:13" ht="15">
      <c r="A283" s="419"/>
      <c r="B283" s="419"/>
      <c r="C283" s="610"/>
      <c r="D283" s="607"/>
      <c r="E283" s="607"/>
      <c r="F283" s="607"/>
      <c r="G283" s="611"/>
      <c r="H283" s="448"/>
      <c r="I283" s="445"/>
      <c r="J283" s="448"/>
      <c r="K283" s="448"/>
      <c r="L283" s="373"/>
      <c r="M283" s="373"/>
    </row>
    <row r="284" spans="1:13" ht="15.75" thickBot="1">
      <c r="A284" s="417" t="s">
        <v>271</v>
      </c>
      <c r="B284" s="419"/>
      <c r="C284" s="224"/>
      <c r="D284" s="224"/>
      <c r="E284" s="467"/>
      <c r="F284" s="224"/>
      <c r="G284" s="607"/>
      <c r="H284" s="264"/>
      <c r="I284" s="264"/>
      <c r="J284" s="264"/>
      <c r="K284" s="400"/>
      <c r="L284" s="264"/>
      <c r="M284" s="264"/>
    </row>
    <row r="285" spans="1:13" ht="15.75" thickBot="1">
      <c r="A285" s="1576" t="s">
        <v>50</v>
      </c>
      <c r="B285" s="1577"/>
      <c r="C285" s="1597"/>
      <c r="D285" s="1597"/>
      <c r="E285" s="1597"/>
      <c r="F285" s="1598"/>
      <c r="G285" s="733" t="s">
        <v>436</v>
      </c>
      <c r="H285" s="724" t="s">
        <v>37</v>
      </c>
      <c r="I285" s="724" t="s">
        <v>534</v>
      </c>
      <c r="J285" s="724"/>
      <c r="K285" s="724"/>
      <c r="L285" s="724"/>
      <c r="M285" s="725"/>
    </row>
    <row r="286" spans="1:13" ht="15">
      <c r="A286" s="414"/>
      <c r="B286" s="419"/>
      <c r="C286" s="224"/>
      <c r="D286" s="224"/>
      <c r="E286" s="224"/>
      <c r="F286" s="612"/>
      <c r="G286" s="613"/>
      <c r="H286" s="264"/>
      <c r="I286" s="264"/>
      <c r="J286" s="264"/>
      <c r="K286" s="400"/>
      <c r="L286" s="264"/>
      <c r="M286" s="381"/>
    </row>
    <row r="287" spans="1:13" ht="15">
      <c r="A287" s="412">
        <f>'Appendix A'!A100</f>
        <v>55</v>
      </c>
      <c r="B287" s="419"/>
      <c r="C287" s="535" t="str">
        <f>'Appendix A'!C100</f>
        <v>     Plus Net Transmission Lease Payments</v>
      </c>
      <c r="D287" s="224"/>
      <c r="E287" s="224"/>
      <c r="F287" s="612"/>
      <c r="G287" s="608"/>
      <c r="H287" s="264"/>
      <c r="I287" s="529"/>
      <c r="J287" s="529"/>
      <c r="K287" s="400"/>
      <c r="L287" s="264"/>
      <c r="M287" s="381"/>
    </row>
    <row r="288" spans="1:13" ht="15.75" thickBot="1">
      <c r="A288" s="421"/>
      <c r="B288" s="425"/>
      <c r="C288" s="614"/>
      <c r="D288" s="614"/>
      <c r="E288" s="615"/>
      <c r="F288" s="616"/>
      <c r="G288" s="617"/>
      <c r="H288" s="397"/>
      <c r="I288" s="397"/>
      <c r="J288" s="397"/>
      <c r="K288" s="399"/>
      <c r="L288" s="397"/>
      <c r="M288" s="398"/>
    </row>
    <row r="289" spans="1:15" ht="15">
      <c r="A289" s="419"/>
      <c r="B289" s="419"/>
      <c r="C289" s="224"/>
      <c r="D289" s="224"/>
      <c r="E289" s="467"/>
      <c r="F289" s="224"/>
      <c r="G289" s="607"/>
      <c r="H289" s="264"/>
      <c r="I289" s="264"/>
      <c r="J289" s="264"/>
      <c r="K289" s="400"/>
      <c r="L289" s="264"/>
      <c r="M289" s="264"/>
      <c r="O289" s="527"/>
    </row>
    <row r="290" spans="1:7" ht="15.75" thickBot="1">
      <c r="A290" s="647" t="s">
        <v>272</v>
      </c>
      <c r="C290" s="514"/>
      <c r="D290" s="514"/>
      <c r="E290" s="514"/>
      <c r="F290" s="514"/>
      <c r="G290" s="514"/>
    </row>
    <row r="291" spans="1:13" ht="16.5" customHeight="1" thickBot="1">
      <c r="A291" s="1576" t="s">
        <v>50</v>
      </c>
      <c r="B291" s="1577"/>
      <c r="C291" s="1597"/>
      <c r="D291" s="1597"/>
      <c r="E291" s="1597"/>
      <c r="F291" s="1598"/>
      <c r="G291" s="734" t="s">
        <v>544</v>
      </c>
      <c r="H291" s="1558" t="s">
        <v>589</v>
      </c>
      <c r="I291" s="1558"/>
      <c r="J291" s="1558"/>
      <c r="K291" s="1558"/>
      <c r="L291" s="1558"/>
      <c r="M291" s="1559"/>
    </row>
    <row r="292" spans="1:13" ht="15">
      <c r="A292" s="414"/>
      <c r="B292" s="1348" t="str">
        <f>+'Appendix A'!C267</f>
        <v>Net Revenue Requirement</v>
      </c>
      <c r="C292" s="514"/>
      <c r="D292" s="618"/>
      <c r="E292" s="619"/>
      <c r="F292" s="620"/>
      <c r="G292" s="607"/>
      <c r="H292" s="264"/>
      <c r="I292" s="264"/>
      <c r="J292" s="264"/>
      <c r="K292" s="264"/>
      <c r="L292" s="264"/>
      <c r="M292" s="381"/>
    </row>
    <row r="293" spans="1:13" ht="15.75" thickBot="1">
      <c r="A293" s="1339">
        <f>+'Appendix A'!A270</f>
        <v>166</v>
      </c>
      <c r="B293" s="382"/>
      <c r="C293" s="1358" t="str">
        <f>+'Appendix A'!C270</f>
        <v>Facility Credits under Section 30.9 of the PJM OATT</v>
      </c>
      <c r="D293" s="609"/>
      <c r="E293" s="614"/>
      <c r="F293" s="614"/>
      <c r="G293" s="941">
        <v>0</v>
      </c>
      <c r="H293" s="1589"/>
      <c r="I293" s="1589"/>
      <c r="J293" s="1589"/>
      <c r="K293" s="1589"/>
      <c r="L293" s="1589"/>
      <c r="M293" s="1590"/>
    </row>
    <row r="294" spans="1:13" ht="15">
      <c r="A294" s="419"/>
      <c r="B294" s="419"/>
      <c r="C294" s="224"/>
      <c r="D294" s="224"/>
      <c r="E294" s="467"/>
      <c r="F294" s="224"/>
      <c r="G294" s="607"/>
      <c r="H294" s="264"/>
      <c r="I294" s="264"/>
      <c r="J294" s="264"/>
      <c r="K294" s="400"/>
      <c r="L294" s="264"/>
      <c r="M294" s="264"/>
    </row>
    <row r="295" spans="1:7" ht="15.75" thickBot="1">
      <c r="A295" s="647" t="s">
        <v>642</v>
      </c>
      <c r="C295" s="514"/>
      <c r="D295" s="514"/>
      <c r="E295" s="514"/>
      <c r="F295" s="514"/>
      <c r="G295" s="514"/>
    </row>
    <row r="296" spans="1:13" ht="16.5" customHeight="1" thickBot="1">
      <c r="A296" s="1576" t="s">
        <v>50</v>
      </c>
      <c r="B296" s="1577"/>
      <c r="C296" s="1597"/>
      <c r="D296" s="1597"/>
      <c r="E296" s="1597"/>
      <c r="F296" s="1598"/>
      <c r="G296" s="734" t="str">
        <f>+C298</f>
        <v>1 CP Peak</v>
      </c>
      <c r="H296" s="1558" t="s">
        <v>589</v>
      </c>
      <c r="I296" s="1558"/>
      <c r="J296" s="1558"/>
      <c r="K296" s="1558"/>
      <c r="L296" s="1558"/>
      <c r="M296" s="1559"/>
    </row>
    <row r="297" spans="1:13" ht="15">
      <c r="A297" s="414"/>
      <c r="B297" s="1348" t="s">
        <v>569</v>
      </c>
      <c r="C297" s="514"/>
      <c r="D297" s="618"/>
      <c r="E297" s="619"/>
      <c r="F297" s="620"/>
      <c r="G297" s="607"/>
      <c r="H297" s="264"/>
      <c r="I297" s="264"/>
      <c r="J297" s="264"/>
      <c r="K297" s="264"/>
      <c r="L297" s="264"/>
      <c r="M297" s="381"/>
    </row>
    <row r="298" spans="1:19" ht="40.5" customHeight="1" thickBot="1">
      <c r="A298" s="1339">
        <f>+'Appendix A'!A275</f>
        <v>168</v>
      </c>
      <c r="B298" s="382"/>
      <c r="C298" s="1358" t="str">
        <f>+'Appendix A'!C275</f>
        <v>1 CP Peak</v>
      </c>
      <c r="D298" s="609"/>
      <c r="E298" s="1443"/>
      <c r="F298" s="426" t="s">
        <v>785</v>
      </c>
      <c r="G298" s="506">
        <v>2715</v>
      </c>
      <c r="H298" s="397"/>
      <c r="I298" s="397"/>
      <c r="J298" s="397"/>
      <c r="K298" s="399"/>
      <c r="L298" s="397"/>
      <c r="M298" s="398"/>
      <c r="P298" s="805"/>
      <c r="Q298" s="805"/>
      <c r="R298" s="805"/>
      <c r="S298" s="806"/>
    </row>
    <row r="299" spans="1:19" ht="17.25" customHeight="1" thickBot="1">
      <c r="A299" s="419"/>
      <c r="B299" s="419"/>
      <c r="C299" s="222"/>
      <c r="D299" s="223"/>
      <c r="E299" s="467"/>
      <c r="F299" s="222"/>
      <c r="G299" s="457"/>
      <c r="H299" s="264"/>
      <c r="I299" s="264"/>
      <c r="J299" s="264"/>
      <c r="K299" s="400"/>
      <c r="L299" s="264"/>
      <c r="M299" s="264"/>
      <c r="P299" s="805"/>
      <c r="Q299" s="805"/>
      <c r="R299" s="805"/>
      <c r="S299" s="806"/>
    </row>
    <row r="300" spans="1:77" s="1134" customFormat="1" ht="15.75" thickBot="1">
      <c r="A300" s="1448" t="s">
        <v>1069</v>
      </c>
      <c r="B300" s="409"/>
      <c r="C300" s="1449"/>
      <c r="D300" s="1131"/>
      <c r="E300" s="1131"/>
      <c r="F300" s="1131"/>
      <c r="G300" s="1131"/>
      <c r="H300" s="1130"/>
      <c r="I300" s="1130"/>
      <c r="J300" s="1130"/>
      <c r="K300" s="1130"/>
      <c r="L300" s="1130"/>
      <c r="M300" s="1132"/>
      <c r="N300" s="794"/>
      <c r="O300" s="1133"/>
      <c r="P300" s="794"/>
      <c r="Q300" s="794"/>
      <c r="R300" s="794"/>
      <c r="S300" s="794"/>
      <c r="T300" s="794"/>
      <c r="U300" s="794"/>
      <c r="V300" s="794"/>
      <c r="W300" s="794"/>
      <c r="X300" s="794"/>
      <c r="Y300" s="794"/>
      <c r="Z300" s="794"/>
      <c r="AA300" s="794"/>
      <c r="AB300" s="794"/>
      <c r="AC300" s="794"/>
      <c r="AD300" s="794"/>
      <c r="AE300" s="794"/>
      <c r="AF300" s="794"/>
      <c r="AG300" s="794"/>
      <c r="AH300" s="794"/>
      <c r="AI300" s="794"/>
      <c r="AJ300" s="794"/>
      <c r="AK300" s="794"/>
      <c r="AL300" s="794"/>
      <c r="AM300" s="794"/>
      <c r="AN300" s="794"/>
      <c r="AO300" s="794"/>
      <c r="AP300" s="794"/>
      <c r="AQ300" s="794"/>
      <c r="AR300" s="794"/>
      <c r="AS300" s="794"/>
      <c r="AT300" s="794"/>
      <c r="AU300" s="794"/>
      <c r="AV300" s="794"/>
      <c r="AW300" s="794"/>
      <c r="AX300" s="794"/>
      <c r="AY300" s="794"/>
      <c r="AZ300" s="794"/>
      <c r="BA300" s="794"/>
      <c r="BB300" s="794"/>
      <c r="BC300" s="794"/>
      <c r="BD300" s="794"/>
      <c r="BE300" s="794"/>
      <c r="BF300" s="794"/>
      <c r="BG300" s="794"/>
      <c r="BH300" s="794"/>
      <c r="BI300" s="794"/>
      <c r="BJ300" s="794"/>
      <c r="BK300" s="794"/>
      <c r="BL300" s="794"/>
      <c r="BM300" s="794"/>
      <c r="BN300" s="794"/>
      <c r="BO300" s="794"/>
      <c r="BP300" s="794"/>
      <c r="BQ300" s="794"/>
      <c r="BR300" s="794"/>
      <c r="BS300" s="794"/>
      <c r="BT300" s="794"/>
      <c r="BU300" s="794"/>
      <c r="BV300" s="794"/>
      <c r="BW300" s="794"/>
      <c r="BX300" s="794"/>
      <c r="BY300" s="794"/>
    </row>
    <row r="301" spans="1:15" ht="64.5" customHeight="1" thickBot="1">
      <c r="A301" s="1576" t="s">
        <v>50</v>
      </c>
      <c r="B301" s="1577"/>
      <c r="C301" s="1597"/>
      <c r="D301" s="1597"/>
      <c r="E301" s="1597"/>
      <c r="F301" s="1597"/>
      <c r="G301" s="1454" t="s">
        <v>1092</v>
      </c>
      <c r="H301" s="1454" t="s">
        <v>1093</v>
      </c>
      <c r="I301" s="1454" t="s">
        <v>1090</v>
      </c>
      <c r="J301" s="1454" t="s">
        <v>1091</v>
      </c>
      <c r="K301" s="1455" t="s">
        <v>436</v>
      </c>
      <c r="L301" s="1593" t="s">
        <v>589</v>
      </c>
      <c r="M301" s="1594"/>
      <c r="O301" s="1133"/>
    </row>
    <row r="302" spans="1:15" ht="28.5" customHeight="1">
      <c r="A302" s="1135"/>
      <c r="B302" s="794"/>
      <c r="C302" s="246" t="s">
        <v>1073</v>
      </c>
      <c r="D302" s="1136"/>
      <c r="E302" s="514" t="s">
        <v>1074</v>
      </c>
      <c r="F302" s="514" t="s">
        <v>1206</v>
      </c>
      <c r="G302" s="1457">
        <f>IF('Appendix A'!I1=1,0,157144*0.5+3921351-I302)</f>
        <v>3996930</v>
      </c>
      <c r="H302" s="1457">
        <f>IF('Appendix A'!I1=1,0,336103*0.5+3427664-J302)</f>
        <v>2627006.5</v>
      </c>
      <c r="I302" s="1457">
        <f>IF('Appendix A'!I1=1,0,2993)</f>
        <v>2993</v>
      </c>
      <c r="J302" s="1457">
        <f>IF('Appendix A'!I1=1,0,968709)</f>
        <v>968709</v>
      </c>
      <c r="K302" s="1457">
        <f>SUM(G302:J302)</f>
        <v>7595638.5</v>
      </c>
      <c r="L302" s="1461"/>
      <c r="M302" s="1462"/>
      <c r="N302" s="246" t="s">
        <v>1174</v>
      </c>
      <c r="O302" s="1138"/>
    </row>
    <row r="303" spans="1:15" ht="28.5" customHeight="1">
      <c r="A303" s="1135"/>
      <c r="B303" s="794"/>
      <c r="C303" s="246" t="s">
        <v>1075</v>
      </c>
      <c r="D303" s="1136"/>
      <c r="E303" s="514" t="s">
        <v>1074</v>
      </c>
      <c r="F303" s="1137"/>
      <c r="G303" s="1456">
        <v>1</v>
      </c>
      <c r="H303" s="1456">
        <v>1</v>
      </c>
      <c r="I303" s="1456">
        <v>1</v>
      </c>
      <c r="J303" s="1456">
        <v>1</v>
      </c>
      <c r="K303" s="1456">
        <v>1</v>
      </c>
      <c r="L303" s="1463"/>
      <c r="M303" s="1464"/>
      <c r="O303" s="1138"/>
    </row>
    <row r="304" spans="1:15" ht="28.5" customHeight="1">
      <c r="A304" s="1460" t="s">
        <v>1071</v>
      </c>
      <c r="B304" s="794"/>
      <c r="C304" s="246" t="s">
        <v>1076</v>
      </c>
      <c r="D304" s="1136"/>
      <c r="E304" s="514" t="s">
        <v>1077</v>
      </c>
      <c r="F304" s="514" t="s">
        <v>1207</v>
      </c>
      <c r="G304" s="1458">
        <f>G302/G303</f>
        <v>3996930</v>
      </c>
      <c r="H304" s="1458">
        <f>H302/H303</f>
        <v>2627006.5</v>
      </c>
      <c r="I304" s="1458">
        <f>I302/I303</f>
        <v>2993</v>
      </c>
      <c r="J304" s="1458">
        <f>J302/J303</f>
        <v>968709</v>
      </c>
      <c r="K304" s="1459">
        <f>SUM(G304:J304)</f>
        <v>7595638.5</v>
      </c>
      <c r="L304" s="1463"/>
      <c r="M304" s="1464"/>
      <c r="O304" s="1138"/>
    </row>
    <row r="305" spans="1:15" ht="15">
      <c r="A305" s="1135"/>
      <c r="B305" s="794"/>
      <c r="C305" s="196"/>
      <c r="D305" s="520"/>
      <c r="E305" s="520"/>
      <c r="F305" s="1450"/>
      <c r="G305" s="1452"/>
      <c r="H305" s="1452"/>
      <c r="I305" s="1452"/>
      <c r="J305" s="1452"/>
      <c r="K305" s="1451"/>
      <c r="M305" s="381"/>
      <c r="O305" s="1133"/>
    </row>
    <row r="306" spans="1:15" ht="15">
      <c r="A306" s="1135"/>
      <c r="B306" s="794"/>
      <c r="C306" s="794"/>
      <c r="D306" s="1136"/>
      <c r="E306" s="1136"/>
      <c r="F306" s="1137"/>
      <c r="G306" s="1139"/>
      <c r="H306" s="1139"/>
      <c r="I306" s="1139"/>
      <c r="J306" s="1139"/>
      <c r="K306" s="1139"/>
      <c r="M306" s="381"/>
      <c r="O306" s="1133"/>
    </row>
    <row r="307" spans="1:15" ht="15.75" thickBot="1">
      <c r="A307" s="1140"/>
      <c r="B307" s="1141"/>
      <c r="C307" s="1568" t="s">
        <v>1078</v>
      </c>
      <c r="D307" s="1568"/>
      <c r="E307" s="1568"/>
      <c r="F307" s="1568"/>
      <c r="G307" s="1453" t="s">
        <v>1134</v>
      </c>
      <c r="H307" s="1453" t="s">
        <v>1134</v>
      </c>
      <c r="I307" s="1453" t="s">
        <v>1134</v>
      </c>
      <c r="J307" s="1453" t="s">
        <v>1134</v>
      </c>
      <c r="K307" s="1142"/>
      <c r="L307" s="1143"/>
      <c r="M307" s="1144"/>
      <c r="O307" s="1133"/>
    </row>
    <row r="308" spans="1:19" ht="17.25" customHeight="1">
      <c r="A308" s="419"/>
      <c r="B308" s="419"/>
      <c r="C308" s="222"/>
      <c r="D308" s="223"/>
      <c r="E308" s="467"/>
      <c r="F308" s="222"/>
      <c r="G308" s="222"/>
      <c r="H308" s="222"/>
      <c r="I308" s="222"/>
      <c r="J308" s="222"/>
      <c r="K308" s="400"/>
      <c r="L308" s="264"/>
      <c r="M308" s="264"/>
      <c r="P308" s="805"/>
      <c r="Q308" s="805"/>
      <c r="R308" s="805"/>
      <c r="S308" s="806"/>
    </row>
    <row r="309" spans="1:7" ht="15.75" thickBot="1">
      <c r="A309" s="647" t="s">
        <v>821</v>
      </c>
      <c r="C309" s="514"/>
      <c r="D309" s="514"/>
      <c r="E309" s="514"/>
      <c r="F309" s="514"/>
      <c r="G309" s="514"/>
    </row>
    <row r="310" spans="1:13" ht="16.5" customHeight="1" thickBot="1">
      <c r="A310" s="1576" t="s">
        <v>851</v>
      </c>
      <c r="B310" s="1577"/>
      <c r="C310" s="1577"/>
      <c r="D310" s="1577"/>
      <c r="E310" s="1577"/>
      <c r="F310" s="1578"/>
      <c r="G310" s="734" t="s">
        <v>436</v>
      </c>
      <c r="H310" s="1558"/>
      <c r="I310" s="1558"/>
      <c r="J310" s="1558"/>
      <c r="K310" s="1558"/>
      <c r="L310" s="1558"/>
      <c r="M310" s="1559"/>
    </row>
    <row r="311" spans="3:13" ht="15">
      <c r="C311" s="514"/>
      <c r="D311" s="514"/>
      <c r="E311" s="514"/>
      <c r="F311" s="514"/>
      <c r="G311" s="668"/>
      <c r="M311" s="381"/>
    </row>
    <row r="312" spans="1:13" ht="12.75">
      <c r="A312" s="632"/>
      <c r="B312" s="980"/>
      <c r="C312" s="360" t="s">
        <v>871</v>
      </c>
      <c r="D312" s="977" t="s">
        <v>872</v>
      </c>
      <c r="E312" s="1122"/>
      <c r="F312" s="1123" t="s">
        <v>983</v>
      </c>
      <c r="G312" s="666">
        <f>'9.1-Amort Deficient-Excess'!J15</f>
        <v>-1914045</v>
      </c>
      <c r="H312" s="264"/>
      <c r="I312" s="529"/>
      <c r="J312" s="529"/>
      <c r="K312" s="400"/>
      <c r="L312" s="264"/>
      <c r="M312" s="381"/>
    </row>
    <row r="313" spans="1:19" ht="17.25" customHeight="1" thickBot="1">
      <c r="A313" s="421" t="s">
        <v>822</v>
      </c>
      <c r="B313" s="948"/>
      <c r="C313" s="948" t="s">
        <v>889</v>
      </c>
      <c r="D313" s="949"/>
      <c r="E313" s="950"/>
      <c r="F313" s="951"/>
      <c r="G313" s="404">
        <f>G312</f>
        <v>-1914045</v>
      </c>
      <c r="H313" s="397"/>
      <c r="I313" s="397"/>
      <c r="J313" s="397"/>
      <c r="K313" s="399"/>
      <c r="L313" s="397"/>
      <c r="M313" s="398"/>
      <c r="P313" s="805"/>
      <c r="Q313" s="805"/>
      <c r="R313" s="805"/>
      <c r="S313" s="806"/>
    </row>
    <row r="314" spans="3:7" ht="15">
      <c r="C314" s="514"/>
      <c r="D314" s="514"/>
      <c r="E314" s="514"/>
      <c r="F314" s="514"/>
      <c r="G314" s="514"/>
    </row>
    <row r="315" ht="13.5" thickBot="1">
      <c r="A315" s="647" t="s">
        <v>468</v>
      </c>
    </row>
    <row r="316" spans="1:13" ht="13.5" thickBot="1">
      <c r="A316" s="1576" t="s">
        <v>50</v>
      </c>
      <c r="B316" s="1577"/>
      <c r="C316" s="1577"/>
      <c r="D316" s="1577"/>
      <c r="E316" s="1577"/>
      <c r="F316" s="1577"/>
      <c r="G316" s="735"/>
      <c r="H316" s="1595"/>
      <c r="I316" s="1595"/>
      <c r="J316" s="1595"/>
      <c r="K316" s="1595"/>
      <c r="L316" s="1595"/>
      <c r="M316" s="1596"/>
    </row>
    <row r="317" spans="1:33" ht="17.25">
      <c r="A317" s="414"/>
      <c r="B317" s="1373" t="str">
        <f>+'Appendix A'!B159</f>
        <v>Long Term Interest</v>
      </c>
      <c r="E317" s="356"/>
      <c r="F317" s="356" t="s">
        <v>544</v>
      </c>
      <c r="G317" s="356"/>
      <c r="H317" s="291"/>
      <c r="I317" s="291"/>
      <c r="J317" s="291"/>
      <c r="K317" s="291"/>
      <c r="L317" s="291"/>
      <c r="M317" s="395"/>
      <c r="P317" s="805"/>
      <c r="Q317" s="805"/>
      <c r="R317" s="806"/>
      <c r="S317" s="196"/>
      <c r="T317" s="890"/>
      <c r="U317" s="890"/>
      <c r="V317" s="806"/>
      <c r="W317" s="806"/>
      <c r="X317" s="890"/>
      <c r="Y317" s="196"/>
      <c r="Z317" s="196"/>
      <c r="AA317" s="196"/>
      <c r="AB317" s="196"/>
      <c r="AC317" s="196"/>
      <c r="AD317" s="196"/>
      <c r="AE317" s="196"/>
      <c r="AF317" s="196"/>
      <c r="AG317" s="196"/>
    </row>
    <row r="318" spans="1:33" ht="12.75">
      <c r="A318" s="412">
        <f>+'Appendix A'!A160</f>
        <v>92</v>
      </c>
      <c r="B318" s="535"/>
      <c r="C318" s="1346" t="str">
        <f>+'Appendix A'!C160</f>
        <v>Long Term Interest</v>
      </c>
      <c r="D318" s="246" t="s">
        <v>112</v>
      </c>
      <c r="E318" s="291"/>
      <c r="F318" s="457">
        <f>+H349</f>
        <v>59329170</v>
      </c>
      <c r="G318" s="881"/>
      <c r="H318" s="264"/>
      <c r="I318" s="529"/>
      <c r="J318" s="529"/>
      <c r="K318" s="400"/>
      <c r="L318" s="264"/>
      <c r="M318" s="381"/>
      <c r="P318" s="196"/>
      <c r="Q318" s="196"/>
      <c r="R318" s="196"/>
      <c r="S318" s="196"/>
      <c r="T318" s="196"/>
      <c r="U318" s="196"/>
      <c r="V318" s="196"/>
      <c r="W318" s="196"/>
      <c r="X318" s="196"/>
      <c r="Y318" s="196"/>
      <c r="Z318" s="196"/>
      <c r="AA318" s="196"/>
      <c r="AB318" s="196"/>
      <c r="AC318" s="196"/>
      <c r="AD318" s="196"/>
      <c r="AE318" s="196"/>
      <c r="AF318" s="196"/>
      <c r="AG318" s="196"/>
    </row>
    <row r="319" spans="1:33" ht="12.75">
      <c r="A319" s="412">
        <f>+'Appendix A'!A178</f>
        <v>105</v>
      </c>
      <c r="C319" s="246" t="str">
        <f>+'Appendix A'!C178</f>
        <v>Long Term Debt</v>
      </c>
      <c r="D319" s="246" t="s">
        <v>476</v>
      </c>
      <c r="E319" s="291"/>
      <c r="F319" s="368">
        <f>+G349</f>
        <v>1427500000</v>
      </c>
      <c r="G319" s="534"/>
      <c r="H319" s="291"/>
      <c r="I319" s="291"/>
      <c r="J319" s="291"/>
      <c r="K319" s="291"/>
      <c r="L319" s="291"/>
      <c r="M319" s="395"/>
      <c r="P319" s="196"/>
      <c r="Q319" s="196"/>
      <c r="R319" s="196"/>
      <c r="S319" s="196"/>
      <c r="T319" s="196"/>
      <c r="U319" s="196"/>
      <c r="V319" s="196"/>
      <c r="W319" s="196"/>
      <c r="X319" s="196"/>
      <c r="Y319" s="196"/>
      <c r="Z319" s="196"/>
      <c r="AA319" s="196"/>
      <c r="AB319" s="196"/>
      <c r="AC319" s="196"/>
      <c r="AD319" s="196"/>
      <c r="AE319" s="196"/>
      <c r="AF319" s="196"/>
      <c r="AG319" s="196"/>
    </row>
    <row r="320" spans="1:33" ht="12.75">
      <c r="A320" s="392"/>
      <c r="B320" s="291"/>
      <c r="C320" s="291"/>
      <c r="D320" s="291"/>
      <c r="E320" s="291"/>
      <c r="F320" s="559"/>
      <c r="G320" s="559"/>
      <c r="H320" s="291"/>
      <c r="I320" s="291"/>
      <c r="J320" s="291"/>
      <c r="K320" s="291"/>
      <c r="L320" s="291"/>
      <c r="M320" s="395"/>
      <c r="P320" s="196"/>
      <c r="Q320" s="196"/>
      <c r="R320" s="196"/>
      <c r="S320" s="196"/>
      <c r="T320" s="196"/>
      <c r="U320" s="196"/>
      <c r="V320" s="196"/>
      <c r="W320" s="196"/>
      <c r="X320" s="196"/>
      <c r="Y320" s="196"/>
      <c r="Z320" s="196"/>
      <c r="AA320" s="196"/>
      <c r="AB320" s="196"/>
      <c r="AC320" s="196"/>
      <c r="AD320" s="196"/>
      <c r="AE320" s="196"/>
      <c r="AF320" s="196"/>
      <c r="AG320" s="196"/>
    </row>
    <row r="321" spans="1:33" ht="17.25">
      <c r="A321" s="392"/>
      <c r="B321" s="291"/>
      <c r="C321" s="356" t="s">
        <v>306</v>
      </c>
      <c r="D321" s="356" t="s">
        <v>437</v>
      </c>
      <c r="E321" s="356" t="s">
        <v>287</v>
      </c>
      <c r="F321" s="356" t="s">
        <v>307</v>
      </c>
      <c r="G321" s="356" t="s">
        <v>305</v>
      </c>
      <c r="H321" s="356" t="s">
        <v>590</v>
      </c>
      <c r="I321" s="356"/>
      <c r="J321" s="356"/>
      <c r="K321" s="291"/>
      <c r="L321" s="291"/>
      <c r="M321" s="395"/>
      <c r="P321" s="805"/>
      <c r="Q321" s="806"/>
      <c r="R321" s="806"/>
      <c r="S321" s="806"/>
      <c r="T321" s="806"/>
      <c r="U321" s="806"/>
      <c r="V321" s="806"/>
      <c r="W321" s="196"/>
      <c r="X321" s="806"/>
      <c r="Y321" s="196"/>
      <c r="Z321" s="196"/>
      <c r="AA321" s="196"/>
      <c r="AB321" s="196"/>
      <c r="AC321" s="196"/>
      <c r="AD321" s="196"/>
      <c r="AE321" s="196"/>
      <c r="AF321" s="196"/>
      <c r="AG321" s="196"/>
    </row>
    <row r="322" spans="1:33" ht="39" customHeight="1">
      <c r="A322" s="392"/>
      <c r="B322" s="291" t="s">
        <v>471</v>
      </c>
      <c r="C322" s="882" t="s">
        <v>470</v>
      </c>
      <c r="D322" s="883" t="s">
        <v>472</v>
      </c>
      <c r="E322" s="883" t="s">
        <v>474</v>
      </c>
      <c r="F322" s="1465" t="s">
        <v>473</v>
      </c>
      <c r="G322" s="883" t="s">
        <v>475</v>
      </c>
      <c r="H322" s="883" t="s">
        <v>614</v>
      </c>
      <c r="I322" s="560"/>
      <c r="J322" s="560"/>
      <c r="K322" s="291"/>
      <c r="L322" s="291"/>
      <c r="M322" s="395"/>
      <c r="P322" s="196"/>
      <c r="Q322" s="196"/>
      <c r="R322" s="196"/>
      <c r="S322" s="196"/>
      <c r="T322" s="196"/>
      <c r="U322" s="196"/>
      <c r="V322" s="196"/>
      <c r="W322" s="196"/>
      <c r="X322" s="196"/>
      <c r="Y322" s="196"/>
      <c r="Z322" s="196"/>
      <c r="AA322" s="196"/>
      <c r="AB322" s="196"/>
      <c r="AC322" s="196"/>
      <c r="AD322" s="196"/>
      <c r="AE322" s="196"/>
      <c r="AF322" s="196"/>
      <c r="AG322" s="196"/>
    </row>
    <row r="323" spans="1:33" ht="17.25">
      <c r="A323" s="392"/>
      <c r="B323" s="246">
        <v>221</v>
      </c>
      <c r="C323" s="1399" t="s">
        <v>780</v>
      </c>
      <c r="D323" s="1399">
        <v>160000000</v>
      </c>
      <c r="E323" s="1399">
        <v>160000000</v>
      </c>
      <c r="F323" s="1399">
        <v>12</v>
      </c>
      <c r="G323" s="1399">
        <f aca="true" t="shared" si="1" ref="G323:G334">+E323*F323/12</f>
        <v>160000000</v>
      </c>
      <c r="H323" s="1399">
        <v>7942685</v>
      </c>
      <c r="I323" s="291"/>
      <c r="J323" s="805"/>
      <c r="K323" s="806"/>
      <c r="L323" s="806"/>
      <c r="M323" s="395"/>
      <c r="N323" s="806"/>
      <c r="O323" s="806"/>
      <c r="P323" s="806"/>
      <c r="Q323" s="806"/>
      <c r="R323" s="806"/>
      <c r="S323" s="806"/>
      <c r="T323" s="806"/>
      <c r="U323" s="806"/>
      <c r="V323" s="806"/>
      <c r="W323" s="806"/>
      <c r="X323" s="806"/>
      <c r="Y323" s="806"/>
      <c r="Z323" s="806"/>
      <c r="AA323" s="806"/>
      <c r="AB323" s="196"/>
      <c r="AC323" s="196"/>
      <c r="AD323" s="196"/>
      <c r="AE323" s="196"/>
      <c r="AF323" s="196"/>
      <c r="AG323" s="196"/>
    </row>
    <row r="324" spans="1:33" ht="18" customHeight="1">
      <c r="A324" s="392"/>
      <c r="B324" s="246">
        <v>221</v>
      </c>
      <c r="C324" s="1399" t="s">
        <v>788</v>
      </c>
      <c r="D324" s="1399">
        <v>200000000</v>
      </c>
      <c r="E324" s="1399">
        <v>200000000</v>
      </c>
      <c r="F324" s="1399">
        <v>12</v>
      </c>
      <c r="G324" s="1399">
        <f t="shared" si="1"/>
        <v>200000000</v>
      </c>
      <c r="H324" s="1399">
        <v>9508848</v>
      </c>
      <c r="I324" s="291"/>
      <c r="J324" s="368"/>
      <c r="K324" s="291"/>
      <c r="L324" s="291"/>
      <c r="M324" s="395"/>
      <c r="N324" s="196"/>
      <c r="O324" s="196"/>
      <c r="P324" s="196"/>
      <c r="Q324" s="196"/>
      <c r="R324" s="196"/>
      <c r="S324" s="196"/>
      <c r="T324" s="196"/>
      <c r="U324" s="196"/>
      <c r="V324" s="196"/>
      <c r="W324" s="196"/>
      <c r="X324" s="196"/>
      <c r="Y324" s="196"/>
      <c r="Z324" s="196"/>
      <c r="AA324" s="196"/>
      <c r="AB324" s="196"/>
      <c r="AC324" s="196"/>
      <c r="AD324" s="196"/>
      <c r="AE324" s="196"/>
      <c r="AF324" s="196"/>
      <c r="AG324" s="196"/>
    </row>
    <row r="325" spans="1:33" ht="18" customHeight="1">
      <c r="A325" s="392"/>
      <c r="B325" s="246">
        <v>221</v>
      </c>
      <c r="C325" s="1399" t="s">
        <v>789</v>
      </c>
      <c r="D325" s="1399">
        <v>45000000</v>
      </c>
      <c r="E325" s="1399">
        <v>45000000</v>
      </c>
      <c r="F325" s="1399">
        <v>12</v>
      </c>
      <c r="G325" s="1399">
        <f t="shared" si="1"/>
        <v>45000000</v>
      </c>
      <c r="H325" s="1399">
        <v>2256354</v>
      </c>
      <c r="I325" s="291"/>
      <c r="J325" s="368"/>
      <c r="K325" s="291"/>
      <c r="L325" s="291"/>
      <c r="M325" s="395"/>
      <c r="N325" s="196"/>
      <c r="O325" s="196"/>
      <c r="P325" s="196"/>
      <c r="Q325" s="196"/>
      <c r="R325" s="196"/>
      <c r="S325" s="196"/>
      <c r="T325" s="196"/>
      <c r="U325" s="196"/>
      <c r="V325" s="196"/>
      <c r="W325" s="196"/>
      <c r="X325" s="196"/>
      <c r="Y325" s="196"/>
      <c r="Z325" s="196"/>
      <c r="AA325" s="196"/>
      <c r="AB325" s="196"/>
      <c r="AC325" s="196"/>
      <c r="AD325" s="196"/>
      <c r="AE325" s="196"/>
      <c r="AF325" s="196"/>
      <c r="AG325" s="196"/>
    </row>
    <row r="326" spans="1:33" ht="18" customHeight="1">
      <c r="A326" s="392"/>
      <c r="B326" s="246">
        <v>221</v>
      </c>
      <c r="C326" s="1399" t="s">
        <v>793</v>
      </c>
      <c r="D326" s="1399">
        <v>85000000</v>
      </c>
      <c r="E326" s="1399">
        <v>85000000</v>
      </c>
      <c r="F326" s="1399">
        <v>12</v>
      </c>
      <c r="G326" s="1399">
        <f t="shared" si="1"/>
        <v>85000000</v>
      </c>
      <c r="H326" s="1399">
        <v>4346902</v>
      </c>
      <c r="I326" s="291"/>
      <c r="J326" s="916"/>
      <c r="K326" s="916"/>
      <c r="L326" s="916"/>
      <c r="M326" s="395"/>
      <c r="N326" s="916"/>
      <c r="O326" s="916"/>
      <c r="P326" s="916"/>
      <c r="Q326" s="916"/>
      <c r="R326" s="916"/>
      <c r="S326" s="916"/>
      <c r="T326" s="916"/>
      <c r="U326" s="916"/>
      <c r="V326" s="196"/>
      <c r="W326" s="196"/>
      <c r="X326" s="196"/>
      <c r="Y326" s="196"/>
      <c r="Z326" s="196"/>
      <c r="AA326" s="196"/>
      <c r="AB326" s="196"/>
      <c r="AC326" s="196"/>
      <c r="AD326" s="196"/>
      <c r="AE326" s="196"/>
      <c r="AF326" s="196"/>
      <c r="AG326" s="196"/>
    </row>
    <row r="327" spans="1:33" ht="18" customHeight="1">
      <c r="A327" s="392"/>
      <c r="B327" s="246">
        <v>221</v>
      </c>
      <c r="C327" s="1399" t="s">
        <v>790</v>
      </c>
      <c r="D327" s="1399">
        <v>100000000</v>
      </c>
      <c r="E327" s="1399">
        <v>100000000</v>
      </c>
      <c r="F327" s="1399">
        <v>12</v>
      </c>
      <c r="G327" s="1399">
        <f t="shared" si="1"/>
        <v>100000000</v>
      </c>
      <c r="H327" s="1399">
        <v>3775572</v>
      </c>
      <c r="I327" s="291"/>
      <c r="J327" s="806"/>
      <c r="K327" s="806"/>
      <c r="L327" s="806"/>
      <c r="M327" s="395"/>
      <c r="N327" s="806"/>
      <c r="O327" s="806"/>
      <c r="P327" s="806"/>
      <c r="Q327" s="806"/>
      <c r="R327" s="806"/>
      <c r="S327" s="806"/>
      <c r="T327" s="806"/>
      <c r="U327" s="806"/>
      <c r="V327" s="196"/>
      <c r="W327" s="196"/>
      <c r="X327" s="196"/>
      <c r="Y327" s="196"/>
      <c r="Z327" s="196"/>
      <c r="AA327" s="196"/>
      <c r="AB327" s="196"/>
      <c r="AC327" s="196"/>
      <c r="AD327" s="196"/>
      <c r="AE327" s="196"/>
      <c r="AF327" s="196"/>
      <c r="AG327" s="196"/>
    </row>
    <row r="328" spans="1:33" ht="18" customHeight="1">
      <c r="A328" s="392"/>
      <c r="B328" s="246">
        <v>221</v>
      </c>
      <c r="C328" s="1399" t="s">
        <v>791</v>
      </c>
      <c r="D328" s="1399">
        <v>200000000</v>
      </c>
      <c r="E328" s="1399">
        <v>200000000</v>
      </c>
      <c r="F328" s="1399">
        <v>12</v>
      </c>
      <c r="G328" s="1399">
        <f t="shared" si="1"/>
        <v>200000000</v>
      </c>
      <c r="H328" s="1399">
        <v>7850793</v>
      </c>
      <c r="I328" s="291"/>
      <c r="J328" s="806"/>
      <c r="K328" s="806"/>
      <c r="L328" s="806"/>
      <c r="M328" s="395"/>
      <c r="N328" s="806"/>
      <c r="O328" s="806"/>
      <c r="P328" s="806"/>
      <c r="Q328" s="806"/>
      <c r="R328" s="806"/>
      <c r="S328" s="806"/>
      <c r="T328" s="806"/>
      <c r="U328" s="806"/>
      <c r="V328" s="196"/>
      <c r="W328" s="196"/>
      <c r="X328" s="196"/>
      <c r="Y328" s="196"/>
      <c r="Z328" s="196"/>
      <c r="AA328" s="196"/>
      <c r="AB328" s="196"/>
      <c r="AC328" s="196"/>
      <c r="AD328" s="196"/>
      <c r="AE328" s="196"/>
      <c r="AF328" s="196"/>
      <c r="AG328" s="196"/>
    </row>
    <row r="329" spans="1:33" ht="18" customHeight="1">
      <c r="A329" s="392"/>
      <c r="B329" s="246">
        <v>221</v>
      </c>
      <c r="C329" s="1399" t="s">
        <v>792</v>
      </c>
      <c r="D329" s="1399">
        <v>160000000</v>
      </c>
      <c r="E329" s="1399">
        <v>160000000</v>
      </c>
      <c r="F329" s="1399">
        <v>12</v>
      </c>
      <c r="G329" s="1399">
        <f t="shared" si="1"/>
        <v>160000000</v>
      </c>
      <c r="H329" s="1399">
        <v>6280634</v>
      </c>
      <c r="I329" s="291"/>
      <c r="J329" s="806"/>
      <c r="K329" s="806"/>
      <c r="L329" s="806"/>
      <c r="M329" s="395"/>
      <c r="N329" s="806"/>
      <c r="O329" s="806"/>
      <c r="P329" s="806"/>
      <c r="Q329" s="806"/>
      <c r="R329" s="806"/>
      <c r="S329" s="806"/>
      <c r="T329" s="806"/>
      <c r="U329" s="806"/>
      <c r="V329" s="196"/>
      <c r="W329" s="196"/>
      <c r="X329" s="196"/>
      <c r="Y329" s="196"/>
      <c r="Z329" s="196"/>
      <c r="AA329" s="196"/>
      <c r="AB329" s="196"/>
      <c r="AC329" s="196"/>
      <c r="AD329" s="196"/>
      <c r="AE329" s="196"/>
      <c r="AF329" s="196"/>
      <c r="AG329" s="196"/>
    </row>
    <row r="330" spans="1:33" ht="18" customHeight="1">
      <c r="A330" s="392"/>
      <c r="B330" s="246">
        <v>221</v>
      </c>
      <c r="C330" s="1399" t="s">
        <v>797</v>
      </c>
      <c r="D330" s="1399">
        <v>60000000</v>
      </c>
      <c r="E330" s="1399">
        <v>60000000</v>
      </c>
      <c r="F330" s="1399">
        <v>12</v>
      </c>
      <c r="G330" s="1399">
        <f t="shared" si="1"/>
        <v>60000000</v>
      </c>
      <c r="H330" s="1399">
        <v>2289315</v>
      </c>
      <c r="I330" s="291"/>
      <c r="J330" s="806"/>
      <c r="K330" s="806"/>
      <c r="L330" s="806"/>
      <c r="M330" s="395"/>
      <c r="N330" s="806"/>
      <c r="O330" s="806"/>
      <c r="P330" s="806"/>
      <c r="Q330" s="806"/>
      <c r="R330" s="806"/>
      <c r="S330" s="806"/>
      <c r="T330" s="806"/>
      <c r="U330" s="806"/>
      <c r="V330" s="196"/>
      <c r="W330" s="196"/>
      <c r="X330" s="196"/>
      <c r="Y330" s="196"/>
      <c r="Z330" s="196"/>
      <c r="AA330" s="196"/>
      <c r="AB330" s="196"/>
      <c r="AC330" s="196"/>
      <c r="AD330" s="196"/>
      <c r="AE330" s="196"/>
      <c r="AF330" s="196"/>
      <c r="AG330" s="196"/>
    </row>
    <row r="331" spans="1:33" ht="18" customHeight="1">
      <c r="A331" s="392"/>
      <c r="B331" s="246">
        <v>221</v>
      </c>
      <c r="C331" s="1399" t="s">
        <v>805</v>
      </c>
      <c r="D331" s="1399">
        <v>60000000</v>
      </c>
      <c r="E331" s="1399">
        <v>60000000</v>
      </c>
      <c r="F331" s="1399">
        <v>12</v>
      </c>
      <c r="G331" s="1399">
        <f t="shared" si="1"/>
        <v>60000000</v>
      </c>
      <c r="H331" s="1399">
        <v>2331266</v>
      </c>
      <c r="I331" s="291"/>
      <c r="J331" s="806"/>
      <c r="K331" s="806"/>
      <c r="L331" s="806"/>
      <c r="M331" s="395"/>
      <c r="N331" s="806"/>
      <c r="O331" s="806"/>
      <c r="P331" s="806"/>
      <c r="Q331" s="806"/>
      <c r="R331" s="806"/>
      <c r="S331" s="806"/>
      <c r="T331" s="806"/>
      <c r="U331" s="806"/>
      <c r="V331" s="196"/>
      <c r="W331" s="196"/>
      <c r="X331" s="196"/>
      <c r="Y331" s="196"/>
      <c r="Z331" s="196"/>
      <c r="AA331" s="196"/>
      <c r="AB331" s="196"/>
      <c r="AC331" s="196"/>
      <c r="AD331" s="196"/>
      <c r="AE331" s="196"/>
      <c r="AF331" s="196"/>
      <c r="AG331" s="196"/>
    </row>
    <row r="332" spans="1:33" ht="18" customHeight="1">
      <c r="A332" s="392"/>
      <c r="B332" s="246">
        <v>221</v>
      </c>
      <c r="C332" s="1399" t="s">
        <v>806</v>
      </c>
      <c r="D332" s="1399">
        <v>125000000</v>
      </c>
      <c r="E332" s="1399">
        <v>125000000</v>
      </c>
      <c r="F332" s="1399">
        <v>12</v>
      </c>
      <c r="G332" s="1399">
        <f t="shared" si="1"/>
        <v>125000000</v>
      </c>
      <c r="H332" s="1399">
        <v>5044084</v>
      </c>
      <c r="I332" s="291"/>
      <c r="J332" s="806"/>
      <c r="K332" s="806"/>
      <c r="L332" s="806"/>
      <c r="M332" s="395"/>
      <c r="N332" s="806"/>
      <c r="O332" s="806"/>
      <c r="P332" s="806"/>
      <c r="Q332" s="806"/>
      <c r="R332" s="806"/>
      <c r="S332" s="806"/>
      <c r="T332" s="806"/>
      <c r="U332" s="806"/>
      <c r="V332" s="196"/>
      <c r="W332" s="196"/>
      <c r="X332" s="196"/>
      <c r="Y332" s="196"/>
      <c r="Z332" s="196"/>
      <c r="AA332" s="196"/>
      <c r="AB332" s="196"/>
      <c r="AC332" s="196"/>
      <c r="AD332" s="196"/>
      <c r="AE332" s="196"/>
      <c r="AF332" s="196"/>
      <c r="AG332" s="196"/>
    </row>
    <row r="333" spans="1:33" ht="18" customHeight="1">
      <c r="A333" s="392"/>
      <c r="B333" s="246">
        <v>221</v>
      </c>
      <c r="C333" s="1400" t="s">
        <v>901</v>
      </c>
      <c r="D333" s="1399">
        <v>200000000</v>
      </c>
      <c r="E333" s="1399">
        <v>200000000</v>
      </c>
      <c r="F333" s="1399">
        <v>12</v>
      </c>
      <c r="G333" s="1399">
        <f t="shared" si="1"/>
        <v>200000000</v>
      </c>
      <c r="H333" s="1399">
        <v>6212714</v>
      </c>
      <c r="I333" s="291"/>
      <c r="J333" s="806"/>
      <c r="K333" s="806"/>
      <c r="L333" s="806"/>
      <c r="M333" s="395"/>
      <c r="N333" s="806"/>
      <c r="O333" s="806"/>
      <c r="P333" s="806"/>
      <c r="Q333" s="806"/>
      <c r="R333" s="806"/>
      <c r="S333" s="806"/>
      <c r="T333" s="806"/>
      <c r="U333" s="806"/>
      <c r="V333" s="196"/>
      <c r="W333" s="196"/>
      <c r="X333" s="196"/>
      <c r="Y333" s="196"/>
      <c r="Z333" s="196"/>
      <c r="AA333" s="196"/>
      <c r="AB333" s="196"/>
      <c r="AC333" s="196"/>
      <c r="AD333" s="196"/>
      <c r="AE333" s="196"/>
      <c r="AF333" s="196"/>
      <c r="AG333" s="196"/>
    </row>
    <row r="334" spans="1:33" ht="18" customHeight="1">
      <c r="A334" s="392"/>
      <c r="B334" s="246">
        <v>221</v>
      </c>
      <c r="C334" s="1400" t="s">
        <v>1137</v>
      </c>
      <c r="D334" s="1399">
        <v>130000000</v>
      </c>
      <c r="E334" s="1399">
        <v>130000000</v>
      </c>
      <c r="F334" s="1399">
        <v>3</v>
      </c>
      <c r="G334" s="1399">
        <f t="shared" si="1"/>
        <v>32500000</v>
      </c>
      <c r="H334" s="1399">
        <v>1490003</v>
      </c>
      <c r="I334" s="1466"/>
      <c r="J334" s="806"/>
      <c r="K334" s="806"/>
      <c r="L334" s="806"/>
      <c r="M334" s="395"/>
      <c r="N334" s="806"/>
      <c r="O334" s="806"/>
      <c r="P334" s="806"/>
      <c r="Q334" s="806"/>
      <c r="R334" s="806"/>
      <c r="S334" s="806"/>
      <c r="T334" s="806"/>
      <c r="U334" s="806"/>
      <c r="V334" s="196"/>
      <c r="W334" s="196"/>
      <c r="X334" s="196"/>
      <c r="Y334" s="196"/>
      <c r="Z334" s="196"/>
      <c r="AA334" s="196"/>
      <c r="AB334" s="196"/>
      <c r="AC334" s="196"/>
      <c r="AD334" s="196"/>
      <c r="AE334" s="196"/>
      <c r="AF334" s="196"/>
      <c r="AG334" s="196"/>
    </row>
    <row r="335" spans="1:33" ht="18" customHeight="1">
      <c r="A335" s="392"/>
      <c r="C335" s="1399"/>
      <c r="D335" s="1399"/>
      <c r="E335" s="1399"/>
      <c r="F335" s="1399"/>
      <c r="G335" s="1399"/>
      <c r="H335" s="1399"/>
      <c r="I335" s="818"/>
      <c r="J335" s="806"/>
      <c r="K335" s="806"/>
      <c r="L335" s="806"/>
      <c r="M335" s="395"/>
      <c r="N335" s="806"/>
      <c r="O335" s="806"/>
      <c r="P335" s="806"/>
      <c r="Q335" s="806"/>
      <c r="R335" s="806"/>
      <c r="S335" s="806"/>
      <c r="T335" s="806"/>
      <c r="U335" s="806"/>
      <c r="V335" s="196"/>
      <c r="W335" s="196"/>
      <c r="X335" s="196"/>
      <c r="Y335" s="196"/>
      <c r="Z335" s="196"/>
      <c r="AA335" s="196"/>
      <c r="AB335" s="196"/>
      <c r="AC335" s="196"/>
      <c r="AD335" s="196"/>
      <c r="AE335" s="196"/>
      <c r="AF335" s="196"/>
      <c r="AG335" s="196"/>
    </row>
    <row r="336" spans="1:13" ht="18" customHeight="1">
      <c r="A336" s="392"/>
      <c r="B336" s="246">
        <v>224</v>
      </c>
      <c r="C336" s="1399"/>
      <c r="D336" s="1399"/>
      <c r="E336" s="1399"/>
      <c r="F336" s="1399"/>
      <c r="G336" s="1399"/>
      <c r="H336" s="1399"/>
      <c r="I336" s="818"/>
      <c r="J336" s="368"/>
      <c r="K336" s="885"/>
      <c r="L336" s="291"/>
      <c r="M336" s="395"/>
    </row>
    <row r="337" spans="1:13" ht="18" customHeight="1">
      <c r="A337" s="392"/>
      <c r="B337" s="246">
        <v>224</v>
      </c>
      <c r="C337" s="1399"/>
      <c r="D337" s="1399"/>
      <c r="E337" s="1399"/>
      <c r="F337" s="1399"/>
      <c r="G337" s="1399"/>
      <c r="H337" s="1399"/>
      <c r="I337" s="291"/>
      <c r="J337" s="368"/>
      <c r="K337" s="885"/>
      <c r="L337" s="291"/>
      <c r="M337" s="395"/>
    </row>
    <row r="338" spans="1:13" ht="18" customHeight="1">
      <c r="A338" s="392"/>
      <c r="B338" s="246">
        <v>224</v>
      </c>
      <c r="C338" s="1399"/>
      <c r="D338" s="1399"/>
      <c r="E338" s="1399"/>
      <c r="F338" s="1399"/>
      <c r="G338" s="1399"/>
      <c r="H338" s="1399"/>
      <c r="I338" s="291"/>
      <c r="J338" s="368"/>
      <c r="K338" s="291"/>
      <c r="L338" s="291"/>
      <c r="M338" s="395"/>
    </row>
    <row r="339" spans="1:25" ht="18" customHeight="1">
      <c r="A339" s="392"/>
      <c r="B339" s="246">
        <v>224</v>
      </c>
      <c r="C339" s="1399"/>
      <c r="D339" s="1399"/>
      <c r="E339" s="1399"/>
      <c r="F339" s="1399"/>
      <c r="G339" s="1399"/>
      <c r="H339" s="1399"/>
      <c r="I339" s="291"/>
      <c r="J339" s="368"/>
      <c r="K339" s="291"/>
      <c r="L339" s="291"/>
      <c r="M339" s="395"/>
      <c r="P339" s="805"/>
      <c r="Q339" s="806"/>
      <c r="R339" s="806"/>
      <c r="S339" s="806"/>
      <c r="T339" s="806"/>
      <c r="U339" s="806"/>
      <c r="V339" s="806"/>
      <c r="W339" s="196"/>
      <c r="X339" s="196"/>
      <c r="Y339" s="806"/>
    </row>
    <row r="340" spans="1:13" ht="18" customHeight="1">
      <c r="A340" s="392"/>
      <c r="B340" s="246">
        <v>224</v>
      </c>
      <c r="C340" s="1399"/>
      <c r="D340" s="1399"/>
      <c r="E340" s="1399"/>
      <c r="F340" s="1399"/>
      <c r="G340" s="1399"/>
      <c r="H340" s="1399"/>
      <c r="I340" s="291"/>
      <c r="J340" s="368"/>
      <c r="K340" s="291"/>
      <c r="L340" s="291"/>
      <c r="M340" s="395"/>
    </row>
    <row r="341" spans="1:13" ht="18" customHeight="1">
      <c r="A341" s="392"/>
      <c r="B341" s="246">
        <v>224</v>
      </c>
      <c r="C341" s="1399"/>
      <c r="D341" s="1399"/>
      <c r="E341" s="1399"/>
      <c r="F341" s="1399"/>
      <c r="G341" s="1399"/>
      <c r="H341" s="1399"/>
      <c r="I341" s="291"/>
      <c r="J341" s="368"/>
      <c r="K341" s="291"/>
      <c r="L341" s="291"/>
      <c r="M341" s="395"/>
    </row>
    <row r="342" spans="1:13" ht="18" customHeight="1">
      <c r="A342" s="392"/>
      <c r="C342" s="1399"/>
      <c r="D342" s="1399"/>
      <c r="E342" s="1399"/>
      <c r="F342" s="1399"/>
      <c r="G342" s="1399"/>
      <c r="H342" s="1399"/>
      <c r="I342" s="818"/>
      <c r="J342" s="368"/>
      <c r="K342" s="291"/>
      <c r="L342" s="291"/>
      <c r="M342" s="395"/>
    </row>
    <row r="343" spans="1:13" ht="18" customHeight="1">
      <c r="A343" s="392"/>
      <c r="B343" s="246">
        <v>224</v>
      </c>
      <c r="C343" s="1399"/>
      <c r="D343" s="1399"/>
      <c r="E343" s="1399"/>
      <c r="F343" s="1399"/>
      <c r="G343" s="1399"/>
      <c r="H343" s="1399"/>
      <c r="I343" s="818"/>
      <c r="J343" s="368"/>
      <c r="K343" s="291"/>
      <c r="L343" s="291"/>
      <c r="M343" s="395"/>
    </row>
    <row r="344" spans="1:13" s="652" customFormat="1" ht="18" customHeight="1">
      <c r="A344" s="392"/>
      <c r="B344" s="246">
        <v>224</v>
      </c>
      <c r="C344" s="1399"/>
      <c r="D344" s="1399"/>
      <c r="E344" s="1399"/>
      <c r="F344" s="1399"/>
      <c r="G344" s="1399"/>
      <c r="H344" s="1399"/>
      <c r="I344" s="291"/>
      <c r="J344" s="650"/>
      <c r="K344" s="650"/>
      <c r="L344" s="650"/>
      <c r="M344" s="651"/>
    </row>
    <row r="345" spans="1:13" ht="18" customHeight="1">
      <c r="A345" s="392"/>
      <c r="B345" s="246">
        <v>224</v>
      </c>
      <c r="C345" s="1399"/>
      <c r="D345" s="1399"/>
      <c r="E345" s="1399"/>
      <c r="F345" s="1399"/>
      <c r="G345" s="1399"/>
      <c r="H345" s="1399"/>
      <c r="I345" s="291"/>
      <c r="J345" s="368"/>
      <c r="K345" s="291"/>
      <c r="L345" s="291"/>
      <c r="M345" s="395"/>
    </row>
    <row r="346" spans="1:13" ht="18" customHeight="1">
      <c r="A346" s="392"/>
      <c r="B346" s="246">
        <v>224</v>
      </c>
      <c r="C346" s="1399"/>
      <c r="D346" s="1399"/>
      <c r="E346" s="1399"/>
      <c r="F346" s="1399"/>
      <c r="G346" s="1399"/>
      <c r="H346" s="1399"/>
      <c r="I346" s="291"/>
      <c r="J346" s="368"/>
      <c r="K346" s="291"/>
      <c r="L346" s="291"/>
      <c r="M346" s="395"/>
    </row>
    <row r="347" spans="1:13" ht="18" customHeight="1">
      <c r="A347" s="392"/>
      <c r="B347" s="246">
        <v>224</v>
      </c>
      <c r="C347" s="1399"/>
      <c r="D347" s="1399"/>
      <c r="E347" s="1399"/>
      <c r="F347" s="1399"/>
      <c r="G347" s="1399"/>
      <c r="H347" s="1399"/>
      <c r="I347" s="291"/>
      <c r="J347" s="368"/>
      <c r="K347" s="291"/>
      <c r="L347" s="291"/>
      <c r="M347" s="395"/>
    </row>
    <row r="348" spans="1:13" ht="18" customHeight="1">
      <c r="A348" s="392"/>
      <c r="B348" s="246">
        <v>224</v>
      </c>
      <c r="C348" s="1399"/>
      <c r="D348" s="1399"/>
      <c r="E348" s="1399"/>
      <c r="F348" s="1399"/>
      <c r="G348" s="1399"/>
      <c r="H348" s="1399"/>
      <c r="I348" s="291"/>
      <c r="J348" s="368"/>
      <c r="K348" s="291"/>
      <c r="L348" s="291"/>
      <c r="M348" s="395"/>
    </row>
    <row r="349" spans="1:13" ht="12.75">
      <c r="A349" s="392"/>
      <c r="C349" s="882" t="s">
        <v>436</v>
      </c>
      <c r="D349" s="527"/>
      <c r="F349" s="818"/>
      <c r="G349" s="527">
        <f>SUM(G323:G348)</f>
        <v>1427500000</v>
      </c>
      <c r="H349" s="527">
        <f>SUM(H323:H348)</f>
        <v>59329170</v>
      </c>
      <c r="I349" s="884"/>
      <c r="J349" s="196"/>
      <c r="K349" s="291"/>
      <c r="L349" s="291"/>
      <c r="M349" s="395"/>
    </row>
    <row r="350" spans="1:13" s="397" customFormat="1" ht="13.5" thickBot="1">
      <c r="A350" s="456"/>
      <c r="B350" s="364"/>
      <c r="C350" s="364" t="s">
        <v>769</v>
      </c>
      <c r="D350" s="364"/>
      <c r="E350" s="364"/>
      <c r="F350" s="364"/>
      <c r="G350" s="364"/>
      <c r="H350" s="364"/>
      <c r="I350" s="364"/>
      <c r="J350" s="364"/>
      <c r="K350" s="364"/>
      <c r="L350" s="364"/>
      <c r="M350" s="561"/>
    </row>
    <row r="351" ht="12.75">
      <c r="J351" s="527"/>
    </row>
    <row r="352" spans="4:24" ht="13.5">
      <c r="D352" s="368"/>
      <c r="E352" s="894"/>
      <c r="F352" s="893"/>
      <c r="G352" s="368"/>
      <c r="H352" s="894"/>
      <c r="I352" s="895"/>
      <c r="J352" s="895"/>
      <c r="K352" s="291"/>
      <c r="L352" s="291"/>
      <c r="M352" s="291"/>
      <c r="N352" s="291"/>
      <c r="O352" s="291"/>
      <c r="P352" s="291"/>
      <c r="Q352" s="291"/>
      <c r="R352" s="291"/>
      <c r="S352" s="291"/>
      <c r="T352" s="291"/>
      <c r="U352" s="291"/>
      <c r="V352" s="291"/>
      <c r="W352" s="291"/>
      <c r="X352" s="291"/>
    </row>
    <row r="353" spans="3:24" ht="17.25">
      <c r="C353" s="805"/>
      <c r="D353" s="806"/>
      <c r="E353" s="806"/>
      <c r="F353" s="1599"/>
      <c r="G353" s="1599"/>
      <c r="H353" s="95"/>
      <c r="I353" s="52"/>
      <c r="J353" s="52"/>
      <c r="K353" s="52"/>
      <c r="L353" s="52"/>
      <c r="M353" s="806"/>
      <c r="N353" s="806"/>
      <c r="O353" s="291"/>
      <c r="P353" s="291"/>
      <c r="Q353" s="291"/>
      <c r="R353" s="291"/>
      <c r="S353" s="291"/>
      <c r="T353" s="291"/>
      <c r="U353" s="291"/>
      <c r="V353" s="291"/>
      <c r="W353" s="291"/>
      <c r="X353" s="291"/>
    </row>
    <row r="354" spans="3:24" ht="12.75">
      <c r="C354" s="368"/>
      <c r="D354" s="291"/>
      <c r="E354" s="291"/>
      <c r="F354" s="291"/>
      <c r="G354" s="264"/>
      <c r="I354" s="196"/>
      <c r="J354" s="196"/>
      <c r="K354" s="196"/>
      <c r="L354" s="196"/>
      <c r="M354" s="196"/>
      <c r="N354" s="196"/>
      <c r="O354" s="291"/>
      <c r="P354" s="291"/>
      <c r="Q354" s="291"/>
      <c r="R354" s="291"/>
      <c r="S354" s="291"/>
      <c r="T354" s="291"/>
      <c r="U354" s="291"/>
      <c r="V354" s="291"/>
      <c r="W354" s="291"/>
      <c r="X354" s="291"/>
    </row>
    <row r="355" spans="3:24" ht="15">
      <c r="C355" s="368"/>
      <c r="D355" s="291"/>
      <c r="E355" s="291"/>
      <c r="F355" s="1599"/>
      <c r="G355" s="1599"/>
      <c r="H355" s="95"/>
      <c r="I355" s="52"/>
      <c r="J355" s="52"/>
      <c r="K355" s="52"/>
      <c r="L355" s="196"/>
      <c r="M355" s="196"/>
      <c r="N355" s="196"/>
      <c r="O355" s="291"/>
      <c r="P355" s="291"/>
      <c r="Q355" s="291"/>
      <c r="R355" s="291"/>
      <c r="S355" s="291"/>
      <c r="T355" s="291"/>
      <c r="U355" s="291"/>
      <c r="V355" s="291"/>
      <c r="W355" s="291"/>
      <c r="X355" s="291"/>
    </row>
    <row r="356" spans="3:24" ht="17.25">
      <c r="C356" s="916"/>
      <c r="D356" s="916"/>
      <c r="E356" s="916"/>
      <c r="L356" s="52"/>
      <c r="M356" s="916"/>
      <c r="N356" s="916"/>
      <c r="O356" s="291"/>
      <c r="P356" s="291"/>
      <c r="Q356" s="291"/>
      <c r="R356" s="291"/>
      <c r="S356" s="291"/>
      <c r="T356" s="291"/>
      <c r="U356" s="291"/>
      <c r="V356" s="291"/>
      <c r="W356" s="291"/>
      <c r="X356" s="291"/>
    </row>
    <row r="357" spans="3:24" ht="17.25">
      <c r="C357" s="806"/>
      <c r="D357" s="806"/>
      <c r="E357" s="806"/>
      <c r="F357" s="1599"/>
      <c r="G357" s="1599"/>
      <c r="H357" s="95"/>
      <c r="I357" s="52"/>
      <c r="J357" s="52"/>
      <c r="K357" s="52"/>
      <c r="L357" s="806"/>
      <c r="M357" s="806"/>
      <c r="N357" s="806"/>
      <c r="O357" s="291"/>
      <c r="P357" s="291"/>
      <c r="Q357" s="291"/>
      <c r="R357" s="291"/>
      <c r="S357" s="291"/>
      <c r="T357" s="291"/>
      <c r="U357" s="291"/>
      <c r="V357" s="291"/>
      <c r="W357" s="291"/>
      <c r="X357" s="291"/>
    </row>
    <row r="358" spans="3:24" ht="17.25">
      <c r="C358" s="806"/>
      <c r="D358" s="806"/>
      <c r="E358" s="806"/>
      <c r="L358" s="52"/>
      <c r="M358" s="942"/>
      <c r="N358" s="942"/>
      <c r="O358" s="291"/>
      <c r="P358" s="291"/>
      <c r="Q358" s="291"/>
      <c r="R358" s="291"/>
      <c r="S358" s="291"/>
      <c r="T358" s="291"/>
      <c r="U358" s="291"/>
      <c r="V358" s="291"/>
      <c r="W358" s="291"/>
      <c r="X358" s="291"/>
    </row>
    <row r="359" spans="3:24" ht="17.25">
      <c r="C359" s="806"/>
      <c r="D359" s="806"/>
      <c r="E359" s="806"/>
      <c r="F359" s="942"/>
      <c r="G359" s="942"/>
      <c r="H359" s="942"/>
      <c r="I359" s="942"/>
      <c r="J359" s="942"/>
      <c r="K359" s="942"/>
      <c r="L359" s="942"/>
      <c r="M359" s="942"/>
      <c r="N359" s="942"/>
      <c r="O359" s="96"/>
      <c r="P359" s="291"/>
      <c r="Q359" s="291"/>
      <c r="R359" s="291"/>
      <c r="S359" s="291"/>
      <c r="T359" s="291"/>
      <c r="U359" s="291"/>
      <c r="V359" s="291"/>
      <c r="W359" s="291"/>
      <c r="X359" s="291"/>
    </row>
    <row r="360" spans="3:24" ht="17.25">
      <c r="C360" s="806"/>
      <c r="D360" s="806"/>
      <c r="E360" s="806"/>
      <c r="F360" s="806"/>
      <c r="G360" s="806"/>
      <c r="H360" s="806"/>
      <c r="I360" s="806"/>
      <c r="J360" s="806"/>
      <c r="K360" s="806"/>
      <c r="L360" s="806"/>
      <c r="M360" s="806"/>
      <c r="N360" s="806"/>
      <c r="O360" s="96"/>
      <c r="P360" s="291"/>
      <c r="Q360" s="291"/>
      <c r="R360" s="291"/>
      <c r="S360" s="291"/>
      <c r="T360" s="291"/>
      <c r="U360" s="291"/>
      <c r="V360" s="291"/>
      <c r="W360" s="291"/>
      <c r="X360" s="291"/>
    </row>
    <row r="361" spans="3:24" ht="17.25">
      <c r="C361" s="806"/>
      <c r="D361" s="806"/>
      <c r="E361" s="806"/>
      <c r="F361" s="806"/>
      <c r="G361" s="806"/>
      <c r="H361" s="806"/>
      <c r="I361" s="806"/>
      <c r="J361" s="806"/>
      <c r="K361" s="806"/>
      <c r="L361" s="806"/>
      <c r="M361" s="806"/>
      <c r="N361" s="806"/>
      <c r="O361" s="291"/>
      <c r="P361" s="291"/>
      <c r="Q361" s="291"/>
      <c r="R361" s="291"/>
      <c r="S361" s="291"/>
      <c r="T361" s="291"/>
      <c r="U361" s="291"/>
      <c r="V361" s="291"/>
      <c r="W361" s="291"/>
      <c r="X361" s="291"/>
    </row>
    <row r="362" spans="3:24" ht="17.25">
      <c r="C362" s="806"/>
      <c r="D362" s="806"/>
      <c r="E362" s="806"/>
      <c r="F362" s="806"/>
      <c r="G362" s="806"/>
      <c r="H362" s="806"/>
      <c r="I362" s="806"/>
      <c r="J362" s="806"/>
      <c r="K362" s="806"/>
      <c r="L362" s="806"/>
      <c r="M362" s="806"/>
      <c r="N362" s="806"/>
      <c r="O362" s="291"/>
      <c r="P362" s="291"/>
      <c r="Q362" s="291"/>
      <c r="R362" s="291"/>
      <c r="S362" s="291"/>
      <c r="T362" s="291"/>
      <c r="U362" s="291"/>
      <c r="V362" s="291"/>
      <c r="W362" s="291"/>
      <c r="X362" s="291"/>
    </row>
    <row r="363" spans="3:24" ht="17.25">
      <c r="C363" s="806"/>
      <c r="D363" s="806"/>
      <c r="E363" s="806"/>
      <c r="F363" s="806"/>
      <c r="G363" s="806"/>
      <c r="H363" s="806"/>
      <c r="I363" s="806"/>
      <c r="J363" s="806"/>
      <c r="K363" s="806"/>
      <c r="L363" s="806"/>
      <c r="M363" s="806"/>
      <c r="N363" s="806"/>
      <c r="O363" s="291"/>
      <c r="P363" s="291"/>
      <c r="Q363" s="291"/>
      <c r="R363" s="291"/>
      <c r="S363" s="291"/>
      <c r="T363" s="291"/>
      <c r="U363" s="291"/>
      <c r="V363" s="291"/>
      <c r="W363" s="291"/>
      <c r="X363" s="291"/>
    </row>
    <row r="364" spans="4:24" ht="12.75">
      <c r="D364" s="291"/>
      <c r="E364" s="291"/>
      <c r="F364" s="291"/>
      <c r="G364" s="291"/>
      <c r="H364" s="291"/>
      <c r="I364" s="291"/>
      <c r="J364" s="291"/>
      <c r="K364" s="291"/>
      <c r="L364" s="291"/>
      <c r="M364" s="291"/>
      <c r="N364" s="291"/>
      <c r="O364" s="291"/>
      <c r="P364" s="291"/>
      <c r="Q364" s="291"/>
      <c r="R364" s="291"/>
      <c r="S364" s="291"/>
      <c r="T364" s="291"/>
      <c r="U364" s="291"/>
      <c r="V364" s="291"/>
      <c r="W364" s="291"/>
      <c r="X364" s="291"/>
    </row>
    <row r="365" spans="4:24" ht="12.75">
      <c r="D365" s="291"/>
      <c r="E365" s="291"/>
      <c r="F365" s="291"/>
      <c r="G365" s="291"/>
      <c r="H365" s="291"/>
      <c r="I365" s="291"/>
      <c r="J365" s="291"/>
      <c r="K365" s="291"/>
      <c r="L365" s="291"/>
      <c r="M365" s="291"/>
      <c r="N365" s="291"/>
      <c r="O365" s="291"/>
      <c r="P365" s="291"/>
      <c r="Q365" s="291"/>
      <c r="R365" s="291"/>
      <c r="S365" s="291"/>
      <c r="T365" s="291"/>
      <c r="U365" s="291"/>
      <c r="V365" s="291"/>
      <c r="W365" s="291"/>
      <c r="X365" s="291"/>
    </row>
    <row r="366" spans="4:24" ht="12.75">
      <c r="D366" s="291"/>
      <c r="E366" s="291"/>
      <c r="F366" s="291"/>
      <c r="G366" s="291"/>
      <c r="H366" s="291"/>
      <c r="I366" s="291"/>
      <c r="J366" s="291"/>
      <c r="K366" s="291"/>
      <c r="L366" s="291"/>
      <c r="M366" s="291"/>
      <c r="N366" s="291"/>
      <c r="O366" s="291"/>
      <c r="P366" s="291"/>
      <c r="Q366" s="291"/>
      <c r="R366" s="291"/>
      <c r="S366" s="291"/>
      <c r="T366" s="291"/>
      <c r="U366" s="291"/>
      <c r="V366" s="291"/>
      <c r="W366" s="291"/>
      <c r="X366" s="291"/>
    </row>
    <row r="367" spans="4:24" ht="12.75">
      <c r="D367" s="291"/>
      <c r="E367" s="291"/>
      <c r="F367" s="291"/>
      <c r="G367" s="291"/>
      <c r="H367" s="291"/>
      <c r="I367" s="291"/>
      <c r="J367" s="291"/>
      <c r="K367" s="291"/>
      <c r="L367" s="291"/>
      <c r="M367" s="291"/>
      <c r="N367" s="291"/>
      <c r="O367" s="291"/>
      <c r="P367" s="291"/>
      <c r="Q367" s="291"/>
      <c r="R367" s="291"/>
      <c r="S367" s="291"/>
      <c r="T367" s="291"/>
      <c r="U367" s="291"/>
      <c r="V367" s="291"/>
      <c r="W367" s="291"/>
      <c r="X367" s="291"/>
    </row>
  </sheetData>
  <sheetProtection/>
  <mergeCells count="66">
    <mergeCell ref="F353:G353"/>
    <mergeCell ref="F355:G355"/>
    <mergeCell ref="F357:G357"/>
    <mergeCell ref="A211:F211"/>
    <mergeCell ref="A216:F216"/>
    <mergeCell ref="A205:F205"/>
    <mergeCell ref="A301:F301"/>
    <mergeCell ref="A285:F285"/>
    <mergeCell ref="A231:F231"/>
    <mergeCell ref="C221:F221"/>
    <mergeCell ref="H223:M223"/>
    <mergeCell ref="H225:M225"/>
    <mergeCell ref="H220:M220"/>
    <mergeCell ref="H227:M227"/>
    <mergeCell ref="H316:M316"/>
    <mergeCell ref="A291:F291"/>
    <mergeCell ref="H224:M224"/>
    <mergeCell ref="A296:F296"/>
    <mergeCell ref="H296:M296"/>
    <mergeCell ref="A316:F316"/>
    <mergeCell ref="A310:F310"/>
    <mergeCell ref="H310:M310"/>
    <mergeCell ref="H293:M293"/>
    <mergeCell ref="H291:M291"/>
    <mergeCell ref="L207:M207"/>
    <mergeCell ref="H216:M216"/>
    <mergeCell ref="H221:M221"/>
    <mergeCell ref="H222:M222"/>
    <mergeCell ref="L301:M301"/>
    <mergeCell ref="H226:M226"/>
    <mergeCell ref="J213:M213"/>
    <mergeCell ref="H218:M218"/>
    <mergeCell ref="A2:F2"/>
    <mergeCell ref="J2:M2"/>
    <mergeCell ref="A70:F70"/>
    <mergeCell ref="J70:M70"/>
    <mergeCell ref="A137:F137"/>
    <mergeCell ref="A155:F155"/>
    <mergeCell ref="J155:M155"/>
    <mergeCell ref="A195:F195"/>
    <mergeCell ref="A171:F171"/>
    <mergeCell ref="J161:M161"/>
    <mergeCell ref="J165:M165"/>
    <mergeCell ref="A190:F190"/>
    <mergeCell ref="A161:F161"/>
    <mergeCell ref="J168:M168"/>
    <mergeCell ref="J190:M190"/>
    <mergeCell ref="J171:M171"/>
    <mergeCell ref="J166:M166"/>
    <mergeCell ref="J158:M158"/>
    <mergeCell ref="J192:M192"/>
    <mergeCell ref="J191:M191"/>
    <mergeCell ref="J187:M187"/>
    <mergeCell ref="C307:F307"/>
    <mergeCell ref="J163:M163"/>
    <mergeCell ref="D192:E192"/>
    <mergeCell ref="J164:M164"/>
    <mergeCell ref="J162:M162"/>
    <mergeCell ref="A200:F200"/>
    <mergeCell ref="J195:M195"/>
    <mergeCell ref="L208:M208"/>
    <mergeCell ref="J211:M211"/>
    <mergeCell ref="J202:M202"/>
    <mergeCell ref="L205:M205"/>
    <mergeCell ref="J197:M197"/>
    <mergeCell ref="J200:M200"/>
  </mergeCells>
  <printOptions/>
  <pageMargins left="0.25" right="0.25" top="0.55" bottom="0.18" header="0.25" footer="0.18"/>
  <pageSetup fitToHeight="0" fitToWidth="1" horizontalDpi="600" verticalDpi="600" orientation="landscape" scale="43" r:id="rId2"/>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drawing r:id="rId1"/>
</worksheet>
</file>

<file path=xl/worksheets/sheet7.xml><?xml version="1.0" encoding="utf-8"?>
<worksheet xmlns="http://schemas.openxmlformats.org/spreadsheetml/2006/main" xmlns:r="http://schemas.openxmlformats.org/officeDocument/2006/relationships">
  <dimension ref="A1:CM316"/>
  <sheetViews>
    <sheetView zoomScale="60" zoomScaleNormal="60" zoomScaleSheetLayoutView="50" zoomScalePageLayoutView="60" workbookViewId="0" topLeftCell="G163">
      <selection activeCell="I2" sqref="I2"/>
    </sheetView>
  </sheetViews>
  <sheetFormatPr defaultColWidth="9.421875" defaultRowHeight="12.75"/>
  <cols>
    <col min="1" max="1" width="11.8515625" style="1146" customWidth="1"/>
    <col min="2" max="2" width="8.57421875" style="1146" customWidth="1"/>
    <col min="3" max="3" width="7.421875" style="1146" customWidth="1"/>
    <col min="4" max="4" width="14.421875" style="1147" customWidth="1"/>
    <col min="5" max="5" width="15.57421875" style="1147" customWidth="1"/>
    <col min="6" max="6" width="15.421875" style="1147" customWidth="1"/>
    <col min="7" max="8" width="14.421875" style="1147" customWidth="1"/>
    <col min="9" max="9" width="15.57421875" style="1147" customWidth="1"/>
    <col min="10" max="10" width="14.421875" style="1147" bestFit="1" customWidth="1"/>
    <col min="11" max="11" width="12.421875" style="1147" bestFit="1" customWidth="1"/>
    <col min="12" max="12" width="13.421875" style="1147" customWidth="1"/>
    <col min="13" max="13" width="15.57421875" style="1147" customWidth="1"/>
    <col min="14" max="14" width="13.57421875" style="1147" customWidth="1"/>
    <col min="15" max="15" width="15.421875" style="1147" customWidth="1"/>
    <col min="16" max="16" width="13.57421875" style="1147" customWidth="1"/>
    <col min="17" max="18" width="17.57421875" style="1147" customWidth="1"/>
    <col min="19" max="19" width="18.00390625" style="1147" customWidth="1"/>
    <col min="20" max="20" width="13.421875" style="1147" customWidth="1"/>
    <col min="21" max="21" width="15.57421875" style="1147" customWidth="1"/>
    <col min="22" max="22" width="13.57421875" style="1147" customWidth="1"/>
    <col min="23" max="23" width="13.00390625" style="1147" customWidth="1"/>
    <col min="24" max="24" width="17.421875" style="1147" customWidth="1"/>
    <col min="25" max="25" width="15.57421875" style="1147" bestFit="1" customWidth="1"/>
    <col min="26" max="26" width="14.421875" style="1147" customWidth="1"/>
    <col min="27" max="27" width="13.421875" style="1147" customWidth="1"/>
    <col min="28" max="28" width="17.57421875" style="1147" customWidth="1"/>
    <col min="29" max="29" width="18.421875" style="1147" customWidth="1"/>
    <col min="30" max="30" width="15.421875" style="1147" customWidth="1"/>
    <col min="31" max="31" width="18.421875" style="1147" customWidth="1"/>
    <col min="32" max="32" width="16.28125" style="1147" customWidth="1"/>
    <col min="33" max="33" width="14.8515625" style="1147" customWidth="1"/>
    <col min="34" max="34" width="15.140625" style="1147" customWidth="1"/>
    <col min="35" max="36" width="15.421875" style="1147" customWidth="1"/>
    <col min="37" max="37" width="16.421875" style="1147" bestFit="1" customWidth="1"/>
    <col min="38" max="38" width="14.421875" style="1147" customWidth="1"/>
    <col min="39" max="39" width="15.421875" style="1147" customWidth="1"/>
    <col min="40" max="41" width="13.57421875" style="1147" customWidth="1"/>
    <col min="42" max="42" width="15.00390625" style="1147" customWidth="1"/>
    <col min="43" max="43" width="11.57421875" style="1147" bestFit="1" customWidth="1"/>
    <col min="44" max="44" width="16.00390625" style="1147" bestFit="1" customWidth="1"/>
    <col min="45" max="45" width="12.57421875" style="1147" bestFit="1" customWidth="1"/>
    <col min="46" max="46" width="15.7109375" style="1147" bestFit="1" customWidth="1"/>
    <col min="47" max="47" width="17.421875" style="1147" customWidth="1"/>
    <col min="48" max="48" width="18.421875" style="1147" bestFit="1" customWidth="1"/>
    <col min="49" max="49" width="18.57421875" style="1147" bestFit="1" customWidth="1"/>
    <col min="50" max="50" width="18.421875" style="1147" bestFit="1" customWidth="1"/>
    <col min="51" max="51" width="17.28125" style="1147" bestFit="1" customWidth="1"/>
    <col min="52" max="52" width="15.421875" style="1147" bestFit="1" customWidth="1"/>
    <col min="53" max="53" width="16.00390625" style="1147" bestFit="1" customWidth="1"/>
    <col min="54" max="54" width="13.00390625" style="1147" bestFit="1" customWidth="1"/>
    <col min="55" max="55" width="11.421875" style="1147" bestFit="1" customWidth="1"/>
    <col min="56" max="56" width="15.00390625" style="1147" bestFit="1" customWidth="1"/>
    <col min="57" max="57" width="14.421875" style="1147" customWidth="1"/>
    <col min="58" max="58" width="12.7109375" style="1147" customWidth="1"/>
    <col min="59" max="59" width="16.8515625" style="1147" bestFit="1" customWidth="1"/>
    <col min="60" max="61" width="15.421875" style="1147" bestFit="1" customWidth="1"/>
    <col min="62" max="65" width="9.421875" style="1147" customWidth="1"/>
    <col min="66" max="66" width="12.57421875" style="1147" bestFit="1" customWidth="1"/>
    <col min="67" max="81" width="9.421875" style="1147" customWidth="1"/>
    <col min="82" max="82" width="12.8515625" style="1147" bestFit="1" customWidth="1"/>
    <col min="83" max="83" width="12.28125" style="1147" bestFit="1" customWidth="1"/>
    <col min="84" max="89" width="9.421875" style="1147" customWidth="1"/>
    <col min="90" max="90" width="11.8515625" style="1147" bestFit="1" customWidth="1"/>
    <col min="91" max="91" width="11.57421875" style="1147" bestFit="1" customWidth="1"/>
    <col min="92" max="92" width="15.421875" style="1147" bestFit="1" customWidth="1"/>
    <col min="93" max="16384" width="9.421875" style="1147" customWidth="1"/>
  </cols>
  <sheetData>
    <row r="1" ht="12.75">
      <c r="A1" s="1145" t="s">
        <v>597</v>
      </c>
    </row>
    <row r="2" spans="1:5" ht="12.75">
      <c r="A2" s="1146" t="s">
        <v>593</v>
      </c>
      <c r="B2" s="1146" t="s">
        <v>594</v>
      </c>
      <c r="C2" s="1146" t="s">
        <v>595</v>
      </c>
      <c r="D2" s="1146" t="s">
        <v>596</v>
      </c>
      <c r="E2" s="1146"/>
    </row>
    <row r="3" spans="1:5" ht="12.75">
      <c r="A3" s="1146">
        <v>1</v>
      </c>
      <c r="B3" s="1146" t="s">
        <v>598</v>
      </c>
      <c r="C3" s="1146" t="s">
        <v>21</v>
      </c>
      <c r="D3" s="1148" t="s">
        <v>244</v>
      </c>
      <c r="E3" s="1148"/>
    </row>
    <row r="4" spans="1:5" ht="12.75">
      <c r="A4" s="1146">
        <v>2</v>
      </c>
      <c r="B4" s="1146" t="str">
        <f>+B3</f>
        <v>April</v>
      </c>
      <c r="C4" s="1146" t="str">
        <f>+C3</f>
        <v>Year 2</v>
      </c>
      <c r="D4" s="1148" t="s">
        <v>146</v>
      </c>
      <c r="E4" s="1148"/>
    </row>
    <row r="5" spans="1:5" ht="12.75">
      <c r="A5" s="1146">
        <v>3</v>
      </c>
      <c r="B5" s="1146" t="s">
        <v>598</v>
      </c>
      <c r="C5" s="1146" t="str">
        <f>+C4</f>
        <v>Year 2</v>
      </c>
      <c r="D5" s="1148" t="s">
        <v>1212</v>
      </c>
      <c r="E5" s="1148"/>
    </row>
    <row r="6" spans="1:5" ht="12.75">
      <c r="A6" s="1146">
        <v>4</v>
      </c>
      <c r="B6" s="1146" t="s">
        <v>599</v>
      </c>
      <c r="C6" s="1146" t="str">
        <f>+C5</f>
        <v>Year 2</v>
      </c>
      <c r="D6" s="1148" t="s">
        <v>368</v>
      </c>
      <c r="E6" s="1148"/>
    </row>
    <row r="7" spans="1:5" ht="12.75">
      <c r="A7" s="1146">
        <v>5</v>
      </c>
      <c r="B7" s="1149" t="s">
        <v>600</v>
      </c>
      <c r="C7" s="1146" t="str">
        <f>+C6</f>
        <v>Year 2</v>
      </c>
      <c r="D7" s="1148" t="s">
        <v>369</v>
      </c>
      <c r="E7" s="1148"/>
    </row>
    <row r="8" spans="1:5" ht="12.75">
      <c r="A8" s="1146">
        <v>6</v>
      </c>
      <c r="B8" s="1146" t="str">
        <f>+B3</f>
        <v>April</v>
      </c>
      <c r="C8" s="1146" t="s">
        <v>20</v>
      </c>
      <c r="D8" s="1148" t="s">
        <v>370</v>
      </c>
      <c r="E8" s="1148"/>
    </row>
    <row r="9" spans="1:14" ht="12.75">
      <c r="A9" s="1146">
        <v>7</v>
      </c>
      <c r="B9" s="1146" t="str">
        <f>+B12</f>
        <v>April</v>
      </c>
      <c r="C9" s="1146" t="str">
        <f>+C12</f>
        <v>Year 3</v>
      </c>
      <c r="D9" s="1148" t="s">
        <v>253</v>
      </c>
      <c r="E9" s="1150"/>
      <c r="F9" s="1151"/>
      <c r="G9" s="1151"/>
      <c r="H9" s="1151"/>
      <c r="I9" s="1151"/>
      <c r="J9" s="1151"/>
      <c r="K9" s="1151"/>
      <c r="L9" s="1151"/>
      <c r="M9" s="1151"/>
      <c r="N9" s="1151"/>
    </row>
    <row r="10" spans="1:14" ht="12.75">
      <c r="A10" s="1146">
        <v>8</v>
      </c>
      <c r="B10" s="1146" t="str">
        <f>+B9</f>
        <v>April</v>
      </c>
      <c r="C10" s="1146" t="str">
        <f>+C9</f>
        <v>Year 3</v>
      </c>
      <c r="D10" s="1605" t="str">
        <f>"Reconciliation - TO calculates interest and amortization associated with the true up calculated in Step 7 and applies that amount to line "&amp;'[2]Appendix A'!A267&amp;"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605"/>
      <c r="F10" s="1606"/>
      <c r="G10" s="1606"/>
      <c r="H10" s="1606"/>
      <c r="I10" s="1606"/>
      <c r="J10" s="1606"/>
      <c r="K10" s="1606"/>
      <c r="L10" s="1606"/>
      <c r="M10" s="1606"/>
      <c r="N10" s="1606"/>
    </row>
    <row r="11" spans="4:14" ht="12.75">
      <c r="D11" s="1606"/>
      <c r="E11" s="1606"/>
      <c r="F11" s="1606"/>
      <c r="G11" s="1606"/>
      <c r="H11" s="1606"/>
      <c r="I11" s="1606"/>
      <c r="J11" s="1606"/>
      <c r="K11" s="1606"/>
      <c r="L11" s="1606"/>
      <c r="M11" s="1606"/>
      <c r="N11" s="1606"/>
    </row>
    <row r="12" spans="1:5" ht="12.75">
      <c r="A12" s="1146">
        <v>9</v>
      </c>
      <c r="B12" s="1146" t="str">
        <f>+B8</f>
        <v>April</v>
      </c>
      <c r="C12" s="1146" t="str">
        <f>+C8</f>
        <v>Year 3</v>
      </c>
      <c r="D12" s="1148" t="s">
        <v>1213</v>
      </c>
      <c r="E12" s="1148"/>
    </row>
    <row r="13" spans="1:5" ht="12.75">
      <c r="A13" s="1146">
        <v>10</v>
      </c>
      <c r="B13" s="1146" t="s">
        <v>598</v>
      </c>
      <c r="C13" s="1146" t="str">
        <f>+C12</f>
        <v>Year 3</v>
      </c>
      <c r="D13" s="1148" t="s">
        <v>1214</v>
      </c>
      <c r="E13" s="1148"/>
    </row>
    <row r="14" spans="1:5" ht="12.75">
      <c r="A14" s="1146">
        <v>11</v>
      </c>
      <c r="B14" s="1146" t="str">
        <f>+B6</f>
        <v>May</v>
      </c>
      <c r="C14" s="1146" t="str">
        <f>+C10</f>
        <v>Year 3</v>
      </c>
      <c r="D14" s="1148" t="s">
        <v>371</v>
      </c>
      <c r="E14" s="1148"/>
    </row>
    <row r="15" spans="1:5" ht="12.75">
      <c r="A15" s="1146">
        <v>12</v>
      </c>
      <c r="B15" s="1149" t="str">
        <f>+B7</f>
        <v>June</v>
      </c>
      <c r="C15" s="1146" t="str">
        <f>+C14</f>
        <v>Year 3</v>
      </c>
      <c r="D15" s="1148" t="s">
        <v>372</v>
      </c>
      <c r="E15" s="1148"/>
    </row>
    <row r="16" spans="1:5" ht="12.75">
      <c r="A16" s="1147"/>
      <c r="B16" s="1147"/>
      <c r="C16" s="1147"/>
      <c r="E16" s="1148"/>
    </row>
    <row r="17" spans="1:52" ht="12.75">
      <c r="A17" s="1147"/>
      <c r="B17" s="1147"/>
      <c r="C17" s="1147"/>
      <c r="E17" s="1148"/>
      <c r="H17" s="1152"/>
      <c r="I17" s="1152"/>
      <c r="J17" s="1152"/>
      <c r="K17" s="1152"/>
      <c r="AQ17" s="1146"/>
      <c r="AT17" s="1146"/>
      <c r="AW17" s="1146"/>
      <c r="AZ17" s="1146"/>
    </row>
    <row r="18" spans="2:52" ht="12.75">
      <c r="B18" s="1149"/>
      <c r="D18" s="1148"/>
      <c r="E18" s="1148"/>
      <c r="AQ18" s="1146"/>
      <c r="AT18" s="1146"/>
      <c r="AW18" s="1146"/>
      <c r="AZ18" s="1146"/>
    </row>
    <row r="19" ht="12.75">
      <c r="A19" s="1145" t="s">
        <v>55</v>
      </c>
    </row>
    <row r="20" spans="1:5" ht="12.75">
      <c r="A20" s="1145"/>
      <c r="D20" s="1153"/>
      <c r="E20" s="1153"/>
    </row>
    <row r="21" spans="1:4" ht="12.75">
      <c r="A21" s="1146">
        <f>+A3</f>
        <v>1</v>
      </c>
      <c r="B21" s="1146" t="str">
        <f>+B3</f>
        <v>April</v>
      </c>
      <c r="C21" s="1146" t="str">
        <f>+C3</f>
        <v>Year 2</v>
      </c>
      <c r="D21" s="1147" t="str">
        <f>+D3</f>
        <v>TO populates the formula with Year 1 data from FERC Form 1.</v>
      </c>
    </row>
    <row r="22" spans="1:7" ht="12.75">
      <c r="A22" s="1154"/>
      <c r="B22" s="1155"/>
      <c r="D22" s="1156">
        <v>0</v>
      </c>
      <c r="E22" s="1147" t="s">
        <v>22</v>
      </c>
      <c r="G22" s="1148" t="s">
        <v>624</v>
      </c>
    </row>
    <row r="24" spans="1:5" ht="12.75">
      <c r="A24" s="1146">
        <f>A4</f>
        <v>2</v>
      </c>
      <c r="B24" s="1146" t="str">
        <f>+B4</f>
        <v>April</v>
      </c>
      <c r="C24" s="1146" t="str">
        <f>+C21</f>
        <v>Year 2</v>
      </c>
      <c r="D24" s="1148" t="str">
        <f>+D4</f>
        <v>TO estimates all transmission Cap Adds, Retirements, CWIP and associated depreciation for Year 2 based on Months expected to be in service and monthly CWIP balances in Year 2.</v>
      </c>
      <c r="E24" s="1148"/>
    </row>
    <row r="25" spans="4:51" ht="12.75">
      <c r="D25" s="1148"/>
      <c r="E25" s="1148"/>
      <c r="AG25" s="1469" t="s">
        <v>890</v>
      </c>
      <c r="AH25" s="1469" t="s">
        <v>1018</v>
      </c>
      <c r="AI25" s="1469" t="s">
        <v>1140</v>
      </c>
      <c r="AJ25" s="1469" t="s">
        <v>1019</v>
      </c>
      <c r="AK25" s="1469" t="s">
        <v>891</v>
      </c>
      <c r="AL25" s="1469" t="s">
        <v>1020</v>
      </c>
      <c r="AM25" s="1469" t="s">
        <v>892</v>
      </c>
      <c r="AN25" s="1469" t="s">
        <v>1021</v>
      </c>
      <c r="AO25" s="1469" t="s">
        <v>893</v>
      </c>
      <c r="AP25" s="1469" t="s">
        <v>1022</v>
      </c>
      <c r="AQ25" s="1469" t="s">
        <v>894</v>
      </c>
      <c r="AR25" s="1469" t="s">
        <v>1023</v>
      </c>
      <c r="AS25" s="1469" t="s">
        <v>895</v>
      </c>
      <c r="AT25" s="1469" t="s">
        <v>1024</v>
      </c>
      <c r="AU25" s="1469" t="s">
        <v>896</v>
      </c>
      <c r="AV25" s="1469" t="s">
        <v>1025</v>
      </c>
      <c r="AW25" s="1469" t="s">
        <v>897</v>
      </c>
      <c r="AX25" s="1469" t="s">
        <v>1080</v>
      </c>
      <c r="AY25" s="1469" t="s">
        <v>898</v>
      </c>
    </row>
    <row r="26" spans="3:51" ht="12.75">
      <c r="C26" s="1148"/>
      <c r="D26" s="1147" t="s">
        <v>515</v>
      </c>
      <c r="E26" s="1147" t="s">
        <v>516</v>
      </c>
      <c r="F26" s="1147" t="s">
        <v>477</v>
      </c>
      <c r="G26" s="1147" t="s">
        <v>517</v>
      </c>
      <c r="H26" s="1147" t="s">
        <v>696</v>
      </c>
      <c r="I26" s="1147" t="s">
        <v>140</v>
      </c>
      <c r="J26" s="1147" t="s">
        <v>141</v>
      </c>
      <c r="K26" s="1147" t="s">
        <v>698</v>
      </c>
      <c r="L26" s="1147" t="s">
        <v>93</v>
      </c>
      <c r="M26" s="1147" t="s">
        <v>119</v>
      </c>
      <c r="N26" s="1147" t="s">
        <v>94</v>
      </c>
      <c r="O26" s="1147" t="s">
        <v>750</v>
      </c>
      <c r="P26" s="1147" t="s">
        <v>95</v>
      </c>
      <c r="Q26" s="1469" t="s">
        <v>751</v>
      </c>
      <c r="R26" s="1469" t="s">
        <v>96</v>
      </c>
      <c r="S26" s="1469" t="s">
        <v>752</v>
      </c>
      <c r="T26" s="1469" t="s">
        <v>798</v>
      </c>
      <c r="U26" s="1469" t="s">
        <v>799</v>
      </c>
      <c r="V26" s="1469" t="s">
        <v>800</v>
      </c>
      <c r="W26" s="1469" t="s">
        <v>753</v>
      </c>
      <c r="X26" s="1469" t="s">
        <v>801</v>
      </c>
      <c r="Y26" s="1469" t="s">
        <v>807</v>
      </c>
      <c r="Z26" s="1469" t="s">
        <v>808</v>
      </c>
      <c r="AA26" s="1469" t="s">
        <v>809</v>
      </c>
      <c r="AB26" s="1469" t="s">
        <v>803</v>
      </c>
      <c r="AC26" s="1469" t="s">
        <v>810</v>
      </c>
      <c r="AD26" s="1469" t="s">
        <v>1015</v>
      </c>
      <c r="AE26" s="1469" t="s">
        <v>1016</v>
      </c>
      <c r="AF26" s="1469" t="s">
        <v>1017</v>
      </c>
      <c r="AG26" s="1157" t="s">
        <v>697</v>
      </c>
      <c r="AH26" s="1158"/>
      <c r="AI26" s="1158"/>
      <c r="AJ26" s="1158"/>
      <c r="AK26" s="1158"/>
      <c r="AL26" s="1158"/>
      <c r="AM26" s="1158"/>
      <c r="AN26" s="1158"/>
      <c r="AO26" s="1158"/>
      <c r="AP26" s="1158"/>
      <c r="AQ26" s="1158"/>
      <c r="AR26" s="1158"/>
      <c r="AS26" s="1158"/>
      <c r="AT26" s="1158"/>
      <c r="AU26" s="1158"/>
      <c r="AV26" s="1158"/>
      <c r="AW26" s="1158"/>
      <c r="AX26" s="1158"/>
      <c r="AY26" s="1158"/>
    </row>
    <row r="27" spans="3:52" ht="39">
      <c r="C27" s="1147"/>
      <c r="D27" s="1159" t="s">
        <v>812</v>
      </c>
      <c r="E27" s="1146" t="s">
        <v>584</v>
      </c>
      <c r="F27" s="1146" t="s">
        <v>815</v>
      </c>
      <c r="G27" s="1146" t="s">
        <v>815</v>
      </c>
      <c r="H27" s="1146" t="s">
        <v>815</v>
      </c>
      <c r="I27" s="1146" t="s">
        <v>816</v>
      </c>
      <c r="J27" s="1146" t="s">
        <v>816</v>
      </c>
      <c r="K27" s="1146" t="s">
        <v>817</v>
      </c>
      <c r="L27" s="1147" t="s">
        <v>109</v>
      </c>
      <c r="M27" s="1146" t="s">
        <v>109</v>
      </c>
      <c r="N27" s="1159" t="s">
        <v>1052</v>
      </c>
      <c r="O27" s="1159" t="s">
        <v>1053</v>
      </c>
      <c r="P27" s="1159" t="s">
        <v>1052</v>
      </c>
      <c r="Q27" s="1159" t="s">
        <v>1054</v>
      </c>
      <c r="R27" s="1159" t="s">
        <v>1055</v>
      </c>
      <c r="S27" s="1159" t="s">
        <v>1054</v>
      </c>
      <c r="T27" s="1146" t="s">
        <v>1011</v>
      </c>
      <c r="U27" s="1146" t="s">
        <v>1011</v>
      </c>
      <c r="V27" s="1146" t="s">
        <v>1011</v>
      </c>
      <c r="W27" s="1146" t="s">
        <v>1012</v>
      </c>
      <c r="X27" s="1146" t="s">
        <v>1012</v>
      </c>
      <c r="Y27" s="1146" t="s">
        <v>1012</v>
      </c>
      <c r="Z27" s="1146" t="s">
        <v>1013</v>
      </c>
      <c r="AA27" s="1146" t="s">
        <v>1013</v>
      </c>
      <c r="AB27" s="1501" t="s">
        <v>1136</v>
      </c>
      <c r="AC27" s="1501" t="s">
        <v>1136</v>
      </c>
      <c r="AD27" s="1501" t="s">
        <v>1136</v>
      </c>
      <c r="AE27" s="1146" t="s">
        <v>1014</v>
      </c>
      <c r="AF27" s="1146" t="s">
        <v>1014</v>
      </c>
      <c r="AG27" s="1161" t="s">
        <v>812</v>
      </c>
      <c r="AH27" s="1161" t="s">
        <v>815</v>
      </c>
      <c r="AI27" s="1161" t="s">
        <v>820</v>
      </c>
      <c r="AJ27" s="1161" t="s">
        <v>816</v>
      </c>
      <c r="AK27" s="1161" t="s">
        <v>816</v>
      </c>
      <c r="AL27" s="1161" t="s">
        <v>109</v>
      </c>
      <c r="AM27" s="1288" t="s">
        <v>1052</v>
      </c>
      <c r="AN27" s="1288" t="s">
        <v>1053</v>
      </c>
      <c r="AO27" s="1288" t="s">
        <v>1054</v>
      </c>
      <c r="AP27" s="1288" t="s">
        <v>1055</v>
      </c>
      <c r="AQ27" s="1161" t="s">
        <v>1011</v>
      </c>
      <c r="AR27" s="1161" t="s">
        <v>1011</v>
      </c>
      <c r="AS27" s="1161" t="s">
        <v>1012</v>
      </c>
      <c r="AT27" s="1161" t="s">
        <v>1012</v>
      </c>
      <c r="AU27" s="1161" t="s">
        <v>1013</v>
      </c>
      <c r="AV27" s="1161" t="s">
        <v>1136</v>
      </c>
      <c r="AW27" s="1161" t="s">
        <v>1136</v>
      </c>
      <c r="AX27" s="1161" t="s">
        <v>1136</v>
      </c>
      <c r="AY27" s="1161" t="s">
        <v>1014</v>
      </c>
      <c r="AZ27" s="1147" t="s">
        <v>436</v>
      </c>
    </row>
    <row r="28" spans="3:51" ht="12.75">
      <c r="C28" s="1147"/>
      <c r="D28" s="1159" t="s">
        <v>115</v>
      </c>
      <c r="E28" s="1146" t="s">
        <v>813</v>
      </c>
      <c r="F28" s="1146" t="s">
        <v>814</v>
      </c>
      <c r="G28" s="1146" t="s">
        <v>115</v>
      </c>
      <c r="H28" s="1146" t="s">
        <v>813</v>
      </c>
      <c r="I28" s="1146" t="s">
        <v>115</v>
      </c>
      <c r="J28" s="1146" t="s">
        <v>813</v>
      </c>
      <c r="K28" s="1146" t="s">
        <v>814</v>
      </c>
      <c r="L28" s="1146" t="s">
        <v>115</v>
      </c>
      <c r="M28" s="1146" t="s">
        <v>813</v>
      </c>
      <c r="N28" s="1146" t="s">
        <v>115</v>
      </c>
      <c r="O28" s="1146" t="s">
        <v>813</v>
      </c>
      <c r="P28" s="1146" t="s">
        <v>814</v>
      </c>
      <c r="Q28" s="1146" t="s">
        <v>115</v>
      </c>
      <c r="R28" s="1146" t="s">
        <v>813</v>
      </c>
      <c r="S28" s="1146" t="s">
        <v>814</v>
      </c>
      <c r="T28" s="1146" t="s">
        <v>115</v>
      </c>
      <c r="U28" s="1146" t="s">
        <v>813</v>
      </c>
      <c r="V28" s="1146" t="s">
        <v>814</v>
      </c>
      <c r="W28" s="1146" t="s">
        <v>115</v>
      </c>
      <c r="X28" s="1146" t="s">
        <v>813</v>
      </c>
      <c r="Y28" s="1146" t="s">
        <v>814</v>
      </c>
      <c r="Z28" s="1146" t="s">
        <v>115</v>
      </c>
      <c r="AA28" s="1146" t="s">
        <v>813</v>
      </c>
      <c r="AB28" s="1408" t="s">
        <v>814</v>
      </c>
      <c r="AC28" s="1408" t="s">
        <v>115</v>
      </c>
      <c r="AD28" s="1408" t="s">
        <v>813</v>
      </c>
      <c r="AE28" s="1146" t="s">
        <v>115</v>
      </c>
      <c r="AF28" s="1146" t="s">
        <v>813</v>
      </c>
      <c r="AG28" s="1162" t="s">
        <v>115</v>
      </c>
      <c r="AH28" s="1162" t="s">
        <v>814</v>
      </c>
      <c r="AI28" s="1162" t="s">
        <v>115</v>
      </c>
      <c r="AJ28" s="1162" t="s">
        <v>115</v>
      </c>
      <c r="AK28" s="1162" t="s">
        <v>814</v>
      </c>
      <c r="AL28" s="1162" t="s">
        <v>115</v>
      </c>
      <c r="AM28" s="1162" t="s">
        <v>115</v>
      </c>
      <c r="AN28" s="1162" t="s">
        <v>814</v>
      </c>
      <c r="AO28" s="1162" t="s">
        <v>115</v>
      </c>
      <c r="AP28" s="1162" t="s">
        <v>814</v>
      </c>
      <c r="AQ28" s="1162" t="s">
        <v>115</v>
      </c>
      <c r="AR28" s="1162" t="s">
        <v>814</v>
      </c>
      <c r="AS28" s="1162" t="s">
        <v>115</v>
      </c>
      <c r="AT28" s="1162" t="s">
        <v>814</v>
      </c>
      <c r="AU28" s="1162" t="s">
        <v>115</v>
      </c>
      <c r="AV28" s="1162" t="s">
        <v>814</v>
      </c>
      <c r="AW28" s="1162" t="s">
        <v>115</v>
      </c>
      <c r="AX28" s="1162" t="s">
        <v>813</v>
      </c>
      <c r="AY28" s="1162" t="s">
        <v>115</v>
      </c>
    </row>
    <row r="29" spans="1:52" ht="12.75">
      <c r="A29" s="1163"/>
      <c r="C29" s="1147" t="s">
        <v>611</v>
      </c>
      <c r="D29" s="1159"/>
      <c r="E29" s="1146"/>
      <c r="F29" s="1146"/>
      <c r="G29" s="1146"/>
      <c r="H29" s="1146"/>
      <c r="I29" s="1146"/>
      <c r="J29" s="1146"/>
      <c r="K29" s="1146"/>
      <c r="AB29" s="1419"/>
      <c r="AC29" s="1419"/>
      <c r="AD29" s="1419"/>
      <c r="AG29" s="1165">
        <v>0</v>
      </c>
      <c r="AH29" s="1165">
        <v>0</v>
      </c>
      <c r="AI29" s="1165">
        <v>0</v>
      </c>
      <c r="AJ29" s="1165">
        <v>0</v>
      </c>
      <c r="AK29" s="1165">
        <v>0</v>
      </c>
      <c r="AL29" s="1165">
        <v>0</v>
      </c>
      <c r="AM29" s="1165">
        <v>0</v>
      </c>
      <c r="AN29" s="1165">
        <v>0</v>
      </c>
      <c r="AO29" s="1165">
        <v>0</v>
      </c>
      <c r="AP29" s="1165">
        <v>0</v>
      </c>
      <c r="AQ29" s="1165">
        <v>0</v>
      </c>
      <c r="AR29" s="1165">
        <v>0</v>
      </c>
      <c r="AS29" s="1165">
        <v>0</v>
      </c>
      <c r="AT29" s="1165">
        <v>0</v>
      </c>
      <c r="AU29" s="1165">
        <v>0</v>
      </c>
      <c r="AV29" s="1417">
        <v>0</v>
      </c>
      <c r="AW29" s="1417">
        <v>0</v>
      </c>
      <c r="AX29" s="1417">
        <v>0</v>
      </c>
      <c r="AY29" s="1165">
        <v>0</v>
      </c>
      <c r="AZ29" s="1166"/>
    </row>
    <row r="30" spans="3:51" ht="12.75">
      <c r="C30" s="1147" t="s">
        <v>601</v>
      </c>
      <c r="D30" s="1167">
        <v>0</v>
      </c>
      <c r="E30" s="1167">
        <v>0</v>
      </c>
      <c r="F30" s="1167">
        <v>0</v>
      </c>
      <c r="G30" s="1167">
        <v>0</v>
      </c>
      <c r="H30" s="1168">
        <v>0</v>
      </c>
      <c r="I30" s="1167">
        <v>0</v>
      </c>
      <c r="J30" s="1168">
        <v>0</v>
      </c>
      <c r="K30" s="1167">
        <v>0</v>
      </c>
      <c r="L30" s="1168">
        <v>0</v>
      </c>
      <c r="M30" s="1168">
        <v>0</v>
      </c>
      <c r="N30" s="1168">
        <v>0</v>
      </c>
      <c r="O30" s="1168">
        <v>0</v>
      </c>
      <c r="P30" s="1168">
        <v>0</v>
      </c>
      <c r="Q30" s="1168">
        <v>0</v>
      </c>
      <c r="R30" s="1168">
        <v>0</v>
      </c>
      <c r="S30" s="1168">
        <v>0</v>
      </c>
      <c r="T30" s="1168">
        <v>0</v>
      </c>
      <c r="U30" s="1168">
        <v>0</v>
      </c>
      <c r="V30" s="1168">
        <v>0</v>
      </c>
      <c r="W30" s="1168">
        <v>0</v>
      </c>
      <c r="X30" s="1168">
        <v>0</v>
      </c>
      <c r="Y30" s="1168">
        <v>0</v>
      </c>
      <c r="Z30" s="1168">
        <v>0</v>
      </c>
      <c r="AA30" s="1168">
        <v>0</v>
      </c>
      <c r="AB30" s="1168">
        <v>0</v>
      </c>
      <c r="AC30" s="1168">
        <v>0</v>
      </c>
      <c r="AD30" s="1168">
        <v>0</v>
      </c>
      <c r="AE30" s="1168">
        <v>0</v>
      </c>
      <c r="AF30" s="1168">
        <v>0</v>
      </c>
      <c r="AG30" s="1165">
        <f aca="true" t="shared" si="0" ref="AG30:AG41">AG29+D30+E30</f>
        <v>0</v>
      </c>
      <c r="AH30" s="1165">
        <f aca="true" t="shared" si="1" ref="AH30:AH41">AH29+F30</f>
        <v>0</v>
      </c>
      <c r="AI30" s="1153">
        <f aca="true" t="shared" si="2" ref="AI30:AI41">AI29+G30+H30</f>
        <v>0</v>
      </c>
      <c r="AJ30" s="1153">
        <f aca="true" t="shared" si="3" ref="AJ30:AJ41">AJ29+I30+J30</f>
        <v>0</v>
      </c>
      <c r="AK30" s="1153">
        <f aca="true" t="shared" si="4" ref="AK30:AK41">AK29+K30</f>
        <v>0</v>
      </c>
      <c r="AL30" s="1165">
        <f aca="true" t="shared" si="5" ref="AL30:AL41">AL29+L30+M30</f>
        <v>0</v>
      </c>
      <c r="AM30" s="1165">
        <f aca="true" t="shared" si="6" ref="AM30:AM41">AM29+N30+O30</f>
        <v>0</v>
      </c>
      <c r="AN30" s="1165">
        <f aca="true" t="shared" si="7" ref="AN30:AN41">+AN29+P30</f>
        <v>0</v>
      </c>
      <c r="AO30" s="1165">
        <f aca="true" t="shared" si="8" ref="AO30:AO41">AO29+Q30+R30</f>
        <v>0</v>
      </c>
      <c r="AP30" s="1165">
        <f aca="true" t="shared" si="9" ref="AP30:AP41">+AP29+S30</f>
        <v>0</v>
      </c>
      <c r="AQ30" s="1165">
        <f aca="true" t="shared" si="10" ref="AQ30:AQ41">+AQ29+T30+U30</f>
        <v>0</v>
      </c>
      <c r="AR30" s="1165">
        <f aca="true" t="shared" si="11" ref="AR30:AR41">+AR29+V30</f>
        <v>0</v>
      </c>
      <c r="AS30" s="1165">
        <f aca="true" t="shared" si="12" ref="AS30:AS41">+AS29+W30+X30</f>
        <v>0</v>
      </c>
      <c r="AT30" s="1165">
        <f aca="true" t="shared" si="13" ref="AT30:AT41">+AT29+Y30</f>
        <v>0</v>
      </c>
      <c r="AU30" s="1165">
        <f aca="true" t="shared" si="14" ref="AU30:AU41">+AU29+Z30+AA30</f>
        <v>0</v>
      </c>
      <c r="AV30" s="1417">
        <f aca="true" t="shared" si="15" ref="AV30:AV41">+AV29+AB30</f>
        <v>0</v>
      </c>
      <c r="AW30" s="1417">
        <f aca="true" t="shared" si="16" ref="AW30:AW41">+AW29+AC30</f>
        <v>0</v>
      </c>
      <c r="AX30" s="1417">
        <f aca="true" t="shared" si="17" ref="AX30:AX41">+AX29+AD30</f>
        <v>0</v>
      </c>
      <c r="AY30" s="1165">
        <f aca="true" t="shared" si="18" ref="AY30:AY41">+AY29+AE30+AF30</f>
        <v>0</v>
      </c>
    </row>
    <row r="31" spans="3:51" ht="12.75">
      <c r="C31" s="1147" t="s">
        <v>602</v>
      </c>
      <c r="D31" s="1167">
        <v>0</v>
      </c>
      <c r="E31" s="1167">
        <v>0</v>
      </c>
      <c r="F31" s="1167">
        <v>0</v>
      </c>
      <c r="G31" s="1167">
        <v>0</v>
      </c>
      <c r="H31" s="1168">
        <v>0</v>
      </c>
      <c r="I31" s="1167">
        <v>0</v>
      </c>
      <c r="J31" s="1168">
        <v>0</v>
      </c>
      <c r="K31" s="1167">
        <v>0</v>
      </c>
      <c r="L31" s="1168">
        <v>0</v>
      </c>
      <c r="M31" s="1168">
        <v>0</v>
      </c>
      <c r="N31" s="1168">
        <v>0</v>
      </c>
      <c r="O31" s="1168">
        <v>0</v>
      </c>
      <c r="P31" s="1168">
        <v>0</v>
      </c>
      <c r="Q31" s="1168">
        <v>0</v>
      </c>
      <c r="R31" s="1168">
        <v>0</v>
      </c>
      <c r="S31" s="1168">
        <v>0</v>
      </c>
      <c r="T31" s="1168">
        <v>0</v>
      </c>
      <c r="U31" s="1168">
        <v>0</v>
      </c>
      <c r="V31" s="1168">
        <v>0</v>
      </c>
      <c r="W31" s="1168">
        <v>0</v>
      </c>
      <c r="X31" s="1168">
        <v>0</v>
      </c>
      <c r="Y31" s="1168">
        <v>0</v>
      </c>
      <c r="Z31" s="1168">
        <v>0</v>
      </c>
      <c r="AA31" s="1168">
        <v>0</v>
      </c>
      <c r="AB31" s="1168">
        <v>0</v>
      </c>
      <c r="AC31" s="1168">
        <v>0</v>
      </c>
      <c r="AD31" s="1168">
        <v>0</v>
      </c>
      <c r="AE31" s="1168">
        <v>0</v>
      </c>
      <c r="AF31" s="1168">
        <v>0</v>
      </c>
      <c r="AG31" s="1165">
        <f t="shared" si="0"/>
        <v>0</v>
      </c>
      <c r="AH31" s="1165">
        <f t="shared" si="1"/>
        <v>0</v>
      </c>
      <c r="AI31" s="1153">
        <f t="shared" si="2"/>
        <v>0</v>
      </c>
      <c r="AJ31" s="1153">
        <f t="shared" si="3"/>
        <v>0</v>
      </c>
      <c r="AK31" s="1153">
        <f t="shared" si="4"/>
        <v>0</v>
      </c>
      <c r="AL31" s="1165">
        <f t="shared" si="5"/>
        <v>0</v>
      </c>
      <c r="AM31" s="1165">
        <f t="shared" si="6"/>
        <v>0</v>
      </c>
      <c r="AN31" s="1165">
        <f t="shared" si="7"/>
        <v>0</v>
      </c>
      <c r="AO31" s="1165">
        <f t="shared" si="8"/>
        <v>0</v>
      </c>
      <c r="AP31" s="1165">
        <f t="shared" si="9"/>
        <v>0</v>
      </c>
      <c r="AQ31" s="1165">
        <f t="shared" si="10"/>
        <v>0</v>
      </c>
      <c r="AR31" s="1165">
        <f t="shared" si="11"/>
        <v>0</v>
      </c>
      <c r="AS31" s="1165">
        <f t="shared" si="12"/>
        <v>0</v>
      </c>
      <c r="AT31" s="1165">
        <f t="shared" si="13"/>
        <v>0</v>
      </c>
      <c r="AU31" s="1165">
        <f t="shared" si="14"/>
        <v>0</v>
      </c>
      <c r="AV31" s="1417">
        <f t="shared" si="15"/>
        <v>0</v>
      </c>
      <c r="AW31" s="1417">
        <f t="shared" si="16"/>
        <v>0</v>
      </c>
      <c r="AX31" s="1417">
        <f t="shared" si="17"/>
        <v>0</v>
      </c>
      <c r="AY31" s="1165">
        <f t="shared" si="18"/>
        <v>0</v>
      </c>
    </row>
    <row r="32" spans="3:51" ht="12.75">
      <c r="C32" s="1147" t="s">
        <v>603</v>
      </c>
      <c r="D32" s="1167">
        <v>0</v>
      </c>
      <c r="E32" s="1167">
        <v>0</v>
      </c>
      <c r="F32" s="1167">
        <v>0</v>
      </c>
      <c r="G32" s="1167">
        <v>0</v>
      </c>
      <c r="H32" s="1168">
        <v>0</v>
      </c>
      <c r="I32" s="1167">
        <v>0</v>
      </c>
      <c r="J32" s="1168">
        <v>0</v>
      </c>
      <c r="K32" s="1167">
        <v>0</v>
      </c>
      <c r="L32" s="1168">
        <v>0</v>
      </c>
      <c r="M32" s="1168">
        <v>0</v>
      </c>
      <c r="N32" s="1168">
        <v>0</v>
      </c>
      <c r="O32" s="1168">
        <v>0</v>
      </c>
      <c r="P32" s="1168">
        <v>0</v>
      </c>
      <c r="Q32" s="1168">
        <v>0</v>
      </c>
      <c r="R32" s="1168">
        <v>0</v>
      </c>
      <c r="S32" s="1168">
        <v>0</v>
      </c>
      <c r="T32" s="1168">
        <v>0</v>
      </c>
      <c r="U32" s="1168">
        <v>0</v>
      </c>
      <c r="V32" s="1168">
        <v>0</v>
      </c>
      <c r="W32" s="1168">
        <v>0</v>
      </c>
      <c r="X32" s="1168">
        <v>0</v>
      </c>
      <c r="Y32" s="1168">
        <v>0</v>
      </c>
      <c r="Z32" s="1168">
        <v>0</v>
      </c>
      <c r="AA32" s="1168">
        <v>0</v>
      </c>
      <c r="AB32" s="1168">
        <v>0</v>
      </c>
      <c r="AC32" s="1168">
        <v>0</v>
      </c>
      <c r="AD32" s="1168">
        <v>0</v>
      </c>
      <c r="AE32" s="1168">
        <v>0</v>
      </c>
      <c r="AF32" s="1168">
        <v>0</v>
      </c>
      <c r="AG32" s="1165">
        <f t="shared" si="0"/>
        <v>0</v>
      </c>
      <c r="AH32" s="1165">
        <f t="shared" si="1"/>
        <v>0</v>
      </c>
      <c r="AI32" s="1153">
        <f t="shared" si="2"/>
        <v>0</v>
      </c>
      <c r="AJ32" s="1153">
        <f t="shared" si="3"/>
        <v>0</v>
      </c>
      <c r="AK32" s="1153">
        <f t="shared" si="4"/>
        <v>0</v>
      </c>
      <c r="AL32" s="1165">
        <f t="shared" si="5"/>
        <v>0</v>
      </c>
      <c r="AM32" s="1165">
        <f t="shared" si="6"/>
        <v>0</v>
      </c>
      <c r="AN32" s="1165">
        <f t="shared" si="7"/>
        <v>0</v>
      </c>
      <c r="AO32" s="1165">
        <f t="shared" si="8"/>
        <v>0</v>
      </c>
      <c r="AP32" s="1165">
        <f t="shared" si="9"/>
        <v>0</v>
      </c>
      <c r="AQ32" s="1165">
        <f t="shared" si="10"/>
        <v>0</v>
      </c>
      <c r="AR32" s="1165">
        <f t="shared" si="11"/>
        <v>0</v>
      </c>
      <c r="AS32" s="1165">
        <f t="shared" si="12"/>
        <v>0</v>
      </c>
      <c r="AT32" s="1165">
        <f t="shared" si="13"/>
        <v>0</v>
      </c>
      <c r="AU32" s="1165">
        <f t="shared" si="14"/>
        <v>0</v>
      </c>
      <c r="AV32" s="1417">
        <f t="shared" si="15"/>
        <v>0</v>
      </c>
      <c r="AW32" s="1417">
        <f t="shared" si="16"/>
        <v>0</v>
      </c>
      <c r="AX32" s="1417">
        <f t="shared" si="17"/>
        <v>0</v>
      </c>
      <c r="AY32" s="1165">
        <f t="shared" si="18"/>
        <v>0</v>
      </c>
    </row>
    <row r="33" spans="3:51" ht="12.75">
      <c r="C33" s="1147" t="s">
        <v>604</v>
      </c>
      <c r="D33" s="1167">
        <v>0</v>
      </c>
      <c r="E33" s="1167">
        <v>0</v>
      </c>
      <c r="F33" s="1167">
        <v>0</v>
      </c>
      <c r="G33" s="1167">
        <v>0</v>
      </c>
      <c r="H33" s="1168">
        <v>0</v>
      </c>
      <c r="I33" s="1167">
        <v>0</v>
      </c>
      <c r="J33" s="1168">
        <v>0</v>
      </c>
      <c r="K33" s="1167">
        <v>0</v>
      </c>
      <c r="L33" s="1168">
        <v>0</v>
      </c>
      <c r="M33" s="1168">
        <v>0</v>
      </c>
      <c r="N33" s="1168">
        <v>0</v>
      </c>
      <c r="O33" s="1168">
        <v>0</v>
      </c>
      <c r="P33" s="1168">
        <v>0</v>
      </c>
      <c r="Q33" s="1168">
        <v>0</v>
      </c>
      <c r="R33" s="1168">
        <v>0</v>
      </c>
      <c r="S33" s="1168">
        <v>0</v>
      </c>
      <c r="T33" s="1168">
        <v>0</v>
      </c>
      <c r="U33" s="1168">
        <v>0</v>
      </c>
      <c r="V33" s="1168">
        <v>0</v>
      </c>
      <c r="W33" s="1168">
        <v>0</v>
      </c>
      <c r="X33" s="1168">
        <v>0</v>
      </c>
      <c r="Y33" s="1168">
        <v>0</v>
      </c>
      <c r="Z33" s="1168">
        <v>0</v>
      </c>
      <c r="AA33" s="1168">
        <v>0</v>
      </c>
      <c r="AB33" s="1168">
        <v>0</v>
      </c>
      <c r="AC33" s="1168">
        <v>0</v>
      </c>
      <c r="AD33" s="1168">
        <v>0</v>
      </c>
      <c r="AE33" s="1168">
        <v>0</v>
      </c>
      <c r="AF33" s="1168">
        <v>0</v>
      </c>
      <c r="AG33" s="1165">
        <f t="shared" si="0"/>
        <v>0</v>
      </c>
      <c r="AH33" s="1165">
        <f t="shared" si="1"/>
        <v>0</v>
      </c>
      <c r="AI33" s="1153">
        <f t="shared" si="2"/>
        <v>0</v>
      </c>
      <c r="AJ33" s="1153">
        <f t="shared" si="3"/>
        <v>0</v>
      </c>
      <c r="AK33" s="1153">
        <f t="shared" si="4"/>
        <v>0</v>
      </c>
      <c r="AL33" s="1165">
        <f t="shared" si="5"/>
        <v>0</v>
      </c>
      <c r="AM33" s="1165">
        <f t="shared" si="6"/>
        <v>0</v>
      </c>
      <c r="AN33" s="1165">
        <f t="shared" si="7"/>
        <v>0</v>
      </c>
      <c r="AO33" s="1165">
        <f t="shared" si="8"/>
        <v>0</v>
      </c>
      <c r="AP33" s="1165">
        <f t="shared" si="9"/>
        <v>0</v>
      </c>
      <c r="AQ33" s="1165">
        <f t="shared" si="10"/>
        <v>0</v>
      </c>
      <c r="AR33" s="1165">
        <f t="shared" si="11"/>
        <v>0</v>
      </c>
      <c r="AS33" s="1165">
        <f t="shared" si="12"/>
        <v>0</v>
      </c>
      <c r="AT33" s="1165">
        <f t="shared" si="13"/>
        <v>0</v>
      </c>
      <c r="AU33" s="1165">
        <f t="shared" si="14"/>
        <v>0</v>
      </c>
      <c r="AV33" s="1417">
        <f t="shared" si="15"/>
        <v>0</v>
      </c>
      <c r="AW33" s="1417">
        <f t="shared" si="16"/>
        <v>0</v>
      </c>
      <c r="AX33" s="1417">
        <f t="shared" si="17"/>
        <v>0</v>
      </c>
      <c r="AY33" s="1165">
        <f t="shared" si="18"/>
        <v>0</v>
      </c>
    </row>
    <row r="34" spans="3:51" ht="12.75">
      <c r="C34" s="1147" t="s">
        <v>599</v>
      </c>
      <c r="D34" s="1167">
        <v>0</v>
      </c>
      <c r="E34" s="1167">
        <v>0</v>
      </c>
      <c r="F34" s="1167">
        <v>0</v>
      </c>
      <c r="G34" s="1167">
        <v>0</v>
      </c>
      <c r="H34" s="1168">
        <v>0</v>
      </c>
      <c r="I34" s="1167">
        <v>0</v>
      </c>
      <c r="J34" s="1168">
        <v>0</v>
      </c>
      <c r="K34" s="1167">
        <v>0</v>
      </c>
      <c r="L34" s="1168">
        <v>0</v>
      </c>
      <c r="M34" s="1168">
        <v>0</v>
      </c>
      <c r="N34" s="1168">
        <v>0</v>
      </c>
      <c r="O34" s="1168">
        <v>0</v>
      </c>
      <c r="P34" s="1168">
        <v>0</v>
      </c>
      <c r="Q34" s="1168">
        <v>0</v>
      </c>
      <c r="R34" s="1168">
        <v>0</v>
      </c>
      <c r="S34" s="1168">
        <v>0</v>
      </c>
      <c r="T34" s="1168">
        <v>0</v>
      </c>
      <c r="U34" s="1168">
        <v>0</v>
      </c>
      <c r="V34" s="1168">
        <v>0</v>
      </c>
      <c r="W34" s="1168">
        <v>0</v>
      </c>
      <c r="X34" s="1168">
        <v>0</v>
      </c>
      <c r="Y34" s="1168">
        <v>0</v>
      </c>
      <c r="Z34" s="1168">
        <v>0</v>
      </c>
      <c r="AA34" s="1168">
        <v>0</v>
      </c>
      <c r="AB34" s="1168">
        <v>0</v>
      </c>
      <c r="AC34" s="1168">
        <v>0</v>
      </c>
      <c r="AD34" s="1168">
        <v>0</v>
      </c>
      <c r="AE34" s="1168">
        <v>0</v>
      </c>
      <c r="AF34" s="1168">
        <v>0</v>
      </c>
      <c r="AG34" s="1165">
        <f t="shared" si="0"/>
        <v>0</v>
      </c>
      <c r="AH34" s="1165">
        <f t="shared" si="1"/>
        <v>0</v>
      </c>
      <c r="AI34" s="1153">
        <f t="shared" si="2"/>
        <v>0</v>
      </c>
      <c r="AJ34" s="1153">
        <f t="shared" si="3"/>
        <v>0</v>
      </c>
      <c r="AK34" s="1153">
        <f t="shared" si="4"/>
        <v>0</v>
      </c>
      <c r="AL34" s="1165">
        <f t="shared" si="5"/>
        <v>0</v>
      </c>
      <c r="AM34" s="1165">
        <f t="shared" si="6"/>
        <v>0</v>
      </c>
      <c r="AN34" s="1165">
        <f t="shared" si="7"/>
        <v>0</v>
      </c>
      <c r="AO34" s="1165">
        <f t="shared" si="8"/>
        <v>0</v>
      </c>
      <c r="AP34" s="1165">
        <f t="shared" si="9"/>
        <v>0</v>
      </c>
      <c r="AQ34" s="1165">
        <f t="shared" si="10"/>
        <v>0</v>
      </c>
      <c r="AR34" s="1165">
        <f t="shared" si="11"/>
        <v>0</v>
      </c>
      <c r="AS34" s="1165">
        <f t="shared" si="12"/>
        <v>0</v>
      </c>
      <c r="AT34" s="1165">
        <f t="shared" si="13"/>
        <v>0</v>
      </c>
      <c r="AU34" s="1165">
        <f t="shared" si="14"/>
        <v>0</v>
      </c>
      <c r="AV34" s="1417">
        <f t="shared" si="15"/>
        <v>0</v>
      </c>
      <c r="AW34" s="1417">
        <f t="shared" si="16"/>
        <v>0</v>
      </c>
      <c r="AX34" s="1417">
        <f t="shared" si="17"/>
        <v>0</v>
      </c>
      <c r="AY34" s="1165">
        <f t="shared" si="18"/>
        <v>0</v>
      </c>
    </row>
    <row r="35" spans="3:51" ht="12.75">
      <c r="C35" s="1147" t="s">
        <v>605</v>
      </c>
      <c r="D35" s="1167">
        <v>0</v>
      </c>
      <c r="E35" s="1167">
        <v>0</v>
      </c>
      <c r="F35" s="1167">
        <v>0</v>
      </c>
      <c r="G35" s="1167">
        <v>0</v>
      </c>
      <c r="H35" s="1168">
        <v>0</v>
      </c>
      <c r="I35" s="1167">
        <v>0</v>
      </c>
      <c r="J35" s="1168">
        <v>0</v>
      </c>
      <c r="K35" s="1167">
        <v>0</v>
      </c>
      <c r="L35" s="1168">
        <v>0</v>
      </c>
      <c r="M35" s="1168">
        <v>0</v>
      </c>
      <c r="N35" s="1168">
        <v>0</v>
      </c>
      <c r="O35" s="1168">
        <v>0</v>
      </c>
      <c r="P35" s="1168">
        <v>0</v>
      </c>
      <c r="Q35" s="1168">
        <v>0</v>
      </c>
      <c r="R35" s="1168">
        <v>0</v>
      </c>
      <c r="S35" s="1168">
        <v>0</v>
      </c>
      <c r="T35" s="1168">
        <v>0</v>
      </c>
      <c r="U35" s="1168">
        <v>0</v>
      </c>
      <c r="V35" s="1168">
        <v>0</v>
      </c>
      <c r="W35" s="1168">
        <v>0</v>
      </c>
      <c r="X35" s="1168">
        <v>0</v>
      </c>
      <c r="Y35" s="1168">
        <v>0</v>
      </c>
      <c r="Z35" s="1168">
        <v>0</v>
      </c>
      <c r="AA35" s="1168">
        <v>0</v>
      </c>
      <c r="AB35" s="1168">
        <v>0</v>
      </c>
      <c r="AC35" s="1168">
        <v>0</v>
      </c>
      <c r="AD35" s="1168">
        <v>0</v>
      </c>
      <c r="AE35" s="1168">
        <v>0</v>
      </c>
      <c r="AF35" s="1168">
        <v>0</v>
      </c>
      <c r="AG35" s="1165">
        <f t="shared" si="0"/>
        <v>0</v>
      </c>
      <c r="AH35" s="1165">
        <f t="shared" si="1"/>
        <v>0</v>
      </c>
      <c r="AI35" s="1153">
        <f t="shared" si="2"/>
        <v>0</v>
      </c>
      <c r="AJ35" s="1153">
        <f t="shared" si="3"/>
        <v>0</v>
      </c>
      <c r="AK35" s="1153">
        <f t="shared" si="4"/>
        <v>0</v>
      </c>
      <c r="AL35" s="1165">
        <f t="shared" si="5"/>
        <v>0</v>
      </c>
      <c r="AM35" s="1165">
        <f t="shared" si="6"/>
        <v>0</v>
      </c>
      <c r="AN35" s="1165">
        <f t="shared" si="7"/>
        <v>0</v>
      </c>
      <c r="AO35" s="1165">
        <f t="shared" si="8"/>
        <v>0</v>
      </c>
      <c r="AP35" s="1165">
        <f t="shared" si="9"/>
        <v>0</v>
      </c>
      <c r="AQ35" s="1165">
        <f t="shared" si="10"/>
        <v>0</v>
      </c>
      <c r="AR35" s="1165">
        <f t="shared" si="11"/>
        <v>0</v>
      </c>
      <c r="AS35" s="1165">
        <f t="shared" si="12"/>
        <v>0</v>
      </c>
      <c r="AT35" s="1165">
        <f t="shared" si="13"/>
        <v>0</v>
      </c>
      <c r="AU35" s="1165">
        <f t="shared" si="14"/>
        <v>0</v>
      </c>
      <c r="AV35" s="1417">
        <f t="shared" si="15"/>
        <v>0</v>
      </c>
      <c r="AW35" s="1417">
        <f t="shared" si="16"/>
        <v>0</v>
      </c>
      <c r="AX35" s="1417">
        <f t="shared" si="17"/>
        <v>0</v>
      </c>
      <c r="AY35" s="1165">
        <f t="shared" si="18"/>
        <v>0</v>
      </c>
    </row>
    <row r="36" spans="3:51" ht="12.75">
      <c r="C36" s="1147" t="s">
        <v>606</v>
      </c>
      <c r="D36" s="1167">
        <v>0</v>
      </c>
      <c r="E36" s="1167">
        <v>0</v>
      </c>
      <c r="F36" s="1167">
        <v>0</v>
      </c>
      <c r="G36" s="1167">
        <v>0</v>
      </c>
      <c r="H36" s="1168">
        <v>0</v>
      </c>
      <c r="I36" s="1167">
        <v>0</v>
      </c>
      <c r="J36" s="1168">
        <v>0</v>
      </c>
      <c r="K36" s="1167">
        <v>0</v>
      </c>
      <c r="L36" s="1168">
        <v>0</v>
      </c>
      <c r="M36" s="1168">
        <v>0</v>
      </c>
      <c r="N36" s="1168">
        <v>0</v>
      </c>
      <c r="O36" s="1168">
        <v>0</v>
      </c>
      <c r="P36" s="1168">
        <v>0</v>
      </c>
      <c r="Q36" s="1168">
        <v>0</v>
      </c>
      <c r="R36" s="1168">
        <v>0</v>
      </c>
      <c r="S36" s="1168">
        <v>0</v>
      </c>
      <c r="T36" s="1168">
        <v>0</v>
      </c>
      <c r="U36" s="1168">
        <v>0</v>
      </c>
      <c r="V36" s="1168">
        <v>0</v>
      </c>
      <c r="W36" s="1168">
        <v>0</v>
      </c>
      <c r="X36" s="1168">
        <v>0</v>
      </c>
      <c r="Y36" s="1168">
        <v>0</v>
      </c>
      <c r="Z36" s="1168">
        <v>0</v>
      </c>
      <c r="AA36" s="1168">
        <v>0</v>
      </c>
      <c r="AB36" s="1168">
        <v>0</v>
      </c>
      <c r="AC36" s="1168">
        <v>0</v>
      </c>
      <c r="AD36" s="1168">
        <v>0</v>
      </c>
      <c r="AE36" s="1168">
        <v>0</v>
      </c>
      <c r="AF36" s="1168">
        <v>0</v>
      </c>
      <c r="AG36" s="1165">
        <f t="shared" si="0"/>
        <v>0</v>
      </c>
      <c r="AH36" s="1165">
        <f t="shared" si="1"/>
        <v>0</v>
      </c>
      <c r="AI36" s="1153">
        <f t="shared" si="2"/>
        <v>0</v>
      </c>
      <c r="AJ36" s="1153">
        <f t="shared" si="3"/>
        <v>0</v>
      </c>
      <c r="AK36" s="1153">
        <f t="shared" si="4"/>
        <v>0</v>
      </c>
      <c r="AL36" s="1165">
        <f t="shared" si="5"/>
        <v>0</v>
      </c>
      <c r="AM36" s="1165">
        <f t="shared" si="6"/>
        <v>0</v>
      </c>
      <c r="AN36" s="1165">
        <f t="shared" si="7"/>
        <v>0</v>
      </c>
      <c r="AO36" s="1165">
        <f t="shared" si="8"/>
        <v>0</v>
      </c>
      <c r="AP36" s="1165">
        <f t="shared" si="9"/>
        <v>0</v>
      </c>
      <c r="AQ36" s="1165">
        <f t="shared" si="10"/>
        <v>0</v>
      </c>
      <c r="AR36" s="1165">
        <f t="shared" si="11"/>
        <v>0</v>
      </c>
      <c r="AS36" s="1165">
        <f t="shared" si="12"/>
        <v>0</v>
      </c>
      <c r="AT36" s="1165">
        <f t="shared" si="13"/>
        <v>0</v>
      </c>
      <c r="AU36" s="1165">
        <f t="shared" si="14"/>
        <v>0</v>
      </c>
      <c r="AV36" s="1417">
        <f t="shared" si="15"/>
        <v>0</v>
      </c>
      <c r="AW36" s="1417">
        <f t="shared" si="16"/>
        <v>0</v>
      </c>
      <c r="AX36" s="1417">
        <f t="shared" si="17"/>
        <v>0</v>
      </c>
      <c r="AY36" s="1165">
        <f t="shared" si="18"/>
        <v>0</v>
      </c>
    </row>
    <row r="37" spans="3:51" ht="12.75">
      <c r="C37" s="1147" t="s">
        <v>607</v>
      </c>
      <c r="D37" s="1167">
        <v>0</v>
      </c>
      <c r="E37" s="1167">
        <v>0</v>
      </c>
      <c r="F37" s="1167">
        <v>0</v>
      </c>
      <c r="G37" s="1167">
        <v>0</v>
      </c>
      <c r="H37" s="1168">
        <v>0</v>
      </c>
      <c r="I37" s="1167">
        <v>0</v>
      </c>
      <c r="J37" s="1168">
        <v>0</v>
      </c>
      <c r="K37" s="1167">
        <v>0</v>
      </c>
      <c r="L37" s="1168">
        <v>0</v>
      </c>
      <c r="M37" s="1168">
        <v>0</v>
      </c>
      <c r="N37" s="1168">
        <v>0</v>
      </c>
      <c r="O37" s="1168">
        <v>0</v>
      </c>
      <c r="P37" s="1168">
        <v>0</v>
      </c>
      <c r="Q37" s="1168">
        <v>0</v>
      </c>
      <c r="R37" s="1168">
        <v>0</v>
      </c>
      <c r="S37" s="1168">
        <v>0</v>
      </c>
      <c r="T37" s="1168">
        <v>0</v>
      </c>
      <c r="U37" s="1168">
        <v>0</v>
      </c>
      <c r="V37" s="1168">
        <v>0</v>
      </c>
      <c r="W37" s="1168">
        <v>0</v>
      </c>
      <c r="X37" s="1168">
        <v>0</v>
      </c>
      <c r="Y37" s="1168">
        <v>0</v>
      </c>
      <c r="Z37" s="1168">
        <v>0</v>
      </c>
      <c r="AA37" s="1168">
        <v>0</v>
      </c>
      <c r="AB37" s="1168">
        <v>0</v>
      </c>
      <c r="AC37" s="1168">
        <v>0</v>
      </c>
      <c r="AD37" s="1168">
        <v>0</v>
      </c>
      <c r="AE37" s="1168">
        <v>0</v>
      </c>
      <c r="AF37" s="1168">
        <v>0</v>
      </c>
      <c r="AG37" s="1165">
        <f t="shared" si="0"/>
        <v>0</v>
      </c>
      <c r="AH37" s="1165">
        <f t="shared" si="1"/>
        <v>0</v>
      </c>
      <c r="AI37" s="1153">
        <f t="shared" si="2"/>
        <v>0</v>
      </c>
      <c r="AJ37" s="1153">
        <f t="shared" si="3"/>
        <v>0</v>
      </c>
      <c r="AK37" s="1153">
        <f t="shared" si="4"/>
        <v>0</v>
      </c>
      <c r="AL37" s="1165">
        <f t="shared" si="5"/>
        <v>0</v>
      </c>
      <c r="AM37" s="1165">
        <f t="shared" si="6"/>
        <v>0</v>
      </c>
      <c r="AN37" s="1165">
        <f t="shared" si="7"/>
        <v>0</v>
      </c>
      <c r="AO37" s="1165">
        <f t="shared" si="8"/>
        <v>0</v>
      </c>
      <c r="AP37" s="1165">
        <f t="shared" si="9"/>
        <v>0</v>
      </c>
      <c r="AQ37" s="1165">
        <f t="shared" si="10"/>
        <v>0</v>
      </c>
      <c r="AR37" s="1165">
        <f t="shared" si="11"/>
        <v>0</v>
      </c>
      <c r="AS37" s="1165">
        <f t="shared" si="12"/>
        <v>0</v>
      </c>
      <c r="AT37" s="1165">
        <f t="shared" si="13"/>
        <v>0</v>
      </c>
      <c r="AU37" s="1165">
        <f t="shared" si="14"/>
        <v>0</v>
      </c>
      <c r="AV37" s="1417">
        <f t="shared" si="15"/>
        <v>0</v>
      </c>
      <c r="AW37" s="1417">
        <f t="shared" si="16"/>
        <v>0</v>
      </c>
      <c r="AX37" s="1417">
        <f t="shared" si="17"/>
        <v>0</v>
      </c>
      <c r="AY37" s="1165">
        <f t="shared" si="18"/>
        <v>0</v>
      </c>
    </row>
    <row r="38" spans="3:51" ht="12.75">
      <c r="C38" s="1147" t="s">
        <v>608</v>
      </c>
      <c r="D38" s="1167">
        <v>0</v>
      </c>
      <c r="E38" s="1167">
        <v>0</v>
      </c>
      <c r="F38" s="1167">
        <v>0</v>
      </c>
      <c r="G38" s="1167">
        <v>0</v>
      </c>
      <c r="H38" s="1168">
        <v>0</v>
      </c>
      <c r="I38" s="1167">
        <v>0</v>
      </c>
      <c r="J38" s="1168">
        <v>0</v>
      </c>
      <c r="K38" s="1167">
        <v>0</v>
      </c>
      <c r="L38" s="1168">
        <v>0</v>
      </c>
      <c r="M38" s="1168">
        <v>0</v>
      </c>
      <c r="N38" s="1168">
        <v>0</v>
      </c>
      <c r="O38" s="1168">
        <v>0</v>
      </c>
      <c r="P38" s="1168">
        <v>0</v>
      </c>
      <c r="Q38" s="1168">
        <v>0</v>
      </c>
      <c r="R38" s="1168">
        <v>0</v>
      </c>
      <c r="S38" s="1168">
        <v>0</v>
      </c>
      <c r="T38" s="1168">
        <v>0</v>
      </c>
      <c r="U38" s="1168">
        <v>0</v>
      </c>
      <c r="V38" s="1168">
        <v>0</v>
      </c>
      <c r="W38" s="1168">
        <v>0</v>
      </c>
      <c r="X38" s="1168">
        <v>0</v>
      </c>
      <c r="Y38" s="1168">
        <v>0</v>
      </c>
      <c r="Z38" s="1168">
        <v>0</v>
      </c>
      <c r="AA38" s="1168">
        <v>0</v>
      </c>
      <c r="AB38" s="1168">
        <v>0</v>
      </c>
      <c r="AC38" s="1168">
        <v>0</v>
      </c>
      <c r="AD38" s="1168">
        <v>0</v>
      </c>
      <c r="AE38" s="1168">
        <v>0</v>
      </c>
      <c r="AF38" s="1168">
        <v>0</v>
      </c>
      <c r="AG38" s="1165">
        <f t="shared" si="0"/>
        <v>0</v>
      </c>
      <c r="AH38" s="1165">
        <f t="shared" si="1"/>
        <v>0</v>
      </c>
      <c r="AI38" s="1153">
        <f t="shared" si="2"/>
        <v>0</v>
      </c>
      <c r="AJ38" s="1153">
        <f t="shared" si="3"/>
        <v>0</v>
      </c>
      <c r="AK38" s="1153">
        <f t="shared" si="4"/>
        <v>0</v>
      </c>
      <c r="AL38" s="1165">
        <f t="shared" si="5"/>
        <v>0</v>
      </c>
      <c r="AM38" s="1165">
        <f t="shared" si="6"/>
        <v>0</v>
      </c>
      <c r="AN38" s="1165">
        <f t="shared" si="7"/>
        <v>0</v>
      </c>
      <c r="AO38" s="1165">
        <f t="shared" si="8"/>
        <v>0</v>
      </c>
      <c r="AP38" s="1165">
        <f t="shared" si="9"/>
        <v>0</v>
      </c>
      <c r="AQ38" s="1165">
        <f t="shared" si="10"/>
        <v>0</v>
      </c>
      <c r="AR38" s="1165">
        <f t="shared" si="11"/>
        <v>0</v>
      </c>
      <c r="AS38" s="1165">
        <f t="shared" si="12"/>
        <v>0</v>
      </c>
      <c r="AT38" s="1165">
        <f t="shared" si="13"/>
        <v>0</v>
      </c>
      <c r="AU38" s="1165">
        <f t="shared" si="14"/>
        <v>0</v>
      </c>
      <c r="AV38" s="1417">
        <f t="shared" si="15"/>
        <v>0</v>
      </c>
      <c r="AW38" s="1417">
        <f t="shared" si="16"/>
        <v>0</v>
      </c>
      <c r="AX38" s="1417">
        <f t="shared" si="17"/>
        <v>0</v>
      </c>
      <c r="AY38" s="1165">
        <f t="shared" si="18"/>
        <v>0</v>
      </c>
    </row>
    <row r="39" spans="3:51" ht="12.75">
      <c r="C39" s="1147" t="s">
        <v>609</v>
      </c>
      <c r="D39" s="1167">
        <v>0</v>
      </c>
      <c r="E39" s="1167">
        <v>0</v>
      </c>
      <c r="F39" s="1167">
        <v>0</v>
      </c>
      <c r="G39" s="1167">
        <v>0</v>
      </c>
      <c r="H39" s="1168">
        <v>0</v>
      </c>
      <c r="I39" s="1167">
        <v>0</v>
      </c>
      <c r="J39" s="1168">
        <v>0</v>
      </c>
      <c r="K39" s="1167">
        <v>0</v>
      </c>
      <c r="L39" s="1168">
        <v>0</v>
      </c>
      <c r="M39" s="1168">
        <v>0</v>
      </c>
      <c r="N39" s="1168">
        <v>0</v>
      </c>
      <c r="O39" s="1168">
        <v>0</v>
      </c>
      <c r="P39" s="1168">
        <v>0</v>
      </c>
      <c r="Q39" s="1168">
        <v>0</v>
      </c>
      <c r="R39" s="1168">
        <v>0</v>
      </c>
      <c r="S39" s="1168">
        <v>0</v>
      </c>
      <c r="T39" s="1168">
        <v>0</v>
      </c>
      <c r="U39" s="1168">
        <v>0</v>
      </c>
      <c r="V39" s="1168">
        <v>0</v>
      </c>
      <c r="W39" s="1168">
        <v>0</v>
      </c>
      <c r="X39" s="1168">
        <v>0</v>
      </c>
      <c r="Y39" s="1168">
        <v>0</v>
      </c>
      <c r="Z39" s="1168">
        <v>0</v>
      </c>
      <c r="AA39" s="1168">
        <v>0</v>
      </c>
      <c r="AB39" s="1168">
        <v>0</v>
      </c>
      <c r="AC39" s="1168">
        <v>0</v>
      </c>
      <c r="AD39" s="1168">
        <v>0</v>
      </c>
      <c r="AE39" s="1168">
        <v>0</v>
      </c>
      <c r="AF39" s="1168">
        <v>0</v>
      </c>
      <c r="AG39" s="1165">
        <f t="shared" si="0"/>
        <v>0</v>
      </c>
      <c r="AH39" s="1165">
        <f t="shared" si="1"/>
        <v>0</v>
      </c>
      <c r="AI39" s="1153">
        <f t="shared" si="2"/>
        <v>0</v>
      </c>
      <c r="AJ39" s="1153">
        <f t="shared" si="3"/>
        <v>0</v>
      </c>
      <c r="AK39" s="1153">
        <f t="shared" si="4"/>
        <v>0</v>
      </c>
      <c r="AL39" s="1165">
        <f t="shared" si="5"/>
        <v>0</v>
      </c>
      <c r="AM39" s="1165">
        <f t="shared" si="6"/>
        <v>0</v>
      </c>
      <c r="AN39" s="1165">
        <f t="shared" si="7"/>
        <v>0</v>
      </c>
      <c r="AO39" s="1165">
        <f t="shared" si="8"/>
        <v>0</v>
      </c>
      <c r="AP39" s="1165">
        <f t="shared" si="9"/>
        <v>0</v>
      </c>
      <c r="AQ39" s="1165">
        <f t="shared" si="10"/>
        <v>0</v>
      </c>
      <c r="AR39" s="1165">
        <f t="shared" si="11"/>
        <v>0</v>
      </c>
      <c r="AS39" s="1165">
        <f t="shared" si="12"/>
        <v>0</v>
      </c>
      <c r="AT39" s="1165">
        <f t="shared" si="13"/>
        <v>0</v>
      </c>
      <c r="AU39" s="1165">
        <f t="shared" si="14"/>
        <v>0</v>
      </c>
      <c r="AV39" s="1417">
        <f t="shared" si="15"/>
        <v>0</v>
      </c>
      <c r="AW39" s="1417">
        <f t="shared" si="16"/>
        <v>0</v>
      </c>
      <c r="AX39" s="1417">
        <f t="shared" si="17"/>
        <v>0</v>
      </c>
      <c r="AY39" s="1165">
        <f t="shared" si="18"/>
        <v>0</v>
      </c>
    </row>
    <row r="40" spans="3:51" ht="12.75">
      <c r="C40" s="1147" t="s">
        <v>610</v>
      </c>
      <c r="D40" s="1167">
        <v>0</v>
      </c>
      <c r="E40" s="1167">
        <v>0</v>
      </c>
      <c r="F40" s="1167">
        <v>0</v>
      </c>
      <c r="G40" s="1167">
        <v>0</v>
      </c>
      <c r="H40" s="1168">
        <v>0</v>
      </c>
      <c r="I40" s="1167">
        <v>0</v>
      </c>
      <c r="J40" s="1168">
        <v>0</v>
      </c>
      <c r="K40" s="1167">
        <v>0</v>
      </c>
      <c r="L40" s="1168">
        <v>0</v>
      </c>
      <c r="M40" s="1168">
        <v>0</v>
      </c>
      <c r="N40" s="1168">
        <v>0</v>
      </c>
      <c r="O40" s="1168">
        <v>0</v>
      </c>
      <c r="P40" s="1168">
        <v>0</v>
      </c>
      <c r="Q40" s="1168">
        <v>0</v>
      </c>
      <c r="R40" s="1168">
        <v>0</v>
      </c>
      <c r="S40" s="1168">
        <v>0</v>
      </c>
      <c r="T40" s="1168">
        <v>0</v>
      </c>
      <c r="U40" s="1168">
        <v>0</v>
      </c>
      <c r="V40" s="1168">
        <v>0</v>
      </c>
      <c r="W40" s="1168">
        <v>0</v>
      </c>
      <c r="X40" s="1168">
        <v>0</v>
      </c>
      <c r="Y40" s="1168">
        <v>0</v>
      </c>
      <c r="Z40" s="1168">
        <v>0</v>
      </c>
      <c r="AA40" s="1168">
        <v>0</v>
      </c>
      <c r="AB40" s="1168">
        <v>0</v>
      </c>
      <c r="AC40" s="1168">
        <v>0</v>
      </c>
      <c r="AD40" s="1168">
        <v>0</v>
      </c>
      <c r="AE40" s="1168">
        <v>0</v>
      </c>
      <c r="AF40" s="1168">
        <v>0</v>
      </c>
      <c r="AG40" s="1165">
        <f t="shared" si="0"/>
        <v>0</v>
      </c>
      <c r="AH40" s="1165">
        <f t="shared" si="1"/>
        <v>0</v>
      </c>
      <c r="AI40" s="1153">
        <f t="shared" si="2"/>
        <v>0</v>
      </c>
      <c r="AJ40" s="1153">
        <f t="shared" si="3"/>
        <v>0</v>
      </c>
      <c r="AK40" s="1153">
        <f t="shared" si="4"/>
        <v>0</v>
      </c>
      <c r="AL40" s="1165">
        <f t="shared" si="5"/>
        <v>0</v>
      </c>
      <c r="AM40" s="1165">
        <f t="shared" si="6"/>
        <v>0</v>
      </c>
      <c r="AN40" s="1165">
        <f t="shared" si="7"/>
        <v>0</v>
      </c>
      <c r="AO40" s="1165">
        <f t="shared" si="8"/>
        <v>0</v>
      </c>
      <c r="AP40" s="1165">
        <f t="shared" si="9"/>
        <v>0</v>
      </c>
      <c r="AQ40" s="1165">
        <f t="shared" si="10"/>
        <v>0</v>
      </c>
      <c r="AR40" s="1165">
        <f t="shared" si="11"/>
        <v>0</v>
      </c>
      <c r="AS40" s="1165">
        <f t="shared" si="12"/>
        <v>0</v>
      </c>
      <c r="AT40" s="1165">
        <f t="shared" si="13"/>
        <v>0</v>
      </c>
      <c r="AU40" s="1165">
        <f t="shared" si="14"/>
        <v>0</v>
      </c>
      <c r="AV40" s="1417">
        <f t="shared" si="15"/>
        <v>0</v>
      </c>
      <c r="AW40" s="1417">
        <f t="shared" si="16"/>
        <v>0</v>
      </c>
      <c r="AX40" s="1417">
        <f t="shared" si="17"/>
        <v>0</v>
      </c>
      <c r="AY40" s="1165">
        <f t="shared" si="18"/>
        <v>0</v>
      </c>
    </row>
    <row r="41" spans="3:52" ht="12.75">
      <c r="C41" s="1169" t="s">
        <v>611</v>
      </c>
      <c r="D41" s="1170">
        <v>0</v>
      </c>
      <c r="E41" s="1170">
        <v>0</v>
      </c>
      <c r="F41" s="1170">
        <v>0</v>
      </c>
      <c r="G41" s="1170">
        <v>0</v>
      </c>
      <c r="H41" s="1171">
        <v>0</v>
      </c>
      <c r="I41" s="1170">
        <v>0</v>
      </c>
      <c r="J41" s="1171">
        <v>0</v>
      </c>
      <c r="K41" s="1170">
        <v>0</v>
      </c>
      <c r="L41" s="1171">
        <v>0</v>
      </c>
      <c r="M41" s="1171">
        <v>0</v>
      </c>
      <c r="N41" s="1171">
        <v>0</v>
      </c>
      <c r="O41" s="1171">
        <v>0</v>
      </c>
      <c r="P41" s="1171">
        <v>0</v>
      </c>
      <c r="Q41" s="1171">
        <v>0</v>
      </c>
      <c r="R41" s="1171">
        <v>0</v>
      </c>
      <c r="S41" s="1171">
        <v>0</v>
      </c>
      <c r="T41" s="1171">
        <v>0</v>
      </c>
      <c r="U41" s="1171">
        <v>0</v>
      </c>
      <c r="V41" s="1171">
        <v>0</v>
      </c>
      <c r="W41" s="1171">
        <v>0</v>
      </c>
      <c r="X41" s="1171">
        <v>0</v>
      </c>
      <c r="Y41" s="1171">
        <v>0</v>
      </c>
      <c r="Z41" s="1171">
        <v>0</v>
      </c>
      <c r="AA41" s="1171">
        <v>0</v>
      </c>
      <c r="AB41" s="1171">
        <v>0</v>
      </c>
      <c r="AC41" s="1171">
        <v>0</v>
      </c>
      <c r="AD41" s="1171">
        <v>0</v>
      </c>
      <c r="AE41" s="1171">
        <v>0</v>
      </c>
      <c r="AF41" s="1171">
        <v>0</v>
      </c>
      <c r="AG41" s="1172">
        <f t="shared" si="0"/>
        <v>0</v>
      </c>
      <c r="AH41" s="1172">
        <f t="shared" si="1"/>
        <v>0</v>
      </c>
      <c r="AI41" s="1173">
        <f t="shared" si="2"/>
        <v>0</v>
      </c>
      <c r="AJ41" s="1173">
        <f t="shared" si="3"/>
        <v>0</v>
      </c>
      <c r="AK41" s="1173">
        <f t="shared" si="4"/>
        <v>0</v>
      </c>
      <c r="AL41" s="1172">
        <f t="shared" si="5"/>
        <v>0</v>
      </c>
      <c r="AM41" s="1172">
        <f t="shared" si="6"/>
        <v>0</v>
      </c>
      <c r="AN41" s="1172">
        <f t="shared" si="7"/>
        <v>0</v>
      </c>
      <c r="AO41" s="1172">
        <f t="shared" si="8"/>
        <v>0</v>
      </c>
      <c r="AP41" s="1172">
        <f t="shared" si="9"/>
        <v>0</v>
      </c>
      <c r="AQ41" s="1172">
        <f t="shared" si="10"/>
        <v>0</v>
      </c>
      <c r="AR41" s="1172">
        <f t="shared" si="11"/>
        <v>0</v>
      </c>
      <c r="AS41" s="1172">
        <f t="shared" si="12"/>
        <v>0</v>
      </c>
      <c r="AT41" s="1172">
        <f t="shared" si="13"/>
        <v>0</v>
      </c>
      <c r="AU41" s="1172">
        <f t="shared" si="14"/>
        <v>0</v>
      </c>
      <c r="AV41" s="1502">
        <f t="shared" si="15"/>
        <v>0</v>
      </c>
      <c r="AW41" s="1502">
        <f t="shared" si="16"/>
        <v>0</v>
      </c>
      <c r="AX41" s="1502">
        <f t="shared" si="17"/>
        <v>0</v>
      </c>
      <c r="AY41" s="1172">
        <f t="shared" si="18"/>
        <v>0</v>
      </c>
      <c r="AZ41" s="1169"/>
    </row>
    <row r="42" spans="3:52" ht="12.75">
      <c r="C42" s="1147" t="s">
        <v>436</v>
      </c>
      <c r="D42" s="1165">
        <f>SUM(D30:D41)</f>
        <v>0</v>
      </c>
      <c r="E42" s="1165"/>
      <c r="F42" s="1165">
        <f aca="true" t="shared" si="19" ref="F42:AF42">SUM(F30:F41)</f>
        <v>0</v>
      </c>
      <c r="G42" s="1165">
        <f t="shared" si="19"/>
        <v>0</v>
      </c>
      <c r="H42" s="1165">
        <f t="shared" si="19"/>
        <v>0</v>
      </c>
      <c r="I42" s="1165">
        <f t="shared" si="19"/>
        <v>0</v>
      </c>
      <c r="J42" s="1165">
        <f t="shared" si="19"/>
        <v>0</v>
      </c>
      <c r="K42" s="1165">
        <f t="shared" si="19"/>
        <v>0</v>
      </c>
      <c r="L42" s="1165">
        <f t="shared" si="19"/>
        <v>0</v>
      </c>
      <c r="M42" s="1165">
        <f t="shared" si="19"/>
        <v>0</v>
      </c>
      <c r="N42" s="1165">
        <f t="shared" si="19"/>
        <v>0</v>
      </c>
      <c r="O42" s="1165">
        <f t="shared" si="19"/>
        <v>0</v>
      </c>
      <c r="P42" s="1165">
        <f t="shared" si="19"/>
        <v>0</v>
      </c>
      <c r="Q42" s="1165">
        <f t="shared" si="19"/>
        <v>0</v>
      </c>
      <c r="R42" s="1165">
        <f t="shared" si="19"/>
        <v>0</v>
      </c>
      <c r="S42" s="1165">
        <f t="shared" si="19"/>
        <v>0</v>
      </c>
      <c r="T42" s="1165">
        <f t="shared" si="19"/>
        <v>0</v>
      </c>
      <c r="U42" s="1165">
        <f t="shared" si="19"/>
        <v>0</v>
      </c>
      <c r="V42" s="1165">
        <f t="shared" si="19"/>
        <v>0</v>
      </c>
      <c r="W42" s="1165">
        <f t="shared" si="19"/>
        <v>0</v>
      </c>
      <c r="X42" s="1165">
        <f t="shared" si="19"/>
        <v>0</v>
      </c>
      <c r="Y42" s="1165">
        <f t="shared" si="19"/>
        <v>0</v>
      </c>
      <c r="Z42" s="1165">
        <f t="shared" si="19"/>
        <v>0</v>
      </c>
      <c r="AA42" s="1165">
        <f t="shared" si="19"/>
        <v>0</v>
      </c>
      <c r="AB42" s="1417">
        <f t="shared" si="19"/>
        <v>0</v>
      </c>
      <c r="AC42" s="1417">
        <f>SUM(AC30:AC41)</f>
        <v>0</v>
      </c>
      <c r="AD42" s="1417">
        <f>SUM(AD30:AD41)</f>
        <v>0</v>
      </c>
      <c r="AE42" s="1165">
        <f t="shared" si="19"/>
        <v>0</v>
      </c>
      <c r="AF42" s="1165">
        <f t="shared" si="19"/>
        <v>0</v>
      </c>
      <c r="AG42" s="1165">
        <f aca="true" t="shared" si="20" ref="AG42:AL42">AVERAGE(AG29:AG41)</f>
        <v>0</v>
      </c>
      <c r="AH42" s="1165">
        <f t="shared" si="20"/>
        <v>0</v>
      </c>
      <c r="AI42" s="1165">
        <f t="shared" si="20"/>
        <v>0</v>
      </c>
      <c r="AJ42" s="1165">
        <f t="shared" si="20"/>
        <v>0</v>
      </c>
      <c r="AK42" s="1165">
        <f t="shared" si="20"/>
        <v>0</v>
      </c>
      <c r="AL42" s="1165">
        <f t="shared" si="20"/>
        <v>0</v>
      </c>
      <c r="AM42" s="1165">
        <f>AVERAGE(AM29:AM41)</f>
        <v>0</v>
      </c>
      <c r="AN42" s="1165">
        <f>AVERAGE(AN29:AN41)</f>
        <v>0</v>
      </c>
      <c r="AO42" s="1165">
        <f>AVERAGE(AO29:AO41)</f>
        <v>0</v>
      </c>
      <c r="AP42" s="1165">
        <f>AVERAGE(AP29:AP41)</f>
        <v>0</v>
      </c>
      <c r="AQ42" s="1165">
        <f aca="true" t="shared" si="21" ref="AQ42:AY42">AVERAGE(AQ29:AQ41)</f>
        <v>0</v>
      </c>
      <c r="AR42" s="1165">
        <f t="shared" si="21"/>
        <v>0</v>
      </c>
      <c r="AS42" s="1165">
        <f t="shared" si="21"/>
        <v>0</v>
      </c>
      <c r="AT42" s="1165">
        <f t="shared" si="21"/>
        <v>0</v>
      </c>
      <c r="AU42" s="1165">
        <f t="shared" si="21"/>
        <v>0</v>
      </c>
      <c r="AV42" s="1417">
        <f t="shared" si="21"/>
        <v>0</v>
      </c>
      <c r="AW42" s="1417">
        <f>AVERAGE(AW29:AW41)</f>
        <v>0</v>
      </c>
      <c r="AX42" s="1417">
        <f>AVERAGE(AX29:AX41)</f>
        <v>0</v>
      </c>
      <c r="AY42" s="1165">
        <f t="shared" si="21"/>
        <v>0</v>
      </c>
      <c r="AZ42" s="1165">
        <f>SUM(AG42:AY42)</f>
        <v>0</v>
      </c>
    </row>
    <row r="43" spans="3:15" ht="12.75">
      <c r="C43" s="1147"/>
      <c r="D43" s="1165"/>
      <c r="E43" s="1165"/>
      <c r="F43" s="1165"/>
      <c r="G43" s="1165"/>
      <c r="H43" s="1153"/>
      <c r="I43" s="1153"/>
      <c r="J43" s="1153"/>
      <c r="K43" s="1153"/>
      <c r="L43" s="1165"/>
      <c r="M43" s="1165"/>
      <c r="N43" s="1165"/>
      <c r="O43" s="1165"/>
    </row>
    <row r="44" spans="1:15" ht="12.75">
      <c r="A44" s="1471"/>
      <c r="B44" s="1471"/>
      <c r="C44" s="1469"/>
      <c r="D44" s="527"/>
      <c r="E44" s="246"/>
      <c r="F44" s="246"/>
      <c r="G44" s="527"/>
      <c r="I44" s="1497" t="s">
        <v>1143</v>
      </c>
      <c r="J44" s="1417">
        <f>AG42+AI42+AJ42+AL42+AM42+AO42+AQ42+AS42+AU42+AY42+AW42</f>
        <v>0</v>
      </c>
      <c r="K44" s="1165" t="str">
        <f>"goes to line "&amp;'[2]Appendix A'!$A$29&amp;" of the formula"</f>
        <v>goes to line 14 of the formula</v>
      </c>
      <c r="N44" s="1165"/>
      <c r="O44" s="1165"/>
    </row>
    <row r="45" spans="1:15" ht="12.75">
      <c r="A45" s="1471"/>
      <c r="B45" s="1471"/>
      <c r="C45" s="1469"/>
      <c r="D45" s="527"/>
      <c r="E45" s="527"/>
      <c r="F45" s="246"/>
      <c r="G45" s="527"/>
      <c r="I45" s="1497" t="s">
        <v>1144</v>
      </c>
      <c r="J45" s="1417">
        <f>AH42+AK42+AN42+AP42+AR42+AT42+AV42</f>
        <v>0</v>
      </c>
      <c r="K45" s="1165" t="str">
        <f>"goes to line "&amp;'[2]Appendix A'!$A$65&amp;" of the formula"</f>
        <v>goes to line 36 of the formula</v>
      </c>
      <c r="N45" s="1165"/>
      <c r="O45" s="1165"/>
    </row>
    <row r="46" spans="3:11" ht="12.75">
      <c r="C46" s="1147"/>
      <c r="H46" s="1165"/>
      <c r="I46" s="1165"/>
      <c r="J46" s="1165"/>
      <c r="K46" s="1165"/>
    </row>
    <row r="47" spans="3:47" ht="12.75">
      <c r="C47" s="1148"/>
      <c r="D47" s="1470" t="s">
        <v>1141</v>
      </c>
      <c r="E47" s="1470" t="s">
        <v>899</v>
      </c>
      <c r="F47" s="1470" t="s">
        <v>1142</v>
      </c>
      <c r="G47" s="1470" t="s">
        <v>1026</v>
      </c>
      <c r="H47" s="1470" t="s">
        <v>1145</v>
      </c>
      <c r="I47" s="1470" t="s">
        <v>1027</v>
      </c>
      <c r="J47" s="1470" t="s">
        <v>1146</v>
      </c>
      <c r="K47" s="1470" t="s">
        <v>1028</v>
      </c>
      <c r="L47" s="1470" t="s">
        <v>1147</v>
      </c>
      <c r="M47" s="1470" t="s">
        <v>1029</v>
      </c>
      <c r="N47" s="1470" t="s">
        <v>1148</v>
      </c>
      <c r="O47" s="1470" t="s">
        <v>1030</v>
      </c>
      <c r="P47" s="1470" t="s">
        <v>1149</v>
      </c>
      <c r="Q47" s="1470" t="s">
        <v>1031</v>
      </c>
      <c r="R47" s="1470" t="s">
        <v>1150</v>
      </c>
      <c r="S47" s="1470" t="s">
        <v>1032</v>
      </c>
      <c r="T47" s="1470" t="s">
        <v>1151</v>
      </c>
      <c r="U47" s="1470" t="s">
        <v>1033</v>
      </c>
      <c r="V47" s="1470" t="s">
        <v>1152</v>
      </c>
      <c r="W47" s="1470" t="s">
        <v>1034</v>
      </c>
      <c r="X47" s="1470" t="s">
        <v>1153</v>
      </c>
      <c r="Y47" s="1470" t="s">
        <v>1035</v>
      </c>
      <c r="Z47" s="1470" t="s">
        <v>1154</v>
      </c>
      <c r="AA47" s="1470" t="s">
        <v>1036</v>
      </c>
      <c r="AB47" s="1470" t="s">
        <v>1155</v>
      </c>
      <c r="AC47" s="1470" t="s">
        <v>1037</v>
      </c>
      <c r="AD47" s="1470" t="s">
        <v>1156</v>
      </c>
      <c r="AE47" s="1470" t="s">
        <v>1038</v>
      </c>
      <c r="AF47" s="1470" t="s">
        <v>1157</v>
      </c>
      <c r="AG47" s="1470" t="s">
        <v>1039</v>
      </c>
      <c r="AH47" s="1470" t="s">
        <v>1158</v>
      </c>
      <c r="AI47" s="1470" t="s">
        <v>1040</v>
      </c>
      <c r="AJ47" s="1470" t="s">
        <v>1159</v>
      </c>
      <c r="AK47" s="1470" t="s">
        <v>1160</v>
      </c>
      <c r="AL47" s="1470" t="s">
        <v>1162</v>
      </c>
      <c r="AM47" s="1470" t="s">
        <v>1161</v>
      </c>
      <c r="AN47" s="1470" t="s">
        <v>1165</v>
      </c>
      <c r="AO47" s="1470" t="s">
        <v>1163</v>
      </c>
      <c r="AP47" s="1470" t="s">
        <v>1166</v>
      </c>
      <c r="AQ47" s="1470" t="s">
        <v>1164</v>
      </c>
      <c r="AR47" s="1470" t="s">
        <v>1169</v>
      </c>
      <c r="AS47" s="1470" t="s">
        <v>1167</v>
      </c>
      <c r="AT47" s="1470" t="s">
        <v>1170</v>
      </c>
      <c r="AU47" s="1470" t="s">
        <v>1168</v>
      </c>
    </row>
    <row r="48" spans="3:47" ht="26.25">
      <c r="C48" s="1148"/>
      <c r="D48" s="1146" t="s">
        <v>137</v>
      </c>
      <c r="E48" s="1147" t="s">
        <v>116</v>
      </c>
      <c r="F48" s="1146" t="s">
        <v>562</v>
      </c>
      <c r="G48" s="1146" t="s">
        <v>640</v>
      </c>
      <c r="H48" s="1146" t="s">
        <v>139</v>
      </c>
      <c r="I48" s="1147" t="s">
        <v>116</v>
      </c>
      <c r="J48" s="1146" t="s">
        <v>562</v>
      </c>
      <c r="K48" s="1146" t="s">
        <v>361</v>
      </c>
      <c r="L48" s="1146" t="s">
        <v>754</v>
      </c>
      <c r="M48" s="1147" t="s">
        <v>116</v>
      </c>
      <c r="N48" s="1146" t="s">
        <v>562</v>
      </c>
      <c r="O48" s="1146" t="s">
        <v>361</v>
      </c>
      <c r="P48" s="1146" t="s">
        <v>109</v>
      </c>
      <c r="Q48" s="1147" t="s">
        <v>116</v>
      </c>
      <c r="R48" s="1146" t="s">
        <v>562</v>
      </c>
      <c r="S48" s="1146" t="s">
        <v>361</v>
      </c>
      <c r="T48" s="1146" t="s">
        <v>802</v>
      </c>
      <c r="U48" s="1147" t="s">
        <v>116</v>
      </c>
      <c r="V48" s="1146" t="s">
        <v>562</v>
      </c>
      <c r="W48" s="1146" t="s">
        <v>361</v>
      </c>
      <c r="X48" s="1146" t="s">
        <v>811</v>
      </c>
      <c r="Y48" s="1147" t="s">
        <v>116</v>
      </c>
      <c r="Z48" s="1146" t="s">
        <v>562</v>
      </c>
      <c r="AA48" s="1146" t="s">
        <v>361</v>
      </c>
      <c r="AB48" s="1146" t="s">
        <v>1011</v>
      </c>
      <c r="AC48" s="1147" t="s">
        <v>116</v>
      </c>
      <c r="AD48" s="1146" t="s">
        <v>562</v>
      </c>
      <c r="AE48" s="1146" t="s">
        <v>361</v>
      </c>
      <c r="AF48" s="1146" t="s">
        <v>1012</v>
      </c>
      <c r="AG48" s="1147" t="s">
        <v>116</v>
      </c>
      <c r="AH48" s="1146" t="s">
        <v>562</v>
      </c>
      <c r="AI48" s="1146" t="s">
        <v>361</v>
      </c>
      <c r="AJ48" s="1146" t="s">
        <v>1013</v>
      </c>
      <c r="AK48" s="1147" t="s">
        <v>116</v>
      </c>
      <c r="AL48" s="1146" t="s">
        <v>562</v>
      </c>
      <c r="AM48" s="1146" t="s">
        <v>361</v>
      </c>
      <c r="AN48" s="1501" t="s">
        <v>1136</v>
      </c>
      <c r="AO48" s="1419" t="s">
        <v>116</v>
      </c>
      <c r="AP48" s="1408" t="s">
        <v>562</v>
      </c>
      <c r="AQ48" s="1408" t="s">
        <v>361</v>
      </c>
      <c r="AR48" s="1146" t="s">
        <v>1014</v>
      </c>
      <c r="AS48" s="1147" t="s">
        <v>116</v>
      </c>
      <c r="AT48" s="1146" t="s">
        <v>562</v>
      </c>
      <c r="AU48" s="1146" t="s">
        <v>361</v>
      </c>
    </row>
    <row r="49" spans="3:47" ht="12.75">
      <c r="C49" s="1147"/>
      <c r="D49" s="1146" t="s">
        <v>114</v>
      </c>
      <c r="E49" s="1146" t="s">
        <v>117</v>
      </c>
      <c r="F49" s="1146" t="s">
        <v>118</v>
      </c>
      <c r="G49" s="1146"/>
      <c r="H49" s="1146" t="s">
        <v>115</v>
      </c>
      <c r="I49" s="1146" t="s">
        <v>117</v>
      </c>
      <c r="J49" s="1146" t="s">
        <v>118</v>
      </c>
      <c r="K49" s="1146" t="s">
        <v>362</v>
      </c>
      <c r="L49" s="1146" t="s">
        <v>115</v>
      </c>
      <c r="M49" s="1146" t="s">
        <v>117</v>
      </c>
      <c r="N49" s="1146" t="s">
        <v>118</v>
      </c>
      <c r="O49" s="1146" t="s">
        <v>362</v>
      </c>
      <c r="P49" s="1146" t="s">
        <v>115</v>
      </c>
      <c r="Q49" s="1146" t="s">
        <v>117</v>
      </c>
      <c r="R49" s="1146" t="s">
        <v>118</v>
      </c>
      <c r="S49" s="1146" t="s">
        <v>362</v>
      </c>
      <c r="T49" s="1146" t="s">
        <v>115</v>
      </c>
      <c r="U49" s="1146" t="s">
        <v>117</v>
      </c>
      <c r="V49" s="1146" t="s">
        <v>118</v>
      </c>
      <c r="W49" s="1146" t="s">
        <v>362</v>
      </c>
      <c r="X49" s="1146" t="s">
        <v>115</v>
      </c>
      <c r="Y49" s="1146" t="s">
        <v>117</v>
      </c>
      <c r="Z49" s="1146" t="s">
        <v>118</v>
      </c>
      <c r="AA49" s="1146" t="s">
        <v>362</v>
      </c>
      <c r="AB49" s="1146" t="s">
        <v>115</v>
      </c>
      <c r="AC49" s="1146" t="s">
        <v>117</v>
      </c>
      <c r="AD49" s="1146" t="s">
        <v>118</v>
      </c>
      <c r="AE49" s="1146" t="s">
        <v>362</v>
      </c>
      <c r="AF49" s="1146" t="s">
        <v>115</v>
      </c>
      <c r="AG49" s="1146" t="s">
        <v>117</v>
      </c>
      <c r="AH49" s="1146" t="s">
        <v>118</v>
      </c>
      <c r="AI49" s="1146" t="s">
        <v>362</v>
      </c>
      <c r="AJ49" s="1146" t="s">
        <v>115</v>
      </c>
      <c r="AK49" s="1146" t="s">
        <v>117</v>
      </c>
      <c r="AL49" s="1146" t="s">
        <v>118</v>
      </c>
      <c r="AM49" s="1146" t="s">
        <v>362</v>
      </c>
      <c r="AN49" s="1408" t="s">
        <v>115</v>
      </c>
      <c r="AO49" s="1408" t="s">
        <v>117</v>
      </c>
      <c r="AP49" s="1408" t="s">
        <v>118</v>
      </c>
      <c r="AQ49" s="1408" t="s">
        <v>362</v>
      </c>
      <c r="AR49" s="1146" t="s">
        <v>115</v>
      </c>
      <c r="AS49" s="1146" t="s">
        <v>117</v>
      </c>
      <c r="AT49" s="1146" t="s">
        <v>118</v>
      </c>
      <c r="AU49" s="1146" t="s">
        <v>362</v>
      </c>
    </row>
    <row r="50" spans="3:47" ht="12.75">
      <c r="C50" s="1147" t="s">
        <v>138</v>
      </c>
      <c r="D50" s="1174">
        <f aca="true" t="shared" si="22" ref="D50:D62">AG29</f>
        <v>0</v>
      </c>
      <c r="E50" s="1175">
        <v>0.0022</v>
      </c>
      <c r="F50" s="1165">
        <f>D50*E50</f>
        <v>0</v>
      </c>
      <c r="G50" s="1165">
        <f>F50</f>
        <v>0</v>
      </c>
      <c r="H50" s="1176">
        <f aca="true" t="shared" si="23" ref="H50:H62">AI29</f>
        <v>0</v>
      </c>
      <c r="I50" s="1175">
        <f>E50</f>
        <v>0.0022</v>
      </c>
      <c r="J50" s="1165">
        <f>H50*I50</f>
        <v>0</v>
      </c>
      <c r="K50" s="1165">
        <f>J50</f>
        <v>0</v>
      </c>
      <c r="L50" s="1176">
        <f aca="true" t="shared" si="24" ref="L50:L62">AJ29</f>
        <v>0</v>
      </c>
      <c r="M50" s="1175">
        <f>E50</f>
        <v>0.0022</v>
      </c>
      <c r="N50" s="1165">
        <f aca="true" t="shared" si="25" ref="N50:N62">L50*M50</f>
        <v>0</v>
      </c>
      <c r="O50" s="1165">
        <f>N50</f>
        <v>0</v>
      </c>
      <c r="P50" s="1176">
        <f aca="true" t="shared" si="26" ref="P50:P62">AL29</f>
        <v>0</v>
      </c>
      <c r="Q50" s="1175">
        <f>E50</f>
        <v>0.0022</v>
      </c>
      <c r="R50" s="1165">
        <f aca="true" t="shared" si="27" ref="R50:R62">P50*Q50</f>
        <v>0</v>
      </c>
      <c r="S50" s="1165">
        <f>R50</f>
        <v>0</v>
      </c>
      <c r="T50" s="1176">
        <f aca="true" t="shared" si="28" ref="T50:T62">+AM29</f>
        <v>0</v>
      </c>
      <c r="U50" s="1175">
        <f>E50</f>
        <v>0.0022</v>
      </c>
      <c r="V50" s="1165">
        <f>T50*U50</f>
        <v>0</v>
      </c>
      <c r="W50" s="1165">
        <f>V50</f>
        <v>0</v>
      </c>
      <c r="X50" s="921">
        <f aca="true" t="shared" si="29" ref="X50:X62">+AO29</f>
        <v>0</v>
      </c>
      <c r="Y50" s="1177">
        <f>E50</f>
        <v>0.0022</v>
      </c>
      <c r="Z50" s="1165">
        <f>X50*Y50</f>
        <v>0</v>
      </c>
      <c r="AA50" s="1165">
        <f>Z50</f>
        <v>0</v>
      </c>
      <c r="AB50" s="921">
        <f aca="true" t="shared" si="30" ref="AB50:AB62">+AQ29</f>
        <v>0</v>
      </c>
      <c r="AC50" s="1177">
        <f>I50</f>
        <v>0.0022</v>
      </c>
      <c r="AD50" s="1165">
        <f aca="true" t="shared" si="31" ref="AD50:AD62">AB50*AC50</f>
        <v>0</v>
      </c>
      <c r="AE50" s="1165">
        <f>AD50</f>
        <v>0</v>
      </c>
      <c r="AF50" s="921">
        <f aca="true" t="shared" si="32" ref="AF50:AF62">+AS29</f>
        <v>0</v>
      </c>
      <c r="AG50" s="1177">
        <f>M50</f>
        <v>0.0022</v>
      </c>
      <c r="AH50" s="1165">
        <f aca="true" t="shared" si="33" ref="AH50:AH62">AF50*AG50</f>
        <v>0</v>
      </c>
      <c r="AI50" s="1165">
        <f>AH50</f>
        <v>0</v>
      </c>
      <c r="AJ50" s="921">
        <f aca="true" t="shared" si="34" ref="AJ50:AJ62">+AU29</f>
        <v>0</v>
      </c>
      <c r="AK50" s="1177">
        <f>Q50</f>
        <v>0.0022</v>
      </c>
      <c r="AL50" s="1165">
        <f aca="true" t="shared" si="35" ref="AL50:AL62">AJ50*AK50</f>
        <v>0</v>
      </c>
      <c r="AM50" s="1165">
        <f>AL50</f>
        <v>0</v>
      </c>
      <c r="AN50" s="921">
        <f aca="true" t="shared" si="36" ref="AN50:AN62">+AW29</f>
        <v>0</v>
      </c>
      <c r="AO50" s="1177">
        <f>U50</f>
        <v>0.0022</v>
      </c>
      <c r="AP50" s="1417">
        <f>AN50*AO50</f>
        <v>0</v>
      </c>
      <c r="AQ50" s="1417">
        <f>AP50</f>
        <v>0</v>
      </c>
      <c r="AR50" s="921">
        <f aca="true" t="shared" si="37" ref="AR50:AR62">+AY29</f>
        <v>0</v>
      </c>
      <c r="AS50" s="1177">
        <f>U50</f>
        <v>0.0022</v>
      </c>
      <c r="AT50" s="1165">
        <f>AR50*AS50</f>
        <v>0</v>
      </c>
      <c r="AU50" s="1165">
        <f>AT50</f>
        <v>0</v>
      </c>
    </row>
    <row r="51" spans="1:47" ht="12.75">
      <c r="A51" s="1145"/>
      <c r="C51" s="1147" t="s">
        <v>601</v>
      </c>
      <c r="D51" s="1174">
        <f t="shared" si="22"/>
        <v>0</v>
      </c>
      <c r="E51" s="1177">
        <f>+E50</f>
        <v>0.0022</v>
      </c>
      <c r="F51" s="1165">
        <f>D51*E51</f>
        <v>0</v>
      </c>
      <c r="G51" s="1165">
        <f>G50+F51</f>
        <v>0</v>
      </c>
      <c r="H51" s="1176">
        <f t="shared" si="23"/>
        <v>0</v>
      </c>
      <c r="I51" s="1177">
        <f>+I50</f>
        <v>0.0022</v>
      </c>
      <c r="J51" s="1165">
        <f aca="true" t="shared" si="38" ref="J51:J62">H51*I51</f>
        <v>0</v>
      </c>
      <c r="K51" s="1165">
        <f>J51+K50</f>
        <v>0</v>
      </c>
      <c r="L51" s="1176">
        <f t="shared" si="24"/>
        <v>0</v>
      </c>
      <c r="M51" s="1177">
        <f>+M50</f>
        <v>0.0022</v>
      </c>
      <c r="N51" s="1165">
        <f>L51*M51</f>
        <v>0</v>
      </c>
      <c r="O51" s="1165">
        <f>N51+O50</f>
        <v>0</v>
      </c>
      <c r="P51" s="1176">
        <f t="shared" si="26"/>
        <v>0</v>
      </c>
      <c r="Q51" s="1177">
        <f>+Q50</f>
        <v>0.0022</v>
      </c>
      <c r="R51" s="1165">
        <f t="shared" si="27"/>
        <v>0</v>
      </c>
      <c r="S51" s="1165">
        <f>R51+S50</f>
        <v>0</v>
      </c>
      <c r="T51" s="1176">
        <f t="shared" si="28"/>
        <v>0</v>
      </c>
      <c r="U51" s="1177">
        <f>+U50</f>
        <v>0.0022</v>
      </c>
      <c r="V51" s="1165">
        <f>T51*U51</f>
        <v>0</v>
      </c>
      <c r="W51" s="1165">
        <f>V51+W50</f>
        <v>0</v>
      </c>
      <c r="X51" s="921">
        <f t="shared" si="29"/>
        <v>0</v>
      </c>
      <c r="Y51" s="1177">
        <f>+Y50</f>
        <v>0.0022</v>
      </c>
      <c r="Z51" s="1165">
        <f>X51*Y51</f>
        <v>0</v>
      </c>
      <c r="AA51" s="1165">
        <f>Z51+AA50</f>
        <v>0</v>
      </c>
      <c r="AB51" s="921">
        <f t="shared" si="30"/>
        <v>0</v>
      </c>
      <c r="AC51" s="1177">
        <f>+AC50</f>
        <v>0.0022</v>
      </c>
      <c r="AD51" s="1165">
        <f t="shared" si="31"/>
        <v>0</v>
      </c>
      <c r="AE51" s="1165">
        <f>AD51+AE50</f>
        <v>0</v>
      </c>
      <c r="AF51" s="921">
        <f t="shared" si="32"/>
        <v>0</v>
      </c>
      <c r="AG51" s="1177">
        <f>+AG50</f>
        <v>0.0022</v>
      </c>
      <c r="AH51" s="1165">
        <f t="shared" si="33"/>
        <v>0</v>
      </c>
      <c r="AI51" s="1165">
        <f>AH51+AI50</f>
        <v>0</v>
      </c>
      <c r="AJ51" s="921">
        <f t="shared" si="34"/>
        <v>0</v>
      </c>
      <c r="AK51" s="1177">
        <f>+AK50</f>
        <v>0.0022</v>
      </c>
      <c r="AL51" s="1165">
        <f t="shared" si="35"/>
        <v>0</v>
      </c>
      <c r="AM51" s="1165">
        <f>AL51+AM50</f>
        <v>0</v>
      </c>
      <c r="AN51" s="921">
        <f t="shared" si="36"/>
        <v>0</v>
      </c>
      <c r="AO51" s="1177">
        <f>+AO50</f>
        <v>0.0022</v>
      </c>
      <c r="AP51" s="1417">
        <f aca="true" t="shared" si="39" ref="AP51:AP62">AN51*AO51</f>
        <v>0</v>
      </c>
      <c r="AQ51" s="1417">
        <f>AP51+AQ50</f>
        <v>0</v>
      </c>
      <c r="AR51" s="921">
        <f t="shared" si="37"/>
        <v>0</v>
      </c>
      <c r="AS51" s="1177">
        <f>+AS50</f>
        <v>0.0022</v>
      </c>
      <c r="AT51" s="1165">
        <f aca="true" t="shared" si="40" ref="AT51:AT62">AR51*AS51</f>
        <v>0</v>
      </c>
      <c r="AU51" s="1165">
        <f>AT51+AU50</f>
        <v>0</v>
      </c>
    </row>
    <row r="52" spans="1:47" ht="12.75">
      <c r="A52" s="1145"/>
      <c r="C52" s="1147" t="s">
        <v>602</v>
      </c>
      <c r="D52" s="1174">
        <f t="shared" si="22"/>
        <v>0</v>
      </c>
      <c r="E52" s="1177">
        <f aca="true" t="shared" si="41" ref="E52:E62">+E51</f>
        <v>0.0022</v>
      </c>
      <c r="F52" s="1165">
        <f>D52*E52</f>
        <v>0</v>
      </c>
      <c r="G52" s="1165">
        <f>G51+F52</f>
        <v>0</v>
      </c>
      <c r="H52" s="1176">
        <f t="shared" si="23"/>
        <v>0</v>
      </c>
      <c r="I52" s="1177">
        <f aca="true" t="shared" si="42" ref="I52:I62">+I51</f>
        <v>0.0022</v>
      </c>
      <c r="J52" s="1165">
        <f>H52*I52</f>
        <v>0</v>
      </c>
      <c r="K52" s="1165">
        <f aca="true" t="shared" si="43" ref="K52:K62">J52+K51</f>
        <v>0</v>
      </c>
      <c r="L52" s="1176">
        <f t="shared" si="24"/>
        <v>0</v>
      </c>
      <c r="M52" s="1177">
        <f aca="true" t="shared" si="44" ref="M52:M62">+M51</f>
        <v>0.0022</v>
      </c>
      <c r="N52" s="1165">
        <f t="shared" si="25"/>
        <v>0</v>
      </c>
      <c r="O52" s="1165">
        <f aca="true" t="shared" si="45" ref="O52:O62">N52+O51</f>
        <v>0</v>
      </c>
      <c r="P52" s="1176">
        <f t="shared" si="26"/>
        <v>0</v>
      </c>
      <c r="Q52" s="1177">
        <f aca="true" t="shared" si="46" ref="Q52:Q62">+Q51</f>
        <v>0.0022</v>
      </c>
      <c r="R52" s="1165">
        <f>P52*Q52</f>
        <v>0</v>
      </c>
      <c r="S52" s="1165">
        <f>R52+S51</f>
        <v>0</v>
      </c>
      <c r="T52" s="1176">
        <f t="shared" si="28"/>
        <v>0</v>
      </c>
      <c r="U52" s="1177">
        <f aca="true" t="shared" si="47" ref="U52:U62">+U51</f>
        <v>0.0022</v>
      </c>
      <c r="V52" s="1165">
        <f aca="true" t="shared" si="48" ref="V52:V62">T52*U52</f>
        <v>0</v>
      </c>
      <c r="W52" s="1165">
        <f aca="true" t="shared" si="49" ref="W52:W62">V52+W51</f>
        <v>0</v>
      </c>
      <c r="X52" s="921">
        <f t="shared" si="29"/>
        <v>0</v>
      </c>
      <c r="Y52" s="1177">
        <f aca="true" t="shared" si="50" ref="Y52:Y62">+Y51</f>
        <v>0.0022</v>
      </c>
      <c r="Z52" s="1165">
        <f>X52*Y52</f>
        <v>0</v>
      </c>
      <c r="AA52" s="1165">
        <f aca="true" t="shared" si="51" ref="AA52:AA62">Z52+AA51</f>
        <v>0</v>
      </c>
      <c r="AB52" s="921">
        <f t="shared" si="30"/>
        <v>0</v>
      </c>
      <c r="AC52" s="1177">
        <f aca="true" t="shared" si="52" ref="AC52:AC62">+AC51</f>
        <v>0.0022</v>
      </c>
      <c r="AD52" s="1165">
        <f t="shared" si="31"/>
        <v>0</v>
      </c>
      <c r="AE52" s="1165">
        <f aca="true" t="shared" si="53" ref="AE52:AE62">AD52+AE51</f>
        <v>0</v>
      </c>
      <c r="AF52" s="921">
        <f t="shared" si="32"/>
        <v>0</v>
      </c>
      <c r="AG52" s="1177">
        <f aca="true" t="shared" si="54" ref="AG52:AG62">+AG51</f>
        <v>0.0022</v>
      </c>
      <c r="AH52" s="1165">
        <f t="shared" si="33"/>
        <v>0</v>
      </c>
      <c r="AI52" s="1165">
        <f aca="true" t="shared" si="55" ref="AI52:AI62">AH52+AI51</f>
        <v>0</v>
      </c>
      <c r="AJ52" s="921">
        <f t="shared" si="34"/>
        <v>0</v>
      </c>
      <c r="AK52" s="1177">
        <f aca="true" t="shared" si="56" ref="AK52:AK62">+AK51</f>
        <v>0.0022</v>
      </c>
      <c r="AL52" s="1165">
        <f t="shared" si="35"/>
        <v>0</v>
      </c>
      <c r="AM52" s="1165">
        <f aca="true" t="shared" si="57" ref="AM52:AM62">AL52+AM51</f>
        <v>0</v>
      </c>
      <c r="AN52" s="921">
        <f t="shared" si="36"/>
        <v>0</v>
      </c>
      <c r="AO52" s="1177">
        <f aca="true" t="shared" si="58" ref="AO52:AO62">+AO51</f>
        <v>0.0022</v>
      </c>
      <c r="AP52" s="1417">
        <f t="shared" si="39"/>
        <v>0</v>
      </c>
      <c r="AQ52" s="1417">
        <f aca="true" t="shared" si="59" ref="AQ52:AQ62">AP52+AQ51</f>
        <v>0</v>
      </c>
      <c r="AR52" s="921">
        <f t="shared" si="37"/>
        <v>0</v>
      </c>
      <c r="AS52" s="1177">
        <f aca="true" t="shared" si="60" ref="AS52:AS62">+AS51</f>
        <v>0.0022</v>
      </c>
      <c r="AT52" s="1165">
        <f t="shared" si="40"/>
        <v>0</v>
      </c>
      <c r="AU52" s="1165">
        <f aca="true" t="shared" si="61" ref="AU52:AU62">AT52+AU51</f>
        <v>0</v>
      </c>
    </row>
    <row r="53" spans="1:47" ht="12.75">
      <c r="A53" s="1145"/>
      <c r="C53" s="1147" t="s">
        <v>603</v>
      </c>
      <c r="D53" s="1174">
        <f t="shared" si="22"/>
        <v>0</v>
      </c>
      <c r="E53" s="1177">
        <f t="shared" si="41"/>
        <v>0.0022</v>
      </c>
      <c r="F53" s="1165">
        <f>D53*E53</f>
        <v>0</v>
      </c>
      <c r="G53" s="1165">
        <f aca="true" t="shared" si="62" ref="G53:G62">G52+F53</f>
        <v>0</v>
      </c>
      <c r="H53" s="1176">
        <f t="shared" si="23"/>
        <v>0</v>
      </c>
      <c r="I53" s="1177">
        <f t="shared" si="42"/>
        <v>0.0022</v>
      </c>
      <c r="J53" s="1165">
        <f t="shared" si="38"/>
        <v>0</v>
      </c>
      <c r="K53" s="1165">
        <f t="shared" si="43"/>
        <v>0</v>
      </c>
      <c r="L53" s="1176">
        <f t="shared" si="24"/>
        <v>0</v>
      </c>
      <c r="M53" s="1177">
        <f t="shared" si="44"/>
        <v>0.0022</v>
      </c>
      <c r="N53" s="1165">
        <f>L53*M53</f>
        <v>0</v>
      </c>
      <c r="O53" s="1165">
        <f t="shared" si="45"/>
        <v>0</v>
      </c>
      <c r="P53" s="1176">
        <f t="shared" si="26"/>
        <v>0</v>
      </c>
      <c r="Q53" s="1177">
        <f t="shared" si="46"/>
        <v>0.0022</v>
      </c>
      <c r="R53" s="1165">
        <f t="shared" si="27"/>
        <v>0</v>
      </c>
      <c r="S53" s="1165">
        <f aca="true" t="shared" si="63" ref="S53:S62">R53+S52</f>
        <v>0</v>
      </c>
      <c r="T53" s="1176">
        <f t="shared" si="28"/>
        <v>0</v>
      </c>
      <c r="U53" s="1177">
        <f t="shared" si="47"/>
        <v>0.0022</v>
      </c>
      <c r="V53" s="1165">
        <f t="shared" si="48"/>
        <v>0</v>
      </c>
      <c r="W53" s="1165">
        <f t="shared" si="49"/>
        <v>0</v>
      </c>
      <c r="X53" s="921">
        <f t="shared" si="29"/>
        <v>0</v>
      </c>
      <c r="Y53" s="1177">
        <f t="shared" si="50"/>
        <v>0.0022</v>
      </c>
      <c r="Z53" s="1165">
        <f aca="true" t="shared" si="64" ref="Z53:Z62">X53*Y53</f>
        <v>0</v>
      </c>
      <c r="AA53" s="1165">
        <f t="shared" si="51"/>
        <v>0</v>
      </c>
      <c r="AB53" s="921">
        <f t="shared" si="30"/>
        <v>0</v>
      </c>
      <c r="AC53" s="1177">
        <f t="shared" si="52"/>
        <v>0.0022</v>
      </c>
      <c r="AD53" s="1165">
        <f t="shared" si="31"/>
        <v>0</v>
      </c>
      <c r="AE53" s="1165">
        <f t="shared" si="53"/>
        <v>0</v>
      </c>
      <c r="AF53" s="921">
        <f t="shared" si="32"/>
        <v>0</v>
      </c>
      <c r="AG53" s="1177">
        <f t="shared" si="54"/>
        <v>0.0022</v>
      </c>
      <c r="AH53" s="1165">
        <f t="shared" si="33"/>
        <v>0</v>
      </c>
      <c r="AI53" s="1165">
        <f t="shared" si="55"/>
        <v>0</v>
      </c>
      <c r="AJ53" s="921">
        <f t="shared" si="34"/>
        <v>0</v>
      </c>
      <c r="AK53" s="1177">
        <f t="shared" si="56"/>
        <v>0.0022</v>
      </c>
      <c r="AL53" s="1165">
        <f t="shared" si="35"/>
        <v>0</v>
      </c>
      <c r="AM53" s="1165">
        <f t="shared" si="57"/>
        <v>0</v>
      </c>
      <c r="AN53" s="921">
        <f t="shared" si="36"/>
        <v>0</v>
      </c>
      <c r="AO53" s="1177">
        <f t="shared" si="58"/>
        <v>0.0022</v>
      </c>
      <c r="AP53" s="1417">
        <f t="shared" si="39"/>
        <v>0</v>
      </c>
      <c r="AQ53" s="1417">
        <f t="shared" si="59"/>
        <v>0</v>
      </c>
      <c r="AR53" s="921">
        <f t="shared" si="37"/>
        <v>0</v>
      </c>
      <c r="AS53" s="1177">
        <f t="shared" si="60"/>
        <v>0.0022</v>
      </c>
      <c r="AT53" s="1165">
        <f t="shared" si="40"/>
        <v>0</v>
      </c>
      <c r="AU53" s="1165">
        <f t="shared" si="61"/>
        <v>0</v>
      </c>
    </row>
    <row r="54" spans="1:47" ht="12.75">
      <c r="A54" s="1145"/>
      <c r="C54" s="1147" t="s">
        <v>604</v>
      </c>
      <c r="D54" s="1174">
        <f t="shared" si="22"/>
        <v>0</v>
      </c>
      <c r="E54" s="1177">
        <f t="shared" si="41"/>
        <v>0.0022</v>
      </c>
      <c r="F54" s="1165">
        <f aca="true" t="shared" si="65" ref="F54:F62">D54*E54</f>
        <v>0</v>
      </c>
      <c r="G54" s="1165">
        <f t="shared" si="62"/>
        <v>0</v>
      </c>
      <c r="H54" s="1176">
        <f t="shared" si="23"/>
        <v>0</v>
      </c>
      <c r="I54" s="1177">
        <f t="shared" si="42"/>
        <v>0.0022</v>
      </c>
      <c r="J54" s="1165">
        <f t="shared" si="38"/>
        <v>0</v>
      </c>
      <c r="K54" s="1165">
        <f t="shared" si="43"/>
        <v>0</v>
      </c>
      <c r="L54" s="1176">
        <f t="shared" si="24"/>
        <v>0</v>
      </c>
      <c r="M54" s="1177">
        <f t="shared" si="44"/>
        <v>0.0022</v>
      </c>
      <c r="N54" s="1165">
        <f t="shared" si="25"/>
        <v>0</v>
      </c>
      <c r="O54" s="1165">
        <f t="shared" si="45"/>
        <v>0</v>
      </c>
      <c r="P54" s="1176">
        <f t="shared" si="26"/>
        <v>0</v>
      </c>
      <c r="Q54" s="1177">
        <f t="shared" si="46"/>
        <v>0.0022</v>
      </c>
      <c r="R54" s="1165">
        <f t="shared" si="27"/>
        <v>0</v>
      </c>
      <c r="S54" s="1165">
        <f t="shared" si="63"/>
        <v>0</v>
      </c>
      <c r="T54" s="1176">
        <f t="shared" si="28"/>
        <v>0</v>
      </c>
      <c r="U54" s="1177">
        <f t="shared" si="47"/>
        <v>0.0022</v>
      </c>
      <c r="V54" s="1165">
        <f t="shared" si="48"/>
        <v>0</v>
      </c>
      <c r="W54" s="1165">
        <f t="shared" si="49"/>
        <v>0</v>
      </c>
      <c r="X54" s="921">
        <f t="shared" si="29"/>
        <v>0</v>
      </c>
      <c r="Y54" s="1177">
        <f t="shared" si="50"/>
        <v>0.0022</v>
      </c>
      <c r="Z54" s="1165">
        <f t="shared" si="64"/>
        <v>0</v>
      </c>
      <c r="AA54" s="1165">
        <f t="shared" si="51"/>
        <v>0</v>
      </c>
      <c r="AB54" s="921">
        <f t="shared" si="30"/>
        <v>0</v>
      </c>
      <c r="AC54" s="1177">
        <f t="shared" si="52"/>
        <v>0.0022</v>
      </c>
      <c r="AD54" s="1165">
        <f t="shared" si="31"/>
        <v>0</v>
      </c>
      <c r="AE54" s="1165">
        <f t="shared" si="53"/>
        <v>0</v>
      </c>
      <c r="AF54" s="921">
        <f t="shared" si="32"/>
        <v>0</v>
      </c>
      <c r="AG54" s="1177">
        <f t="shared" si="54"/>
        <v>0.0022</v>
      </c>
      <c r="AH54" s="1165">
        <f t="shared" si="33"/>
        <v>0</v>
      </c>
      <c r="AI54" s="1165">
        <f t="shared" si="55"/>
        <v>0</v>
      </c>
      <c r="AJ54" s="921">
        <f t="shared" si="34"/>
        <v>0</v>
      </c>
      <c r="AK54" s="1177">
        <f t="shared" si="56"/>
        <v>0.0022</v>
      </c>
      <c r="AL54" s="1165">
        <f t="shared" si="35"/>
        <v>0</v>
      </c>
      <c r="AM54" s="1165">
        <f t="shared" si="57"/>
        <v>0</v>
      </c>
      <c r="AN54" s="921">
        <f t="shared" si="36"/>
        <v>0</v>
      </c>
      <c r="AO54" s="1177">
        <f t="shared" si="58"/>
        <v>0.0022</v>
      </c>
      <c r="AP54" s="1417">
        <f t="shared" si="39"/>
        <v>0</v>
      </c>
      <c r="AQ54" s="1417">
        <f t="shared" si="59"/>
        <v>0</v>
      </c>
      <c r="AR54" s="921">
        <f t="shared" si="37"/>
        <v>0</v>
      </c>
      <c r="AS54" s="1177">
        <f t="shared" si="60"/>
        <v>0.0022</v>
      </c>
      <c r="AT54" s="1165">
        <f t="shared" si="40"/>
        <v>0</v>
      </c>
      <c r="AU54" s="1165">
        <f t="shared" si="61"/>
        <v>0</v>
      </c>
    </row>
    <row r="55" spans="1:47" ht="12.75">
      <c r="A55" s="1145"/>
      <c r="C55" s="1147" t="s">
        <v>599</v>
      </c>
      <c r="D55" s="1174">
        <f t="shared" si="22"/>
        <v>0</v>
      </c>
      <c r="E55" s="1177">
        <f t="shared" si="41"/>
        <v>0.0022</v>
      </c>
      <c r="F55" s="1165">
        <f t="shared" si="65"/>
        <v>0</v>
      </c>
      <c r="G55" s="1165">
        <f t="shared" si="62"/>
        <v>0</v>
      </c>
      <c r="H55" s="1176">
        <f t="shared" si="23"/>
        <v>0</v>
      </c>
      <c r="I55" s="1177">
        <f t="shared" si="42"/>
        <v>0.0022</v>
      </c>
      <c r="J55" s="1165">
        <f t="shared" si="38"/>
        <v>0</v>
      </c>
      <c r="K55" s="1165">
        <f t="shared" si="43"/>
        <v>0</v>
      </c>
      <c r="L55" s="1176">
        <f t="shared" si="24"/>
        <v>0</v>
      </c>
      <c r="M55" s="1177">
        <f t="shared" si="44"/>
        <v>0.0022</v>
      </c>
      <c r="N55" s="1165">
        <f t="shared" si="25"/>
        <v>0</v>
      </c>
      <c r="O55" s="1165">
        <f t="shared" si="45"/>
        <v>0</v>
      </c>
      <c r="P55" s="1176">
        <f t="shared" si="26"/>
        <v>0</v>
      </c>
      <c r="Q55" s="1177">
        <f t="shared" si="46"/>
        <v>0.0022</v>
      </c>
      <c r="R55" s="1165">
        <f t="shared" si="27"/>
        <v>0</v>
      </c>
      <c r="S55" s="1165">
        <f t="shared" si="63"/>
        <v>0</v>
      </c>
      <c r="T55" s="1176">
        <f t="shared" si="28"/>
        <v>0</v>
      </c>
      <c r="U55" s="1177">
        <f t="shared" si="47"/>
        <v>0.0022</v>
      </c>
      <c r="V55" s="1165">
        <f t="shared" si="48"/>
        <v>0</v>
      </c>
      <c r="W55" s="1165">
        <f t="shared" si="49"/>
        <v>0</v>
      </c>
      <c r="X55" s="921">
        <f t="shared" si="29"/>
        <v>0</v>
      </c>
      <c r="Y55" s="1177">
        <f t="shared" si="50"/>
        <v>0.0022</v>
      </c>
      <c r="Z55" s="1165">
        <f t="shared" si="64"/>
        <v>0</v>
      </c>
      <c r="AA55" s="1165">
        <f t="shared" si="51"/>
        <v>0</v>
      </c>
      <c r="AB55" s="921">
        <f t="shared" si="30"/>
        <v>0</v>
      </c>
      <c r="AC55" s="1177">
        <f t="shared" si="52"/>
        <v>0.0022</v>
      </c>
      <c r="AD55" s="1165">
        <f t="shared" si="31"/>
        <v>0</v>
      </c>
      <c r="AE55" s="1165">
        <f t="shared" si="53"/>
        <v>0</v>
      </c>
      <c r="AF55" s="921">
        <f t="shared" si="32"/>
        <v>0</v>
      </c>
      <c r="AG55" s="1177">
        <f t="shared" si="54"/>
        <v>0.0022</v>
      </c>
      <c r="AH55" s="1165">
        <f t="shared" si="33"/>
        <v>0</v>
      </c>
      <c r="AI55" s="1165">
        <f t="shared" si="55"/>
        <v>0</v>
      </c>
      <c r="AJ55" s="921">
        <f t="shared" si="34"/>
        <v>0</v>
      </c>
      <c r="AK55" s="1177">
        <f t="shared" si="56"/>
        <v>0.0022</v>
      </c>
      <c r="AL55" s="1165">
        <f t="shared" si="35"/>
        <v>0</v>
      </c>
      <c r="AM55" s="1165">
        <f t="shared" si="57"/>
        <v>0</v>
      </c>
      <c r="AN55" s="921">
        <f t="shared" si="36"/>
        <v>0</v>
      </c>
      <c r="AO55" s="1177">
        <f t="shared" si="58"/>
        <v>0.0022</v>
      </c>
      <c r="AP55" s="1417">
        <f t="shared" si="39"/>
        <v>0</v>
      </c>
      <c r="AQ55" s="1417">
        <f t="shared" si="59"/>
        <v>0</v>
      </c>
      <c r="AR55" s="921">
        <f t="shared" si="37"/>
        <v>0</v>
      </c>
      <c r="AS55" s="1177">
        <f t="shared" si="60"/>
        <v>0.0022</v>
      </c>
      <c r="AT55" s="1165">
        <f t="shared" si="40"/>
        <v>0</v>
      </c>
      <c r="AU55" s="1165">
        <f t="shared" si="61"/>
        <v>0</v>
      </c>
    </row>
    <row r="56" spans="1:47" ht="12.75">
      <c r="A56" s="1145"/>
      <c r="C56" s="1147" t="s">
        <v>605</v>
      </c>
      <c r="D56" s="1174">
        <f t="shared" si="22"/>
        <v>0</v>
      </c>
      <c r="E56" s="1177">
        <f t="shared" si="41"/>
        <v>0.0022</v>
      </c>
      <c r="F56" s="1165">
        <f t="shared" si="65"/>
        <v>0</v>
      </c>
      <c r="G56" s="1165">
        <f t="shared" si="62"/>
        <v>0</v>
      </c>
      <c r="H56" s="1176">
        <f t="shared" si="23"/>
        <v>0</v>
      </c>
      <c r="I56" s="1177">
        <f t="shared" si="42"/>
        <v>0.0022</v>
      </c>
      <c r="J56" s="1165">
        <f t="shared" si="38"/>
        <v>0</v>
      </c>
      <c r="K56" s="1165">
        <f t="shared" si="43"/>
        <v>0</v>
      </c>
      <c r="L56" s="1176">
        <f t="shared" si="24"/>
        <v>0</v>
      </c>
      <c r="M56" s="1177">
        <f t="shared" si="44"/>
        <v>0.0022</v>
      </c>
      <c r="N56" s="1165">
        <f t="shared" si="25"/>
        <v>0</v>
      </c>
      <c r="O56" s="1165">
        <f t="shared" si="45"/>
        <v>0</v>
      </c>
      <c r="P56" s="1176">
        <f t="shared" si="26"/>
        <v>0</v>
      </c>
      <c r="Q56" s="1177">
        <f t="shared" si="46"/>
        <v>0.0022</v>
      </c>
      <c r="R56" s="1165">
        <f t="shared" si="27"/>
        <v>0</v>
      </c>
      <c r="S56" s="1165">
        <f t="shared" si="63"/>
        <v>0</v>
      </c>
      <c r="T56" s="1176">
        <f t="shared" si="28"/>
        <v>0</v>
      </c>
      <c r="U56" s="1177">
        <f t="shared" si="47"/>
        <v>0.0022</v>
      </c>
      <c r="V56" s="1165">
        <f t="shared" si="48"/>
        <v>0</v>
      </c>
      <c r="W56" s="1165">
        <f t="shared" si="49"/>
        <v>0</v>
      </c>
      <c r="X56" s="921">
        <f t="shared" si="29"/>
        <v>0</v>
      </c>
      <c r="Y56" s="1177">
        <f t="shared" si="50"/>
        <v>0.0022</v>
      </c>
      <c r="Z56" s="1165">
        <f>X56*Y56</f>
        <v>0</v>
      </c>
      <c r="AA56" s="1165">
        <f t="shared" si="51"/>
        <v>0</v>
      </c>
      <c r="AB56" s="921">
        <f t="shared" si="30"/>
        <v>0</v>
      </c>
      <c r="AC56" s="1177">
        <f t="shared" si="52"/>
        <v>0.0022</v>
      </c>
      <c r="AD56" s="1165">
        <f t="shared" si="31"/>
        <v>0</v>
      </c>
      <c r="AE56" s="1165">
        <f t="shared" si="53"/>
        <v>0</v>
      </c>
      <c r="AF56" s="921">
        <f t="shared" si="32"/>
        <v>0</v>
      </c>
      <c r="AG56" s="1177">
        <f t="shared" si="54"/>
        <v>0.0022</v>
      </c>
      <c r="AH56" s="1165">
        <f t="shared" si="33"/>
        <v>0</v>
      </c>
      <c r="AI56" s="1165">
        <f t="shared" si="55"/>
        <v>0</v>
      </c>
      <c r="AJ56" s="921">
        <f t="shared" si="34"/>
        <v>0</v>
      </c>
      <c r="AK56" s="1177">
        <f t="shared" si="56"/>
        <v>0.0022</v>
      </c>
      <c r="AL56" s="1165">
        <f t="shared" si="35"/>
        <v>0</v>
      </c>
      <c r="AM56" s="1165">
        <f t="shared" si="57"/>
        <v>0</v>
      </c>
      <c r="AN56" s="921">
        <f t="shared" si="36"/>
        <v>0</v>
      </c>
      <c r="AO56" s="1177">
        <f t="shared" si="58"/>
        <v>0.0022</v>
      </c>
      <c r="AP56" s="1417">
        <f t="shared" si="39"/>
        <v>0</v>
      </c>
      <c r="AQ56" s="1417">
        <f t="shared" si="59"/>
        <v>0</v>
      </c>
      <c r="AR56" s="921">
        <f t="shared" si="37"/>
        <v>0</v>
      </c>
      <c r="AS56" s="1177">
        <f t="shared" si="60"/>
        <v>0.0022</v>
      </c>
      <c r="AT56" s="1165">
        <f t="shared" si="40"/>
        <v>0</v>
      </c>
      <c r="AU56" s="1165">
        <f t="shared" si="61"/>
        <v>0</v>
      </c>
    </row>
    <row r="57" spans="3:47" ht="12.75">
      <c r="C57" s="1147" t="s">
        <v>606</v>
      </c>
      <c r="D57" s="1174">
        <f t="shared" si="22"/>
        <v>0</v>
      </c>
      <c r="E57" s="1177">
        <f t="shared" si="41"/>
        <v>0.0022</v>
      </c>
      <c r="F57" s="1165">
        <f t="shared" si="65"/>
        <v>0</v>
      </c>
      <c r="G57" s="1165">
        <f t="shared" si="62"/>
        <v>0</v>
      </c>
      <c r="H57" s="1176">
        <f t="shared" si="23"/>
        <v>0</v>
      </c>
      <c r="I57" s="1177">
        <f t="shared" si="42"/>
        <v>0.0022</v>
      </c>
      <c r="J57" s="1165">
        <f t="shared" si="38"/>
        <v>0</v>
      </c>
      <c r="K57" s="1165">
        <f t="shared" si="43"/>
        <v>0</v>
      </c>
      <c r="L57" s="1176">
        <f t="shared" si="24"/>
        <v>0</v>
      </c>
      <c r="M57" s="1177">
        <f t="shared" si="44"/>
        <v>0.0022</v>
      </c>
      <c r="N57" s="1165">
        <f t="shared" si="25"/>
        <v>0</v>
      </c>
      <c r="O57" s="1165">
        <f t="shared" si="45"/>
        <v>0</v>
      </c>
      <c r="P57" s="1176">
        <f t="shared" si="26"/>
        <v>0</v>
      </c>
      <c r="Q57" s="1177">
        <f t="shared" si="46"/>
        <v>0.0022</v>
      </c>
      <c r="R57" s="1165">
        <f t="shared" si="27"/>
        <v>0</v>
      </c>
      <c r="S57" s="1165">
        <f t="shared" si="63"/>
        <v>0</v>
      </c>
      <c r="T57" s="1176">
        <f t="shared" si="28"/>
        <v>0</v>
      </c>
      <c r="U57" s="1177">
        <f t="shared" si="47"/>
        <v>0.0022</v>
      </c>
      <c r="V57" s="1165">
        <f t="shared" si="48"/>
        <v>0</v>
      </c>
      <c r="W57" s="1165">
        <f t="shared" si="49"/>
        <v>0</v>
      </c>
      <c r="X57" s="921">
        <f t="shared" si="29"/>
        <v>0</v>
      </c>
      <c r="Y57" s="1177">
        <f t="shared" si="50"/>
        <v>0.0022</v>
      </c>
      <c r="Z57" s="1165">
        <f t="shared" si="64"/>
        <v>0</v>
      </c>
      <c r="AA57" s="1165">
        <f t="shared" si="51"/>
        <v>0</v>
      </c>
      <c r="AB57" s="921">
        <f t="shared" si="30"/>
        <v>0</v>
      </c>
      <c r="AC57" s="1177">
        <f t="shared" si="52"/>
        <v>0.0022</v>
      </c>
      <c r="AD57" s="1165">
        <f t="shared" si="31"/>
        <v>0</v>
      </c>
      <c r="AE57" s="1165">
        <f t="shared" si="53"/>
        <v>0</v>
      </c>
      <c r="AF57" s="921">
        <f t="shared" si="32"/>
        <v>0</v>
      </c>
      <c r="AG57" s="1177">
        <f t="shared" si="54"/>
        <v>0.0022</v>
      </c>
      <c r="AH57" s="1165">
        <f t="shared" si="33"/>
        <v>0</v>
      </c>
      <c r="AI57" s="1165">
        <f t="shared" si="55"/>
        <v>0</v>
      </c>
      <c r="AJ57" s="921">
        <f t="shared" si="34"/>
        <v>0</v>
      </c>
      <c r="AK57" s="1177">
        <f t="shared" si="56"/>
        <v>0.0022</v>
      </c>
      <c r="AL57" s="1165">
        <f t="shared" si="35"/>
        <v>0</v>
      </c>
      <c r="AM57" s="1165">
        <f t="shared" si="57"/>
        <v>0</v>
      </c>
      <c r="AN57" s="921">
        <f t="shared" si="36"/>
        <v>0</v>
      </c>
      <c r="AO57" s="1177">
        <f t="shared" si="58"/>
        <v>0.0022</v>
      </c>
      <c r="AP57" s="1417">
        <f t="shared" si="39"/>
        <v>0</v>
      </c>
      <c r="AQ57" s="1417">
        <f t="shared" si="59"/>
        <v>0</v>
      </c>
      <c r="AR57" s="921">
        <f t="shared" si="37"/>
        <v>0</v>
      </c>
      <c r="AS57" s="1177">
        <f t="shared" si="60"/>
        <v>0.0022</v>
      </c>
      <c r="AT57" s="1165">
        <f t="shared" si="40"/>
        <v>0</v>
      </c>
      <c r="AU57" s="1165">
        <f t="shared" si="61"/>
        <v>0</v>
      </c>
    </row>
    <row r="58" spans="3:47" ht="12.75">
      <c r="C58" s="1147" t="s">
        <v>607</v>
      </c>
      <c r="D58" s="1174">
        <f t="shared" si="22"/>
        <v>0</v>
      </c>
      <c r="E58" s="1177">
        <f t="shared" si="41"/>
        <v>0.0022</v>
      </c>
      <c r="F58" s="1165">
        <f t="shared" si="65"/>
        <v>0</v>
      </c>
      <c r="G58" s="1165">
        <f t="shared" si="62"/>
        <v>0</v>
      </c>
      <c r="H58" s="1176">
        <f t="shared" si="23"/>
        <v>0</v>
      </c>
      <c r="I58" s="1177">
        <f t="shared" si="42"/>
        <v>0.0022</v>
      </c>
      <c r="J58" s="1165">
        <f t="shared" si="38"/>
        <v>0</v>
      </c>
      <c r="K58" s="1165">
        <f t="shared" si="43"/>
        <v>0</v>
      </c>
      <c r="L58" s="1176">
        <f t="shared" si="24"/>
        <v>0</v>
      </c>
      <c r="M58" s="1177">
        <f t="shared" si="44"/>
        <v>0.0022</v>
      </c>
      <c r="N58" s="1165">
        <f t="shared" si="25"/>
        <v>0</v>
      </c>
      <c r="O58" s="1165">
        <f t="shared" si="45"/>
        <v>0</v>
      </c>
      <c r="P58" s="1176">
        <f t="shared" si="26"/>
        <v>0</v>
      </c>
      <c r="Q58" s="1177">
        <f t="shared" si="46"/>
        <v>0.0022</v>
      </c>
      <c r="R58" s="1165">
        <f t="shared" si="27"/>
        <v>0</v>
      </c>
      <c r="S58" s="1165">
        <f t="shared" si="63"/>
        <v>0</v>
      </c>
      <c r="T58" s="1176">
        <f t="shared" si="28"/>
        <v>0</v>
      </c>
      <c r="U58" s="1177">
        <f t="shared" si="47"/>
        <v>0.0022</v>
      </c>
      <c r="V58" s="1165">
        <f t="shared" si="48"/>
        <v>0</v>
      </c>
      <c r="W58" s="1165">
        <f t="shared" si="49"/>
        <v>0</v>
      </c>
      <c r="X58" s="921">
        <f t="shared" si="29"/>
        <v>0</v>
      </c>
      <c r="Y58" s="1177">
        <f t="shared" si="50"/>
        <v>0.0022</v>
      </c>
      <c r="Z58" s="1165">
        <f t="shared" si="64"/>
        <v>0</v>
      </c>
      <c r="AA58" s="1165">
        <f t="shared" si="51"/>
        <v>0</v>
      </c>
      <c r="AB58" s="921">
        <f t="shared" si="30"/>
        <v>0</v>
      </c>
      <c r="AC58" s="1177">
        <f t="shared" si="52"/>
        <v>0.0022</v>
      </c>
      <c r="AD58" s="1165">
        <f t="shared" si="31"/>
        <v>0</v>
      </c>
      <c r="AE58" s="1165">
        <f t="shared" si="53"/>
        <v>0</v>
      </c>
      <c r="AF58" s="921">
        <f t="shared" si="32"/>
        <v>0</v>
      </c>
      <c r="AG58" s="1177">
        <f t="shared" si="54"/>
        <v>0.0022</v>
      </c>
      <c r="AH58" s="1165">
        <f t="shared" si="33"/>
        <v>0</v>
      </c>
      <c r="AI58" s="1165">
        <f t="shared" si="55"/>
        <v>0</v>
      </c>
      <c r="AJ58" s="921">
        <f t="shared" si="34"/>
        <v>0</v>
      </c>
      <c r="AK58" s="1177">
        <f t="shared" si="56"/>
        <v>0.0022</v>
      </c>
      <c r="AL58" s="1165">
        <f t="shared" si="35"/>
        <v>0</v>
      </c>
      <c r="AM58" s="1165">
        <f t="shared" si="57"/>
        <v>0</v>
      </c>
      <c r="AN58" s="921">
        <f t="shared" si="36"/>
        <v>0</v>
      </c>
      <c r="AO58" s="1177">
        <f t="shared" si="58"/>
        <v>0.0022</v>
      </c>
      <c r="AP58" s="1417">
        <f t="shared" si="39"/>
        <v>0</v>
      </c>
      <c r="AQ58" s="1417">
        <f t="shared" si="59"/>
        <v>0</v>
      </c>
      <c r="AR58" s="921">
        <f t="shared" si="37"/>
        <v>0</v>
      </c>
      <c r="AS58" s="1177">
        <f t="shared" si="60"/>
        <v>0.0022</v>
      </c>
      <c r="AT58" s="1165">
        <f t="shared" si="40"/>
        <v>0</v>
      </c>
      <c r="AU58" s="1165">
        <f t="shared" si="61"/>
        <v>0</v>
      </c>
    </row>
    <row r="59" spans="3:47" ht="12.75">
      <c r="C59" s="1147" t="s">
        <v>608</v>
      </c>
      <c r="D59" s="1174">
        <f t="shared" si="22"/>
        <v>0</v>
      </c>
      <c r="E59" s="1177">
        <f t="shared" si="41"/>
        <v>0.0022</v>
      </c>
      <c r="F59" s="1165">
        <f t="shared" si="65"/>
        <v>0</v>
      </c>
      <c r="G59" s="1165">
        <f t="shared" si="62"/>
        <v>0</v>
      </c>
      <c r="H59" s="1176">
        <f t="shared" si="23"/>
        <v>0</v>
      </c>
      <c r="I59" s="1177">
        <f t="shared" si="42"/>
        <v>0.0022</v>
      </c>
      <c r="J59" s="1165">
        <f t="shared" si="38"/>
        <v>0</v>
      </c>
      <c r="K59" s="1165">
        <f t="shared" si="43"/>
        <v>0</v>
      </c>
      <c r="L59" s="1176">
        <f t="shared" si="24"/>
        <v>0</v>
      </c>
      <c r="M59" s="1177">
        <f t="shared" si="44"/>
        <v>0.0022</v>
      </c>
      <c r="N59" s="1165">
        <f t="shared" si="25"/>
        <v>0</v>
      </c>
      <c r="O59" s="1165">
        <f t="shared" si="45"/>
        <v>0</v>
      </c>
      <c r="P59" s="1176">
        <f t="shared" si="26"/>
        <v>0</v>
      </c>
      <c r="Q59" s="1177">
        <f t="shared" si="46"/>
        <v>0.0022</v>
      </c>
      <c r="R59" s="1165">
        <f t="shared" si="27"/>
        <v>0</v>
      </c>
      <c r="S59" s="1165">
        <f t="shared" si="63"/>
        <v>0</v>
      </c>
      <c r="T59" s="1176">
        <f t="shared" si="28"/>
        <v>0</v>
      </c>
      <c r="U59" s="1177">
        <f t="shared" si="47"/>
        <v>0.0022</v>
      </c>
      <c r="V59" s="1165">
        <f t="shared" si="48"/>
        <v>0</v>
      </c>
      <c r="W59" s="1165">
        <f t="shared" si="49"/>
        <v>0</v>
      </c>
      <c r="X59" s="921">
        <f t="shared" si="29"/>
        <v>0</v>
      </c>
      <c r="Y59" s="1177">
        <f t="shared" si="50"/>
        <v>0.0022</v>
      </c>
      <c r="Z59" s="1165">
        <f t="shared" si="64"/>
        <v>0</v>
      </c>
      <c r="AA59" s="1165">
        <f t="shared" si="51"/>
        <v>0</v>
      </c>
      <c r="AB59" s="921">
        <f t="shared" si="30"/>
        <v>0</v>
      </c>
      <c r="AC59" s="1177">
        <f t="shared" si="52"/>
        <v>0.0022</v>
      </c>
      <c r="AD59" s="1165">
        <f t="shared" si="31"/>
        <v>0</v>
      </c>
      <c r="AE59" s="1165">
        <f t="shared" si="53"/>
        <v>0</v>
      </c>
      <c r="AF59" s="921">
        <f t="shared" si="32"/>
        <v>0</v>
      </c>
      <c r="AG59" s="1177">
        <f t="shared" si="54"/>
        <v>0.0022</v>
      </c>
      <c r="AH59" s="1165">
        <f t="shared" si="33"/>
        <v>0</v>
      </c>
      <c r="AI59" s="1165">
        <f t="shared" si="55"/>
        <v>0</v>
      </c>
      <c r="AJ59" s="921">
        <f t="shared" si="34"/>
        <v>0</v>
      </c>
      <c r="AK59" s="1177">
        <f t="shared" si="56"/>
        <v>0.0022</v>
      </c>
      <c r="AL59" s="1165">
        <f t="shared" si="35"/>
        <v>0</v>
      </c>
      <c r="AM59" s="1165">
        <f t="shared" si="57"/>
        <v>0</v>
      </c>
      <c r="AN59" s="921">
        <f t="shared" si="36"/>
        <v>0</v>
      </c>
      <c r="AO59" s="1177">
        <f t="shared" si="58"/>
        <v>0.0022</v>
      </c>
      <c r="AP59" s="1417">
        <f t="shared" si="39"/>
        <v>0</v>
      </c>
      <c r="AQ59" s="1417">
        <f t="shared" si="59"/>
        <v>0</v>
      </c>
      <c r="AR59" s="921">
        <f t="shared" si="37"/>
        <v>0</v>
      </c>
      <c r="AS59" s="1177">
        <f t="shared" si="60"/>
        <v>0.0022</v>
      </c>
      <c r="AT59" s="1165">
        <f t="shared" si="40"/>
        <v>0</v>
      </c>
      <c r="AU59" s="1165">
        <f t="shared" si="61"/>
        <v>0</v>
      </c>
    </row>
    <row r="60" spans="3:47" ht="12.75">
      <c r="C60" s="1147" t="s">
        <v>609</v>
      </c>
      <c r="D60" s="1174">
        <f t="shared" si="22"/>
        <v>0</v>
      </c>
      <c r="E60" s="1177">
        <f t="shared" si="41"/>
        <v>0.0022</v>
      </c>
      <c r="F60" s="1165">
        <f t="shared" si="65"/>
        <v>0</v>
      </c>
      <c r="G60" s="1165">
        <f t="shared" si="62"/>
        <v>0</v>
      </c>
      <c r="H60" s="1176">
        <f t="shared" si="23"/>
        <v>0</v>
      </c>
      <c r="I60" s="1177">
        <f t="shared" si="42"/>
        <v>0.0022</v>
      </c>
      <c r="J60" s="1165">
        <f t="shared" si="38"/>
        <v>0</v>
      </c>
      <c r="K60" s="1165">
        <f t="shared" si="43"/>
        <v>0</v>
      </c>
      <c r="L60" s="1176">
        <f t="shared" si="24"/>
        <v>0</v>
      </c>
      <c r="M60" s="1177">
        <f t="shared" si="44"/>
        <v>0.0022</v>
      </c>
      <c r="N60" s="1165">
        <f t="shared" si="25"/>
        <v>0</v>
      </c>
      <c r="O60" s="1165">
        <f t="shared" si="45"/>
        <v>0</v>
      </c>
      <c r="P60" s="1176">
        <f t="shared" si="26"/>
        <v>0</v>
      </c>
      <c r="Q60" s="1177">
        <f t="shared" si="46"/>
        <v>0.0022</v>
      </c>
      <c r="R60" s="1165">
        <f t="shared" si="27"/>
        <v>0</v>
      </c>
      <c r="S60" s="1165">
        <f t="shared" si="63"/>
        <v>0</v>
      </c>
      <c r="T60" s="1176">
        <f t="shared" si="28"/>
        <v>0</v>
      </c>
      <c r="U60" s="1177">
        <f t="shared" si="47"/>
        <v>0.0022</v>
      </c>
      <c r="V60" s="1165">
        <f t="shared" si="48"/>
        <v>0</v>
      </c>
      <c r="W60" s="1165">
        <f t="shared" si="49"/>
        <v>0</v>
      </c>
      <c r="X60" s="921">
        <f t="shared" si="29"/>
        <v>0</v>
      </c>
      <c r="Y60" s="1177">
        <f t="shared" si="50"/>
        <v>0.0022</v>
      </c>
      <c r="Z60" s="1165">
        <f t="shared" si="64"/>
        <v>0</v>
      </c>
      <c r="AA60" s="1165">
        <f t="shared" si="51"/>
        <v>0</v>
      </c>
      <c r="AB60" s="921">
        <f t="shared" si="30"/>
        <v>0</v>
      </c>
      <c r="AC60" s="1177">
        <f t="shared" si="52"/>
        <v>0.0022</v>
      </c>
      <c r="AD60" s="1165">
        <f t="shared" si="31"/>
        <v>0</v>
      </c>
      <c r="AE60" s="1165">
        <f t="shared" si="53"/>
        <v>0</v>
      </c>
      <c r="AF60" s="921">
        <f t="shared" si="32"/>
        <v>0</v>
      </c>
      <c r="AG60" s="1177">
        <f t="shared" si="54"/>
        <v>0.0022</v>
      </c>
      <c r="AH60" s="1165">
        <f t="shared" si="33"/>
        <v>0</v>
      </c>
      <c r="AI60" s="1165">
        <f t="shared" si="55"/>
        <v>0</v>
      </c>
      <c r="AJ60" s="921">
        <f t="shared" si="34"/>
        <v>0</v>
      </c>
      <c r="AK60" s="1177">
        <f t="shared" si="56"/>
        <v>0.0022</v>
      </c>
      <c r="AL60" s="1165">
        <f t="shared" si="35"/>
        <v>0</v>
      </c>
      <c r="AM60" s="1165">
        <f t="shared" si="57"/>
        <v>0</v>
      </c>
      <c r="AN60" s="921">
        <f t="shared" si="36"/>
        <v>0</v>
      </c>
      <c r="AO60" s="1177">
        <f t="shared" si="58"/>
        <v>0.0022</v>
      </c>
      <c r="AP60" s="1417">
        <f t="shared" si="39"/>
        <v>0</v>
      </c>
      <c r="AQ60" s="1417">
        <f t="shared" si="59"/>
        <v>0</v>
      </c>
      <c r="AR60" s="921">
        <f t="shared" si="37"/>
        <v>0</v>
      </c>
      <c r="AS60" s="1177">
        <f t="shared" si="60"/>
        <v>0.0022</v>
      </c>
      <c r="AT60" s="1165">
        <f t="shared" si="40"/>
        <v>0</v>
      </c>
      <c r="AU60" s="1165">
        <f t="shared" si="61"/>
        <v>0</v>
      </c>
    </row>
    <row r="61" spans="3:47" ht="12.75">
      <c r="C61" s="1147" t="s">
        <v>610</v>
      </c>
      <c r="D61" s="1174">
        <f t="shared" si="22"/>
        <v>0</v>
      </c>
      <c r="E61" s="1177">
        <f t="shared" si="41"/>
        <v>0.0022</v>
      </c>
      <c r="F61" s="1165">
        <f t="shared" si="65"/>
        <v>0</v>
      </c>
      <c r="G61" s="1165">
        <f t="shared" si="62"/>
        <v>0</v>
      </c>
      <c r="H61" s="1176">
        <f t="shared" si="23"/>
        <v>0</v>
      </c>
      <c r="I61" s="1177">
        <f t="shared" si="42"/>
        <v>0.0022</v>
      </c>
      <c r="J61" s="1165">
        <f t="shared" si="38"/>
        <v>0</v>
      </c>
      <c r="K61" s="1165">
        <f t="shared" si="43"/>
        <v>0</v>
      </c>
      <c r="L61" s="1176">
        <f t="shared" si="24"/>
        <v>0</v>
      </c>
      <c r="M61" s="1177">
        <f t="shared" si="44"/>
        <v>0.0022</v>
      </c>
      <c r="N61" s="1165">
        <f t="shared" si="25"/>
        <v>0</v>
      </c>
      <c r="O61" s="1165">
        <f t="shared" si="45"/>
        <v>0</v>
      </c>
      <c r="P61" s="1176">
        <f t="shared" si="26"/>
        <v>0</v>
      </c>
      <c r="Q61" s="1177">
        <f t="shared" si="46"/>
        <v>0.0022</v>
      </c>
      <c r="R61" s="1165">
        <f t="shared" si="27"/>
        <v>0</v>
      </c>
      <c r="S61" s="1165">
        <f t="shared" si="63"/>
        <v>0</v>
      </c>
      <c r="T61" s="1176">
        <f t="shared" si="28"/>
        <v>0</v>
      </c>
      <c r="U61" s="1177">
        <f t="shared" si="47"/>
        <v>0.0022</v>
      </c>
      <c r="V61" s="1165">
        <f t="shared" si="48"/>
        <v>0</v>
      </c>
      <c r="W61" s="1165">
        <f t="shared" si="49"/>
        <v>0</v>
      </c>
      <c r="X61" s="921">
        <f t="shared" si="29"/>
        <v>0</v>
      </c>
      <c r="Y61" s="1177">
        <f t="shared" si="50"/>
        <v>0.0022</v>
      </c>
      <c r="Z61" s="1165">
        <f t="shared" si="64"/>
        <v>0</v>
      </c>
      <c r="AA61" s="1165">
        <f t="shared" si="51"/>
        <v>0</v>
      </c>
      <c r="AB61" s="921">
        <f t="shared" si="30"/>
        <v>0</v>
      </c>
      <c r="AC61" s="1177">
        <f t="shared" si="52"/>
        <v>0.0022</v>
      </c>
      <c r="AD61" s="1165">
        <f t="shared" si="31"/>
        <v>0</v>
      </c>
      <c r="AE61" s="1165">
        <f t="shared" si="53"/>
        <v>0</v>
      </c>
      <c r="AF61" s="921">
        <f t="shared" si="32"/>
        <v>0</v>
      </c>
      <c r="AG61" s="1177">
        <f t="shared" si="54"/>
        <v>0.0022</v>
      </c>
      <c r="AH61" s="1165">
        <f t="shared" si="33"/>
        <v>0</v>
      </c>
      <c r="AI61" s="1165">
        <f t="shared" si="55"/>
        <v>0</v>
      </c>
      <c r="AJ61" s="921">
        <f t="shared" si="34"/>
        <v>0</v>
      </c>
      <c r="AK61" s="1177">
        <f t="shared" si="56"/>
        <v>0.0022</v>
      </c>
      <c r="AL61" s="1165">
        <f t="shared" si="35"/>
        <v>0</v>
      </c>
      <c r="AM61" s="1165">
        <f t="shared" si="57"/>
        <v>0</v>
      </c>
      <c r="AN61" s="921">
        <f t="shared" si="36"/>
        <v>0</v>
      </c>
      <c r="AO61" s="1177">
        <f t="shared" si="58"/>
        <v>0.0022</v>
      </c>
      <c r="AP61" s="1417">
        <f t="shared" si="39"/>
        <v>0</v>
      </c>
      <c r="AQ61" s="1417">
        <f t="shared" si="59"/>
        <v>0</v>
      </c>
      <c r="AR61" s="921">
        <f t="shared" si="37"/>
        <v>0</v>
      </c>
      <c r="AS61" s="1177">
        <f t="shared" si="60"/>
        <v>0.0022</v>
      </c>
      <c r="AT61" s="1165">
        <f t="shared" si="40"/>
        <v>0</v>
      </c>
      <c r="AU61" s="1165">
        <f t="shared" si="61"/>
        <v>0</v>
      </c>
    </row>
    <row r="62" spans="3:47" ht="12.75">
      <c r="C62" s="1169" t="s">
        <v>611</v>
      </c>
      <c r="D62" s="1178">
        <f t="shared" si="22"/>
        <v>0</v>
      </c>
      <c r="E62" s="1179">
        <f t="shared" si="41"/>
        <v>0.0022</v>
      </c>
      <c r="F62" s="1172">
        <f t="shared" si="65"/>
        <v>0</v>
      </c>
      <c r="G62" s="1172">
        <f t="shared" si="62"/>
        <v>0</v>
      </c>
      <c r="H62" s="1180">
        <f t="shared" si="23"/>
        <v>0</v>
      </c>
      <c r="I62" s="1179">
        <f t="shared" si="42"/>
        <v>0.0022</v>
      </c>
      <c r="J62" s="1172">
        <f t="shared" si="38"/>
        <v>0</v>
      </c>
      <c r="K62" s="1172">
        <f t="shared" si="43"/>
        <v>0</v>
      </c>
      <c r="L62" s="1180">
        <f t="shared" si="24"/>
        <v>0</v>
      </c>
      <c r="M62" s="1179">
        <f t="shared" si="44"/>
        <v>0.0022</v>
      </c>
      <c r="N62" s="1172">
        <f t="shared" si="25"/>
        <v>0</v>
      </c>
      <c r="O62" s="1172">
        <f t="shared" si="45"/>
        <v>0</v>
      </c>
      <c r="P62" s="1180">
        <f t="shared" si="26"/>
        <v>0</v>
      </c>
      <c r="Q62" s="1179">
        <f t="shared" si="46"/>
        <v>0.0022</v>
      </c>
      <c r="R62" s="1172">
        <f t="shared" si="27"/>
        <v>0</v>
      </c>
      <c r="S62" s="1172">
        <f t="shared" si="63"/>
        <v>0</v>
      </c>
      <c r="T62" s="1180">
        <f t="shared" si="28"/>
        <v>0</v>
      </c>
      <c r="U62" s="1179">
        <f t="shared" si="47"/>
        <v>0.0022</v>
      </c>
      <c r="V62" s="1172">
        <f t="shared" si="48"/>
        <v>0</v>
      </c>
      <c r="W62" s="1172">
        <f t="shared" si="49"/>
        <v>0</v>
      </c>
      <c r="X62" s="922">
        <f t="shared" si="29"/>
        <v>0</v>
      </c>
      <c r="Y62" s="1179">
        <f t="shared" si="50"/>
        <v>0.0022</v>
      </c>
      <c r="Z62" s="1172">
        <f t="shared" si="64"/>
        <v>0</v>
      </c>
      <c r="AA62" s="1172">
        <f t="shared" si="51"/>
        <v>0</v>
      </c>
      <c r="AB62" s="922">
        <f t="shared" si="30"/>
        <v>0</v>
      </c>
      <c r="AC62" s="1179">
        <f t="shared" si="52"/>
        <v>0.0022</v>
      </c>
      <c r="AD62" s="1172">
        <f t="shared" si="31"/>
        <v>0</v>
      </c>
      <c r="AE62" s="1172">
        <f t="shared" si="53"/>
        <v>0</v>
      </c>
      <c r="AF62" s="922">
        <f t="shared" si="32"/>
        <v>0</v>
      </c>
      <c r="AG62" s="1179">
        <f t="shared" si="54"/>
        <v>0.0022</v>
      </c>
      <c r="AH62" s="1172">
        <f t="shared" si="33"/>
        <v>0</v>
      </c>
      <c r="AI62" s="1172">
        <f t="shared" si="55"/>
        <v>0</v>
      </c>
      <c r="AJ62" s="922">
        <f t="shared" si="34"/>
        <v>0</v>
      </c>
      <c r="AK62" s="1179">
        <f t="shared" si="56"/>
        <v>0.0022</v>
      </c>
      <c r="AL62" s="1172">
        <f t="shared" si="35"/>
        <v>0</v>
      </c>
      <c r="AM62" s="1172">
        <f t="shared" si="57"/>
        <v>0</v>
      </c>
      <c r="AN62" s="922">
        <f t="shared" si="36"/>
        <v>0</v>
      </c>
      <c r="AO62" s="1179">
        <f t="shared" si="58"/>
        <v>0.0022</v>
      </c>
      <c r="AP62" s="1502">
        <f t="shared" si="39"/>
        <v>0</v>
      </c>
      <c r="AQ62" s="1502">
        <f t="shared" si="59"/>
        <v>0</v>
      </c>
      <c r="AR62" s="922">
        <f t="shared" si="37"/>
        <v>0</v>
      </c>
      <c r="AS62" s="1179">
        <f t="shared" si="60"/>
        <v>0.0022</v>
      </c>
      <c r="AT62" s="1172">
        <f t="shared" si="40"/>
        <v>0</v>
      </c>
      <c r="AU62" s="1172">
        <f t="shared" si="61"/>
        <v>0</v>
      </c>
    </row>
    <row r="63" spans="3:47" ht="12.75">
      <c r="C63" s="1147" t="s">
        <v>436</v>
      </c>
      <c r="D63" s="1165"/>
      <c r="E63" s="1165"/>
      <c r="F63" s="1165">
        <f>SUM(F51:F62)</f>
        <v>0</v>
      </c>
      <c r="G63" s="1165">
        <f>AVERAGE(G50:G62)</f>
        <v>0</v>
      </c>
      <c r="J63" s="1165">
        <f>SUM(J51:J62)</f>
        <v>0</v>
      </c>
      <c r="K63" s="1165">
        <f>AVERAGE(K50:K62)</f>
        <v>0</v>
      </c>
      <c r="N63" s="1165">
        <f>SUM(N51:N62)</f>
        <v>0</v>
      </c>
      <c r="O63" s="1165">
        <f>AVERAGE(O50:O62)</f>
        <v>0</v>
      </c>
      <c r="R63" s="1165">
        <f>SUM(R51:R62)</f>
        <v>0</v>
      </c>
      <c r="S63" s="1165">
        <f>AVERAGE(S50:S62)</f>
        <v>0</v>
      </c>
      <c r="V63" s="1165">
        <f>SUM(V51:V62)</f>
        <v>0</v>
      </c>
      <c r="W63" s="1165">
        <f>AVERAGE(W50:W62)</f>
        <v>0</v>
      </c>
      <c r="Z63" s="1165">
        <f>SUM(Z51:Z62)</f>
        <v>0</v>
      </c>
      <c r="AA63" s="1165">
        <f>AVERAGE(AA50:AA62)</f>
        <v>0</v>
      </c>
      <c r="AD63" s="1165">
        <f>SUM(AD51:AD62)</f>
        <v>0</v>
      </c>
      <c r="AE63" s="1165">
        <f>AVERAGE(AE50:AE62)</f>
        <v>0</v>
      </c>
      <c r="AH63" s="1165">
        <f>SUM(AH51:AH62)</f>
        <v>0</v>
      </c>
      <c r="AI63" s="1165">
        <f>AVERAGE(AI50:AI62)</f>
        <v>0</v>
      </c>
      <c r="AL63" s="1165">
        <f>SUM(AL51:AL62)</f>
        <v>0</v>
      </c>
      <c r="AM63" s="1165">
        <f>AVERAGE(AM50:AM62)</f>
        <v>0</v>
      </c>
      <c r="AN63" s="1417"/>
      <c r="AO63" s="1417"/>
      <c r="AP63" s="1417">
        <f>SUM(AP51:AP62)</f>
        <v>0</v>
      </c>
      <c r="AQ63" s="1417">
        <f>AVERAGE(AQ50:AQ62)</f>
        <v>0</v>
      </c>
      <c r="AT63" s="1165">
        <f>SUM(AT51:AT62)</f>
        <v>0</v>
      </c>
      <c r="AU63" s="1165">
        <f>AVERAGE(AU50:AU62)</f>
        <v>0</v>
      </c>
    </row>
    <row r="64" spans="3:43" ht="12.75">
      <c r="C64" s="1147"/>
      <c r="D64" s="1165"/>
      <c r="E64" s="1165"/>
      <c r="F64" s="1165"/>
      <c r="G64" s="1165"/>
      <c r="J64" s="1165"/>
      <c r="K64" s="1165"/>
      <c r="N64" s="1165"/>
      <c r="O64" s="1165"/>
      <c r="R64" s="1165"/>
      <c r="S64" s="1165"/>
      <c r="V64" s="1165"/>
      <c r="W64" s="1165"/>
      <c r="Z64" s="1165"/>
      <c r="AA64" s="1165"/>
      <c r="AD64" s="1165"/>
      <c r="AE64" s="1165"/>
      <c r="AH64" s="1165"/>
      <c r="AI64" s="1165"/>
      <c r="AL64" s="1165"/>
      <c r="AM64" s="1165"/>
      <c r="AP64" s="1165"/>
      <c r="AQ64" s="1165"/>
    </row>
    <row r="65" spans="1:11" ht="12.75">
      <c r="A65" s="1471"/>
      <c r="B65" s="1469"/>
      <c r="C65" s="1471"/>
      <c r="D65" s="1469"/>
      <c r="E65" s="1469"/>
      <c r="F65" s="1469"/>
      <c r="G65" s="1469"/>
      <c r="H65" s="1469"/>
      <c r="I65" s="1498" t="s">
        <v>1172</v>
      </c>
      <c r="J65" s="1417">
        <f>G63+K63+O63+S63+W63+AA63+AE63+AI63+AM63+AU63+AQ63</f>
        <v>0</v>
      </c>
      <c r="K65" s="1165" t="str">
        <f>"goes to line "&amp;'[2]Appendix A'!$A$43&amp;" of the formula"</f>
        <v>goes to line 23 of the formula</v>
      </c>
    </row>
    <row r="66" spans="1:11" ht="12.75">
      <c r="A66" s="1471"/>
      <c r="B66" s="1471"/>
      <c r="C66" s="1471"/>
      <c r="D66" s="1469"/>
      <c r="E66" s="1469"/>
      <c r="F66" s="1472"/>
      <c r="G66" s="1469"/>
      <c r="H66" s="1469"/>
      <c r="I66" s="1498" t="s">
        <v>1171</v>
      </c>
      <c r="J66" s="1417">
        <f>F63+J63+N63+R63+V63+Z63+AD63+AH63+AL63+AT63+AP63</f>
        <v>0</v>
      </c>
      <c r="K66" s="1165" t="str">
        <f>"goes to line "&amp;'[2]Appendix A'!$A$132&amp;" of the formula"</f>
        <v>goes to line 77 of the formula</v>
      </c>
    </row>
    <row r="67" spans="2:12" ht="12.75">
      <c r="B67" s="1147"/>
      <c r="H67" s="1165"/>
      <c r="I67" s="1417"/>
      <c r="J67" s="1417"/>
      <c r="K67" s="1165"/>
      <c r="L67" s="1165"/>
    </row>
    <row r="68" spans="1:5" ht="12.75">
      <c r="A68" s="1146">
        <v>3</v>
      </c>
      <c r="B68" s="1146" t="str">
        <f>+B24</f>
        <v>April</v>
      </c>
      <c r="C68" s="1146" t="str">
        <f>+C24</f>
        <v>Year 2</v>
      </c>
      <c r="D68" s="1148" t="str">
        <f>+D5</f>
        <v>TO adds 13 month average Cap Adds and retirements (line 14), CWIP (line 36), and associated depreciation (lines 23 and 77) to the Formula.</v>
      </c>
      <c r="E68" s="1148"/>
    </row>
    <row r="69" spans="5:12" ht="12.75">
      <c r="E69" s="1181"/>
      <c r="F69" s="1147" t="s">
        <v>53</v>
      </c>
      <c r="G69" s="1165"/>
      <c r="H69" s="1146"/>
      <c r="I69" s="1146"/>
      <c r="J69" s="1146"/>
      <c r="K69" s="1146"/>
      <c r="L69" s="1165"/>
    </row>
    <row r="70" spans="4:12" ht="12.75">
      <c r="D70" s="1181"/>
      <c r="E70" s="1181"/>
      <c r="F70" s="1146"/>
      <c r="G70" s="1165"/>
      <c r="H70" s="1146"/>
      <c r="I70" s="1146"/>
      <c r="J70" s="1146"/>
      <c r="K70" s="1146"/>
      <c r="L70" s="1165"/>
    </row>
    <row r="71" spans="1:4" ht="12.75">
      <c r="A71" s="1146">
        <v>4</v>
      </c>
      <c r="B71" s="1146" t="str">
        <f>+B6</f>
        <v>May</v>
      </c>
      <c r="C71" s="1146" t="str">
        <f>+C68</f>
        <v>Year 2</v>
      </c>
      <c r="D71" s="1147" t="str">
        <f>+D6</f>
        <v>Post results of Step 3 on PJM web site.</v>
      </c>
    </row>
    <row r="72" spans="4:7" ht="12.75">
      <c r="D72" s="1156">
        <v>0</v>
      </c>
      <c r="F72" s="1148" t="s">
        <v>259</v>
      </c>
      <c r="G72" s="1181"/>
    </row>
    <row r="73" spans="4:5" ht="12.75">
      <c r="D73" s="1182"/>
      <c r="E73" s="1183"/>
    </row>
    <row r="74" spans="1:12" ht="12.75">
      <c r="A74" s="1146">
        <f>+A7</f>
        <v>5</v>
      </c>
      <c r="B74" s="1146" t="str">
        <f>+B7</f>
        <v>June</v>
      </c>
      <c r="C74" s="1146" t="str">
        <f>+C7</f>
        <v>Year 2</v>
      </c>
      <c r="D74" s="1148" t="str">
        <f>+D7</f>
        <v>Results of Step 3 go into effect.</v>
      </c>
      <c r="E74" s="1148"/>
      <c r="H74" s="1166"/>
      <c r="I74" s="1166"/>
      <c r="J74" s="1166"/>
      <c r="K74" s="1166"/>
      <c r="L74" s="1166"/>
    </row>
    <row r="75" spans="4:12" ht="12.75">
      <c r="D75" s="1184"/>
      <c r="E75" s="1181"/>
      <c r="H75" s="1166"/>
      <c r="I75" s="1166"/>
      <c r="J75" s="1166"/>
      <c r="K75" s="1166"/>
      <c r="L75" s="1166"/>
    </row>
    <row r="77" spans="1:5" ht="12.75">
      <c r="A77" s="1146">
        <f>+A8</f>
        <v>6</v>
      </c>
      <c r="B77" s="1146" t="str">
        <f>+B8</f>
        <v>April</v>
      </c>
      <c r="C77" s="1146" t="str">
        <f>+C8</f>
        <v>Year 3</v>
      </c>
      <c r="D77" s="1147" t="str">
        <f>+D8</f>
        <v>TO populates the formula with Year 2 data from FERC Form 1.</v>
      </c>
      <c r="E77" s="1148"/>
    </row>
    <row r="78" spans="4:5" ht="12.75">
      <c r="D78" s="1185"/>
      <c r="E78" s="1185"/>
    </row>
    <row r="79" spans="4:7" ht="12.75">
      <c r="D79" s="1184"/>
      <c r="E79" s="1147" t="s">
        <v>647</v>
      </c>
      <c r="G79" s="1148" t="s">
        <v>260</v>
      </c>
    </row>
    <row r="80" spans="4:7" ht="12.75">
      <c r="D80" s="1166"/>
      <c r="G80" s="1148"/>
    </row>
    <row r="81" spans="4:7" ht="12.75">
      <c r="D81" s="1148" t="s">
        <v>1215</v>
      </c>
      <c r="G81" s="1148"/>
    </row>
    <row r="82" spans="4:51" ht="12.75">
      <c r="D82" s="1148"/>
      <c r="E82" s="1148"/>
      <c r="AG82" s="1469" t="str">
        <f>AG25</f>
        <v>(AD)</v>
      </c>
      <c r="AH82" s="1469" t="str">
        <f aca="true" t="shared" si="66" ref="AH82:AY82">AH25</f>
        <v>(AE)</v>
      </c>
      <c r="AI82" s="1469" t="str">
        <f t="shared" si="66"/>
        <v>(AF)</v>
      </c>
      <c r="AJ82" s="1469" t="str">
        <f t="shared" si="66"/>
        <v>(AG)</v>
      </c>
      <c r="AK82" s="1469" t="str">
        <f t="shared" si="66"/>
        <v>(AH)</v>
      </c>
      <c r="AL82" s="1469" t="str">
        <f t="shared" si="66"/>
        <v>(AI)</v>
      </c>
      <c r="AM82" s="1469" t="str">
        <f t="shared" si="66"/>
        <v>(AJ)</v>
      </c>
      <c r="AN82" s="1469" t="str">
        <f t="shared" si="66"/>
        <v>(AK)</v>
      </c>
      <c r="AO82" s="1469" t="str">
        <f t="shared" si="66"/>
        <v>(AL)</v>
      </c>
      <c r="AP82" s="1469" t="str">
        <f t="shared" si="66"/>
        <v>(AM)</v>
      </c>
      <c r="AQ82" s="1469" t="str">
        <f t="shared" si="66"/>
        <v>(AN)</v>
      </c>
      <c r="AR82" s="1469" t="str">
        <f t="shared" si="66"/>
        <v>(AO)</v>
      </c>
      <c r="AS82" s="1469" t="str">
        <f t="shared" si="66"/>
        <v>(AP)</v>
      </c>
      <c r="AT82" s="1469" t="str">
        <f t="shared" si="66"/>
        <v>(AQ)</v>
      </c>
      <c r="AU82" s="1469" t="str">
        <f t="shared" si="66"/>
        <v>(AR)</v>
      </c>
      <c r="AV82" s="1469" t="str">
        <f t="shared" si="66"/>
        <v>(AS)</v>
      </c>
      <c r="AW82" s="1469" t="str">
        <f t="shared" si="66"/>
        <v>(AT)</v>
      </c>
      <c r="AX82" s="1469" t="str">
        <f t="shared" si="66"/>
        <v>(AU)</v>
      </c>
      <c r="AY82" s="1469" t="str">
        <f t="shared" si="66"/>
        <v>(AV)</v>
      </c>
    </row>
    <row r="83" spans="3:51" ht="12.75">
      <c r="C83" s="1148"/>
      <c r="D83" s="1147" t="str">
        <f>D26</f>
        <v>(A)</v>
      </c>
      <c r="E83" s="1147" t="str">
        <f aca="true" t="shared" si="67" ref="E83:AF83">E26</f>
        <v>(B)</v>
      </c>
      <c r="F83" s="1147" t="str">
        <f t="shared" si="67"/>
        <v>(C)</v>
      </c>
      <c r="G83" s="1147" t="str">
        <f t="shared" si="67"/>
        <v>(D)</v>
      </c>
      <c r="H83" s="1147" t="str">
        <f t="shared" si="67"/>
        <v>(E)</v>
      </c>
      <c r="I83" s="1147" t="str">
        <f t="shared" si="67"/>
        <v>(F)</v>
      </c>
      <c r="J83" s="1147" t="str">
        <f t="shared" si="67"/>
        <v>(G)</v>
      </c>
      <c r="K83" s="1147" t="str">
        <f t="shared" si="67"/>
        <v>(H)</v>
      </c>
      <c r="L83" s="1147" t="str">
        <f t="shared" si="67"/>
        <v>(I)</v>
      </c>
      <c r="M83" s="1147" t="str">
        <f t="shared" si="67"/>
        <v>(J)</v>
      </c>
      <c r="N83" s="1147" t="str">
        <f t="shared" si="67"/>
        <v>(K)</v>
      </c>
      <c r="O83" s="1147" t="str">
        <f t="shared" si="67"/>
        <v>(L)</v>
      </c>
      <c r="P83" s="1147" t="str">
        <f t="shared" si="67"/>
        <v>(M)</v>
      </c>
      <c r="Q83" s="1147" t="str">
        <f t="shared" si="67"/>
        <v>(N)</v>
      </c>
      <c r="R83" s="1147" t="str">
        <f t="shared" si="67"/>
        <v>(O)</v>
      </c>
      <c r="S83" s="1147" t="str">
        <f t="shared" si="67"/>
        <v>(P)</v>
      </c>
      <c r="T83" s="1147" t="str">
        <f t="shared" si="67"/>
        <v>(Q)</v>
      </c>
      <c r="U83" s="1147" t="str">
        <f t="shared" si="67"/>
        <v>(R)</v>
      </c>
      <c r="V83" s="1147" t="str">
        <f t="shared" si="67"/>
        <v>(S)</v>
      </c>
      <c r="W83" s="1147" t="str">
        <f t="shared" si="67"/>
        <v>(T)</v>
      </c>
      <c r="X83" s="1147" t="str">
        <f t="shared" si="67"/>
        <v>(U)</v>
      </c>
      <c r="Y83" s="1147" t="str">
        <f t="shared" si="67"/>
        <v>(V)</v>
      </c>
      <c r="Z83" s="1147" t="str">
        <f t="shared" si="67"/>
        <v>(W)</v>
      </c>
      <c r="AA83" s="1147" t="str">
        <f t="shared" si="67"/>
        <v>(X)</v>
      </c>
      <c r="AB83" s="1147" t="str">
        <f t="shared" si="67"/>
        <v>(Y)</v>
      </c>
      <c r="AC83" s="1147" t="str">
        <f t="shared" si="67"/>
        <v>(Z)</v>
      </c>
      <c r="AD83" s="1147" t="str">
        <f t="shared" si="67"/>
        <v>(AA)</v>
      </c>
      <c r="AE83" s="1147" t="str">
        <f t="shared" si="67"/>
        <v>(AB)</v>
      </c>
      <c r="AF83" s="1147" t="str">
        <f t="shared" si="67"/>
        <v>(AC)</v>
      </c>
      <c r="AG83" s="1157" t="s">
        <v>697</v>
      </c>
      <c r="AH83" s="1158"/>
      <c r="AI83" s="1158"/>
      <c r="AJ83" s="1158"/>
      <c r="AK83" s="1158"/>
      <c r="AL83" s="1158"/>
      <c r="AM83" s="1158"/>
      <c r="AN83" s="1158"/>
      <c r="AO83" s="1158"/>
      <c r="AP83" s="1158"/>
      <c r="AQ83" s="1158"/>
      <c r="AR83" s="1158"/>
      <c r="AS83" s="1158"/>
      <c r="AT83" s="1158"/>
      <c r="AU83" s="1158"/>
      <c r="AV83" s="1158"/>
      <c r="AW83" s="1158"/>
      <c r="AX83" s="1158"/>
      <c r="AY83" s="1158"/>
    </row>
    <row r="84" spans="1:52" ht="44.25" customHeight="1">
      <c r="A84" s="1147"/>
      <c r="B84" s="1147"/>
      <c r="C84" s="1147"/>
      <c r="D84" s="1159" t="s">
        <v>812</v>
      </c>
      <c r="E84" s="1146" t="s">
        <v>584</v>
      </c>
      <c r="F84" s="1146" t="s">
        <v>815</v>
      </c>
      <c r="G84" s="1146" t="s">
        <v>815</v>
      </c>
      <c r="H84" s="1146" t="s">
        <v>815</v>
      </c>
      <c r="I84" s="1146" t="s">
        <v>816</v>
      </c>
      <c r="J84" s="1146" t="s">
        <v>816</v>
      </c>
      <c r="K84" s="1146" t="s">
        <v>817</v>
      </c>
      <c r="L84" s="1147" t="s">
        <v>109</v>
      </c>
      <c r="M84" s="1146" t="s">
        <v>109</v>
      </c>
      <c r="N84" s="1159" t="s">
        <v>1052</v>
      </c>
      <c r="O84" s="1159" t="s">
        <v>1053</v>
      </c>
      <c r="P84" s="1159" t="s">
        <v>1052</v>
      </c>
      <c r="Q84" s="1159" t="s">
        <v>1054</v>
      </c>
      <c r="R84" s="1159" t="s">
        <v>1055</v>
      </c>
      <c r="S84" s="1159" t="s">
        <v>1054</v>
      </c>
      <c r="T84" s="1146" t="s">
        <v>1011</v>
      </c>
      <c r="U84" s="1146" t="s">
        <v>1011</v>
      </c>
      <c r="V84" s="1146" t="s">
        <v>1011</v>
      </c>
      <c r="W84" s="1146" t="s">
        <v>1012</v>
      </c>
      <c r="X84" s="1146" t="s">
        <v>1012</v>
      </c>
      <c r="Y84" s="1146" t="s">
        <v>1012</v>
      </c>
      <c r="Z84" s="1146" t="s">
        <v>1013</v>
      </c>
      <c r="AA84" s="1146" t="s">
        <v>1013</v>
      </c>
      <c r="AB84" s="1501" t="s">
        <v>1136</v>
      </c>
      <c r="AC84" s="1501" t="s">
        <v>1136</v>
      </c>
      <c r="AD84" s="1501" t="s">
        <v>1136</v>
      </c>
      <c r="AE84" s="1146" t="s">
        <v>1014</v>
      </c>
      <c r="AF84" s="1146" t="s">
        <v>1014</v>
      </c>
      <c r="AG84" s="1161" t="s">
        <v>812</v>
      </c>
      <c r="AH84" s="1161" t="s">
        <v>815</v>
      </c>
      <c r="AI84" s="1161" t="s">
        <v>820</v>
      </c>
      <c r="AJ84" s="1161" t="s">
        <v>816</v>
      </c>
      <c r="AK84" s="1161" t="s">
        <v>816</v>
      </c>
      <c r="AL84" s="1161" t="s">
        <v>109</v>
      </c>
      <c r="AM84" s="1288" t="s">
        <v>1052</v>
      </c>
      <c r="AN84" s="1288" t="s">
        <v>1053</v>
      </c>
      <c r="AO84" s="1288" t="s">
        <v>1054</v>
      </c>
      <c r="AP84" s="1288" t="s">
        <v>1055</v>
      </c>
      <c r="AQ84" s="1161" t="s">
        <v>1011</v>
      </c>
      <c r="AR84" s="1161" t="s">
        <v>1011</v>
      </c>
      <c r="AS84" s="1161" t="s">
        <v>1012</v>
      </c>
      <c r="AT84" s="1161" t="s">
        <v>1012</v>
      </c>
      <c r="AU84" s="1161" t="s">
        <v>1013</v>
      </c>
      <c r="AV84" s="1161" t="s">
        <v>1136</v>
      </c>
      <c r="AW84" s="1161" t="s">
        <v>1136</v>
      </c>
      <c r="AX84" s="1161" t="s">
        <v>1136</v>
      </c>
      <c r="AY84" s="1161" t="s">
        <v>1014</v>
      </c>
      <c r="AZ84" s="1147" t="s">
        <v>436</v>
      </c>
    </row>
    <row r="85" spans="1:51" ht="12" customHeight="1">
      <c r="A85" s="1147"/>
      <c r="B85" s="1147"/>
      <c r="C85" s="1147"/>
      <c r="D85" s="1159" t="s">
        <v>115</v>
      </c>
      <c r="E85" s="1146" t="s">
        <v>813</v>
      </c>
      <c r="F85" s="1146" t="s">
        <v>814</v>
      </c>
      <c r="G85" s="1146" t="s">
        <v>115</v>
      </c>
      <c r="H85" s="1146" t="s">
        <v>813</v>
      </c>
      <c r="I85" s="1146" t="s">
        <v>115</v>
      </c>
      <c r="J85" s="1146" t="s">
        <v>813</v>
      </c>
      <c r="K85" s="1146" t="s">
        <v>814</v>
      </c>
      <c r="L85" s="1146" t="s">
        <v>115</v>
      </c>
      <c r="M85" s="1146" t="s">
        <v>813</v>
      </c>
      <c r="N85" s="1146" t="s">
        <v>115</v>
      </c>
      <c r="O85" s="1146" t="s">
        <v>813</v>
      </c>
      <c r="P85" s="1146" t="s">
        <v>814</v>
      </c>
      <c r="Q85" s="1146" t="s">
        <v>115</v>
      </c>
      <c r="R85" s="1146" t="s">
        <v>813</v>
      </c>
      <c r="S85" s="1146" t="s">
        <v>814</v>
      </c>
      <c r="T85" s="1146" t="s">
        <v>115</v>
      </c>
      <c r="U85" s="1146" t="s">
        <v>813</v>
      </c>
      <c r="V85" s="1146" t="s">
        <v>814</v>
      </c>
      <c r="W85" s="1146" t="s">
        <v>115</v>
      </c>
      <c r="X85" s="1146" t="s">
        <v>813</v>
      </c>
      <c r="Y85" s="1146" t="s">
        <v>814</v>
      </c>
      <c r="Z85" s="1146" t="s">
        <v>115</v>
      </c>
      <c r="AA85" s="1146" t="s">
        <v>813</v>
      </c>
      <c r="AB85" s="1408" t="s">
        <v>814</v>
      </c>
      <c r="AC85" s="1408" t="s">
        <v>115</v>
      </c>
      <c r="AD85" s="1408" t="s">
        <v>813</v>
      </c>
      <c r="AE85" s="1146" t="s">
        <v>115</v>
      </c>
      <c r="AF85" s="1146" t="s">
        <v>813</v>
      </c>
      <c r="AG85" s="1162" t="s">
        <v>115</v>
      </c>
      <c r="AH85" s="1162" t="s">
        <v>814</v>
      </c>
      <c r="AI85" s="1162" t="s">
        <v>115</v>
      </c>
      <c r="AJ85" s="1162" t="s">
        <v>115</v>
      </c>
      <c r="AK85" s="1162" t="s">
        <v>814</v>
      </c>
      <c r="AL85" s="1162" t="s">
        <v>115</v>
      </c>
      <c r="AM85" s="1162" t="s">
        <v>115</v>
      </c>
      <c r="AN85" s="1162" t="s">
        <v>814</v>
      </c>
      <c r="AO85" s="1162" t="s">
        <v>115</v>
      </c>
      <c r="AP85" s="1162" t="s">
        <v>814</v>
      </c>
      <c r="AQ85" s="1162" t="s">
        <v>115</v>
      </c>
      <c r="AR85" s="1162" t="s">
        <v>814</v>
      </c>
      <c r="AS85" s="1162" t="s">
        <v>115</v>
      </c>
      <c r="AT85" s="1162" t="s">
        <v>814</v>
      </c>
      <c r="AU85" s="1162" t="s">
        <v>115</v>
      </c>
      <c r="AV85" s="1162" t="s">
        <v>814</v>
      </c>
      <c r="AW85" s="1162" t="s">
        <v>115</v>
      </c>
      <c r="AX85" s="1162" t="s">
        <v>813</v>
      </c>
      <c r="AY85" s="1162" t="s">
        <v>115</v>
      </c>
    </row>
    <row r="86" spans="1:52" ht="12.75">
      <c r="A86" s="1147"/>
      <c r="B86" s="1147"/>
      <c r="C86" s="1147" t="s">
        <v>611</v>
      </c>
      <c r="D86" s="1159"/>
      <c r="E86" s="1146"/>
      <c r="F86" s="1146"/>
      <c r="G86" s="1146"/>
      <c r="H86" s="1146"/>
      <c r="I86" s="1146"/>
      <c r="J86" s="1146"/>
      <c r="K86" s="1146"/>
      <c r="AB86" s="1419"/>
      <c r="AC86" s="1419"/>
      <c r="AD86" s="1419"/>
      <c r="AG86" s="1165"/>
      <c r="AH86" s="1165">
        <v>0</v>
      </c>
      <c r="AI86" s="1165">
        <v>262950644.58900005</v>
      </c>
      <c r="AJ86" s="1165">
        <v>155913692.679</v>
      </c>
      <c r="AK86" s="1165">
        <v>0</v>
      </c>
      <c r="AL86" s="1165">
        <v>3158242</v>
      </c>
      <c r="AM86" s="1417">
        <v>17667781.279999997</v>
      </c>
      <c r="AN86" s="1417">
        <v>0</v>
      </c>
      <c r="AO86" s="1417">
        <v>7808999.05</v>
      </c>
      <c r="AP86" s="1417">
        <v>0</v>
      </c>
      <c r="AQ86" s="1417">
        <v>90672.51000000001</v>
      </c>
      <c r="AR86" s="1417">
        <v>0</v>
      </c>
      <c r="AS86" s="1417">
        <v>5342662.939999998</v>
      </c>
      <c r="AT86" s="1417">
        <v>0</v>
      </c>
      <c r="AU86" s="1417">
        <v>10675843.16</v>
      </c>
      <c r="AV86" s="1417">
        <v>0</v>
      </c>
      <c r="AW86" s="1417">
        <v>0</v>
      </c>
      <c r="AX86" s="1417">
        <v>0</v>
      </c>
      <c r="AY86" s="1417">
        <v>6736837.04</v>
      </c>
      <c r="AZ86" s="1166"/>
    </row>
    <row r="87" spans="1:51" ht="12.75">
      <c r="A87" s="1187"/>
      <c r="C87" s="1147" t="s">
        <v>601</v>
      </c>
      <c r="D87" s="1167">
        <v>2040142.5199999996</v>
      </c>
      <c r="E87" s="1167">
        <v>-88826.11</v>
      </c>
      <c r="F87" s="1167">
        <v>0</v>
      </c>
      <c r="G87" s="1167">
        <v>0</v>
      </c>
      <c r="H87" s="1168">
        <v>0</v>
      </c>
      <c r="I87" s="1167">
        <v>0</v>
      </c>
      <c r="J87" s="1168">
        <v>0</v>
      </c>
      <c r="K87" s="1167">
        <v>0</v>
      </c>
      <c r="L87" s="1168">
        <v>0</v>
      </c>
      <c r="M87" s="1168">
        <v>0</v>
      </c>
      <c r="N87" s="1168">
        <v>-213223.46</v>
      </c>
      <c r="O87" s="1168">
        <v>0</v>
      </c>
      <c r="P87" s="1168">
        <v>0</v>
      </c>
      <c r="Q87" s="1168">
        <v>1140.9400000003952</v>
      </c>
      <c r="R87" s="1168">
        <v>0</v>
      </c>
      <c r="S87" s="1168">
        <v>0</v>
      </c>
      <c r="T87" s="1168">
        <v>-90672.51</v>
      </c>
      <c r="U87" s="1168">
        <v>0</v>
      </c>
      <c r="V87" s="1168">
        <v>0</v>
      </c>
      <c r="W87" s="1168">
        <v>-1317.54</v>
      </c>
      <c r="X87" s="1168">
        <v>0</v>
      </c>
      <c r="Y87" s="1168">
        <v>0</v>
      </c>
      <c r="Z87" s="1168">
        <v>0</v>
      </c>
      <c r="AA87" s="1168">
        <v>0</v>
      </c>
      <c r="AB87" s="1168">
        <v>0</v>
      </c>
      <c r="AC87" s="1168">
        <v>0</v>
      </c>
      <c r="AD87" s="1168">
        <v>0</v>
      </c>
      <c r="AE87" s="1168">
        <v>0</v>
      </c>
      <c r="AF87" s="1168">
        <v>0</v>
      </c>
      <c r="AG87" s="1165">
        <f aca="true" t="shared" si="68" ref="AG87:AG98">AG86+D87+E87</f>
        <v>1951316.4099999995</v>
      </c>
      <c r="AH87" s="1165">
        <f aca="true" t="shared" si="69" ref="AH87:AH98">AH86+F87</f>
        <v>0</v>
      </c>
      <c r="AI87" s="1153">
        <f aca="true" t="shared" si="70" ref="AI87:AI98">AI86+G87+H87</f>
        <v>262950644.58900005</v>
      </c>
      <c r="AJ87" s="1153">
        <f aca="true" t="shared" si="71" ref="AJ87:AJ98">AJ86+I87+J87</f>
        <v>155913692.679</v>
      </c>
      <c r="AK87" s="1153">
        <f aca="true" t="shared" si="72" ref="AK87:AK98">AK86+K87</f>
        <v>0</v>
      </c>
      <c r="AL87" s="1165">
        <f aca="true" t="shared" si="73" ref="AL87:AL98">AL86+L87+M87</f>
        <v>3158242</v>
      </c>
      <c r="AM87" s="1165">
        <f aca="true" t="shared" si="74" ref="AM87:AM98">AM86+N87+O87</f>
        <v>17454557.819999997</v>
      </c>
      <c r="AN87" s="1165">
        <f aca="true" t="shared" si="75" ref="AN87:AN98">+AN86+P87</f>
        <v>0</v>
      </c>
      <c r="AO87" s="1165">
        <f aca="true" t="shared" si="76" ref="AO87:AO98">AO86+Q87+R87</f>
        <v>7810139.99</v>
      </c>
      <c r="AP87" s="1165">
        <f aca="true" t="shared" si="77" ref="AP87:AP98">+AP86+S87</f>
        <v>0</v>
      </c>
      <c r="AQ87" s="1165">
        <f aca="true" t="shared" si="78" ref="AQ87:AQ98">+AQ86+T87</f>
        <v>0</v>
      </c>
      <c r="AR87" s="1165">
        <f aca="true" t="shared" si="79" ref="AR87:AR98">+AR86+V87</f>
        <v>0</v>
      </c>
      <c r="AS87" s="1165">
        <f aca="true" t="shared" si="80" ref="AS87:AS98">+AS86+W87</f>
        <v>5341345.399999998</v>
      </c>
      <c r="AT87" s="1165">
        <f aca="true" t="shared" si="81" ref="AT87:AT98">+AT86+Y87</f>
        <v>0</v>
      </c>
      <c r="AU87" s="1165">
        <f aca="true" t="shared" si="82" ref="AU87:AU98">+AU86+Z87</f>
        <v>10675843.16</v>
      </c>
      <c r="AV87" s="1417">
        <f aca="true" t="shared" si="83" ref="AV87:AV98">+AV86+AB87</f>
        <v>0</v>
      </c>
      <c r="AW87" s="1417">
        <f aca="true" t="shared" si="84" ref="AW87:AW98">+AW86+AC87</f>
        <v>0</v>
      </c>
      <c r="AX87" s="1417">
        <f aca="true" t="shared" si="85" ref="AX87:AX98">+AX86+AD87</f>
        <v>0</v>
      </c>
      <c r="AY87" s="1165">
        <f aca="true" t="shared" si="86" ref="AY87:AY98">+AY86+AE87</f>
        <v>6736837.04</v>
      </c>
    </row>
    <row r="88" spans="1:51" ht="12.75">
      <c r="A88" s="1163"/>
      <c r="C88" s="1147" t="s">
        <v>602</v>
      </c>
      <c r="D88" s="1167">
        <v>33743639.669999994</v>
      </c>
      <c r="E88" s="1167">
        <v>-166356.77</v>
      </c>
      <c r="F88" s="1167">
        <v>0</v>
      </c>
      <c r="G88" s="1167">
        <v>0</v>
      </c>
      <c r="H88" s="1168">
        <v>0</v>
      </c>
      <c r="I88" s="1167">
        <v>0</v>
      </c>
      <c r="J88" s="1168">
        <v>0</v>
      </c>
      <c r="K88" s="1167">
        <v>0</v>
      </c>
      <c r="L88" s="1168">
        <f>+L87</f>
        <v>0</v>
      </c>
      <c r="M88" s="1168">
        <v>0</v>
      </c>
      <c r="N88" s="1168">
        <v>5802</v>
      </c>
      <c r="O88" s="1168">
        <v>0</v>
      </c>
      <c r="P88" s="1168">
        <v>0</v>
      </c>
      <c r="Q88" s="1168">
        <v>-5688.259999999999</v>
      </c>
      <c r="R88" s="1168">
        <v>0</v>
      </c>
      <c r="S88" s="1168">
        <v>0</v>
      </c>
      <c r="T88" s="1168">
        <v>0</v>
      </c>
      <c r="U88" s="1168">
        <v>0</v>
      </c>
      <c r="V88" s="1168">
        <v>0</v>
      </c>
      <c r="W88" s="1168">
        <v>0</v>
      </c>
      <c r="X88" s="1168">
        <v>0</v>
      </c>
      <c r="Y88" s="1168">
        <v>0</v>
      </c>
      <c r="Z88" s="1168">
        <v>0</v>
      </c>
      <c r="AA88" s="1168">
        <v>0</v>
      </c>
      <c r="AB88" s="1168">
        <v>6714</v>
      </c>
      <c r="AC88" s="1168">
        <v>0</v>
      </c>
      <c r="AD88" s="1168">
        <v>0</v>
      </c>
      <c r="AE88" s="1168">
        <v>0</v>
      </c>
      <c r="AF88" s="1168">
        <v>0</v>
      </c>
      <c r="AG88" s="1165">
        <f t="shared" si="68"/>
        <v>35528599.30999999</v>
      </c>
      <c r="AH88" s="1165">
        <f t="shared" si="69"/>
        <v>0</v>
      </c>
      <c r="AI88" s="1153">
        <f t="shared" si="70"/>
        <v>262950644.58900005</v>
      </c>
      <c r="AJ88" s="1153">
        <f t="shared" si="71"/>
        <v>155913692.679</v>
      </c>
      <c r="AK88" s="1153">
        <f t="shared" si="72"/>
        <v>0</v>
      </c>
      <c r="AL88" s="1165">
        <f t="shared" si="73"/>
        <v>3158242</v>
      </c>
      <c r="AM88" s="1165">
        <f t="shared" si="74"/>
        <v>17460359.819999997</v>
      </c>
      <c r="AN88" s="1165">
        <f t="shared" si="75"/>
        <v>0</v>
      </c>
      <c r="AO88" s="1165">
        <f t="shared" si="76"/>
        <v>7804451.73</v>
      </c>
      <c r="AP88" s="1165">
        <f t="shared" si="77"/>
        <v>0</v>
      </c>
      <c r="AQ88" s="1165">
        <f t="shared" si="78"/>
        <v>0</v>
      </c>
      <c r="AR88" s="1165">
        <f t="shared" si="79"/>
        <v>0</v>
      </c>
      <c r="AS88" s="1165">
        <f t="shared" si="80"/>
        <v>5341345.399999998</v>
      </c>
      <c r="AT88" s="1165">
        <f t="shared" si="81"/>
        <v>0</v>
      </c>
      <c r="AU88" s="1165">
        <f t="shared" si="82"/>
        <v>10675843.16</v>
      </c>
      <c r="AV88" s="1417">
        <f t="shared" si="83"/>
        <v>6714</v>
      </c>
      <c r="AW88" s="1417">
        <f t="shared" si="84"/>
        <v>0</v>
      </c>
      <c r="AX88" s="1417">
        <f t="shared" si="85"/>
        <v>0</v>
      </c>
      <c r="AY88" s="1165">
        <f t="shared" si="86"/>
        <v>6736837.04</v>
      </c>
    </row>
    <row r="89" spans="1:51" ht="12.75">
      <c r="A89" s="1163"/>
      <c r="C89" s="1147" t="s">
        <v>603</v>
      </c>
      <c r="D89" s="1167">
        <v>390339.23000000056</v>
      </c>
      <c r="E89" s="1167">
        <v>-263116.33</v>
      </c>
      <c r="F89" s="1167">
        <v>0</v>
      </c>
      <c r="G89" s="1167">
        <v>0</v>
      </c>
      <c r="H89" s="1168">
        <v>0</v>
      </c>
      <c r="I89" s="1167">
        <v>0</v>
      </c>
      <c r="J89" s="1168">
        <v>0</v>
      </c>
      <c r="K89" s="1167">
        <v>0</v>
      </c>
      <c r="L89" s="1168">
        <v>0</v>
      </c>
      <c r="M89" s="1168">
        <v>0</v>
      </c>
      <c r="N89" s="1168">
        <v>-4553.78</v>
      </c>
      <c r="O89" s="1168">
        <v>0</v>
      </c>
      <c r="P89" s="1168">
        <v>0</v>
      </c>
      <c r="Q89" s="1168">
        <v>-26490.589999999953</v>
      </c>
      <c r="R89" s="1168">
        <v>0</v>
      </c>
      <c r="S89" s="1168">
        <v>0</v>
      </c>
      <c r="T89" s="1168">
        <v>0</v>
      </c>
      <c r="U89" s="1168">
        <v>0</v>
      </c>
      <c r="V89" s="1168">
        <v>0</v>
      </c>
      <c r="W89" s="1168">
        <v>-788.22</v>
      </c>
      <c r="X89" s="1168">
        <v>0</v>
      </c>
      <c r="Y89" s="1168">
        <v>0</v>
      </c>
      <c r="Z89" s="1168">
        <v>0</v>
      </c>
      <c r="AA89" s="1168">
        <v>0</v>
      </c>
      <c r="AB89" s="1168">
        <v>9659</v>
      </c>
      <c r="AC89" s="1168">
        <v>0</v>
      </c>
      <c r="AD89" s="1168">
        <v>0</v>
      </c>
      <c r="AE89" s="1168">
        <v>0</v>
      </c>
      <c r="AF89" s="1168">
        <v>0</v>
      </c>
      <c r="AG89" s="1165">
        <f t="shared" si="68"/>
        <v>35655822.20999999</v>
      </c>
      <c r="AH89" s="1165">
        <f t="shared" si="69"/>
        <v>0</v>
      </c>
      <c r="AI89" s="1153">
        <f t="shared" si="70"/>
        <v>262950644.58900005</v>
      </c>
      <c r="AJ89" s="1153">
        <f t="shared" si="71"/>
        <v>155913692.679</v>
      </c>
      <c r="AK89" s="1153">
        <f t="shared" si="72"/>
        <v>0</v>
      </c>
      <c r="AL89" s="1165">
        <f t="shared" si="73"/>
        <v>3158242</v>
      </c>
      <c r="AM89" s="1165">
        <f t="shared" si="74"/>
        <v>17455806.039999995</v>
      </c>
      <c r="AN89" s="1165">
        <f t="shared" si="75"/>
        <v>0</v>
      </c>
      <c r="AO89" s="1165">
        <f t="shared" si="76"/>
        <v>7777961.140000001</v>
      </c>
      <c r="AP89" s="1165">
        <f t="shared" si="77"/>
        <v>0</v>
      </c>
      <c r="AQ89" s="1165">
        <f t="shared" si="78"/>
        <v>0</v>
      </c>
      <c r="AR89" s="1165">
        <f t="shared" si="79"/>
        <v>0</v>
      </c>
      <c r="AS89" s="1165">
        <f t="shared" si="80"/>
        <v>5340557.179999998</v>
      </c>
      <c r="AT89" s="1165">
        <f t="shared" si="81"/>
        <v>0</v>
      </c>
      <c r="AU89" s="1165">
        <f t="shared" si="82"/>
        <v>10675843.16</v>
      </c>
      <c r="AV89" s="1417">
        <f t="shared" si="83"/>
        <v>16373</v>
      </c>
      <c r="AW89" s="1417">
        <f t="shared" si="84"/>
        <v>0</v>
      </c>
      <c r="AX89" s="1417">
        <f t="shared" si="85"/>
        <v>0</v>
      </c>
      <c r="AY89" s="1165">
        <f t="shared" si="86"/>
        <v>6736837.04</v>
      </c>
    </row>
    <row r="90" spans="1:51" ht="12.75">
      <c r="A90" s="1163"/>
      <c r="C90" s="1147" t="s">
        <v>604</v>
      </c>
      <c r="D90" s="1167">
        <v>220916.56999999844</v>
      </c>
      <c r="E90" s="1167">
        <v>-508421.52</v>
      </c>
      <c r="F90" s="1167">
        <v>0</v>
      </c>
      <c r="G90" s="1167">
        <v>0</v>
      </c>
      <c r="H90" s="1168">
        <v>0</v>
      </c>
      <c r="I90" s="1167">
        <v>0</v>
      </c>
      <c r="J90" s="1168">
        <v>0</v>
      </c>
      <c r="K90" s="1167">
        <v>0</v>
      </c>
      <c r="L90" s="1168">
        <v>0</v>
      </c>
      <c r="M90" s="1168">
        <v>0</v>
      </c>
      <c r="N90" s="1168">
        <v>12923.15</v>
      </c>
      <c r="O90" s="1168">
        <v>0</v>
      </c>
      <c r="P90" s="1168">
        <v>0</v>
      </c>
      <c r="Q90" s="1168">
        <v>59468.830000000045</v>
      </c>
      <c r="R90" s="1168">
        <v>0</v>
      </c>
      <c r="S90" s="1168">
        <v>0</v>
      </c>
      <c r="T90" s="1168">
        <v>0</v>
      </c>
      <c r="U90" s="1168">
        <v>0</v>
      </c>
      <c r="V90" s="1168">
        <v>0</v>
      </c>
      <c r="W90" s="1168">
        <v>-1845.15</v>
      </c>
      <c r="X90" s="1168">
        <v>0</v>
      </c>
      <c r="Y90" s="1168">
        <v>0</v>
      </c>
      <c r="Z90" s="1168">
        <v>0</v>
      </c>
      <c r="AA90" s="1168">
        <v>0</v>
      </c>
      <c r="AB90" s="1168">
        <v>7069</v>
      </c>
      <c r="AC90" s="1168">
        <v>0</v>
      </c>
      <c r="AD90" s="1168">
        <v>0</v>
      </c>
      <c r="AE90" s="1168">
        <v>0</v>
      </c>
      <c r="AF90" s="1168">
        <v>0</v>
      </c>
      <c r="AG90" s="1165">
        <f t="shared" si="68"/>
        <v>35368317.25999999</v>
      </c>
      <c r="AH90" s="1165">
        <f t="shared" si="69"/>
        <v>0</v>
      </c>
      <c r="AI90" s="1153">
        <f t="shared" si="70"/>
        <v>262950644.58900005</v>
      </c>
      <c r="AJ90" s="1153">
        <f t="shared" si="71"/>
        <v>155913692.679</v>
      </c>
      <c r="AK90" s="1153">
        <f t="shared" si="72"/>
        <v>0</v>
      </c>
      <c r="AL90" s="1165">
        <f t="shared" si="73"/>
        <v>3158242</v>
      </c>
      <c r="AM90" s="1165">
        <f t="shared" si="74"/>
        <v>17468729.189999994</v>
      </c>
      <c r="AN90" s="1165">
        <f t="shared" si="75"/>
        <v>0</v>
      </c>
      <c r="AO90" s="1165">
        <f t="shared" si="76"/>
        <v>7837429.970000001</v>
      </c>
      <c r="AP90" s="1165">
        <f t="shared" si="77"/>
        <v>0</v>
      </c>
      <c r="AQ90" s="1165">
        <f t="shared" si="78"/>
        <v>0</v>
      </c>
      <c r="AR90" s="1165">
        <f t="shared" si="79"/>
        <v>0</v>
      </c>
      <c r="AS90" s="1165">
        <f t="shared" si="80"/>
        <v>5338712.0299999975</v>
      </c>
      <c r="AT90" s="1165">
        <f t="shared" si="81"/>
        <v>0</v>
      </c>
      <c r="AU90" s="1165">
        <f t="shared" si="82"/>
        <v>10675843.16</v>
      </c>
      <c r="AV90" s="1417">
        <f t="shared" si="83"/>
        <v>23442</v>
      </c>
      <c r="AW90" s="1417">
        <f t="shared" si="84"/>
        <v>0</v>
      </c>
      <c r="AX90" s="1417">
        <f t="shared" si="85"/>
        <v>0</v>
      </c>
      <c r="AY90" s="1165">
        <f t="shared" si="86"/>
        <v>6736837.04</v>
      </c>
    </row>
    <row r="91" spans="1:51" ht="12.75">
      <c r="A91" s="1163"/>
      <c r="C91" s="1147" t="s">
        <v>599</v>
      </c>
      <c r="D91" s="1167">
        <v>13788928.23</v>
      </c>
      <c r="E91" s="1167">
        <v>-192974.61</v>
      </c>
      <c r="F91" s="1167">
        <v>0</v>
      </c>
      <c r="G91" s="1167">
        <v>0</v>
      </c>
      <c r="H91" s="1168">
        <v>0</v>
      </c>
      <c r="I91" s="1167">
        <v>0</v>
      </c>
      <c r="J91" s="1168">
        <v>0</v>
      </c>
      <c r="K91" s="1167">
        <v>0</v>
      </c>
      <c r="L91" s="1168">
        <v>0</v>
      </c>
      <c r="M91" s="1168">
        <v>0</v>
      </c>
      <c r="N91" s="1168">
        <v>232515</v>
      </c>
      <c r="O91" s="1168">
        <v>0</v>
      </c>
      <c r="P91" s="1168">
        <v>0</v>
      </c>
      <c r="Q91" s="1168">
        <v>447793.55000000005</v>
      </c>
      <c r="R91" s="1168">
        <v>0</v>
      </c>
      <c r="S91" s="1168">
        <v>0</v>
      </c>
      <c r="T91" s="1168">
        <v>0</v>
      </c>
      <c r="U91" s="1168">
        <v>0</v>
      </c>
      <c r="V91" s="1168">
        <v>0</v>
      </c>
      <c r="W91" s="1168">
        <v>0</v>
      </c>
      <c r="X91" s="1168">
        <v>0</v>
      </c>
      <c r="Y91" s="1168">
        <v>0</v>
      </c>
      <c r="Z91" s="1168">
        <v>0</v>
      </c>
      <c r="AA91" s="1168">
        <v>0</v>
      </c>
      <c r="AB91" s="1168">
        <v>12388</v>
      </c>
      <c r="AC91" s="1168">
        <v>0</v>
      </c>
      <c r="AD91" s="1168">
        <v>0</v>
      </c>
      <c r="AE91" s="1168">
        <v>0</v>
      </c>
      <c r="AF91" s="1168">
        <v>0</v>
      </c>
      <c r="AG91" s="1165">
        <f t="shared" si="68"/>
        <v>48964270.879999995</v>
      </c>
      <c r="AH91" s="1165">
        <f t="shared" si="69"/>
        <v>0</v>
      </c>
      <c r="AI91" s="1153">
        <f t="shared" si="70"/>
        <v>262950644.58900005</v>
      </c>
      <c r="AJ91" s="1153">
        <f t="shared" si="71"/>
        <v>155913692.679</v>
      </c>
      <c r="AK91" s="1153">
        <f t="shared" si="72"/>
        <v>0</v>
      </c>
      <c r="AL91" s="1165">
        <f t="shared" si="73"/>
        <v>3158242</v>
      </c>
      <c r="AM91" s="1165">
        <f t="shared" si="74"/>
        <v>17701244.189999994</v>
      </c>
      <c r="AN91" s="1165">
        <f t="shared" si="75"/>
        <v>0</v>
      </c>
      <c r="AO91" s="1165">
        <f t="shared" si="76"/>
        <v>8285223.5200000005</v>
      </c>
      <c r="AP91" s="1165">
        <f t="shared" si="77"/>
        <v>0</v>
      </c>
      <c r="AQ91" s="1165">
        <f t="shared" si="78"/>
        <v>0</v>
      </c>
      <c r="AR91" s="1165">
        <f t="shared" si="79"/>
        <v>0</v>
      </c>
      <c r="AS91" s="1165">
        <f t="shared" si="80"/>
        <v>5338712.0299999975</v>
      </c>
      <c r="AT91" s="1165">
        <f t="shared" si="81"/>
        <v>0</v>
      </c>
      <c r="AU91" s="1165">
        <f t="shared" si="82"/>
        <v>10675843.16</v>
      </c>
      <c r="AV91" s="1417">
        <f t="shared" si="83"/>
        <v>35830</v>
      </c>
      <c r="AW91" s="1417">
        <f t="shared" si="84"/>
        <v>0</v>
      </c>
      <c r="AX91" s="1417">
        <f t="shared" si="85"/>
        <v>0</v>
      </c>
      <c r="AY91" s="1165">
        <f t="shared" si="86"/>
        <v>6736837.04</v>
      </c>
    </row>
    <row r="92" spans="1:51" ht="12.75">
      <c r="A92" s="1163"/>
      <c r="C92" s="1147" t="s">
        <v>605</v>
      </c>
      <c r="D92" s="1167">
        <v>4247785.7200000025</v>
      </c>
      <c r="E92" s="1167">
        <v>-14520.49</v>
      </c>
      <c r="F92" s="1167">
        <v>0</v>
      </c>
      <c r="G92" s="1167">
        <v>0</v>
      </c>
      <c r="H92" s="1168">
        <v>0</v>
      </c>
      <c r="I92" s="1167">
        <v>0</v>
      </c>
      <c r="J92" s="1168">
        <v>0</v>
      </c>
      <c r="K92" s="1167">
        <v>0</v>
      </c>
      <c r="L92" s="1168">
        <v>0</v>
      </c>
      <c r="M92" s="1168">
        <v>0</v>
      </c>
      <c r="N92" s="1168">
        <v>0</v>
      </c>
      <c r="O92" s="1168">
        <v>0</v>
      </c>
      <c r="P92" s="1168">
        <v>0</v>
      </c>
      <c r="Q92" s="1168">
        <v>2043.8399999999965</v>
      </c>
      <c r="R92" s="1168">
        <v>0</v>
      </c>
      <c r="S92" s="1168">
        <v>0</v>
      </c>
      <c r="T92" s="1168">
        <v>0</v>
      </c>
      <c r="U92" s="1168">
        <v>0</v>
      </c>
      <c r="V92" s="1168">
        <v>0</v>
      </c>
      <c r="W92" s="1168">
        <v>0</v>
      </c>
      <c r="X92" s="1168">
        <v>0</v>
      </c>
      <c r="Y92" s="1168">
        <v>0</v>
      </c>
      <c r="Z92" s="1168">
        <v>0</v>
      </c>
      <c r="AA92" s="1168">
        <v>0</v>
      </c>
      <c r="AB92" s="1168">
        <v>9626</v>
      </c>
      <c r="AC92" s="1168">
        <v>0</v>
      </c>
      <c r="AD92" s="1168">
        <v>0</v>
      </c>
      <c r="AE92" s="1168">
        <v>0</v>
      </c>
      <c r="AF92" s="1168">
        <v>0</v>
      </c>
      <c r="AG92" s="1165">
        <f t="shared" si="68"/>
        <v>53197536.10999999</v>
      </c>
      <c r="AH92" s="1165">
        <f t="shared" si="69"/>
        <v>0</v>
      </c>
      <c r="AI92" s="1153">
        <f t="shared" si="70"/>
        <v>262950644.58900005</v>
      </c>
      <c r="AJ92" s="1153">
        <f t="shared" si="71"/>
        <v>155913692.679</v>
      </c>
      <c r="AK92" s="1153">
        <f t="shared" si="72"/>
        <v>0</v>
      </c>
      <c r="AL92" s="1165">
        <f t="shared" si="73"/>
        <v>3158242</v>
      </c>
      <c r="AM92" s="1165">
        <f t="shared" si="74"/>
        <v>17701244.189999994</v>
      </c>
      <c r="AN92" s="1165">
        <f t="shared" si="75"/>
        <v>0</v>
      </c>
      <c r="AO92" s="1165">
        <f t="shared" si="76"/>
        <v>8287267.36</v>
      </c>
      <c r="AP92" s="1165">
        <f t="shared" si="77"/>
        <v>0</v>
      </c>
      <c r="AQ92" s="1165">
        <f t="shared" si="78"/>
        <v>0</v>
      </c>
      <c r="AR92" s="1165">
        <f t="shared" si="79"/>
        <v>0</v>
      </c>
      <c r="AS92" s="1165">
        <f t="shared" si="80"/>
        <v>5338712.0299999975</v>
      </c>
      <c r="AT92" s="1165">
        <f t="shared" si="81"/>
        <v>0</v>
      </c>
      <c r="AU92" s="1165">
        <f t="shared" si="82"/>
        <v>10675843.16</v>
      </c>
      <c r="AV92" s="1417">
        <f t="shared" si="83"/>
        <v>45456</v>
      </c>
      <c r="AW92" s="1417">
        <f t="shared" si="84"/>
        <v>0</v>
      </c>
      <c r="AX92" s="1417">
        <f t="shared" si="85"/>
        <v>0</v>
      </c>
      <c r="AY92" s="1165">
        <f t="shared" si="86"/>
        <v>6736837.04</v>
      </c>
    </row>
    <row r="93" spans="1:51" ht="12.75">
      <c r="A93" s="1163"/>
      <c r="C93" s="1147" t="s">
        <v>606</v>
      </c>
      <c r="D93" s="1167">
        <v>806007.9199999976</v>
      </c>
      <c r="E93" s="1167">
        <v>-212.5</v>
      </c>
      <c r="F93" s="1167">
        <v>0</v>
      </c>
      <c r="G93" s="1167">
        <v>0</v>
      </c>
      <c r="H93" s="1168">
        <v>0</v>
      </c>
      <c r="I93" s="1167">
        <v>0</v>
      </c>
      <c r="J93" s="1168">
        <v>0</v>
      </c>
      <c r="K93" s="1167">
        <v>0</v>
      </c>
      <c r="L93" s="1168">
        <v>0</v>
      </c>
      <c r="M93" s="1168">
        <v>0</v>
      </c>
      <c r="N93" s="1168">
        <v>-402</v>
      </c>
      <c r="O93" s="1168">
        <v>0</v>
      </c>
      <c r="P93" s="1168">
        <v>0</v>
      </c>
      <c r="Q93" s="1168">
        <v>6782.770000000004</v>
      </c>
      <c r="R93" s="1168">
        <v>0</v>
      </c>
      <c r="S93" s="1168">
        <v>0</v>
      </c>
      <c r="T93" s="1168">
        <v>0</v>
      </c>
      <c r="U93" s="1168">
        <v>0</v>
      </c>
      <c r="V93" s="1168">
        <v>0</v>
      </c>
      <c r="W93" s="1168">
        <v>0</v>
      </c>
      <c r="X93" s="1168">
        <v>0</v>
      </c>
      <c r="Y93" s="1168">
        <v>0</v>
      </c>
      <c r="Z93" s="1168">
        <v>0</v>
      </c>
      <c r="AA93" s="1168">
        <v>0</v>
      </c>
      <c r="AB93" s="1168">
        <v>3003</v>
      </c>
      <c r="AC93" s="1168">
        <v>0</v>
      </c>
      <c r="AD93" s="1168">
        <v>0</v>
      </c>
      <c r="AE93" s="1168">
        <v>0</v>
      </c>
      <c r="AF93" s="1168">
        <v>0</v>
      </c>
      <c r="AG93" s="1165">
        <f t="shared" si="68"/>
        <v>54003331.52999999</v>
      </c>
      <c r="AH93" s="1165">
        <f t="shared" si="69"/>
        <v>0</v>
      </c>
      <c r="AI93" s="1153">
        <f t="shared" si="70"/>
        <v>262950644.58900005</v>
      </c>
      <c r="AJ93" s="1153">
        <f t="shared" si="71"/>
        <v>155913692.679</v>
      </c>
      <c r="AK93" s="1153">
        <f t="shared" si="72"/>
        <v>0</v>
      </c>
      <c r="AL93" s="1165">
        <f t="shared" si="73"/>
        <v>3158242</v>
      </c>
      <c r="AM93" s="1165">
        <f t="shared" si="74"/>
        <v>17700842.189999994</v>
      </c>
      <c r="AN93" s="1165">
        <f t="shared" si="75"/>
        <v>0</v>
      </c>
      <c r="AO93" s="1165">
        <f t="shared" si="76"/>
        <v>8294050.13</v>
      </c>
      <c r="AP93" s="1165">
        <f t="shared" si="77"/>
        <v>0</v>
      </c>
      <c r="AQ93" s="1165">
        <f t="shared" si="78"/>
        <v>0</v>
      </c>
      <c r="AR93" s="1165">
        <f t="shared" si="79"/>
        <v>0</v>
      </c>
      <c r="AS93" s="1165">
        <f t="shared" si="80"/>
        <v>5338712.0299999975</v>
      </c>
      <c r="AT93" s="1165">
        <f t="shared" si="81"/>
        <v>0</v>
      </c>
      <c r="AU93" s="1165">
        <f t="shared" si="82"/>
        <v>10675843.16</v>
      </c>
      <c r="AV93" s="1417">
        <f t="shared" si="83"/>
        <v>48459</v>
      </c>
      <c r="AW93" s="1417">
        <f t="shared" si="84"/>
        <v>0</v>
      </c>
      <c r="AX93" s="1417">
        <f t="shared" si="85"/>
        <v>0</v>
      </c>
      <c r="AY93" s="1165">
        <f t="shared" si="86"/>
        <v>6736837.04</v>
      </c>
    </row>
    <row r="94" spans="1:51" ht="12.75">
      <c r="A94" s="1163"/>
      <c r="C94" s="1147" t="s">
        <v>607</v>
      </c>
      <c r="D94" s="1167">
        <v>-2471642.380000001</v>
      </c>
      <c r="E94" s="1167">
        <v>-54367.19</v>
      </c>
      <c r="F94" s="1167">
        <v>0</v>
      </c>
      <c r="G94" s="1167">
        <v>0</v>
      </c>
      <c r="H94" s="1168">
        <v>0</v>
      </c>
      <c r="I94" s="1167">
        <v>0</v>
      </c>
      <c r="J94" s="1168">
        <v>0</v>
      </c>
      <c r="K94" s="1167">
        <v>0</v>
      </c>
      <c r="L94" s="1168">
        <v>0</v>
      </c>
      <c r="M94" s="1168">
        <v>0</v>
      </c>
      <c r="N94" s="1168">
        <v>0</v>
      </c>
      <c r="O94" s="1168">
        <v>0</v>
      </c>
      <c r="P94" s="1168">
        <v>0</v>
      </c>
      <c r="Q94" s="1168">
        <v>1251.9900000000052</v>
      </c>
      <c r="R94" s="1168">
        <v>0</v>
      </c>
      <c r="S94" s="1168">
        <v>0</v>
      </c>
      <c r="T94" s="1168">
        <v>0</v>
      </c>
      <c r="U94" s="1168">
        <v>0</v>
      </c>
      <c r="V94" s="1168">
        <v>0</v>
      </c>
      <c r="W94" s="1168">
        <v>0</v>
      </c>
      <c r="X94" s="1168">
        <v>0</v>
      </c>
      <c r="Y94" s="1168">
        <v>0</v>
      </c>
      <c r="Z94" s="1168">
        <v>0</v>
      </c>
      <c r="AA94" s="1168">
        <v>0</v>
      </c>
      <c r="AB94" s="1168">
        <v>3635</v>
      </c>
      <c r="AC94" s="1168">
        <v>0</v>
      </c>
      <c r="AD94" s="1168">
        <v>0</v>
      </c>
      <c r="AE94" s="1168">
        <v>0</v>
      </c>
      <c r="AF94" s="1168">
        <v>0</v>
      </c>
      <c r="AG94" s="1165">
        <f t="shared" si="68"/>
        <v>51477321.959999986</v>
      </c>
      <c r="AH94" s="1165">
        <f t="shared" si="69"/>
        <v>0</v>
      </c>
      <c r="AI94" s="1153">
        <f t="shared" si="70"/>
        <v>262950644.58900005</v>
      </c>
      <c r="AJ94" s="1153">
        <f t="shared" si="71"/>
        <v>155913692.679</v>
      </c>
      <c r="AK94" s="1153">
        <f t="shared" si="72"/>
        <v>0</v>
      </c>
      <c r="AL94" s="1165">
        <f t="shared" si="73"/>
        <v>3158242</v>
      </c>
      <c r="AM94" s="1165">
        <f t="shared" si="74"/>
        <v>17700842.189999994</v>
      </c>
      <c r="AN94" s="1165">
        <f t="shared" si="75"/>
        <v>0</v>
      </c>
      <c r="AO94" s="1165">
        <f t="shared" si="76"/>
        <v>8295302.12</v>
      </c>
      <c r="AP94" s="1165">
        <f t="shared" si="77"/>
        <v>0</v>
      </c>
      <c r="AQ94" s="1165">
        <f t="shared" si="78"/>
        <v>0</v>
      </c>
      <c r="AR94" s="1165">
        <f t="shared" si="79"/>
        <v>0</v>
      </c>
      <c r="AS94" s="1165">
        <f t="shared" si="80"/>
        <v>5338712.0299999975</v>
      </c>
      <c r="AT94" s="1165">
        <f t="shared" si="81"/>
        <v>0</v>
      </c>
      <c r="AU94" s="1165">
        <f t="shared" si="82"/>
        <v>10675843.16</v>
      </c>
      <c r="AV94" s="1417">
        <f t="shared" si="83"/>
        <v>52094</v>
      </c>
      <c r="AW94" s="1417">
        <f t="shared" si="84"/>
        <v>0</v>
      </c>
      <c r="AX94" s="1417">
        <f t="shared" si="85"/>
        <v>0</v>
      </c>
      <c r="AY94" s="1165">
        <f t="shared" si="86"/>
        <v>6736837.04</v>
      </c>
    </row>
    <row r="95" spans="1:51" ht="12.75">
      <c r="A95" s="1163"/>
      <c r="C95" s="1147" t="s">
        <v>608</v>
      </c>
      <c r="D95" s="1167">
        <v>2873784.440000003</v>
      </c>
      <c r="E95" s="1167">
        <v>-445210.13</v>
      </c>
      <c r="F95" s="1167">
        <v>0</v>
      </c>
      <c r="G95" s="1167">
        <v>0</v>
      </c>
      <c r="H95" s="1168">
        <v>0</v>
      </c>
      <c r="I95" s="1167">
        <v>0</v>
      </c>
      <c r="J95" s="1168">
        <v>0</v>
      </c>
      <c r="K95" s="1167">
        <v>0</v>
      </c>
      <c r="L95" s="1168">
        <v>0</v>
      </c>
      <c r="M95" s="1168">
        <v>0</v>
      </c>
      <c r="N95" s="1168">
        <v>0</v>
      </c>
      <c r="O95" s="1168">
        <v>0</v>
      </c>
      <c r="P95" s="1168">
        <v>0</v>
      </c>
      <c r="Q95" s="1168">
        <v>-2197.9899999999907</v>
      </c>
      <c r="R95" s="1168">
        <v>0</v>
      </c>
      <c r="S95" s="1168">
        <v>0</v>
      </c>
      <c r="T95" s="1168">
        <v>0</v>
      </c>
      <c r="U95" s="1168">
        <v>0</v>
      </c>
      <c r="V95" s="1168">
        <v>0</v>
      </c>
      <c r="W95" s="1168">
        <v>0</v>
      </c>
      <c r="X95" s="1168">
        <v>0</v>
      </c>
      <c r="Y95" s="1168">
        <v>0</v>
      </c>
      <c r="Z95" s="1168">
        <v>0</v>
      </c>
      <c r="AA95" s="1168">
        <v>0</v>
      </c>
      <c r="AB95" s="1168">
        <v>119977</v>
      </c>
      <c r="AC95" s="1168">
        <v>0</v>
      </c>
      <c r="AD95" s="1168">
        <v>0</v>
      </c>
      <c r="AE95" s="1168">
        <v>0</v>
      </c>
      <c r="AF95" s="1168">
        <v>0</v>
      </c>
      <c r="AG95" s="1165">
        <f t="shared" si="68"/>
        <v>53905896.26999999</v>
      </c>
      <c r="AH95" s="1165">
        <f t="shared" si="69"/>
        <v>0</v>
      </c>
      <c r="AI95" s="1153">
        <f t="shared" si="70"/>
        <v>262950644.58900005</v>
      </c>
      <c r="AJ95" s="1153">
        <f t="shared" si="71"/>
        <v>155913692.679</v>
      </c>
      <c r="AK95" s="1153">
        <f t="shared" si="72"/>
        <v>0</v>
      </c>
      <c r="AL95" s="1165">
        <f t="shared" si="73"/>
        <v>3158242</v>
      </c>
      <c r="AM95" s="1165">
        <f t="shared" si="74"/>
        <v>17700842.189999994</v>
      </c>
      <c r="AN95" s="1165">
        <f t="shared" si="75"/>
        <v>0</v>
      </c>
      <c r="AO95" s="1165">
        <f t="shared" si="76"/>
        <v>8293104.13</v>
      </c>
      <c r="AP95" s="1165">
        <f t="shared" si="77"/>
        <v>0</v>
      </c>
      <c r="AQ95" s="1165">
        <f t="shared" si="78"/>
        <v>0</v>
      </c>
      <c r="AR95" s="1165">
        <f t="shared" si="79"/>
        <v>0</v>
      </c>
      <c r="AS95" s="1165">
        <f t="shared" si="80"/>
        <v>5338712.0299999975</v>
      </c>
      <c r="AT95" s="1165">
        <f t="shared" si="81"/>
        <v>0</v>
      </c>
      <c r="AU95" s="1165">
        <f t="shared" si="82"/>
        <v>10675843.16</v>
      </c>
      <c r="AV95" s="1417">
        <f t="shared" si="83"/>
        <v>172071</v>
      </c>
      <c r="AW95" s="1417">
        <f t="shared" si="84"/>
        <v>0</v>
      </c>
      <c r="AX95" s="1417">
        <f t="shared" si="85"/>
        <v>0</v>
      </c>
      <c r="AY95" s="1165">
        <f t="shared" si="86"/>
        <v>6736837.04</v>
      </c>
    </row>
    <row r="96" spans="1:51" ht="12.75">
      <c r="A96" s="1163"/>
      <c r="C96" s="1147" t="s">
        <v>609</v>
      </c>
      <c r="D96" s="1167">
        <v>1395070.2400000012</v>
      </c>
      <c r="E96" s="1167">
        <v>-182822.03</v>
      </c>
      <c r="F96" s="1167">
        <v>0</v>
      </c>
      <c r="G96" s="1167">
        <v>0</v>
      </c>
      <c r="H96" s="1168">
        <v>0</v>
      </c>
      <c r="I96" s="1167">
        <v>0</v>
      </c>
      <c r="J96" s="1168">
        <v>0</v>
      </c>
      <c r="K96" s="1167">
        <v>0</v>
      </c>
      <c r="L96" s="1168">
        <v>0</v>
      </c>
      <c r="M96" s="1168">
        <v>0</v>
      </c>
      <c r="N96" s="1168">
        <v>0</v>
      </c>
      <c r="O96" s="1168">
        <v>0</v>
      </c>
      <c r="P96" s="1168">
        <v>0</v>
      </c>
      <c r="Q96" s="1168">
        <v>-6211.960000000028</v>
      </c>
      <c r="R96" s="1168">
        <v>0</v>
      </c>
      <c r="S96" s="1168">
        <v>0</v>
      </c>
      <c r="T96" s="1168">
        <v>0</v>
      </c>
      <c r="U96" s="1168">
        <v>0</v>
      </c>
      <c r="V96" s="1168">
        <v>0</v>
      </c>
      <c r="W96" s="1168">
        <v>0</v>
      </c>
      <c r="X96" s="1168">
        <v>0</v>
      </c>
      <c r="Y96" s="1168">
        <v>0</v>
      </c>
      <c r="Z96" s="1168">
        <v>0</v>
      </c>
      <c r="AA96" s="1168">
        <v>0</v>
      </c>
      <c r="AB96" s="1168">
        <v>32056</v>
      </c>
      <c r="AC96" s="1168">
        <v>0</v>
      </c>
      <c r="AD96" s="1168">
        <v>0</v>
      </c>
      <c r="AE96" s="1168">
        <v>0</v>
      </c>
      <c r="AF96" s="1168">
        <v>0</v>
      </c>
      <c r="AG96" s="1165">
        <f t="shared" si="68"/>
        <v>55118144.47999999</v>
      </c>
      <c r="AH96" s="1165">
        <f t="shared" si="69"/>
        <v>0</v>
      </c>
      <c r="AI96" s="1153">
        <f t="shared" si="70"/>
        <v>262950644.58900005</v>
      </c>
      <c r="AJ96" s="1153">
        <f t="shared" si="71"/>
        <v>155913692.679</v>
      </c>
      <c r="AK96" s="1153">
        <f t="shared" si="72"/>
        <v>0</v>
      </c>
      <c r="AL96" s="1165">
        <f t="shared" si="73"/>
        <v>3158242</v>
      </c>
      <c r="AM96" s="1165">
        <f t="shared" si="74"/>
        <v>17700842.189999994</v>
      </c>
      <c r="AN96" s="1165">
        <f t="shared" si="75"/>
        <v>0</v>
      </c>
      <c r="AO96" s="1165">
        <f t="shared" si="76"/>
        <v>8286892.17</v>
      </c>
      <c r="AP96" s="1165">
        <f t="shared" si="77"/>
        <v>0</v>
      </c>
      <c r="AQ96" s="1165">
        <f t="shared" si="78"/>
        <v>0</v>
      </c>
      <c r="AR96" s="1165">
        <f t="shared" si="79"/>
        <v>0</v>
      </c>
      <c r="AS96" s="1165">
        <f t="shared" si="80"/>
        <v>5338712.0299999975</v>
      </c>
      <c r="AT96" s="1165">
        <f t="shared" si="81"/>
        <v>0</v>
      </c>
      <c r="AU96" s="1165">
        <f t="shared" si="82"/>
        <v>10675843.16</v>
      </c>
      <c r="AV96" s="1417">
        <f t="shared" si="83"/>
        <v>204127</v>
      </c>
      <c r="AW96" s="1417">
        <f t="shared" si="84"/>
        <v>0</v>
      </c>
      <c r="AX96" s="1417">
        <f t="shared" si="85"/>
        <v>0</v>
      </c>
      <c r="AY96" s="1165">
        <f t="shared" si="86"/>
        <v>6736837.04</v>
      </c>
    </row>
    <row r="97" spans="1:51" ht="12.75">
      <c r="A97" s="1163"/>
      <c r="C97" s="1147" t="s">
        <v>610</v>
      </c>
      <c r="D97" s="1167">
        <v>4014506.539999997</v>
      </c>
      <c r="E97" s="1167">
        <v>-240245.63</v>
      </c>
      <c r="F97" s="1167">
        <v>0</v>
      </c>
      <c r="G97" s="1167">
        <v>0</v>
      </c>
      <c r="H97" s="1168">
        <v>0</v>
      </c>
      <c r="I97" s="1167">
        <v>0</v>
      </c>
      <c r="J97" s="1168">
        <v>0</v>
      </c>
      <c r="K97" s="1167">
        <v>0</v>
      </c>
      <c r="L97" s="1168">
        <v>0</v>
      </c>
      <c r="M97" s="1168">
        <v>0</v>
      </c>
      <c r="N97" s="1168">
        <v>0</v>
      </c>
      <c r="O97" s="1168">
        <v>0</v>
      </c>
      <c r="P97" s="1168">
        <v>0</v>
      </c>
      <c r="Q97" s="1168">
        <v>10711.440000000002</v>
      </c>
      <c r="R97" s="1168">
        <v>0</v>
      </c>
      <c r="S97" s="1168">
        <v>0</v>
      </c>
      <c r="T97" s="1168">
        <v>0</v>
      </c>
      <c r="U97" s="1168">
        <v>0</v>
      </c>
      <c r="V97" s="1168">
        <v>0</v>
      </c>
      <c r="W97" s="1168">
        <v>0</v>
      </c>
      <c r="X97" s="1168">
        <v>0</v>
      </c>
      <c r="Y97" s="1168">
        <v>0</v>
      </c>
      <c r="Z97" s="1168">
        <v>0</v>
      </c>
      <c r="AA97" s="1168">
        <v>0</v>
      </c>
      <c r="AB97" s="1168">
        <v>475095</v>
      </c>
      <c r="AC97" s="1168">
        <v>0</v>
      </c>
      <c r="AD97" s="1168">
        <v>0</v>
      </c>
      <c r="AE97" s="1168">
        <v>0</v>
      </c>
      <c r="AF97" s="1168">
        <v>0</v>
      </c>
      <c r="AG97" s="1165">
        <f t="shared" si="68"/>
        <v>58892405.389999986</v>
      </c>
      <c r="AH97" s="1165">
        <f t="shared" si="69"/>
        <v>0</v>
      </c>
      <c r="AI97" s="1153">
        <f t="shared" si="70"/>
        <v>262950644.58900005</v>
      </c>
      <c r="AJ97" s="1153">
        <f t="shared" si="71"/>
        <v>155913692.679</v>
      </c>
      <c r="AK97" s="1153">
        <f t="shared" si="72"/>
        <v>0</v>
      </c>
      <c r="AL97" s="1165">
        <f t="shared" si="73"/>
        <v>3158242</v>
      </c>
      <c r="AM97" s="1165">
        <f t="shared" si="74"/>
        <v>17700842.189999994</v>
      </c>
      <c r="AN97" s="1165">
        <f t="shared" si="75"/>
        <v>0</v>
      </c>
      <c r="AO97" s="1165">
        <f t="shared" si="76"/>
        <v>8297603.61</v>
      </c>
      <c r="AP97" s="1165">
        <f t="shared" si="77"/>
        <v>0</v>
      </c>
      <c r="AQ97" s="1165">
        <f t="shared" si="78"/>
        <v>0</v>
      </c>
      <c r="AR97" s="1165">
        <f t="shared" si="79"/>
        <v>0</v>
      </c>
      <c r="AS97" s="1165">
        <f t="shared" si="80"/>
        <v>5338712.0299999975</v>
      </c>
      <c r="AT97" s="1165">
        <f t="shared" si="81"/>
        <v>0</v>
      </c>
      <c r="AU97" s="1165">
        <f t="shared" si="82"/>
        <v>10675843.16</v>
      </c>
      <c r="AV97" s="1417">
        <f t="shared" si="83"/>
        <v>679222</v>
      </c>
      <c r="AW97" s="1417">
        <f t="shared" si="84"/>
        <v>0</v>
      </c>
      <c r="AX97" s="1417">
        <f t="shared" si="85"/>
        <v>0</v>
      </c>
      <c r="AY97" s="1165">
        <f t="shared" si="86"/>
        <v>6736837.04</v>
      </c>
    </row>
    <row r="98" spans="1:52" ht="12.75">
      <c r="A98" s="1163"/>
      <c r="C98" s="1169" t="s">
        <v>611</v>
      </c>
      <c r="D98" s="1170">
        <v>2847491.810000003</v>
      </c>
      <c r="E98" s="1170">
        <v>-152339.32</v>
      </c>
      <c r="F98" s="1170">
        <v>0</v>
      </c>
      <c r="G98" s="1170">
        <v>0</v>
      </c>
      <c r="H98" s="1171">
        <v>0</v>
      </c>
      <c r="I98" s="1170">
        <v>0</v>
      </c>
      <c r="J98" s="1171">
        <v>0</v>
      </c>
      <c r="K98" s="1170">
        <v>0</v>
      </c>
      <c r="L98" s="1171">
        <v>0</v>
      </c>
      <c r="M98" s="1171">
        <v>0</v>
      </c>
      <c r="N98" s="1171">
        <v>-179</v>
      </c>
      <c r="O98" s="1171">
        <v>0</v>
      </c>
      <c r="P98" s="1171">
        <v>0</v>
      </c>
      <c r="Q98" s="1171">
        <v>-555.429999999993</v>
      </c>
      <c r="R98" s="1171">
        <v>0</v>
      </c>
      <c r="S98" s="1171">
        <v>0</v>
      </c>
      <c r="T98" s="1171">
        <v>0</v>
      </c>
      <c r="U98" s="1171">
        <v>0</v>
      </c>
      <c r="V98" s="1171">
        <v>0</v>
      </c>
      <c r="W98" s="1171">
        <v>0</v>
      </c>
      <c r="X98" s="1171">
        <v>0</v>
      </c>
      <c r="Y98" s="1171">
        <v>0</v>
      </c>
      <c r="Z98" s="1171">
        <v>0</v>
      </c>
      <c r="AA98" s="1171">
        <v>0</v>
      </c>
      <c r="AB98" s="1171">
        <v>5023194</v>
      </c>
      <c r="AC98" s="1171">
        <v>0</v>
      </c>
      <c r="AD98" s="1171">
        <v>0</v>
      </c>
      <c r="AE98" s="1171">
        <v>0</v>
      </c>
      <c r="AF98" s="1171">
        <v>0</v>
      </c>
      <c r="AG98" s="1172">
        <f t="shared" si="68"/>
        <v>61587557.87999999</v>
      </c>
      <c r="AH98" s="1172">
        <f t="shared" si="69"/>
        <v>0</v>
      </c>
      <c r="AI98" s="1173">
        <f t="shared" si="70"/>
        <v>262950644.58900005</v>
      </c>
      <c r="AJ98" s="1173">
        <f t="shared" si="71"/>
        <v>155913692.679</v>
      </c>
      <c r="AK98" s="1173">
        <f t="shared" si="72"/>
        <v>0</v>
      </c>
      <c r="AL98" s="1172">
        <f t="shared" si="73"/>
        <v>3158242</v>
      </c>
      <c r="AM98" s="1172">
        <f t="shared" si="74"/>
        <v>17700663.189999994</v>
      </c>
      <c r="AN98" s="1172">
        <f t="shared" si="75"/>
        <v>0</v>
      </c>
      <c r="AO98" s="1172">
        <f t="shared" si="76"/>
        <v>8297048.180000001</v>
      </c>
      <c r="AP98" s="1172">
        <f t="shared" si="77"/>
        <v>0</v>
      </c>
      <c r="AQ98" s="1172">
        <f t="shared" si="78"/>
        <v>0</v>
      </c>
      <c r="AR98" s="1172">
        <f t="shared" si="79"/>
        <v>0</v>
      </c>
      <c r="AS98" s="1172">
        <f t="shared" si="80"/>
        <v>5338712.0299999975</v>
      </c>
      <c r="AT98" s="1172">
        <f t="shared" si="81"/>
        <v>0</v>
      </c>
      <c r="AU98" s="1172">
        <f t="shared" si="82"/>
        <v>10675843.16</v>
      </c>
      <c r="AV98" s="1502">
        <f t="shared" si="83"/>
        <v>5702416</v>
      </c>
      <c r="AW98" s="1502">
        <f t="shared" si="84"/>
        <v>0</v>
      </c>
      <c r="AX98" s="1502">
        <f t="shared" si="85"/>
        <v>0</v>
      </c>
      <c r="AY98" s="1172">
        <f t="shared" si="86"/>
        <v>6736837.04</v>
      </c>
      <c r="AZ98" s="1169"/>
    </row>
    <row r="99" spans="1:52" ht="12.75">
      <c r="A99" s="1163"/>
      <c r="C99" s="1147" t="s">
        <v>436</v>
      </c>
      <c r="D99" s="1165">
        <f>SUM(D87:D98)</f>
        <v>63896970.51</v>
      </c>
      <c r="E99" s="1165">
        <f>SUM(E87:E98)</f>
        <v>-2309412.63</v>
      </c>
      <c r="F99" s="1165">
        <f>SUM(F87:F98)</f>
        <v>0</v>
      </c>
      <c r="G99" s="1165">
        <f>SUM(G87:G98)</f>
        <v>0</v>
      </c>
      <c r="H99" s="1153"/>
      <c r="I99" s="1165">
        <f aca="true" t="shared" si="87" ref="I99:S99">SUM(I87:I98)</f>
        <v>0</v>
      </c>
      <c r="J99" s="1165">
        <f t="shared" si="87"/>
        <v>0</v>
      </c>
      <c r="K99" s="1165">
        <f t="shared" si="87"/>
        <v>0</v>
      </c>
      <c r="L99" s="1165">
        <f t="shared" si="87"/>
        <v>0</v>
      </c>
      <c r="M99" s="1165">
        <f t="shared" si="87"/>
        <v>0</v>
      </c>
      <c r="N99" s="1165">
        <f t="shared" si="87"/>
        <v>32881.91</v>
      </c>
      <c r="O99" s="1165">
        <f t="shared" si="87"/>
        <v>0</v>
      </c>
      <c r="P99" s="1165">
        <f t="shared" si="87"/>
        <v>0</v>
      </c>
      <c r="Q99" s="1165">
        <f t="shared" si="87"/>
        <v>488049.1300000005</v>
      </c>
      <c r="R99" s="1165">
        <f t="shared" si="87"/>
        <v>0</v>
      </c>
      <c r="S99" s="1165">
        <f t="shared" si="87"/>
        <v>0</v>
      </c>
      <c r="T99" s="1165">
        <f aca="true" t="shared" si="88" ref="T99:AF99">SUM(T87:T98)</f>
        <v>-90672.51</v>
      </c>
      <c r="U99" s="1165">
        <f t="shared" si="88"/>
        <v>0</v>
      </c>
      <c r="V99" s="1165">
        <f t="shared" si="88"/>
        <v>0</v>
      </c>
      <c r="W99" s="1165">
        <f t="shared" si="88"/>
        <v>-3950.9100000000003</v>
      </c>
      <c r="X99" s="1165">
        <f t="shared" si="88"/>
        <v>0</v>
      </c>
      <c r="Y99" s="1165">
        <f t="shared" si="88"/>
        <v>0</v>
      </c>
      <c r="Z99" s="1165">
        <f t="shared" si="88"/>
        <v>0</v>
      </c>
      <c r="AA99" s="1165">
        <f t="shared" si="88"/>
        <v>0</v>
      </c>
      <c r="AB99" s="1417">
        <f t="shared" si="88"/>
        <v>5702416</v>
      </c>
      <c r="AC99" s="1417">
        <f t="shared" si="88"/>
        <v>0</v>
      </c>
      <c r="AD99" s="1417">
        <f t="shared" si="88"/>
        <v>0</v>
      </c>
      <c r="AE99" s="1165">
        <f t="shared" si="88"/>
        <v>0</v>
      </c>
      <c r="AF99" s="1165">
        <f t="shared" si="88"/>
        <v>0</v>
      </c>
      <c r="AG99" s="1165">
        <f aca="true" t="shared" si="89" ref="AG99:AY99">AVERAGE(AG86:AG98)</f>
        <v>45470876.64083332</v>
      </c>
      <c r="AH99" s="1165">
        <f t="shared" si="89"/>
        <v>0</v>
      </c>
      <c r="AI99" s="1165">
        <f t="shared" si="89"/>
        <v>262950644.58900008</v>
      </c>
      <c r="AJ99" s="1165">
        <f t="shared" si="89"/>
        <v>155913692.67899996</v>
      </c>
      <c r="AK99" s="1165">
        <f t="shared" si="89"/>
        <v>0</v>
      </c>
      <c r="AL99" s="1165">
        <f t="shared" si="89"/>
        <v>3158242</v>
      </c>
      <c r="AM99" s="1165">
        <f t="shared" si="89"/>
        <v>17624199.743846152</v>
      </c>
      <c r="AN99" s="1165">
        <f t="shared" si="89"/>
        <v>0</v>
      </c>
      <c r="AO99" s="1165">
        <f t="shared" si="89"/>
        <v>8105805.623076924</v>
      </c>
      <c r="AP99" s="1165">
        <f t="shared" si="89"/>
        <v>0</v>
      </c>
      <c r="AQ99" s="1165">
        <f t="shared" si="89"/>
        <v>6974.808461538462</v>
      </c>
      <c r="AR99" s="1165">
        <f t="shared" si="89"/>
        <v>0</v>
      </c>
      <c r="AS99" s="1165">
        <f t="shared" si="89"/>
        <v>5339563.014615385</v>
      </c>
      <c r="AT99" s="1165">
        <f t="shared" si="89"/>
        <v>0</v>
      </c>
      <c r="AU99" s="1165">
        <f t="shared" si="89"/>
        <v>10675843.159999998</v>
      </c>
      <c r="AV99" s="1417">
        <f t="shared" si="89"/>
        <v>537400.3076923077</v>
      </c>
      <c r="AW99" s="1417">
        <f t="shared" si="89"/>
        <v>0</v>
      </c>
      <c r="AX99" s="1417">
        <f t="shared" si="89"/>
        <v>0</v>
      </c>
      <c r="AY99" s="1165">
        <f t="shared" si="89"/>
        <v>6736837.040000002</v>
      </c>
      <c r="AZ99" s="1165">
        <f>SUM(AG99:AY99)</f>
        <v>516520079.60652566</v>
      </c>
    </row>
    <row r="100" spans="3:30" ht="12.75">
      <c r="C100" s="1147"/>
      <c r="D100" s="1165"/>
      <c r="E100" s="1188"/>
      <c r="F100" s="1165"/>
      <c r="G100" s="1165"/>
      <c r="H100" s="1153"/>
      <c r="I100" s="1153"/>
      <c r="J100" s="1153"/>
      <c r="K100" s="1153"/>
      <c r="L100" s="1165"/>
      <c r="M100" s="1165"/>
      <c r="N100" s="1165"/>
      <c r="O100" s="1165"/>
      <c r="Q100" s="1165"/>
      <c r="R100" s="1165"/>
      <c r="AB100" s="1419"/>
      <c r="AC100" s="1419"/>
      <c r="AD100" s="1419"/>
    </row>
    <row r="101" spans="1:15" ht="12.75">
      <c r="A101" s="1471"/>
      <c r="B101" s="1471"/>
      <c r="C101" s="1471"/>
      <c r="D101" s="1469"/>
      <c r="E101" s="1472"/>
      <c r="F101" s="1469"/>
      <c r="G101" s="1469"/>
      <c r="H101" s="1499"/>
      <c r="I101" s="1497" t="str">
        <f>I44</f>
        <v>13 month avg of new plant additions = Col AD + Col AF + Col AG + Col AI + Col AJ + Col AL + Col AN + Col AP + Col AR + Col AT + Col AV</v>
      </c>
      <c r="J101" s="1417">
        <f>AG99+AI99+AJ99+AL99+AM99+AO99+AQ99+AS99+AU99+AY99+AW99</f>
        <v>515982679.2988334</v>
      </c>
      <c r="K101" s="1153"/>
      <c r="M101" s="1165"/>
      <c r="N101" s="1165"/>
      <c r="O101" s="1165"/>
    </row>
    <row r="102" spans="1:15" ht="12.75">
      <c r="A102" s="1471"/>
      <c r="B102" s="1471"/>
      <c r="C102" s="1471"/>
      <c r="D102" s="1469"/>
      <c r="E102" s="1472"/>
      <c r="F102" s="1469"/>
      <c r="G102" s="1469"/>
      <c r="H102" s="1499"/>
      <c r="I102" s="1500" t="s">
        <v>1173</v>
      </c>
      <c r="J102" s="1417">
        <f>D99+G99+I99+L99+N99+Q99+T99+W99+Z99+AE99+AC99</f>
        <v>64323278.13</v>
      </c>
      <c r="K102" s="1153"/>
      <c r="M102" s="1153"/>
      <c r="N102" s="1153"/>
      <c r="O102" s="1165"/>
    </row>
    <row r="103" spans="1:15" ht="12.75">
      <c r="A103" s="1471"/>
      <c r="B103" s="1471"/>
      <c r="C103" s="1471"/>
      <c r="D103" s="1469"/>
      <c r="E103" s="1472"/>
      <c r="F103" s="1472"/>
      <c r="G103" s="1472"/>
      <c r="H103" s="1499"/>
      <c r="I103" s="1153"/>
      <c r="J103" s="1417"/>
      <c r="K103" s="1153"/>
      <c r="N103" s="1165"/>
      <c r="O103" s="1165"/>
    </row>
    <row r="104" spans="1:14" ht="12.75">
      <c r="A104" s="1471"/>
      <c r="B104" s="1471"/>
      <c r="C104" s="1471"/>
      <c r="D104" s="1469"/>
      <c r="E104" s="1472"/>
      <c r="F104" s="1469"/>
      <c r="G104" s="1469"/>
      <c r="H104" s="1499"/>
      <c r="I104" s="1497" t="s">
        <v>1144</v>
      </c>
      <c r="J104" s="1417">
        <f>+AH99+AK99+AN99+AP99+AR99+AT99+AV99</f>
        <v>537400.3076923077</v>
      </c>
      <c r="M104" s="1165"/>
      <c r="N104" s="1165"/>
    </row>
    <row r="105" spans="3:15" ht="12.75">
      <c r="C105" s="1147"/>
      <c r="D105" s="1165"/>
      <c r="E105" s="1165"/>
      <c r="F105" s="1165"/>
      <c r="G105" s="1165"/>
      <c r="H105" s="1153"/>
      <c r="I105" s="1153"/>
      <c r="J105" s="1153"/>
      <c r="K105" s="1165"/>
      <c r="L105" s="1165"/>
      <c r="M105" s="1165"/>
      <c r="N105" s="1165"/>
      <c r="O105" s="1165"/>
    </row>
    <row r="106" spans="3:15" ht="12.75">
      <c r="C106" s="1147"/>
      <c r="D106" s="1417"/>
      <c r="E106" s="1417"/>
      <c r="F106" s="1417"/>
      <c r="G106" s="1417"/>
      <c r="H106" s="1153"/>
      <c r="I106" s="1418"/>
      <c r="J106" s="1295"/>
      <c r="K106" s="1165"/>
      <c r="L106" s="1165"/>
      <c r="M106" s="1165"/>
      <c r="N106" s="1165"/>
      <c r="O106" s="1165"/>
    </row>
    <row r="107" spans="3:15" ht="12.75">
      <c r="C107" s="1147"/>
      <c r="D107" s="1165"/>
      <c r="E107" s="1165"/>
      <c r="F107" s="1165"/>
      <c r="G107" s="1165"/>
      <c r="H107" s="1153"/>
      <c r="I107" s="1153"/>
      <c r="J107" s="1153"/>
      <c r="K107" s="1153"/>
      <c r="L107" s="1165"/>
      <c r="M107" s="1165"/>
      <c r="N107" s="1165"/>
      <c r="O107" s="1165"/>
    </row>
    <row r="108" spans="3:47" ht="12.75">
      <c r="C108" s="1148"/>
      <c r="D108" s="1470" t="str">
        <f>D47</f>
        <v>(AW) = AD</v>
      </c>
      <c r="E108" s="1470" t="str">
        <f aca="true" t="shared" si="90" ref="E108:AU108">E47</f>
        <v>(AX)</v>
      </c>
      <c r="F108" s="1470" t="str">
        <f t="shared" si="90"/>
        <v>(AY) = AW * AX</v>
      </c>
      <c r="G108" s="1470" t="str">
        <f t="shared" si="90"/>
        <v>(AZ)</v>
      </c>
      <c r="H108" s="1470" t="str">
        <f t="shared" si="90"/>
        <v>(BA) = AF</v>
      </c>
      <c r="I108" s="1470" t="str">
        <f t="shared" si="90"/>
        <v>(BB)</v>
      </c>
      <c r="J108" s="1470" t="str">
        <f t="shared" si="90"/>
        <v>(BC) = BA * BB</v>
      </c>
      <c r="K108" s="1470" t="str">
        <f t="shared" si="90"/>
        <v>(BD)</v>
      </c>
      <c r="L108" s="1470" t="str">
        <f t="shared" si="90"/>
        <v>(BE) = AG</v>
      </c>
      <c r="M108" s="1470" t="str">
        <f t="shared" si="90"/>
        <v>(BF)</v>
      </c>
      <c r="N108" s="1470" t="str">
        <f t="shared" si="90"/>
        <v>(BG) = BE * BF</v>
      </c>
      <c r="O108" s="1470" t="str">
        <f t="shared" si="90"/>
        <v>(BH)</v>
      </c>
      <c r="P108" s="1470" t="str">
        <f t="shared" si="90"/>
        <v>(BI) = AI</v>
      </c>
      <c r="Q108" s="1470" t="str">
        <f t="shared" si="90"/>
        <v>(BJ)</v>
      </c>
      <c r="R108" s="1470" t="str">
        <f t="shared" si="90"/>
        <v>(BK) = BI * BJ</v>
      </c>
      <c r="S108" s="1470" t="str">
        <f t="shared" si="90"/>
        <v>(BL)</v>
      </c>
      <c r="T108" s="1470" t="str">
        <f t="shared" si="90"/>
        <v>(BM) = AJ</v>
      </c>
      <c r="U108" s="1470" t="str">
        <f t="shared" si="90"/>
        <v>(BN)</v>
      </c>
      <c r="V108" s="1470" t="str">
        <f t="shared" si="90"/>
        <v>(BO) = BM * BN</v>
      </c>
      <c r="W108" s="1470" t="str">
        <f t="shared" si="90"/>
        <v>(BP)</v>
      </c>
      <c r="X108" s="1470" t="str">
        <f t="shared" si="90"/>
        <v>(BQ) = AL</v>
      </c>
      <c r="Y108" s="1470" t="str">
        <f t="shared" si="90"/>
        <v>(BR)</v>
      </c>
      <c r="Z108" s="1470" t="str">
        <f t="shared" si="90"/>
        <v>(BS) = BQ * BR</v>
      </c>
      <c r="AA108" s="1470" t="str">
        <f t="shared" si="90"/>
        <v>(BT)</v>
      </c>
      <c r="AB108" s="1470" t="str">
        <f t="shared" si="90"/>
        <v>(BU) = AN</v>
      </c>
      <c r="AC108" s="1470" t="str">
        <f t="shared" si="90"/>
        <v>(BV)</v>
      </c>
      <c r="AD108" s="1470" t="str">
        <f t="shared" si="90"/>
        <v>(BW) = BU * BV</v>
      </c>
      <c r="AE108" s="1470" t="str">
        <f t="shared" si="90"/>
        <v>(BX)</v>
      </c>
      <c r="AF108" s="1470" t="str">
        <f t="shared" si="90"/>
        <v>(BY) = AP</v>
      </c>
      <c r="AG108" s="1470" t="str">
        <f t="shared" si="90"/>
        <v>(BZ)</v>
      </c>
      <c r="AH108" s="1470" t="str">
        <f t="shared" si="90"/>
        <v>(CA) = BY * BZ</v>
      </c>
      <c r="AI108" s="1470" t="str">
        <f t="shared" si="90"/>
        <v>(CB)</v>
      </c>
      <c r="AJ108" s="1470" t="str">
        <f t="shared" si="90"/>
        <v>(CD) = AR</v>
      </c>
      <c r="AK108" s="1470" t="str">
        <f t="shared" si="90"/>
        <v>(CE)</v>
      </c>
      <c r="AL108" s="1470" t="str">
        <f t="shared" si="90"/>
        <v>(CF) = CD * CE</v>
      </c>
      <c r="AM108" s="1470" t="str">
        <f t="shared" si="90"/>
        <v>(CG)</v>
      </c>
      <c r="AN108" s="1470" t="str">
        <f t="shared" si="90"/>
        <v>(CH) = AT</v>
      </c>
      <c r="AO108" s="1470" t="str">
        <f t="shared" si="90"/>
        <v>(CI)</v>
      </c>
      <c r="AP108" s="1470" t="str">
        <f t="shared" si="90"/>
        <v>(CJ) = CH * CI</v>
      </c>
      <c r="AQ108" s="1470" t="str">
        <f t="shared" si="90"/>
        <v>(CK)</v>
      </c>
      <c r="AR108" s="1470" t="str">
        <f t="shared" si="90"/>
        <v>(CL) = AV</v>
      </c>
      <c r="AS108" s="1470" t="str">
        <f t="shared" si="90"/>
        <v>(CM)</v>
      </c>
      <c r="AT108" s="1470" t="str">
        <f t="shared" si="90"/>
        <v>(CN) = CL * CM</v>
      </c>
      <c r="AU108" s="1470" t="str">
        <f t="shared" si="90"/>
        <v>(CO)</v>
      </c>
    </row>
    <row r="109" spans="3:47" ht="26.25">
      <c r="C109" s="1148"/>
      <c r="D109" s="1146" t="s">
        <v>137</v>
      </c>
      <c r="E109" s="1147" t="s">
        <v>116</v>
      </c>
      <c r="F109" s="1146" t="s">
        <v>562</v>
      </c>
      <c r="G109" s="1146" t="s">
        <v>640</v>
      </c>
      <c r="H109" s="1146" t="s">
        <v>139</v>
      </c>
      <c r="I109" s="1147" t="s">
        <v>116</v>
      </c>
      <c r="J109" s="1146" t="s">
        <v>562</v>
      </c>
      <c r="K109" s="1146" t="s">
        <v>361</v>
      </c>
      <c r="L109" s="1146" t="s">
        <v>754</v>
      </c>
      <c r="M109" s="1147" t="s">
        <v>116</v>
      </c>
      <c r="N109" s="1146" t="s">
        <v>562</v>
      </c>
      <c r="O109" s="1146" t="s">
        <v>361</v>
      </c>
      <c r="P109" s="1146" t="s">
        <v>109</v>
      </c>
      <c r="Q109" s="1147" t="s">
        <v>116</v>
      </c>
      <c r="R109" s="1146" t="s">
        <v>562</v>
      </c>
      <c r="S109" s="1146" t="s">
        <v>361</v>
      </c>
      <c r="T109" s="1146" t="s">
        <v>802</v>
      </c>
      <c r="U109" s="1147" t="s">
        <v>116</v>
      </c>
      <c r="V109" s="1146" t="s">
        <v>562</v>
      </c>
      <c r="W109" s="1146" t="s">
        <v>361</v>
      </c>
      <c r="X109" s="1146" t="s">
        <v>811</v>
      </c>
      <c r="Y109" s="1147" t="s">
        <v>116</v>
      </c>
      <c r="Z109" s="1146" t="s">
        <v>562</v>
      </c>
      <c r="AA109" s="1146" t="s">
        <v>361</v>
      </c>
      <c r="AB109" s="1146" t="s">
        <v>1011</v>
      </c>
      <c r="AC109" s="1147" t="s">
        <v>116</v>
      </c>
      <c r="AD109" s="1146" t="s">
        <v>562</v>
      </c>
      <c r="AE109" s="1146" t="s">
        <v>361</v>
      </c>
      <c r="AF109" s="1146" t="s">
        <v>1012</v>
      </c>
      <c r="AG109" s="1147" t="s">
        <v>116</v>
      </c>
      <c r="AH109" s="1146" t="s">
        <v>562</v>
      </c>
      <c r="AI109" s="1146" t="s">
        <v>361</v>
      </c>
      <c r="AJ109" s="1146" t="s">
        <v>1013</v>
      </c>
      <c r="AK109" s="1147" t="s">
        <v>116</v>
      </c>
      <c r="AL109" s="1146" t="s">
        <v>562</v>
      </c>
      <c r="AM109" s="1146" t="s">
        <v>361</v>
      </c>
      <c r="AN109" s="1501" t="s">
        <v>1136</v>
      </c>
      <c r="AO109" s="1419" t="s">
        <v>116</v>
      </c>
      <c r="AP109" s="1408" t="s">
        <v>562</v>
      </c>
      <c r="AQ109" s="1408" t="s">
        <v>361</v>
      </c>
      <c r="AR109" s="1146" t="s">
        <v>1014</v>
      </c>
      <c r="AS109" s="1147" t="s">
        <v>116</v>
      </c>
      <c r="AT109" s="1146" t="s">
        <v>562</v>
      </c>
      <c r="AU109" s="1146" t="s">
        <v>361</v>
      </c>
    </row>
    <row r="110" spans="3:47" ht="12.75">
      <c r="C110" s="1147"/>
      <c r="D110" s="1146" t="s">
        <v>114</v>
      </c>
      <c r="E110" s="1146" t="s">
        <v>117</v>
      </c>
      <c r="F110" s="1146" t="s">
        <v>118</v>
      </c>
      <c r="G110" s="1146"/>
      <c r="H110" s="1146" t="s">
        <v>115</v>
      </c>
      <c r="I110" s="1146" t="s">
        <v>117</v>
      </c>
      <c r="J110" s="1146" t="s">
        <v>118</v>
      </c>
      <c r="K110" s="1146" t="s">
        <v>362</v>
      </c>
      <c r="L110" s="1146" t="s">
        <v>115</v>
      </c>
      <c r="M110" s="1146" t="s">
        <v>117</v>
      </c>
      <c r="N110" s="1146" t="s">
        <v>118</v>
      </c>
      <c r="O110" s="1146" t="s">
        <v>362</v>
      </c>
      <c r="P110" s="1146" t="s">
        <v>115</v>
      </c>
      <c r="Q110" s="1146" t="s">
        <v>117</v>
      </c>
      <c r="R110" s="1146" t="s">
        <v>118</v>
      </c>
      <c r="S110" s="1146" t="s">
        <v>362</v>
      </c>
      <c r="T110" s="1146" t="s">
        <v>1061</v>
      </c>
      <c r="U110" s="1146" t="s">
        <v>117</v>
      </c>
      <c r="V110" s="1146" t="s">
        <v>118</v>
      </c>
      <c r="W110" s="1146" t="s">
        <v>362</v>
      </c>
      <c r="X110" s="1146" t="s">
        <v>1060</v>
      </c>
      <c r="Y110" s="1146" t="s">
        <v>117</v>
      </c>
      <c r="Z110" s="1146" t="s">
        <v>118</v>
      </c>
      <c r="AA110" s="1146" t="s">
        <v>362</v>
      </c>
      <c r="AB110" s="1146" t="s">
        <v>115</v>
      </c>
      <c r="AC110" s="1146" t="s">
        <v>117</v>
      </c>
      <c r="AD110" s="1146" t="s">
        <v>118</v>
      </c>
      <c r="AE110" s="1146" t="s">
        <v>362</v>
      </c>
      <c r="AF110" s="1146" t="s">
        <v>115</v>
      </c>
      <c r="AG110" s="1146" t="s">
        <v>117</v>
      </c>
      <c r="AH110" s="1146" t="s">
        <v>118</v>
      </c>
      <c r="AI110" s="1146" t="s">
        <v>362</v>
      </c>
      <c r="AJ110" s="1146" t="s">
        <v>115</v>
      </c>
      <c r="AK110" s="1146" t="s">
        <v>117</v>
      </c>
      <c r="AL110" s="1146" t="s">
        <v>118</v>
      </c>
      <c r="AM110" s="1146" t="s">
        <v>362</v>
      </c>
      <c r="AN110" s="1408" t="s">
        <v>115</v>
      </c>
      <c r="AO110" s="1408" t="s">
        <v>117</v>
      </c>
      <c r="AP110" s="1408" t="s">
        <v>118</v>
      </c>
      <c r="AQ110" s="1408" t="s">
        <v>362</v>
      </c>
      <c r="AR110" s="1146" t="s">
        <v>115</v>
      </c>
      <c r="AS110" s="1146" t="s">
        <v>117</v>
      </c>
      <c r="AT110" s="1146" t="s">
        <v>118</v>
      </c>
      <c r="AU110" s="1146" t="s">
        <v>362</v>
      </c>
    </row>
    <row r="111" spans="3:47" ht="12.75">
      <c r="C111" s="1147" t="s">
        <v>138</v>
      </c>
      <c r="D111" s="1189">
        <f aca="true" t="shared" si="91" ref="D111:D123">+AG86</f>
        <v>0</v>
      </c>
      <c r="E111" s="1175">
        <v>0.0022</v>
      </c>
      <c r="F111" s="1165">
        <f aca="true" t="shared" si="92" ref="F111:F123">D111*E111</f>
        <v>0</v>
      </c>
      <c r="G111" s="1165">
        <f>F111</f>
        <v>0</v>
      </c>
      <c r="H111" s="1176">
        <f aca="true" t="shared" si="93" ref="H111:H123">AI86</f>
        <v>262950644.58900005</v>
      </c>
      <c r="I111" s="1175">
        <f>E111</f>
        <v>0.0022</v>
      </c>
      <c r="J111" s="1165">
        <f>H111*I111</f>
        <v>578491.4180958001</v>
      </c>
      <c r="K111" s="1417">
        <v>82282422.29536627</v>
      </c>
      <c r="L111" s="1176">
        <f aca="true" t="shared" si="94" ref="L111:L123">AJ86</f>
        <v>155913692.679</v>
      </c>
      <c r="M111" s="1175">
        <f>E111</f>
        <v>0.0022</v>
      </c>
      <c r="N111" s="1165">
        <f>L111*M111</f>
        <v>343010.1238938</v>
      </c>
      <c r="O111" s="1417">
        <v>32834100.83234195</v>
      </c>
      <c r="P111" s="1176">
        <f aca="true" t="shared" si="95" ref="P111:P123">AL86</f>
        <v>3158242</v>
      </c>
      <c r="Q111" s="1175">
        <f>E111</f>
        <v>0.0022</v>
      </c>
      <c r="R111" s="1165">
        <f>P111*Q111</f>
        <v>6948.1324</v>
      </c>
      <c r="S111" s="1417">
        <v>854286.8755169982</v>
      </c>
      <c r="T111" s="1176">
        <f aca="true" t="shared" si="96" ref="T111:T123">+AM86</f>
        <v>17667781.279999997</v>
      </c>
      <c r="U111" s="1175">
        <f>E111</f>
        <v>0.0022</v>
      </c>
      <c r="V111" s="1165">
        <f>T111*U111</f>
        <v>38869.118815999995</v>
      </c>
      <c r="W111" s="1417">
        <v>629550.5965759999</v>
      </c>
      <c r="X111" s="921">
        <f aca="true" t="shared" si="97" ref="X111:X123">+AO86</f>
        <v>7808999.05</v>
      </c>
      <c r="Y111" s="1175">
        <f>E111</f>
        <v>0.0022</v>
      </c>
      <c r="Z111" s="1165">
        <f>X111*Y111</f>
        <v>17179.79791</v>
      </c>
      <c r="AA111" s="1417">
        <v>136890.751074</v>
      </c>
      <c r="AB111" s="921">
        <f aca="true" t="shared" si="98" ref="AB111:AB123">+AQ86</f>
        <v>90672.51000000001</v>
      </c>
      <c r="AC111" s="1175">
        <f>I111</f>
        <v>0.0022</v>
      </c>
      <c r="AD111" s="1165">
        <f aca="true" t="shared" si="99" ref="AD111:AD123">AB111*AC111</f>
        <v>199.47952200000003</v>
      </c>
      <c r="AE111" s="1417">
        <v>3391.151874000001</v>
      </c>
      <c r="AF111" s="921">
        <f aca="true" t="shared" si="100" ref="AF111:AF123">+AS86</f>
        <v>5342662.939999998</v>
      </c>
      <c r="AG111" s="1175">
        <f>M111</f>
        <v>0.0022</v>
      </c>
      <c r="AH111" s="1165">
        <f aca="true" t="shared" si="101" ref="AH111:AH123">AF111*AG111</f>
        <v>11753.858467999995</v>
      </c>
      <c r="AI111" s="1417">
        <v>230784.16798799994</v>
      </c>
      <c r="AJ111" s="921">
        <f aca="true" t="shared" si="102" ref="AJ111:AJ123">+AU86</f>
        <v>10675843.16</v>
      </c>
      <c r="AK111" s="1175">
        <f>Q111</f>
        <v>0.0022</v>
      </c>
      <c r="AL111" s="1165">
        <f aca="true" t="shared" si="103" ref="AL111:AL123">AJ111*AK111</f>
        <v>23486.854952</v>
      </c>
      <c r="AM111" s="1417">
        <v>2218440.208648003</v>
      </c>
      <c r="AN111" s="921">
        <f aca="true" t="shared" si="104" ref="AN111:AN123">+AW86</f>
        <v>0</v>
      </c>
      <c r="AO111" s="1175">
        <f>U111</f>
        <v>0.0022</v>
      </c>
      <c r="AP111" s="1417">
        <f>AN111*AO111</f>
        <v>0</v>
      </c>
      <c r="AQ111" s="1417">
        <f>AP111</f>
        <v>0</v>
      </c>
      <c r="AR111" s="921">
        <f aca="true" t="shared" si="105" ref="AR111:AR123">+AY86</f>
        <v>6736837.04</v>
      </c>
      <c r="AS111" s="1175">
        <f>U111</f>
        <v>0.0022</v>
      </c>
      <c r="AT111" s="1165">
        <f aca="true" t="shared" si="106" ref="AT111:AT123">AR111*AS111</f>
        <v>14821.041488</v>
      </c>
      <c r="AU111" s="1417">
        <v>370526.0372</v>
      </c>
    </row>
    <row r="112" spans="3:47" ht="12.75">
      <c r="C112" s="1147" t="s">
        <v>601</v>
      </c>
      <c r="D112" s="1165">
        <f t="shared" si="91"/>
        <v>1951316.4099999995</v>
      </c>
      <c r="E112" s="1177">
        <v>0.0022</v>
      </c>
      <c r="F112" s="1165">
        <f>D112*E112</f>
        <v>4292.896101999999</v>
      </c>
      <c r="G112" s="1165">
        <f>G111+F112</f>
        <v>4292.896101999999</v>
      </c>
      <c r="H112" s="1176">
        <f t="shared" si="93"/>
        <v>262950644.58900005</v>
      </c>
      <c r="I112" s="1177">
        <f>+E112</f>
        <v>0.0022</v>
      </c>
      <c r="J112" s="1165">
        <f aca="true" t="shared" si="107" ref="J112:J123">H112*I112</f>
        <v>578491.4180958001</v>
      </c>
      <c r="K112" s="1165">
        <f>J112+K111</f>
        <v>82860913.71346207</v>
      </c>
      <c r="L112" s="1176">
        <f t="shared" si="94"/>
        <v>155913692.679</v>
      </c>
      <c r="M112" s="1177">
        <f>+E112</f>
        <v>0.0022</v>
      </c>
      <c r="N112" s="1165">
        <f>L112*M112</f>
        <v>343010.1238938</v>
      </c>
      <c r="O112" s="1165">
        <f>N112+O111</f>
        <v>33177110.95623575</v>
      </c>
      <c r="P112" s="1176">
        <f t="shared" si="95"/>
        <v>3158242</v>
      </c>
      <c r="Q112" s="1177">
        <f>+E112</f>
        <v>0.0022</v>
      </c>
      <c r="R112" s="1165">
        <f aca="true" t="shared" si="108" ref="R112:R123">P112*Q112</f>
        <v>6948.1324</v>
      </c>
      <c r="S112" s="1165">
        <f>R112+S111</f>
        <v>861235.0079169982</v>
      </c>
      <c r="T112" s="1176">
        <f t="shared" si="96"/>
        <v>17454557.819999997</v>
      </c>
      <c r="U112" s="1177">
        <f>+U111</f>
        <v>0.0022</v>
      </c>
      <c r="V112" s="1165">
        <f aca="true" t="shared" si="109" ref="V112:V123">T112*U112</f>
        <v>38400.027204</v>
      </c>
      <c r="W112" s="1165">
        <f>V112+W111</f>
        <v>667950.6237799999</v>
      </c>
      <c r="X112" s="921">
        <f t="shared" si="97"/>
        <v>7810139.99</v>
      </c>
      <c r="Y112" s="1177">
        <f>+Y111</f>
        <v>0.0022</v>
      </c>
      <c r="Z112" s="1165">
        <f>X112*Y112</f>
        <v>17182.307978</v>
      </c>
      <c r="AA112" s="1165">
        <f>Z112+AA111</f>
        <v>154073.059052</v>
      </c>
      <c r="AB112" s="921">
        <f>+AQ87</f>
        <v>0</v>
      </c>
      <c r="AC112" s="1177">
        <f>+AC111</f>
        <v>0.0022</v>
      </c>
      <c r="AD112" s="1165">
        <f t="shared" si="99"/>
        <v>0</v>
      </c>
      <c r="AE112" s="1165">
        <f>AD112+AE111</f>
        <v>3391.151874000001</v>
      </c>
      <c r="AF112" s="921">
        <f t="shared" si="100"/>
        <v>5341345.399999998</v>
      </c>
      <c r="AG112" s="1177">
        <f>+AG111</f>
        <v>0.0022</v>
      </c>
      <c r="AH112" s="1165">
        <f t="shared" si="101"/>
        <v>11750.959879999995</v>
      </c>
      <c r="AI112" s="1165">
        <f>AH112+AI111</f>
        <v>242535.12786799995</v>
      </c>
      <c r="AJ112" s="921">
        <f t="shared" si="102"/>
        <v>10675843.16</v>
      </c>
      <c r="AK112" s="1177">
        <f>+AK111</f>
        <v>0.0022</v>
      </c>
      <c r="AL112" s="1165">
        <f t="shared" si="103"/>
        <v>23486.854952</v>
      </c>
      <c r="AM112" s="1165">
        <f>AL112+AM111</f>
        <v>2241927.0636000033</v>
      </c>
      <c r="AN112" s="921">
        <f t="shared" si="104"/>
        <v>0</v>
      </c>
      <c r="AO112" s="1177">
        <f>+AO111</f>
        <v>0.0022</v>
      </c>
      <c r="AP112" s="1417">
        <f aca="true" t="shared" si="110" ref="AP112:AP123">AN112*AO112</f>
        <v>0</v>
      </c>
      <c r="AQ112" s="1417">
        <f>AP112+AQ111</f>
        <v>0</v>
      </c>
      <c r="AR112" s="921">
        <f t="shared" si="105"/>
        <v>6736837.04</v>
      </c>
      <c r="AS112" s="1177">
        <f>+AS111</f>
        <v>0.0022</v>
      </c>
      <c r="AT112" s="1165">
        <f t="shared" si="106"/>
        <v>14821.041488</v>
      </c>
      <c r="AU112" s="1165">
        <f>AT112+AU111</f>
        <v>385347.07868800004</v>
      </c>
    </row>
    <row r="113" spans="3:47" ht="12.75">
      <c r="C113" s="1147" t="s">
        <v>602</v>
      </c>
      <c r="D113" s="1165">
        <f t="shared" si="91"/>
        <v>35528599.30999999</v>
      </c>
      <c r="E113" s="1177">
        <v>0.0022</v>
      </c>
      <c r="F113" s="1165">
        <f>D113*E113</f>
        <v>78162.91848199998</v>
      </c>
      <c r="G113" s="1165">
        <f aca="true" t="shared" si="111" ref="G113:G123">G112+F113</f>
        <v>82455.81458399998</v>
      </c>
      <c r="H113" s="1176">
        <f t="shared" si="93"/>
        <v>262950644.58900005</v>
      </c>
      <c r="I113" s="1177">
        <f aca="true" t="shared" si="112" ref="I113:I123">+E113</f>
        <v>0.0022</v>
      </c>
      <c r="J113" s="1165">
        <f t="shared" si="107"/>
        <v>578491.4180958001</v>
      </c>
      <c r="K113" s="1165">
        <f aca="true" t="shared" si="113" ref="K113:K123">J113+K112</f>
        <v>83439405.13155787</v>
      </c>
      <c r="L113" s="1176">
        <f t="shared" si="94"/>
        <v>155913692.679</v>
      </c>
      <c r="M113" s="1177">
        <f aca="true" t="shared" si="114" ref="M113:M123">+E113</f>
        <v>0.0022</v>
      </c>
      <c r="N113" s="1165">
        <f aca="true" t="shared" si="115" ref="N113:N123">L113*M113</f>
        <v>343010.1238938</v>
      </c>
      <c r="O113" s="1165">
        <f>N113+O112</f>
        <v>33520121.080129553</v>
      </c>
      <c r="P113" s="1176">
        <f t="shared" si="95"/>
        <v>3158242</v>
      </c>
      <c r="Q113" s="1177">
        <f aca="true" t="shared" si="116" ref="Q113:Q123">+E113</f>
        <v>0.0022</v>
      </c>
      <c r="R113" s="1165">
        <f t="shared" si="108"/>
        <v>6948.1324</v>
      </c>
      <c r="S113" s="1165">
        <f>R113+S112</f>
        <v>868183.1403169982</v>
      </c>
      <c r="T113" s="1176">
        <f t="shared" si="96"/>
        <v>17460359.819999997</v>
      </c>
      <c r="U113" s="1177">
        <f aca="true" t="shared" si="117" ref="U113:U123">+U112</f>
        <v>0.0022</v>
      </c>
      <c r="V113" s="1165">
        <f>T113*U113</f>
        <v>38412.791604</v>
      </c>
      <c r="W113" s="1165">
        <f>V113+W112</f>
        <v>706363.4153839999</v>
      </c>
      <c r="X113" s="921">
        <f t="shared" si="97"/>
        <v>7804451.73</v>
      </c>
      <c r="Y113" s="1177">
        <f aca="true" t="shared" si="118" ref="Y113:Y123">+Y112</f>
        <v>0.0022</v>
      </c>
      <c r="Z113" s="1165">
        <f>X113*Y113</f>
        <v>17169.793806</v>
      </c>
      <c r="AA113" s="1165">
        <f>Z113+AA112</f>
        <v>171242.852858</v>
      </c>
      <c r="AB113" s="921">
        <f t="shared" si="98"/>
        <v>0</v>
      </c>
      <c r="AC113" s="1177">
        <f aca="true" t="shared" si="119" ref="AC113:AC123">+AC112</f>
        <v>0.0022</v>
      </c>
      <c r="AD113" s="1165">
        <f t="shared" si="99"/>
        <v>0</v>
      </c>
      <c r="AE113" s="1165">
        <f aca="true" t="shared" si="120" ref="AE113:AE123">AD113+AE112</f>
        <v>3391.151874000001</v>
      </c>
      <c r="AF113" s="921">
        <f t="shared" si="100"/>
        <v>5341345.399999998</v>
      </c>
      <c r="AG113" s="1177">
        <f aca="true" t="shared" si="121" ref="AG113:AG123">+AG112</f>
        <v>0.0022</v>
      </c>
      <c r="AH113" s="1165">
        <f t="shared" si="101"/>
        <v>11750.959879999995</v>
      </c>
      <c r="AI113" s="1165">
        <f aca="true" t="shared" si="122" ref="AI113:AI123">AH113+AI112</f>
        <v>254286.08774799993</v>
      </c>
      <c r="AJ113" s="921">
        <f t="shared" si="102"/>
        <v>10675843.16</v>
      </c>
      <c r="AK113" s="1177">
        <f aca="true" t="shared" si="123" ref="AK113:AK123">+AK112</f>
        <v>0.0022</v>
      </c>
      <c r="AL113" s="1165">
        <f t="shared" si="103"/>
        <v>23486.854952</v>
      </c>
      <c r="AM113" s="1165">
        <f aca="true" t="shared" si="124" ref="AM113:AM123">AL113+AM112</f>
        <v>2265413.9185520033</v>
      </c>
      <c r="AN113" s="921">
        <f t="shared" si="104"/>
        <v>0</v>
      </c>
      <c r="AO113" s="1177">
        <f aca="true" t="shared" si="125" ref="AO113:AO123">+AO112</f>
        <v>0.0022</v>
      </c>
      <c r="AP113" s="1417">
        <f t="shared" si="110"/>
        <v>0</v>
      </c>
      <c r="AQ113" s="1417">
        <f aca="true" t="shared" si="126" ref="AQ113:AQ123">AP113+AQ112</f>
        <v>0</v>
      </c>
      <c r="AR113" s="921">
        <f t="shared" si="105"/>
        <v>6736837.04</v>
      </c>
      <c r="AS113" s="1177">
        <f aca="true" t="shared" si="127" ref="AS113:AS123">+AS112</f>
        <v>0.0022</v>
      </c>
      <c r="AT113" s="1165">
        <f t="shared" si="106"/>
        <v>14821.041488</v>
      </c>
      <c r="AU113" s="1165">
        <f aca="true" t="shared" si="128" ref="AU113:AU123">AT113+AU112</f>
        <v>400168.12017600005</v>
      </c>
    </row>
    <row r="114" spans="3:47" ht="12.75">
      <c r="C114" s="1147" t="s">
        <v>603</v>
      </c>
      <c r="D114" s="1165">
        <f t="shared" si="91"/>
        <v>35655822.20999999</v>
      </c>
      <c r="E114" s="1177">
        <v>0.0022</v>
      </c>
      <c r="F114" s="1165">
        <f t="shared" si="92"/>
        <v>78442.80886199999</v>
      </c>
      <c r="G114" s="1165">
        <f>G113+F114</f>
        <v>160898.62344599998</v>
      </c>
      <c r="H114" s="1176">
        <f t="shared" si="93"/>
        <v>262950644.58900005</v>
      </c>
      <c r="I114" s="1177">
        <f t="shared" si="112"/>
        <v>0.0022</v>
      </c>
      <c r="J114" s="1165">
        <f t="shared" si="107"/>
        <v>578491.4180958001</v>
      </c>
      <c r="K114" s="1165">
        <f t="shared" si="113"/>
        <v>84017896.54965366</v>
      </c>
      <c r="L114" s="1176">
        <f t="shared" si="94"/>
        <v>155913692.679</v>
      </c>
      <c r="M114" s="1177">
        <f t="shared" si="114"/>
        <v>0.0022</v>
      </c>
      <c r="N114" s="1165">
        <f t="shared" si="115"/>
        <v>343010.1238938</v>
      </c>
      <c r="O114" s="1165">
        <f aca="true" t="shared" si="129" ref="O114:O123">N114+O113</f>
        <v>33863131.204023354</v>
      </c>
      <c r="P114" s="1176">
        <f t="shared" si="95"/>
        <v>3158242</v>
      </c>
      <c r="Q114" s="1177">
        <f t="shared" si="116"/>
        <v>0.0022</v>
      </c>
      <c r="R114" s="1165">
        <f>P114*Q114</f>
        <v>6948.1324</v>
      </c>
      <c r="S114" s="1165">
        <f aca="true" t="shared" si="130" ref="S114:S123">R114+S113</f>
        <v>875131.2727169982</v>
      </c>
      <c r="T114" s="1176">
        <f t="shared" si="96"/>
        <v>17455806.039999995</v>
      </c>
      <c r="U114" s="1177">
        <f t="shared" si="117"/>
        <v>0.0022</v>
      </c>
      <c r="V114" s="1165">
        <f t="shared" si="109"/>
        <v>38402.77328799999</v>
      </c>
      <c r="W114" s="1165">
        <f aca="true" t="shared" si="131" ref="W114:W123">V114+W113</f>
        <v>744766.188672</v>
      </c>
      <c r="X114" s="921">
        <f t="shared" si="97"/>
        <v>7777961.140000001</v>
      </c>
      <c r="Y114" s="1177">
        <f t="shared" si="118"/>
        <v>0.0022</v>
      </c>
      <c r="Z114" s="1165">
        <f>X114*Y114</f>
        <v>17111.514508000004</v>
      </c>
      <c r="AA114" s="1165">
        <f aca="true" t="shared" si="132" ref="AA114:AA123">Z114+AA113</f>
        <v>188354.367366</v>
      </c>
      <c r="AB114" s="921">
        <f t="shared" si="98"/>
        <v>0</v>
      </c>
      <c r="AC114" s="1177">
        <f t="shared" si="119"/>
        <v>0.0022</v>
      </c>
      <c r="AD114" s="1165">
        <f t="shared" si="99"/>
        <v>0</v>
      </c>
      <c r="AE114" s="1165">
        <f t="shared" si="120"/>
        <v>3391.151874000001</v>
      </c>
      <c r="AF114" s="921">
        <f t="shared" si="100"/>
        <v>5340557.179999998</v>
      </c>
      <c r="AG114" s="1177">
        <f t="shared" si="121"/>
        <v>0.0022</v>
      </c>
      <c r="AH114" s="1165">
        <f t="shared" si="101"/>
        <v>11749.225795999995</v>
      </c>
      <c r="AI114" s="1165">
        <f t="shared" si="122"/>
        <v>266035.3135439999</v>
      </c>
      <c r="AJ114" s="921">
        <f t="shared" si="102"/>
        <v>10675843.16</v>
      </c>
      <c r="AK114" s="1177">
        <f t="shared" si="123"/>
        <v>0.0022</v>
      </c>
      <c r="AL114" s="1165">
        <f t="shared" si="103"/>
        <v>23486.854952</v>
      </c>
      <c r="AM114" s="1165">
        <f t="shared" si="124"/>
        <v>2288900.7735040034</v>
      </c>
      <c r="AN114" s="921">
        <f t="shared" si="104"/>
        <v>0</v>
      </c>
      <c r="AO114" s="1177">
        <f t="shared" si="125"/>
        <v>0.0022</v>
      </c>
      <c r="AP114" s="1417">
        <f t="shared" si="110"/>
        <v>0</v>
      </c>
      <c r="AQ114" s="1417">
        <f t="shared" si="126"/>
        <v>0</v>
      </c>
      <c r="AR114" s="921">
        <f t="shared" si="105"/>
        <v>6736837.04</v>
      </c>
      <c r="AS114" s="1177">
        <f t="shared" si="127"/>
        <v>0.0022</v>
      </c>
      <c r="AT114" s="1165">
        <f t="shared" si="106"/>
        <v>14821.041488</v>
      </c>
      <c r="AU114" s="1165">
        <f t="shared" si="128"/>
        <v>414989.1616640001</v>
      </c>
    </row>
    <row r="115" spans="3:47" ht="12.75">
      <c r="C115" s="1147" t="s">
        <v>604</v>
      </c>
      <c r="D115" s="1165">
        <f t="shared" si="91"/>
        <v>35368317.25999999</v>
      </c>
      <c r="E115" s="1177">
        <v>0.0022</v>
      </c>
      <c r="F115" s="1165">
        <f t="shared" si="92"/>
        <v>77810.29797199999</v>
      </c>
      <c r="G115" s="1165">
        <f t="shared" si="111"/>
        <v>238708.92141799995</v>
      </c>
      <c r="H115" s="1176">
        <f t="shared" si="93"/>
        <v>262950644.58900005</v>
      </c>
      <c r="I115" s="1177">
        <f t="shared" si="112"/>
        <v>0.0022</v>
      </c>
      <c r="J115" s="1165">
        <f t="shared" si="107"/>
        <v>578491.4180958001</v>
      </c>
      <c r="K115" s="1165">
        <f t="shared" si="113"/>
        <v>84596387.96774946</v>
      </c>
      <c r="L115" s="1176">
        <f t="shared" si="94"/>
        <v>155913692.679</v>
      </c>
      <c r="M115" s="1177">
        <f t="shared" si="114"/>
        <v>0.0022</v>
      </c>
      <c r="N115" s="1165">
        <f t="shared" si="115"/>
        <v>343010.1238938</v>
      </c>
      <c r="O115" s="1165">
        <f t="shared" si="129"/>
        <v>34206141.32791715</v>
      </c>
      <c r="P115" s="1176">
        <f t="shared" si="95"/>
        <v>3158242</v>
      </c>
      <c r="Q115" s="1177">
        <f t="shared" si="116"/>
        <v>0.0022</v>
      </c>
      <c r="R115" s="1165">
        <f t="shared" si="108"/>
        <v>6948.1324</v>
      </c>
      <c r="S115" s="1165">
        <f t="shared" si="130"/>
        <v>882079.4051169982</v>
      </c>
      <c r="T115" s="1176">
        <f t="shared" si="96"/>
        <v>17468729.189999994</v>
      </c>
      <c r="U115" s="1177">
        <f t="shared" si="117"/>
        <v>0.0022</v>
      </c>
      <c r="V115" s="1165">
        <f>T115*U115</f>
        <v>38431.20421799999</v>
      </c>
      <c r="W115" s="1165">
        <f t="shared" si="131"/>
        <v>783197.3928899999</v>
      </c>
      <c r="X115" s="921">
        <f t="shared" si="97"/>
        <v>7837429.970000001</v>
      </c>
      <c r="Y115" s="1177">
        <f t="shared" si="118"/>
        <v>0.0022</v>
      </c>
      <c r="Z115" s="1165">
        <f>X115*Y115</f>
        <v>17242.345934</v>
      </c>
      <c r="AA115" s="1165">
        <f t="shared" si="132"/>
        <v>205596.7133</v>
      </c>
      <c r="AB115" s="921">
        <f t="shared" si="98"/>
        <v>0</v>
      </c>
      <c r="AC115" s="1177">
        <f t="shared" si="119"/>
        <v>0.0022</v>
      </c>
      <c r="AD115" s="1165">
        <f t="shared" si="99"/>
        <v>0</v>
      </c>
      <c r="AE115" s="1165">
        <f t="shared" si="120"/>
        <v>3391.151874000001</v>
      </c>
      <c r="AF115" s="921">
        <f t="shared" si="100"/>
        <v>5338712.0299999975</v>
      </c>
      <c r="AG115" s="1177">
        <f t="shared" si="121"/>
        <v>0.0022</v>
      </c>
      <c r="AH115" s="1165">
        <f t="shared" si="101"/>
        <v>11745.166465999995</v>
      </c>
      <c r="AI115" s="1165">
        <f t="shared" si="122"/>
        <v>277780.48000999994</v>
      </c>
      <c r="AJ115" s="921">
        <f t="shared" si="102"/>
        <v>10675843.16</v>
      </c>
      <c r="AK115" s="1177">
        <f t="shared" si="123"/>
        <v>0.0022</v>
      </c>
      <c r="AL115" s="1165">
        <f t="shared" si="103"/>
        <v>23486.854952</v>
      </c>
      <c r="AM115" s="1165">
        <f t="shared" si="124"/>
        <v>2312387.6284560035</v>
      </c>
      <c r="AN115" s="921">
        <f t="shared" si="104"/>
        <v>0</v>
      </c>
      <c r="AO115" s="1177">
        <f t="shared" si="125"/>
        <v>0.0022</v>
      </c>
      <c r="AP115" s="1417">
        <f t="shared" si="110"/>
        <v>0</v>
      </c>
      <c r="AQ115" s="1417">
        <f t="shared" si="126"/>
        <v>0</v>
      </c>
      <c r="AR115" s="921">
        <f t="shared" si="105"/>
        <v>6736837.04</v>
      </c>
      <c r="AS115" s="1177">
        <f t="shared" si="127"/>
        <v>0.0022</v>
      </c>
      <c r="AT115" s="1165">
        <f t="shared" si="106"/>
        <v>14821.041488</v>
      </c>
      <c r="AU115" s="1165">
        <f t="shared" si="128"/>
        <v>429810.2031520001</v>
      </c>
    </row>
    <row r="116" spans="3:47" ht="12.75">
      <c r="C116" s="1147" t="s">
        <v>599</v>
      </c>
      <c r="D116" s="1165">
        <f t="shared" si="91"/>
        <v>48964270.879999995</v>
      </c>
      <c r="E116" s="1177">
        <v>0.0022</v>
      </c>
      <c r="F116" s="1165">
        <f t="shared" si="92"/>
        <v>107721.395936</v>
      </c>
      <c r="G116" s="1165">
        <f t="shared" si="111"/>
        <v>346430.31735399994</v>
      </c>
      <c r="H116" s="1176">
        <f t="shared" si="93"/>
        <v>262950644.58900005</v>
      </c>
      <c r="I116" s="1177">
        <f t="shared" si="112"/>
        <v>0.0022</v>
      </c>
      <c r="J116" s="1165">
        <f t="shared" si="107"/>
        <v>578491.4180958001</v>
      </c>
      <c r="K116" s="1165">
        <f t="shared" si="113"/>
        <v>85174879.38584526</v>
      </c>
      <c r="L116" s="1176">
        <f t="shared" si="94"/>
        <v>155913692.679</v>
      </c>
      <c r="M116" s="1177">
        <f t="shared" si="114"/>
        <v>0.0022</v>
      </c>
      <c r="N116" s="1165">
        <f t="shared" si="115"/>
        <v>343010.1238938</v>
      </c>
      <c r="O116" s="1165">
        <f t="shared" si="129"/>
        <v>34549151.45181095</v>
      </c>
      <c r="P116" s="1176">
        <f t="shared" si="95"/>
        <v>3158242</v>
      </c>
      <c r="Q116" s="1177">
        <f t="shared" si="116"/>
        <v>0.0022</v>
      </c>
      <c r="R116" s="1165">
        <f t="shared" si="108"/>
        <v>6948.1324</v>
      </c>
      <c r="S116" s="1165">
        <f t="shared" si="130"/>
        <v>889027.5375169982</v>
      </c>
      <c r="T116" s="1176">
        <f t="shared" si="96"/>
        <v>17701244.189999994</v>
      </c>
      <c r="U116" s="1177">
        <f t="shared" si="117"/>
        <v>0.0022</v>
      </c>
      <c r="V116" s="1165">
        <f t="shared" si="109"/>
        <v>38942.73721799999</v>
      </c>
      <c r="W116" s="1165">
        <f t="shared" si="131"/>
        <v>822140.1301079999</v>
      </c>
      <c r="X116" s="921">
        <f t="shared" si="97"/>
        <v>8285223.5200000005</v>
      </c>
      <c r="Y116" s="1177">
        <f t="shared" si="118"/>
        <v>0.0022</v>
      </c>
      <c r="Z116" s="1165">
        <f aca="true" t="shared" si="133" ref="Z116:Z123">X116*Y116</f>
        <v>18227.491744000003</v>
      </c>
      <c r="AA116" s="1165">
        <f t="shared" si="132"/>
        <v>223824.205044</v>
      </c>
      <c r="AB116" s="921">
        <f t="shared" si="98"/>
        <v>0</v>
      </c>
      <c r="AC116" s="1177">
        <f t="shared" si="119"/>
        <v>0.0022</v>
      </c>
      <c r="AD116" s="1165">
        <f t="shared" si="99"/>
        <v>0</v>
      </c>
      <c r="AE116" s="1165">
        <f t="shared" si="120"/>
        <v>3391.151874000001</v>
      </c>
      <c r="AF116" s="921">
        <f t="shared" si="100"/>
        <v>5338712.0299999975</v>
      </c>
      <c r="AG116" s="1177">
        <f t="shared" si="121"/>
        <v>0.0022</v>
      </c>
      <c r="AH116" s="1165">
        <f t="shared" si="101"/>
        <v>11745.166465999995</v>
      </c>
      <c r="AI116" s="1165">
        <f t="shared" si="122"/>
        <v>289525.64647599997</v>
      </c>
      <c r="AJ116" s="921">
        <f t="shared" si="102"/>
        <v>10675843.16</v>
      </c>
      <c r="AK116" s="1177">
        <f t="shared" si="123"/>
        <v>0.0022</v>
      </c>
      <c r="AL116" s="1165">
        <f t="shared" si="103"/>
        <v>23486.854952</v>
      </c>
      <c r="AM116" s="1165">
        <f t="shared" si="124"/>
        <v>2335874.4834080036</v>
      </c>
      <c r="AN116" s="921">
        <f t="shared" si="104"/>
        <v>0</v>
      </c>
      <c r="AO116" s="1177">
        <f t="shared" si="125"/>
        <v>0.0022</v>
      </c>
      <c r="AP116" s="1417">
        <f t="shared" si="110"/>
        <v>0</v>
      </c>
      <c r="AQ116" s="1417">
        <f t="shared" si="126"/>
        <v>0</v>
      </c>
      <c r="AR116" s="921">
        <f t="shared" si="105"/>
        <v>6736837.04</v>
      </c>
      <c r="AS116" s="1177">
        <f t="shared" si="127"/>
        <v>0.0022</v>
      </c>
      <c r="AT116" s="1165">
        <f t="shared" si="106"/>
        <v>14821.041488</v>
      </c>
      <c r="AU116" s="1165">
        <f t="shared" si="128"/>
        <v>444631.2446400001</v>
      </c>
    </row>
    <row r="117" spans="3:47" ht="12.75">
      <c r="C117" s="1147" t="s">
        <v>605</v>
      </c>
      <c r="D117" s="1165">
        <f t="shared" si="91"/>
        <v>53197536.10999999</v>
      </c>
      <c r="E117" s="1177">
        <v>0.0022</v>
      </c>
      <c r="F117" s="1165">
        <f t="shared" si="92"/>
        <v>117034.57944199999</v>
      </c>
      <c r="G117" s="1165">
        <f t="shared" si="111"/>
        <v>463464.89679599996</v>
      </c>
      <c r="H117" s="1176">
        <f t="shared" si="93"/>
        <v>262950644.58900005</v>
      </c>
      <c r="I117" s="1177">
        <f t="shared" si="112"/>
        <v>0.0022</v>
      </c>
      <c r="J117" s="1165">
        <f t="shared" si="107"/>
        <v>578491.4180958001</v>
      </c>
      <c r="K117" s="1165">
        <f t="shared" si="113"/>
        <v>85753370.80394106</v>
      </c>
      <c r="L117" s="1176">
        <f t="shared" si="94"/>
        <v>155913692.679</v>
      </c>
      <c r="M117" s="1177">
        <f t="shared" si="114"/>
        <v>0.0022</v>
      </c>
      <c r="N117" s="1165">
        <f t="shared" si="115"/>
        <v>343010.1238938</v>
      </c>
      <c r="O117" s="1165">
        <f>N117+O116</f>
        <v>34892161.575704746</v>
      </c>
      <c r="P117" s="1176">
        <f t="shared" si="95"/>
        <v>3158242</v>
      </c>
      <c r="Q117" s="1177">
        <f t="shared" si="116"/>
        <v>0.0022</v>
      </c>
      <c r="R117" s="1165">
        <f t="shared" si="108"/>
        <v>6948.1324</v>
      </c>
      <c r="S117" s="1165">
        <f t="shared" si="130"/>
        <v>895975.6699169982</v>
      </c>
      <c r="T117" s="1176">
        <f t="shared" si="96"/>
        <v>17701244.189999994</v>
      </c>
      <c r="U117" s="1177">
        <f t="shared" si="117"/>
        <v>0.0022</v>
      </c>
      <c r="V117" s="1165">
        <f t="shared" si="109"/>
        <v>38942.73721799999</v>
      </c>
      <c r="W117" s="1165">
        <f t="shared" si="131"/>
        <v>861082.8673259999</v>
      </c>
      <c r="X117" s="921">
        <f t="shared" si="97"/>
        <v>8287267.36</v>
      </c>
      <c r="Y117" s="1177">
        <f t="shared" si="118"/>
        <v>0.0022</v>
      </c>
      <c r="Z117" s="1165">
        <f t="shared" si="133"/>
        <v>18231.988192</v>
      </c>
      <c r="AA117" s="1165">
        <f t="shared" si="132"/>
        <v>242056.193236</v>
      </c>
      <c r="AB117" s="921">
        <f t="shared" si="98"/>
        <v>0</v>
      </c>
      <c r="AC117" s="1177">
        <f t="shared" si="119"/>
        <v>0.0022</v>
      </c>
      <c r="AD117" s="1165">
        <f t="shared" si="99"/>
        <v>0</v>
      </c>
      <c r="AE117" s="1165">
        <f t="shared" si="120"/>
        <v>3391.151874000001</v>
      </c>
      <c r="AF117" s="921">
        <f t="shared" si="100"/>
        <v>5338712.0299999975</v>
      </c>
      <c r="AG117" s="1177">
        <f t="shared" si="121"/>
        <v>0.0022</v>
      </c>
      <c r="AH117" s="1165">
        <f t="shared" si="101"/>
        <v>11745.166465999995</v>
      </c>
      <c r="AI117" s="1165">
        <f t="shared" si="122"/>
        <v>301270.812942</v>
      </c>
      <c r="AJ117" s="921">
        <f t="shared" si="102"/>
        <v>10675843.16</v>
      </c>
      <c r="AK117" s="1177">
        <f t="shared" si="123"/>
        <v>0.0022</v>
      </c>
      <c r="AL117" s="1165">
        <f t="shared" si="103"/>
        <v>23486.854952</v>
      </c>
      <c r="AM117" s="1165">
        <f t="shared" si="124"/>
        <v>2359361.3383600037</v>
      </c>
      <c r="AN117" s="921">
        <f t="shared" si="104"/>
        <v>0</v>
      </c>
      <c r="AO117" s="1177">
        <f t="shared" si="125"/>
        <v>0.0022</v>
      </c>
      <c r="AP117" s="1417">
        <f t="shared" si="110"/>
        <v>0</v>
      </c>
      <c r="AQ117" s="1417">
        <f t="shared" si="126"/>
        <v>0</v>
      </c>
      <c r="AR117" s="921">
        <f t="shared" si="105"/>
        <v>6736837.04</v>
      </c>
      <c r="AS117" s="1177">
        <f t="shared" si="127"/>
        <v>0.0022</v>
      </c>
      <c r="AT117" s="1165">
        <f t="shared" si="106"/>
        <v>14821.041488</v>
      </c>
      <c r="AU117" s="1165">
        <f t="shared" si="128"/>
        <v>459452.2861280001</v>
      </c>
    </row>
    <row r="118" spans="3:47" ht="12.75">
      <c r="C118" s="1147" t="s">
        <v>606</v>
      </c>
      <c r="D118" s="1165">
        <f t="shared" si="91"/>
        <v>54003331.52999999</v>
      </c>
      <c r="E118" s="1177">
        <f aca="true" t="shared" si="134" ref="E118:E123">+E117</f>
        <v>0.0022</v>
      </c>
      <c r="F118" s="1165">
        <f t="shared" si="92"/>
        <v>118807.32936599998</v>
      </c>
      <c r="G118" s="1165">
        <f t="shared" si="111"/>
        <v>582272.226162</v>
      </c>
      <c r="H118" s="1176">
        <f t="shared" si="93"/>
        <v>262950644.58900005</v>
      </c>
      <c r="I118" s="1177">
        <f t="shared" si="112"/>
        <v>0.0022</v>
      </c>
      <c r="J118" s="1165">
        <f t="shared" si="107"/>
        <v>578491.4180958001</v>
      </c>
      <c r="K118" s="1165">
        <f t="shared" si="113"/>
        <v>86331862.22203685</v>
      </c>
      <c r="L118" s="1176">
        <f t="shared" si="94"/>
        <v>155913692.679</v>
      </c>
      <c r="M118" s="1177">
        <f t="shared" si="114"/>
        <v>0.0022</v>
      </c>
      <c r="N118" s="1165">
        <f t="shared" si="115"/>
        <v>343010.1238938</v>
      </c>
      <c r="O118" s="1165">
        <f t="shared" si="129"/>
        <v>35235171.69959854</v>
      </c>
      <c r="P118" s="1176">
        <f t="shared" si="95"/>
        <v>3158242</v>
      </c>
      <c r="Q118" s="1177">
        <f t="shared" si="116"/>
        <v>0.0022</v>
      </c>
      <c r="R118" s="1165">
        <f t="shared" si="108"/>
        <v>6948.1324</v>
      </c>
      <c r="S118" s="1165">
        <f t="shared" si="130"/>
        <v>902923.8023169982</v>
      </c>
      <c r="T118" s="1176">
        <f t="shared" si="96"/>
        <v>17700842.189999994</v>
      </c>
      <c r="U118" s="1177">
        <f t="shared" si="117"/>
        <v>0.0022</v>
      </c>
      <c r="V118" s="1165">
        <f t="shared" si="109"/>
        <v>38941.85281799999</v>
      </c>
      <c r="W118" s="1165">
        <f t="shared" si="131"/>
        <v>900024.7201439999</v>
      </c>
      <c r="X118" s="921">
        <f t="shared" si="97"/>
        <v>8294050.13</v>
      </c>
      <c r="Y118" s="1177">
        <f t="shared" si="118"/>
        <v>0.0022</v>
      </c>
      <c r="Z118" s="1165">
        <f t="shared" si="133"/>
        <v>18246.910286000002</v>
      </c>
      <c r="AA118" s="1165">
        <f t="shared" si="132"/>
        <v>260303.103522</v>
      </c>
      <c r="AB118" s="921">
        <f t="shared" si="98"/>
        <v>0</v>
      </c>
      <c r="AC118" s="1177">
        <f t="shared" si="119"/>
        <v>0.0022</v>
      </c>
      <c r="AD118" s="1165">
        <f t="shared" si="99"/>
        <v>0</v>
      </c>
      <c r="AE118" s="1165">
        <f t="shared" si="120"/>
        <v>3391.151874000001</v>
      </c>
      <c r="AF118" s="921">
        <f t="shared" si="100"/>
        <v>5338712.0299999975</v>
      </c>
      <c r="AG118" s="1177">
        <f t="shared" si="121"/>
        <v>0.0022</v>
      </c>
      <c r="AH118" s="1165">
        <f t="shared" si="101"/>
        <v>11745.166465999995</v>
      </c>
      <c r="AI118" s="1165">
        <f t="shared" si="122"/>
        <v>313015.979408</v>
      </c>
      <c r="AJ118" s="921">
        <f t="shared" si="102"/>
        <v>10675843.16</v>
      </c>
      <c r="AK118" s="1177">
        <f t="shared" si="123"/>
        <v>0.0022</v>
      </c>
      <c r="AL118" s="1165">
        <f t="shared" si="103"/>
        <v>23486.854952</v>
      </c>
      <c r="AM118" s="1165">
        <f t="shared" si="124"/>
        <v>2382848.1933120037</v>
      </c>
      <c r="AN118" s="921">
        <f t="shared" si="104"/>
        <v>0</v>
      </c>
      <c r="AO118" s="1177">
        <f t="shared" si="125"/>
        <v>0.0022</v>
      </c>
      <c r="AP118" s="1417">
        <f t="shared" si="110"/>
        <v>0</v>
      </c>
      <c r="AQ118" s="1417">
        <f t="shared" si="126"/>
        <v>0</v>
      </c>
      <c r="AR118" s="921">
        <f t="shared" si="105"/>
        <v>6736837.04</v>
      </c>
      <c r="AS118" s="1177">
        <f t="shared" si="127"/>
        <v>0.0022</v>
      </c>
      <c r="AT118" s="1165">
        <f t="shared" si="106"/>
        <v>14821.041488</v>
      </c>
      <c r="AU118" s="1165">
        <f t="shared" si="128"/>
        <v>474273.32761600014</v>
      </c>
    </row>
    <row r="119" spans="3:47" ht="12.75">
      <c r="C119" s="1147" t="s">
        <v>607</v>
      </c>
      <c r="D119" s="1165">
        <f t="shared" si="91"/>
        <v>51477321.959999986</v>
      </c>
      <c r="E119" s="1177">
        <f t="shared" si="134"/>
        <v>0.0022</v>
      </c>
      <c r="F119" s="1165">
        <f t="shared" si="92"/>
        <v>113250.10831199998</v>
      </c>
      <c r="G119" s="1165">
        <f t="shared" si="111"/>
        <v>695522.3344739999</v>
      </c>
      <c r="H119" s="1176">
        <f t="shared" si="93"/>
        <v>262950644.58900005</v>
      </c>
      <c r="I119" s="1177">
        <f t="shared" si="112"/>
        <v>0.0022</v>
      </c>
      <c r="J119" s="1165">
        <f t="shared" si="107"/>
        <v>578491.4180958001</v>
      </c>
      <c r="K119" s="1165">
        <f t="shared" si="113"/>
        <v>86910353.64013265</v>
      </c>
      <c r="L119" s="1176">
        <f t="shared" si="94"/>
        <v>155913692.679</v>
      </c>
      <c r="M119" s="1177">
        <f t="shared" si="114"/>
        <v>0.0022</v>
      </c>
      <c r="N119" s="1165">
        <f t="shared" si="115"/>
        <v>343010.1238938</v>
      </c>
      <c r="O119" s="1165">
        <f t="shared" si="129"/>
        <v>35578181.82349234</v>
      </c>
      <c r="P119" s="1176">
        <f t="shared" si="95"/>
        <v>3158242</v>
      </c>
      <c r="Q119" s="1177">
        <f t="shared" si="116"/>
        <v>0.0022</v>
      </c>
      <c r="R119" s="1165">
        <f t="shared" si="108"/>
        <v>6948.1324</v>
      </c>
      <c r="S119" s="1165">
        <f t="shared" si="130"/>
        <v>909871.9347169983</v>
      </c>
      <c r="T119" s="1176">
        <f t="shared" si="96"/>
        <v>17700842.189999994</v>
      </c>
      <c r="U119" s="1177">
        <f t="shared" si="117"/>
        <v>0.0022</v>
      </c>
      <c r="V119" s="1165">
        <f t="shared" si="109"/>
        <v>38941.85281799999</v>
      </c>
      <c r="W119" s="1165">
        <f t="shared" si="131"/>
        <v>938966.5729619999</v>
      </c>
      <c r="X119" s="921">
        <f t="shared" si="97"/>
        <v>8295302.12</v>
      </c>
      <c r="Y119" s="1177">
        <f t="shared" si="118"/>
        <v>0.0022</v>
      </c>
      <c r="Z119" s="1165">
        <f t="shared" si="133"/>
        <v>18249.664664</v>
      </c>
      <c r="AA119" s="1165">
        <f t="shared" si="132"/>
        <v>278552.768186</v>
      </c>
      <c r="AB119" s="921">
        <f t="shared" si="98"/>
        <v>0</v>
      </c>
      <c r="AC119" s="1177">
        <f t="shared" si="119"/>
        <v>0.0022</v>
      </c>
      <c r="AD119" s="1165">
        <f t="shared" si="99"/>
        <v>0</v>
      </c>
      <c r="AE119" s="1165">
        <f t="shared" si="120"/>
        <v>3391.151874000001</v>
      </c>
      <c r="AF119" s="921">
        <f t="shared" si="100"/>
        <v>5338712.0299999975</v>
      </c>
      <c r="AG119" s="1177">
        <f t="shared" si="121"/>
        <v>0.0022</v>
      </c>
      <c r="AH119" s="1165">
        <f t="shared" si="101"/>
        <v>11745.166465999995</v>
      </c>
      <c r="AI119" s="1165">
        <f t="shared" si="122"/>
        <v>324761.14587400004</v>
      </c>
      <c r="AJ119" s="921">
        <f t="shared" si="102"/>
        <v>10675843.16</v>
      </c>
      <c r="AK119" s="1177">
        <f t="shared" si="123"/>
        <v>0.0022</v>
      </c>
      <c r="AL119" s="1165">
        <f t="shared" si="103"/>
        <v>23486.854952</v>
      </c>
      <c r="AM119" s="1165">
        <f t="shared" si="124"/>
        <v>2406335.048264004</v>
      </c>
      <c r="AN119" s="921">
        <f t="shared" si="104"/>
        <v>0</v>
      </c>
      <c r="AO119" s="1177">
        <f t="shared" si="125"/>
        <v>0.0022</v>
      </c>
      <c r="AP119" s="1417">
        <f t="shared" si="110"/>
        <v>0</v>
      </c>
      <c r="AQ119" s="1417">
        <f t="shared" si="126"/>
        <v>0</v>
      </c>
      <c r="AR119" s="921">
        <f t="shared" si="105"/>
        <v>6736837.04</v>
      </c>
      <c r="AS119" s="1177">
        <f t="shared" si="127"/>
        <v>0.0022</v>
      </c>
      <c r="AT119" s="1165">
        <f t="shared" si="106"/>
        <v>14821.041488</v>
      </c>
      <c r="AU119" s="1165">
        <f t="shared" si="128"/>
        <v>489094.36910400016</v>
      </c>
    </row>
    <row r="120" spans="3:47" ht="12.75">
      <c r="C120" s="1147" t="s">
        <v>608</v>
      </c>
      <c r="D120" s="1165">
        <f t="shared" si="91"/>
        <v>53905896.26999999</v>
      </c>
      <c r="E120" s="1177">
        <f t="shared" si="134"/>
        <v>0.0022</v>
      </c>
      <c r="F120" s="1165">
        <f t="shared" si="92"/>
        <v>118592.97179399998</v>
      </c>
      <c r="G120" s="1165">
        <f t="shared" si="111"/>
        <v>814115.3062679999</v>
      </c>
      <c r="H120" s="1176">
        <f t="shared" si="93"/>
        <v>262950644.58900005</v>
      </c>
      <c r="I120" s="1177">
        <f t="shared" si="112"/>
        <v>0.0022</v>
      </c>
      <c r="J120" s="1165">
        <f t="shared" si="107"/>
        <v>578491.4180958001</v>
      </c>
      <c r="K120" s="1165">
        <f t="shared" si="113"/>
        <v>87488845.05822845</v>
      </c>
      <c r="L120" s="1176">
        <f t="shared" si="94"/>
        <v>155913692.679</v>
      </c>
      <c r="M120" s="1177">
        <f t="shared" si="114"/>
        <v>0.0022</v>
      </c>
      <c r="N120" s="1165">
        <f t="shared" si="115"/>
        <v>343010.1238938</v>
      </c>
      <c r="O120" s="1165">
        <f t="shared" si="129"/>
        <v>35921191.94738614</v>
      </c>
      <c r="P120" s="1176">
        <f t="shared" si="95"/>
        <v>3158242</v>
      </c>
      <c r="Q120" s="1177">
        <f t="shared" si="116"/>
        <v>0.0022</v>
      </c>
      <c r="R120" s="1165">
        <f t="shared" si="108"/>
        <v>6948.1324</v>
      </c>
      <c r="S120" s="1165">
        <f t="shared" si="130"/>
        <v>916820.0671169983</v>
      </c>
      <c r="T120" s="1176">
        <f t="shared" si="96"/>
        <v>17700842.189999994</v>
      </c>
      <c r="U120" s="1177">
        <f t="shared" si="117"/>
        <v>0.0022</v>
      </c>
      <c r="V120" s="1165">
        <f t="shared" si="109"/>
        <v>38941.85281799999</v>
      </c>
      <c r="W120" s="1165">
        <f t="shared" si="131"/>
        <v>977908.4257799999</v>
      </c>
      <c r="X120" s="921">
        <f t="shared" si="97"/>
        <v>8293104.13</v>
      </c>
      <c r="Y120" s="1177">
        <f t="shared" si="118"/>
        <v>0.0022</v>
      </c>
      <c r="Z120" s="1165">
        <f t="shared" si="133"/>
        <v>18244.829086</v>
      </c>
      <c r="AA120" s="1165">
        <f t="shared" si="132"/>
        <v>296797.597272</v>
      </c>
      <c r="AB120" s="921">
        <f t="shared" si="98"/>
        <v>0</v>
      </c>
      <c r="AC120" s="1177">
        <f t="shared" si="119"/>
        <v>0.0022</v>
      </c>
      <c r="AD120" s="1165">
        <f t="shared" si="99"/>
        <v>0</v>
      </c>
      <c r="AE120" s="1165">
        <f t="shared" si="120"/>
        <v>3391.151874000001</v>
      </c>
      <c r="AF120" s="921">
        <f t="shared" si="100"/>
        <v>5338712.0299999975</v>
      </c>
      <c r="AG120" s="1177">
        <f t="shared" si="121"/>
        <v>0.0022</v>
      </c>
      <c r="AH120" s="1165">
        <f t="shared" si="101"/>
        <v>11745.166465999995</v>
      </c>
      <c r="AI120" s="1165">
        <f t="shared" si="122"/>
        <v>336506.31234000006</v>
      </c>
      <c r="AJ120" s="921">
        <f t="shared" si="102"/>
        <v>10675843.16</v>
      </c>
      <c r="AK120" s="1177">
        <f t="shared" si="123"/>
        <v>0.0022</v>
      </c>
      <c r="AL120" s="1165">
        <f t="shared" si="103"/>
        <v>23486.854952</v>
      </c>
      <c r="AM120" s="1165">
        <f t="shared" si="124"/>
        <v>2429821.903216004</v>
      </c>
      <c r="AN120" s="921">
        <f t="shared" si="104"/>
        <v>0</v>
      </c>
      <c r="AO120" s="1177">
        <f t="shared" si="125"/>
        <v>0.0022</v>
      </c>
      <c r="AP120" s="1417">
        <f t="shared" si="110"/>
        <v>0</v>
      </c>
      <c r="AQ120" s="1417">
        <f t="shared" si="126"/>
        <v>0</v>
      </c>
      <c r="AR120" s="921">
        <f t="shared" si="105"/>
        <v>6736837.04</v>
      </c>
      <c r="AS120" s="1177">
        <f t="shared" si="127"/>
        <v>0.0022</v>
      </c>
      <c r="AT120" s="1165">
        <f t="shared" si="106"/>
        <v>14821.041488</v>
      </c>
      <c r="AU120" s="1165">
        <f t="shared" si="128"/>
        <v>503915.4105920002</v>
      </c>
    </row>
    <row r="121" spans="3:47" ht="12.75">
      <c r="C121" s="1147" t="s">
        <v>609</v>
      </c>
      <c r="D121" s="1165">
        <f t="shared" si="91"/>
        <v>55118144.47999999</v>
      </c>
      <c r="E121" s="1177">
        <f t="shared" si="134"/>
        <v>0.0022</v>
      </c>
      <c r="F121" s="1165">
        <f t="shared" si="92"/>
        <v>121259.91785599999</v>
      </c>
      <c r="G121" s="1165">
        <f t="shared" si="111"/>
        <v>935375.224124</v>
      </c>
      <c r="H121" s="1176">
        <f t="shared" si="93"/>
        <v>262950644.58900005</v>
      </c>
      <c r="I121" s="1177">
        <f t="shared" si="112"/>
        <v>0.0022</v>
      </c>
      <c r="J121" s="1165">
        <f t="shared" si="107"/>
        <v>578491.4180958001</v>
      </c>
      <c r="K121" s="1165">
        <f t="shared" si="113"/>
        <v>88067336.47632425</v>
      </c>
      <c r="L121" s="1176">
        <f t="shared" si="94"/>
        <v>155913692.679</v>
      </c>
      <c r="M121" s="1177">
        <f t="shared" si="114"/>
        <v>0.0022</v>
      </c>
      <c r="N121" s="1165">
        <f t="shared" si="115"/>
        <v>343010.1238938</v>
      </c>
      <c r="O121" s="1165">
        <f t="shared" si="129"/>
        <v>36264202.071279936</v>
      </c>
      <c r="P121" s="1176">
        <f t="shared" si="95"/>
        <v>3158242</v>
      </c>
      <c r="Q121" s="1177">
        <f t="shared" si="116"/>
        <v>0.0022</v>
      </c>
      <c r="R121" s="1165">
        <f t="shared" si="108"/>
        <v>6948.1324</v>
      </c>
      <c r="S121" s="1165">
        <f t="shared" si="130"/>
        <v>923768.1995169983</v>
      </c>
      <c r="T121" s="1176">
        <f t="shared" si="96"/>
        <v>17700842.189999994</v>
      </c>
      <c r="U121" s="1177">
        <f t="shared" si="117"/>
        <v>0.0022</v>
      </c>
      <c r="V121" s="1165">
        <f t="shared" si="109"/>
        <v>38941.85281799999</v>
      </c>
      <c r="W121" s="1165">
        <f t="shared" si="131"/>
        <v>1016850.278598</v>
      </c>
      <c r="X121" s="921">
        <f t="shared" si="97"/>
        <v>8286892.17</v>
      </c>
      <c r="Y121" s="1177">
        <f t="shared" si="118"/>
        <v>0.0022</v>
      </c>
      <c r="Z121" s="1165">
        <f t="shared" si="133"/>
        <v>18231.162774</v>
      </c>
      <c r="AA121" s="1165">
        <f t="shared" si="132"/>
        <v>315028.760046</v>
      </c>
      <c r="AB121" s="921">
        <f t="shared" si="98"/>
        <v>0</v>
      </c>
      <c r="AC121" s="1177">
        <f t="shared" si="119"/>
        <v>0.0022</v>
      </c>
      <c r="AD121" s="1165">
        <f t="shared" si="99"/>
        <v>0</v>
      </c>
      <c r="AE121" s="1165">
        <f t="shared" si="120"/>
        <v>3391.151874000001</v>
      </c>
      <c r="AF121" s="921">
        <f t="shared" si="100"/>
        <v>5338712.0299999975</v>
      </c>
      <c r="AG121" s="1177">
        <f t="shared" si="121"/>
        <v>0.0022</v>
      </c>
      <c r="AH121" s="1165">
        <f t="shared" si="101"/>
        <v>11745.166465999995</v>
      </c>
      <c r="AI121" s="1165">
        <f t="shared" si="122"/>
        <v>348251.4788060001</v>
      </c>
      <c r="AJ121" s="921">
        <f t="shared" si="102"/>
        <v>10675843.16</v>
      </c>
      <c r="AK121" s="1177">
        <f t="shared" si="123"/>
        <v>0.0022</v>
      </c>
      <c r="AL121" s="1165">
        <f t="shared" si="103"/>
        <v>23486.854952</v>
      </c>
      <c r="AM121" s="1165">
        <f t="shared" si="124"/>
        <v>2453308.758168004</v>
      </c>
      <c r="AN121" s="921">
        <f t="shared" si="104"/>
        <v>0</v>
      </c>
      <c r="AO121" s="1177">
        <f t="shared" si="125"/>
        <v>0.0022</v>
      </c>
      <c r="AP121" s="1417">
        <f t="shared" si="110"/>
        <v>0</v>
      </c>
      <c r="AQ121" s="1417">
        <f t="shared" si="126"/>
        <v>0</v>
      </c>
      <c r="AR121" s="921">
        <f t="shared" si="105"/>
        <v>6736837.04</v>
      </c>
      <c r="AS121" s="1177">
        <f t="shared" si="127"/>
        <v>0.0022</v>
      </c>
      <c r="AT121" s="1165">
        <f t="shared" si="106"/>
        <v>14821.041488</v>
      </c>
      <c r="AU121" s="1165">
        <f t="shared" si="128"/>
        <v>518736.4520800002</v>
      </c>
    </row>
    <row r="122" spans="3:47" ht="12.75">
      <c r="C122" s="1147" t="s">
        <v>610</v>
      </c>
      <c r="D122" s="1165">
        <f t="shared" si="91"/>
        <v>58892405.389999986</v>
      </c>
      <c r="E122" s="1177">
        <f t="shared" si="134"/>
        <v>0.0022</v>
      </c>
      <c r="F122" s="1165">
        <f t="shared" si="92"/>
        <v>129563.29185799998</v>
      </c>
      <c r="G122" s="1165">
        <f t="shared" si="111"/>
        <v>1064938.515982</v>
      </c>
      <c r="H122" s="1176">
        <f t="shared" si="93"/>
        <v>262950644.58900005</v>
      </c>
      <c r="I122" s="1177">
        <f t="shared" si="112"/>
        <v>0.0022</v>
      </c>
      <c r="J122" s="1165">
        <f t="shared" si="107"/>
        <v>578491.4180958001</v>
      </c>
      <c r="K122" s="1165">
        <f t="shared" si="113"/>
        <v>88645827.89442004</v>
      </c>
      <c r="L122" s="1176">
        <f t="shared" si="94"/>
        <v>155913692.679</v>
      </c>
      <c r="M122" s="1177">
        <f t="shared" si="114"/>
        <v>0.0022</v>
      </c>
      <c r="N122" s="1165">
        <f t="shared" si="115"/>
        <v>343010.1238938</v>
      </c>
      <c r="O122" s="1165">
        <f t="shared" si="129"/>
        <v>36607212.19517373</v>
      </c>
      <c r="P122" s="1176">
        <f t="shared" si="95"/>
        <v>3158242</v>
      </c>
      <c r="Q122" s="1177">
        <f t="shared" si="116"/>
        <v>0.0022</v>
      </c>
      <c r="R122" s="1165">
        <f t="shared" si="108"/>
        <v>6948.1324</v>
      </c>
      <c r="S122" s="1165">
        <f t="shared" si="130"/>
        <v>930716.3319169983</v>
      </c>
      <c r="T122" s="1176">
        <f t="shared" si="96"/>
        <v>17700842.189999994</v>
      </c>
      <c r="U122" s="1177">
        <f t="shared" si="117"/>
        <v>0.0022</v>
      </c>
      <c r="V122" s="1165">
        <f t="shared" si="109"/>
        <v>38941.85281799999</v>
      </c>
      <c r="W122" s="1165">
        <f t="shared" si="131"/>
        <v>1055792.131416</v>
      </c>
      <c r="X122" s="921">
        <f t="shared" si="97"/>
        <v>8297603.61</v>
      </c>
      <c r="Y122" s="1177">
        <f t="shared" si="118"/>
        <v>0.0022</v>
      </c>
      <c r="Z122" s="1165">
        <f t="shared" si="133"/>
        <v>18254.727942</v>
      </c>
      <c r="AA122" s="1165">
        <f t="shared" si="132"/>
        <v>333283.48798800004</v>
      </c>
      <c r="AB122" s="921">
        <f t="shared" si="98"/>
        <v>0</v>
      </c>
      <c r="AC122" s="1177">
        <f t="shared" si="119"/>
        <v>0.0022</v>
      </c>
      <c r="AD122" s="1165">
        <f t="shared" si="99"/>
        <v>0</v>
      </c>
      <c r="AE122" s="1165">
        <f t="shared" si="120"/>
        <v>3391.151874000001</v>
      </c>
      <c r="AF122" s="921">
        <f t="shared" si="100"/>
        <v>5338712.0299999975</v>
      </c>
      <c r="AG122" s="1177">
        <f t="shared" si="121"/>
        <v>0.0022</v>
      </c>
      <c r="AH122" s="1165">
        <f t="shared" si="101"/>
        <v>11745.166465999995</v>
      </c>
      <c r="AI122" s="1165">
        <f t="shared" si="122"/>
        <v>359996.6452720001</v>
      </c>
      <c r="AJ122" s="921">
        <f t="shared" si="102"/>
        <v>10675843.16</v>
      </c>
      <c r="AK122" s="1177">
        <f t="shared" si="123"/>
        <v>0.0022</v>
      </c>
      <c r="AL122" s="1165">
        <f t="shared" si="103"/>
        <v>23486.854952</v>
      </c>
      <c r="AM122" s="1165">
        <f t="shared" si="124"/>
        <v>2476795.613120004</v>
      </c>
      <c r="AN122" s="921">
        <f t="shared" si="104"/>
        <v>0</v>
      </c>
      <c r="AO122" s="1177">
        <f t="shared" si="125"/>
        <v>0.0022</v>
      </c>
      <c r="AP122" s="1417">
        <f t="shared" si="110"/>
        <v>0</v>
      </c>
      <c r="AQ122" s="1417">
        <f t="shared" si="126"/>
        <v>0</v>
      </c>
      <c r="AR122" s="921">
        <f t="shared" si="105"/>
        <v>6736837.04</v>
      </c>
      <c r="AS122" s="1177">
        <f t="shared" si="127"/>
        <v>0.0022</v>
      </c>
      <c r="AT122" s="1165">
        <f t="shared" si="106"/>
        <v>14821.041488</v>
      </c>
      <c r="AU122" s="1165">
        <f t="shared" si="128"/>
        <v>533557.4935680002</v>
      </c>
    </row>
    <row r="123" spans="3:47" ht="12.75">
      <c r="C123" s="1169" t="s">
        <v>611</v>
      </c>
      <c r="D123" s="1172">
        <f t="shared" si="91"/>
        <v>61587557.87999999</v>
      </c>
      <c r="E123" s="1179">
        <f t="shared" si="134"/>
        <v>0.0022</v>
      </c>
      <c r="F123" s="1172">
        <f t="shared" si="92"/>
        <v>135492.62733599998</v>
      </c>
      <c r="G123" s="1172">
        <f t="shared" si="111"/>
        <v>1200431.1433179998</v>
      </c>
      <c r="H123" s="1180">
        <f t="shared" si="93"/>
        <v>262950644.58900005</v>
      </c>
      <c r="I123" s="1179">
        <f t="shared" si="112"/>
        <v>0.0022</v>
      </c>
      <c r="J123" s="1172">
        <f t="shared" si="107"/>
        <v>578491.4180958001</v>
      </c>
      <c r="K123" s="1172">
        <f t="shared" si="113"/>
        <v>89224319.31251584</v>
      </c>
      <c r="L123" s="1180">
        <f t="shared" si="94"/>
        <v>155913692.679</v>
      </c>
      <c r="M123" s="1179">
        <f t="shared" si="114"/>
        <v>0.0022</v>
      </c>
      <c r="N123" s="1172">
        <f t="shared" si="115"/>
        <v>343010.1238938</v>
      </c>
      <c r="O123" s="1172">
        <f t="shared" si="129"/>
        <v>36950222.31906753</v>
      </c>
      <c r="P123" s="1180">
        <f t="shared" si="95"/>
        <v>3158242</v>
      </c>
      <c r="Q123" s="1179">
        <f t="shared" si="116"/>
        <v>0.0022</v>
      </c>
      <c r="R123" s="1172">
        <f t="shared" si="108"/>
        <v>6948.1324</v>
      </c>
      <c r="S123" s="1172">
        <f t="shared" si="130"/>
        <v>937664.4643169983</v>
      </c>
      <c r="T123" s="1180">
        <f t="shared" si="96"/>
        <v>17700663.189999994</v>
      </c>
      <c r="U123" s="1179">
        <f t="shared" si="117"/>
        <v>0.0022</v>
      </c>
      <c r="V123" s="1172">
        <f t="shared" si="109"/>
        <v>38941.45901799999</v>
      </c>
      <c r="W123" s="1172">
        <f t="shared" si="131"/>
        <v>1094733.590434</v>
      </c>
      <c r="X123" s="922">
        <f t="shared" si="97"/>
        <v>8297048.180000001</v>
      </c>
      <c r="Y123" s="1179">
        <f t="shared" si="118"/>
        <v>0.0022</v>
      </c>
      <c r="Z123" s="1172">
        <f t="shared" si="133"/>
        <v>18253.505996000004</v>
      </c>
      <c r="AA123" s="1172">
        <f t="shared" si="132"/>
        <v>351536.99398400006</v>
      </c>
      <c r="AB123" s="922">
        <f t="shared" si="98"/>
        <v>0</v>
      </c>
      <c r="AC123" s="1179">
        <f t="shared" si="119"/>
        <v>0.0022</v>
      </c>
      <c r="AD123" s="1172">
        <f t="shared" si="99"/>
        <v>0</v>
      </c>
      <c r="AE123" s="1172">
        <f t="shared" si="120"/>
        <v>3391.151874000001</v>
      </c>
      <c r="AF123" s="922">
        <f t="shared" si="100"/>
        <v>5338712.0299999975</v>
      </c>
      <c r="AG123" s="1179">
        <f t="shared" si="121"/>
        <v>0.0022</v>
      </c>
      <c r="AH123" s="1172">
        <f t="shared" si="101"/>
        <v>11745.166465999995</v>
      </c>
      <c r="AI123" s="1172">
        <f t="shared" si="122"/>
        <v>371741.81173800013</v>
      </c>
      <c r="AJ123" s="922">
        <f t="shared" si="102"/>
        <v>10675843.16</v>
      </c>
      <c r="AK123" s="1179">
        <f t="shared" si="123"/>
        <v>0.0022</v>
      </c>
      <c r="AL123" s="1172">
        <f t="shared" si="103"/>
        <v>23486.854952</v>
      </c>
      <c r="AM123" s="1172">
        <f t="shared" si="124"/>
        <v>2500282.468072004</v>
      </c>
      <c r="AN123" s="922">
        <f t="shared" si="104"/>
        <v>0</v>
      </c>
      <c r="AO123" s="1179">
        <f t="shared" si="125"/>
        <v>0.0022</v>
      </c>
      <c r="AP123" s="1502">
        <f t="shared" si="110"/>
        <v>0</v>
      </c>
      <c r="AQ123" s="1502">
        <f t="shared" si="126"/>
        <v>0</v>
      </c>
      <c r="AR123" s="922">
        <f t="shared" si="105"/>
        <v>6736837.04</v>
      </c>
      <c r="AS123" s="1179">
        <f t="shared" si="127"/>
        <v>0.0022</v>
      </c>
      <c r="AT123" s="1172">
        <f t="shared" si="106"/>
        <v>14821.041488</v>
      </c>
      <c r="AU123" s="1172">
        <f t="shared" si="128"/>
        <v>548378.5350560001</v>
      </c>
    </row>
    <row r="124" spans="3:47" ht="12.75">
      <c r="C124" s="1147" t="s">
        <v>436</v>
      </c>
      <c r="D124" s="1165"/>
      <c r="E124" s="1165"/>
      <c r="F124" s="1165">
        <f>SUM(F112:F123)</f>
        <v>1200431.1433179998</v>
      </c>
      <c r="G124" s="1165">
        <f>AVERAGE(G111:G123)</f>
        <v>506838.94000215386</v>
      </c>
      <c r="H124" s="1165">
        <f>AVERAGE(H111:H123)</f>
        <v>262950644.58900008</v>
      </c>
      <c r="J124" s="1165">
        <f>SUM(J112:J123)</f>
        <v>6941897.017149601</v>
      </c>
      <c r="K124" s="1165">
        <f>AVERAGE(K111:K123)</f>
        <v>85753370.80394104</v>
      </c>
      <c r="L124" s="1165">
        <f>AVERAGE(L111:L123)</f>
        <v>155913692.67899996</v>
      </c>
      <c r="N124" s="1165">
        <f>SUM(N112:N123)</f>
        <v>4116121.486725601</v>
      </c>
      <c r="O124" s="1165">
        <f>AVERAGE(O111:O123)</f>
        <v>34892161.575704746</v>
      </c>
      <c r="P124" s="1165">
        <f>AVERAGE(P111:P123)</f>
        <v>3158242</v>
      </c>
      <c r="R124" s="1165">
        <f>SUM(R112:R123)</f>
        <v>83377.58880000001</v>
      </c>
      <c r="S124" s="1165">
        <f>AVERAGE(S111:S123)</f>
        <v>895975.6699169984</v>
      </c>
      <c r="T124" s="1165">
        <f>AVERAGE(T111:T123)</f>
        <v>17624199.743846152</v>
      </c>
      <c r="V124" s="1165">
        <f>SUM(V112:V123)</f>
        <v>465182.99385800003</v>
      </c>
      <c r="W124" s="1165">
        <f>AVERAGE(W111:W123)</f>
        <v>861486.6872361538</v>
      </c>
      <c r="X124" s="1165">
        <f>AVERAGE(X111:X123)</f>
        <v>8105805.623076924</v>
      </c>
      <c r="Y124" s="1164"/>
      <c r="Z124" s="1165">
        <f>SUM(Z112:Z123)</f>
        <v>214646.24291</v>
      </c>
      <c r="AA124" s="1165">
        <f>AVERAGE(AA111:AA123)</f>
        <v>242887.75791753843</v>
      </c>
      <c r="AB124" s="1165">
        <f>AVERAGE(AB111:AB123)</f>
        <v>6974.808461538462</v>
      </c>
      <c r="AD124" s="1165">
        <f>SUM(AD112:AD123)</f>
        <v>0</v>
      </c>
      <c r="AE124" s="1165">
        <f>AVERAGE(AE111:AE123)</f>
        <v>3391.1518740000024</v>
      </c>
      <c r="AF124" s="1165">
        <f>AVERAGE(AF111:AF123)</f>
        <v>5339563.014615385</v>
      </c>
      <c r="AH124" s="1165">
        <f>SUM(AH112:AH123)</f>
        <v>140957.64374999993</v>
      </c>
      <c r="AI124" s="1165">
        <f>AVERAGE(AI111:AI123)</f>
        <v>301268.5392318462</v>
      </c>
      <c r="AJ124" s="1165">
        <f>AVERAGE(AJ111:AJ123)</f>
        <v>10675843.159999998</v>
      </c>
      <c r="AL124" s="1165">
        <f>SUM(AL112:AL123)</f>
        <v>281842.259424</v>
      </c>
      <c r="AM124" s="1165">
        <f>AVERAGE(AM111:AM123)</f>
        <v>2359361.3383600037</v>
      </c>
      <c r="AN124" s="1417"/>
      <c r="AO124" s="1417"/>
      <c r="AP124" s="1417">
        <f>SUM(AP112:AP123)</f>
        <v>0</v>
      </c>
      <c r="AQ124" s="1417">
        <f>AVERAGE(AQ111:AQ123)</f>
        <v>0</v>
      </c>
      <c r="AR124" s="1165">
        <f>AVERAGE(AR111:AR123)</f>
        <v>6736837.040000002</v>
      </c>
      <c r="AT124" s="1165">
        <f>SUM(AT112:AT123)</f>
        <v>177852.49785599997</v>
      </c>
      <c r="AU124" s="1165">
        <f>AVERAGE(AU111:AU123)</f>
        <v>459452.2861280001</v>
      </c>
    </row>
    <row r="125" spans="3:14" ht="12.75">
      <c r="C125" s="1147"/>
      <c r="D125" s="1165"/>
      <c r="E125" s="1165"/>
      <c r="F125" s="1165"/>
      <c r="G125" s="1165"/>
      <c r="M125" s="1165"/>
      <c r="N125" s="1165"/>
    </row>
    <row r="126" spans="3:7" ht="12.75">
      <c r="C126" s="1147"/>
      <c r="D126" s="1165"/>
      <c r="E126" s="1165"/>
      <c r="F126" s="1165"/>
      <c r="G126" s="1165"/>
    </row>
    <row r="127" spans="4:5" ht="12.75">
      <c r="D127" s="1190"/>
      <c r="E127" s="1190"/>
    </row>
    <row r="128" spans="1:15" ht="12.75">
      <c r="A128" s="1146">
        <f>+A9</f>
        <v>7</v>
      </c>
      <c r="B128" s="1146" t="str">
        <f>+B9</f>
        <v>April</v>
      </c>
      <c r="C128" s="1146" t="str">
        <f>+C9</f>
        <v>Year 3</v>
      </c>
      <c r="D128" s="1605" t="str">
        <f>+D9</f>
        <v>Reconciliation - TO calculates the true up amount by subtracting the results of Step 6 by Step 3.</v>
      </c>
      <c r="E128" s="1605"/>
      <c r="F128" s="1606"/>
      <c r="G128" s="1606"/>
      <c r="H128" s="1606"/>
      <c r="I128" s="1606"/>
      <c r="J128" s="1606"/>
      <c r="K128" s="1606"/>
      <c r="L128" s="1606"/>
      <c r="M128" s="1606"/>
      <c r="N128" s="1606"/>
      <c r="O128" s="1606"/>
    </row>
    <row r="129" spans="4:15" ht="12.75">
      <c r="D129" s="1606"/>
      <c r="E129" s="1606"/>
      <c r="F129" s="1606"/>
      <c r="G129" s="1606"/>
      <c r="H129" s="1606"/>
      <c r="I129" s="1606"/>
      <c r="J129" s="1606"/>
      <c r="K129" s="1606"/>
      <c r="L129" s="1606"/>
      <c r="M129" s="1606"/>
      <c r="N129" s="1606"/>
      <c r="O129" s="1606"/>
    </row>
    <row r="130" spans="5:10" ht="12.75" customHeight="1">
      <c r="E130" s="1151" t="s">
        <v>255</v>
      </c>
      <c r="F130" s="1183">
        <v>158702920.8110717</v>
      </c>
      <c r="G130" s="1193"/>
      <c r="I130" s="1183"/>
      <c r="J130" s="1166"/>
    </row>
    <row r="131" spans="5:11" ht="12.75">
      <c r="E131" s="1147" t="s">
        <v>254</v>
      </c>
      <c r="F131" s="1173">
        <f>154632077+3076307</f>
        <v>157708384</v>
      </c>
      <c r="G131" s="1194"/>
      <c r="H131" s="1151"/>
      <c r="I131" s="1181"/>
      <c r="J131" s="1151"/>
      <c r="K131" s="1151"/>
    </row>
    <row r="132" spans="4:7" ht="12.75">
      <c r="D132" s="1190"/>
      <c r="E132" s="1190" t="s">
        <v>256</v>
      </c>
      <c r="F132" s="1181">
        <f>F130-F131</f>
        <v>994536.8110716939</v>
      </c>
      <c r="G132" s="1147" t="s">
        <v>257</v>
      </c>
    </row>
    <row r="133" spans="5:35" ht="12.75">
      <c r="E133" s="1147" t="s">
        <v>258</v>
      </c>
      <c r="F133" s="1183">
        <f>F132/12</f>
        <v>82878.06758930783</v>
      </c>
      <c r="G133" s="1147" t="s">
        <v>265</v>
      </c>
      <c r="L133" s="1165"/>
      <c r="AE133" s="1186"/>
      <c r="AF133" s="1164"/>
      <c r="AG133" s="1164"/>
      <c r="AH133" s="1164"/>
      <c r="AI133" s="1164"/>
    </row>
    <row r="134" spans="6:35" ht="12.75">
      <c r="F134" s="1183"/>
      <c r="H134" s="1147" t="s">
        <v>363</v>
      </c>
      <c r="L134" s="1165"/>
      <c r="AE134" s="1164"/>
      <c r="AF134" s="1164"/>
      <c r="AG134" s="1164"/>
      <c r="AH134" s="1164"/>
      <c r="AI134" s="1164"/>
    </row>
    <row r="135" spans="6:35" ht="12.75">
      <c r="F135" s="1183"/>
      <c r="L135" s="1165"/>
      <c r="AE135" s="1164"/>
      <c r="AF135" s="1164"/>
      <c r="AG135" s="1164"/>
      <c r="AH135" s="1164"/>
      <c r="AI135" s="1164"/>
    </row>
    <row r="136" spans="1:35" ht="12.75">
      <c r="A136" s="1146">
        <f>+A10</f>
        <v>8</v>
      </c>
      <c r="B136" s="1146" t="str">
        <f>+B10</f>
        <v>April</v>
      </c>
      <c r="C136" s="1146" t="str">
        <f>+C10</f>
        <v>Year 3</v>
      </c>
      <c r="D136" s="1605" t="str">
        <f>+D10</f>
        <v>Reconciliation - TO calculates interest and amortization associated with the true up calculated in Step 7 and applies that amount to line 164 of the formula (if the difference results in refund and a cash refund is made, then this step is not implemented).</v>
      </c>
      <c r="E136" s="1605"/>
      <c r="F136" s="1606"/>
      <c r="G136" s="1606"/>
      <c r="H136" s="1606"/>
      <c r="I136" s="1606"/>
      <c r="J136" s="1606"/>
      <c r="K136" s="1606"/>
      <c r="L136" s="1606"/>
      <c r="M136" s="1606"/>
      <c r="N136" s="1606"/>
      <c r="O136" s="1606"/>
      <c r="AE136" s="1164"/>
      <c r="AF136" s="1164"/>
      <c r="AG136" s="1164"/>
      <c r="AH136" s="1164"/>
      <c r="AI136" s="1191"/>
    </row>
    <row r="137" spans="4:35" ht="12.75">
      <c r="D137" s="1606"/>
      <c r="E137" s="1606"/>
      <c r="F137" s="1606"/>
      <c r="G137" s="1606"/>
      <c r="H137" s="1606"/>
      <c r="I137" s="1606"/>
      <c r="J137" s="1606"/>
      <c r="K137" s="1606"/>
      <c r="L137" s="1606"/>
      <c r="M137" s="1606"/>
      <c r="N137" s="1606"/>
      <c r="O137" s="1606"/>
      <c r="AE137" s="1164"/>
      <c r="AF137" s="1192"/>
      <c r="AG137" s="1192"/>
      <c r="AH137" s="1164"/>
      <c r="AI137" s="1164"/>
    </row>
    <row r="138" spans="4:35" ht="12.75">
      <c r="D138" s="1148" t="s">
        <v>612</v>
      </c>
      <c r="E138" s="1148"/>
      <c r="F138" s="1146"/>
      <c r="G138" s="1165"/>
      <c r="H138" s="1146"/>
      <c r="I138" s="1146"/>
      <c r="J138" s="1146"/>
      <c r="K138" s="1146"/>
      <c r="L138" s="1165"/>
      <c r="AE138" s="1164"/>
      <c r="AF138" s="1164"/>
      <c r="AG138" s="1164"/>
      <c r="AH138" s="1164"/>
      <c r="AI138" s="1191"/>
    </row>
    <row r="139" spans="1:35" ht="12.75">
      <c r="A139" s="1408"/>
      <c r="B139" s="1408"/>
      <c r="C139" s="1408"/>
      <c r="D139" s="1148" t="s">
        <v>662</v>
      </c>
      <c r="E139" s="1148"/>
      <c r="F139" s="1146"/>
      <c r="G139" s="1196">
        <v>0.0063</v>
      </c>
      <c r="H139" s="1419"/>
      <c r="I139" s="1197"/>
      <c r="J139" s="1198"/>
      <c r="K139" s="1153"/>
      <c r="L139" s="1165"/>
      <c r="AE139" s="1164"/>
      <c r="AF139" s="1164"/>
      <c r="AG139" s="1164"/>
      <c r="AH139" s="1164"/>
      <c r="AI139" s="1191"/>
    </row>
    <row r="140" spans="3:35" ht="24.75" customHeight="1">
      <c r="C140" s="1188" t="s">
        <v>594</v>
      </c>
      <c r="D140" s="1146" t="s">
        <v>613</v>
      </c>
      <c r="E140" s="1146"/>
      <c r="F140" s="1146" t="str">
        <f>"1/12 of Step "&amp;A128&amp;""</f>
        <v>1/12 of Step 7</v>
      </c>
      <c r="G140" s="1199" t="s">
        <v>625</v>
      </c>
      <c r="H140" s="1146"/>
      <c r="I140" s="1188" t="s">
        <v>614</v>
      </c>
      <c r="J140" s="1146" t="s">
        <v>615</v>
      </c>
      <c r="K140" s="1146"/>
      <c r="AE140" s="1164"/>
      <c r="AF140" s="1164"/>
      <c r="AG140" s="1164"/>
      <c r="AH140" s="1164"/>
      <c r="AI140" s="1164"/>
    </row>
    <row r="141" spans="4:35" ht="12.75">
      <c r="D141" s="1146"/>
      <c r="E141" s="1146"/>
      <c r="F141" s="1146"/>
      <c r="G141" s="1146" t="s">
        <v>616</v>
      </c>
      <c r="H141" s="1146" t="s">
        <v>617</v>
      </c>
      <c r="I141" s="1146"/>
      <c r="J141" s="1146"/>
      <c r="K141" s="1146"/>
      <c r="AE141" s="1164"/>
      <c r="AF141" s="1164"/>
      <c r="AG141" s="1164"/>
      <c r="AH141" s="1164"/>
      <c r="AI141" s="1164"/>
    </row>
    <row r="142" spans="1:35" ht="12.75">
      <c r="A142" s="1200"/>
      <c r="C142" s="1147" t="s">
        <v>605</v>
      </c>
      <c r="D142" s="1147" t="s">
        <v>23</v>
      </c>
      <c r="F142" s="1167">
        <f>F133</f>
        <v>82878.06758930783</v>
      </c>
      <c r="G142" s="1201">
        <f>+G139</f>
        <v>0.0063</v>
      </c>
      <c r="H142" s="1147">
        <v>11.5</v>
      </c>
      <c r="I142" s="1153">
        <f aca="true" t="shared" si="135" ref="I142:I153">+H142*G142*F142</f>
        <v>6004.515996845353</v>
      </c>
      <c r="J142" s="1153">
        <f aca="true" t="shared" si="136" ref="J142:J153">+F142+I142</f>
        <v>88882.58358615318</v>
      </c>
      <c r="AE142" s="1164"/>
      <c r="AF142" s="1164"/>
      <c r="AG142" s="1164"/>
      <c r="AH142" s="1164"/>
      <c r="AI142" s="1191"/>
    </row>
    <row r="143" spans="1:35" ht="12.75">
      <c r="A143" s="1200"/>
      <c r="C143" s="1147" t="s">
        <v>606</v>
      </c>
      <c r="D143" s="1147" t="str">
        <f aca="true" t="shared" si="137" ref="D143:G148">+D142</f>
        <v>Year 1</v>
      </c>
      <c r="F143" s="1168">
        <f>F142</f>
        <v>82878.06758930783</v>
      </c>
      <c r="G143" s="1202">
        <f t="shared" si="137"/>
        <v>0.0063</v>
      </c>
      <c r="H143" s="1147">
        <f aca="true" t="shared" si="138" ref="H143:H153">+H142-1</f>
        <v>10.5</v>
      </c>
      <c r="I143" s="1153">
        <f t="shared" si="135"/>
        <v>5482.384171032713</v>
      </c>
      <c r="J143" s="1153">
        <f t="shared" si="136"/>
        <v>88360.45176034054</v>
      </c>
      <c r="AE143" s="1164"/>
      <c r="AF143" s="1164"/>
      <c r="AG143" s="1164"/>
      <c r="AH143" s="1164"/>
      <c r="AI143" s="1191"/>
    </row>
    <row r="144" spans="1:35" ht="12.75">
      <c r="A144" s="1200"/>
      <c r="C144" s="1147" t="s">
        <v>607</v>
      </c>
      <c r="D144" s="1147" t="str">
        <f t="shared" si="137"/>
        <v>Year 1</v>
      </c>
      <c r="F144" s="1168">
        <f t="shared" si="137"/>
        <v>82878.06758930783</v>
      </c>
      <c r="G144" s="1202">
        <f t="shared" si="137"/>
        <v>0.0063</v>
      </c>
      <c r="H144" s="1147">
        <f t="shared" si="138"/>
        <v>9.5</v>
      </c>
      <c r="I144" s="1153">
        <f t="shared" si="135"/>
        <v>4960.252345220074</v>
      </c>
      <c r="J144" s="1153">
        <f t="shared" si="136"/>
        <v>87838.3199345279</v>
      </c>
      <c r="AE144" s="1164"/>
      <c r="AF144" s="1164"/>
      <c r="AG144" s="1164"/>
      <c r="AH144" s="1164"/>
      <c r="AI144" s="1195"/>
    </row>
    <row r="145" spans="1:10" ht="12.75">
      <c r="A145" s="1200"/>
      <c r="C145" s="1147" t="s">
        <v>608</v>
      </c>
      <c r="D145" s="1147" t="str">
        <f t="shared" si="137"/>
        <v>Year 1</v>
      </c>
      <c r="F145" s="1168">
        <f t="shared" si="137"/>
        <v>82878.06758930783</v>
      </c>
      <c r="G145" s="1202">
        <f t="shared" si="137"/>
        <v>0.0063</v>
      </c>
      <c r="H145" s="1147">
        <f t="shared" si="138"/>
        <v>8.5</v>
      </c>
      <c r="I145" s="1153">
        <f t="shared" si="135"/>
        <v>4438.120519407435</v>
      </c>
      <c r="J145" s="1153">
        <f t="shared" si="136"/>
        <v>87316.18810871526</v>
      </c>
    </row>
    <row r="146" spans="1:10" ht="12.75">
      <c r="A146" s="1200"/>
      <c r="C146" s="1147" t="s">
        <v>609</v>
      </c>
      <c r="D146" s="1147" t="str">
        <f t="shared" si="137"/>
        <v>Year 1</v>
      </c>
      <c r="F146" s="1168">
        <f t="shared" si="137"/>
        <v>82878.06758930783</v>
      </c>
      <c r="G146" s="1202">
        <f t="shared" si="137"/>
        <v>0.0063</v>
      </c>
      <c r="H146" s="1147">
        <f t="shared" si="138"/>
        <v>7.5</v>
      </c>
      <c r="I146" s="1153">
        <f t="shared" si="135"/>
        <v>3915.9886935947948</v>
      </c>
      <c r="J146" s="1153">
        <f t="shared" si="136"/>
        <v>86794.05628290263</v>
      </c>
    </row>
    <row r="147" spans="1:10" ht="12.75">
      <c r="A147" s="1200"/>
      <c r="C147" s="1147" t="s">
        <v>610</v>
      </c>
      <c r="D147" s="1147" t="str">
        <f t="shared" si="137"/>
        <v>Year 1</v>
      </c>
      <c r="F147" s="1168">
        <f t="shared" si="137"/>
        <v>82878.06758930783</v>
      </c>
      <c r="G147" s="1202">
        <f t="shared" si="137"/>
        <v>0.0063</v>
      </c>
      <c r="H147" s="1147">
        <f t="shared" si="138"/>
        <v>6.5</v>
      </c>
      <c r="I147" s="1153">
        <f t="shared" si="135"/>
        <v>3393.856867782156</v>
      </c>
      <c r="J147" s="1153">
        <f t="shared" si="136"/>
        <v>86271.92445708999</v>
      </c>
    </row>
    <row r="148" spans="1:10" ht="12.75">
      <c r="A148" s="1200"/>
      <c r="C148" s="1147" t="s">
        <v>611</v>
      </c>
      <c r="D148" s="1147" t="str">
        <f t="shared" si="137"/>
        <v>Year 1</v>
      </c>
      <c r="F148" s="1168">
        <f aca="true" t="shared" si="139" ref="F148:F153">F147</f>
        <v>82878.06758930783</v>
      </c>
      <c r="G148" s="1202">
        <f t="shared" si="137"/>
        <v>0.0063</v>
      </c>
      <c r="H148" s="1147">
        <f t="shared" si="138"/>
        <v>5.5</v>
      </c>
      <c r="I148" s="1153">
        <f t="shared" si="135"/>
        <v>2871.7250419695165</v>
      </c>
      <c r="J148" s="1153">
        <f t="shared" si="136"/>
        <v>85749.79263127735</v>
      </c>
    </row>
    <row r="149" spans="1:10" ht="12.75">
      <c r="A149" s="1200"/>
      <c r="C149" s="1147" t="s">
        <v>601</v>
      </c>
      <c r="D149" s="1147" t="s">
        <v>21</v>
      </c>
      <c r="F149" s="1168">
        <f t="shared" si="139"/>
        <v>82878.06758930783</v>
      </c>
      <c r="G149" s="1202">
        <f>+G148</f>
        <v>0.0063</v>
      </c>
      <c r="H149" s="1147">
        <f t="shared" si="138"/>
        <v>4.5</v>
      </c>
      <c r="I149" s="1153">
        <f t="shared" si="135"/>
        <v>2349.593216156877</v>
      </c>
      <c r="J149" s="1153">
        <f t="shared" si="136"/>
        <v>85227.66080546471</v>
      </c>
    </row>
    <row r="150" spans="1:10" ht="12.75">
      <c r="A150" s="1200"/>
      <c r="C150" s="1147" t="s">
        <v>602</v>
      </c>
      <c r="D150" s="1147" t="str">
        <f>+D149</f>
        <v>Year 2</v>
      </c>
      <c r="F150" s="1168">
        <f t="shared" si="139"/>
        <v>82878.06758930783</v>
      </c>
      <c r="G150" s="1202">
        <f>+G149</f>
        <v>0.0063</v>
      </c>
      <c r="H150" s="1147">
        <f t="shared" si="138"/>
        <v>3.5</v>
      </c>
      <c r="I150" s="1153">
        <f t="shared" si="135"/>
        <v>1827.4613903442375</v>
      </c>
      <c r="J150" s="1153">
        <f t="shared" si="136"/>
        <v>84705.52897965207</v>
      </c>
    </row>
    <row r="151" spans="1:10" ht="12.75">
      <c r="A151" s="1200"/>
      <c r="C151" s="1147" t="s">
        <v>603</v>
      </c>
      <c r="D151" s="1147" t="str">
        <f>+D150</f>
        <v>Year 2</v>
      </c>
      <c r="F151" s="1168">
        <f t="shared" si="139"/>
        <v>82878.06758930783</v>
      </c>
      <c r="G151" s="1202">
        <f>+G150</f>
        <v>0.0063</v>
      </c>
      <c r="H151" s="1147">
        <f t="shared" si="138"/>
        <v>2.5</v>
      </c>
      <c r="I151" s="1153">
        <f t="shared" si="135"/>
        <v>1305.3295645315984</v>
      </c>
      <c r="J151" s="1153">
        <f t="shared" si="136"/>
        <v>84183.39715383943</v>
      </c>
    </row>
    <row r="152" spans="1:10" ht="12.75">
      <c r="A152" s="1200"/>
      <c r="C152" s="1147" t="s">
        <v>604</v>
      </c>
      <c r="D152" s="1147" t="str">
        <f>+D151</f>
        <v>Year 2</v>
      </c>
      <c r="F152" s="1168">
        <f t="shared" si="139"/>
        <v>82878.06758930783</v>
      </c>
      <c r="G152" s="1202">
        <f>+G151</f>
        <v>0.0063</v>
      </c>
      <c r="H152" s="1147">
        <f t="shared" si="138"/>
        <v>1.5</v>
      </c>
      <c r="I152" s="1153">
        <f t="shared" si="135"/>
        <v>783.197738718959</v>
      </c>
      <c r="J152" s="1153">
        <f t="shared" si="136"/>
        <v>83661.26532802678</v>
      </c>
    </row>
    <row r="153" spans="1:10" ht="12.75">
      <c r="A153" s="1200"/>
      <c r="C153" s="1147" t="s">
        <v>599</v>
      </c>
      <c r="D153" s="1147" t="str">
        <f>+D152</f>
        <v>Year 2</v>
      </c>
      <c r="F153" s="1168">
        <f t="shared" si="139"/>
        <v>82878.06758930783</v>
      </c>
      <c r="G153" s="1202">
        <f>+G152</f>
        <v>0.0063</v>
      </c>
      <c r="H153" s="1147">
        <f t="shared" si="138"/>
        <v>0.5</v>
      </c>
      <c r="I153" s="1153">
        <f t="shared" si="135"/>
        <v>261.0659129063197</v>
      </c>
      <c r="J153" s="1153">
        <f t="shared" si="136"/>
        <v>83139.13350221414</v>
      </c>
    </row>
    <row r="154" spans="1:10" ht="12.75">
      <c r="A154" s="1200"/>
      <c r="C154" s="1147" t="s">
        <v>436</v>
      </c>
      <c r="F154" s="1165">
        <f>SUM(F142:F153)</f>
        <v>994536.8110716938</v>
      </c>
      <c r="J154" s="1153">
        <f>SUM(J142:J153)</f>
        <v>1032130.3025302041</v>
      </c>
    </row>
    <row r="155" spans="1:10" ht="12.75">
      <c r="A155" s="1200"/>
      <c r="C155" s="1147"/>
      <c r="F155" s="1165"/>
      <c r="J155" s="1153"/>
    </row>
    <row r="156" spans="1:11" ht="12.75">
      <c r="A156" s="1200"/>
      <c r="C156" s="1147"/>
      <c r="F156" s="1188" t="s">
        <v>618</v>
      </c>
      <c r="G156" s="1146" t="s">
        <v>614</v>
      </c>
      <c r="H156" s="1146" t="s">
        <v>619</v>
      </c>
      <c r="I156" s="1146" t="s">
        <v>618</v>
      </c>
      <c r="K156" s="1146"/>
    </row>
    <row r="157" spans="1:11" ht="12.75">
      <c r="A157" s="1200"/>
      <c r="C157" s="1147" t="str">
        <f aca="true" t="shared" si="140" ref="C157:C168">+C142</f>
        <v>Jun</v>
      </c>
      <c r="D157" s="1147" t="str">
        <f>+D153</f>
        <v>Year 2</v>
      </c>
      <c r="F157" s="1168">
        <f>J154</f>
        <v>1032130.3025302041</v>
      </c>
      <c r="G157" s="1202">
        <f>+G153</f>
        <v>0.0063</v>
      </c>
      <c r="H157" s="1153">
        <f>-PMT(G157,12,J154)</f>
        <v>89573.55249873862</v>
      </c>
      <c r="I157" s="1153">
        <f aca="true" t="shared" si="141" ref="I157:I168">+F157+F157*G157-H157</f>
        <v>949059.1709374057</v>
      </c>
      <c r="K157" s="1153"/>
    </row>
    <row r="158" spans="1:11" ht="12.75">
      <c r="A158" s="1200"/>
      <c r="C158" s="1147" t="str">
        <f t="shared" si="140"/>
        <v>Jul</v>
      </c>
      <c r="D158" s="1147" t="str">
        <f aca="true" t="shared" si="142" ref="D158:D163">+D157</f>
        <v>Year 2</v>
      </c>
      <c r="F158" s="1168">
        <f aca="true" t="shared" si="143" ref="F158:F168">I157</f>
        <v>949059.1709374057</v>
      </c>
      <c r="G158" s="1202">
        <f aca="true" t="shared" si="144" ref="G158:H168">+G157</f>
        <v>0.0063</v>
      </c>
      <c r="H158" s="1165">
        <f t="shared" si="144"/>
        <v>89573.55249873862</v>
      </c>
      <c r="I158" s="1153">
        <f t="shared" si="141"/>
        <v>865464.6912155726</v>
      </c>
      <c r="K158" s="1165"/>
    </row>
    <row r="159" spans="1:11" ht="12.75">
      <c r="A159" s="1200"/>
      <c r="C159" s="1147" t="str">
        <f t="shared" si="140"/>
        <v>Aug</v>
      </c>
      <c r="D159" s="1147" t="str">
        <f t="shared" si="142"/>
        <v>Year 2</v>
      </c>
      <c r="F159" s="1168">
        <f t="shared" si="143"/>
        <v>865464.6912155726</v>
      </c>
      <c r="G159" s="1202">
        <f t="shared" si="144"/>
        <v>0.0063</v>
      </c>
      <c r="H159" s="1165">
        <f t="shared" si="144"/>
        <v>89573.55249873862</v>
      </c>
      <c r="I159" s="1153">
        <f t="shared" si="141"/>
        <v>781343.5662714922</v>
      </c>
      <c r="K159" s="1165"/>
    </row>
    <row r="160" spans="1:14" ht="12.75">
      <c r="A160" s="1200"/>
      <c r="C160" s="1147" t="str">
        <f t="shared" si="140"/>
        <v>Sep</v>
      </c>
      <c r="D160" s="1147" t="str">
        <f t="shared" si="142"/>
        <v>Year 2</v>
      </c>
      <c r="F160" s="1168">
        <f t="shared" si="143"/>
        <v>781343.5662714922</v>
      </c>
      <c r="G160" s="1202">
        <f t="shared" si="144"/>
        <v>0.0063</v>
      </c>
      <c r="H160" s="1165">
        <f t="shared" si="144"/>
        <v>89573.55249873862</v>
      </c>
      <c r="I160" s="1153">
        <f t="shared" si="141"/>
        <v>696692.4782402639</v>
      </c>
      <c r="K160" s="1165"/>
      <c r="N160" s="1203"/>
    </row>
    <row r="161" spans="1:14" ht="12.75">
      <c r="A161" s="1200"/>
      <c r="C161" s="1147" t="str">
        <f t="shared" si="140"/>
        <v>Oct</v>
      </c>
      <c r="D161" s="1147" t="str">
        <f t="shared" si="142"/>
        <v>Year 2</v>
      </c>
      <c r="F161" s="1168">
        <f t="shared" si="143"/>
        <v>696692.4782402639</v>
      </c>
      <c r="G161" s="1202">
        <f t="shared" si="144"/>
        <v>0.0063</v>
      </c>
      <c r="H161" s="1165">
        <f t="shared" si="144"/>
        <v>89573.55249873862</v>
      </c>
      <c r="I161" s="1153">
        <f t="shared" si="141"/>
        <v>611508.0883544389</v>
      </c>
      <c r="K161" s="1165"/>
      <c r="N161" s="1202"/>
    </row>
    <row r="162" spans="1:11" ht="12.75">
      <c r="A162" s="1200"/>
      <c r="C162" s="1147" t="str">
        <f t="shared" si="140"/>
        <v>Nov</v>
      </c>
      <c r="D162" s="1147" t="str">
        <f t="shared" si="142"/>
        <v>Year 2</v>
      </c>
      <c r="F162" s="1168">
        <f t="shared" si="143"/>
        <v>611508.0883544389</v>
      </c>
      <c r="G162" s="1202">
        <f t="shared" si="144"/>
        <v>0.0063</v>
      </c>
      <c r="H162" s="1165">
        <f t="shared" si="144"/>
        <v>89573.55249873862</v>
      </c>
      <c r="I162" s="1153">
        <f t="shared" si="141"/>
        <v>525787.0368123333</v>
      </c>
      <c r="K162" s="1165"/>
    </row>
    <row r="163" spans="1:11" ht="12.75">
      <c r="A163" s="1200"/>
      <c r="C163" s="1147" t="str">
        <f t="shared" si="140"/>
        <v>Dec</v>
      </c>
      <c r="D163" s="1147" t="str">
        <f t="shared" si="142"/>
        <v>Year 2</v>
      </c>
      <c r="F163" s="1168">
        <f t="shared" si="143"/>
        <v>525787.0368123333</v>
      </c>
      <c r="G163" s="1202">
        <f t="shared" si="144"/>
        <v>0.0063</v>
      </c>
      <c r="H163" s="1165">
        <f t="shared" si="144"/>
        <v>89573.55249873862</v>
      </c>
      <c r="I163" s="1153">
        <f t="shared" si="141"/>
        <v>439525.9426455123</v>
      </c>
      <c r="K163" s="1165"/>
    </row>
    <row r="164" spans="1:11" ht="12.75">
      <c r="A164" s="1200"/>
      <c r="C164" s="1147" t="str">
        <f t="shared" si="140"/>
        <v>Jan</v>
      </c>
      <c r="D164" s="1147" t="s">
        <v>20</v>
      </c>
      <c r="F164" s="1168">
        <f t="shared" si="143"/>
        <v>439525.9426455123</v>
      </c>
      <c r="G164" s="1202">
        <f t="shared" si="144"/>
        <v>0.0063</v>
      </c>
      <c r="H164" s="1165">
        <f t="shared" si="144"/>
        <v>89573.55249873862</v>
      </c>
      <c r="I164" s="1153">
        <f t="shared" si="141"/>
        <v>352721.40358544036</v>
      </c>
      <c r="K164" s="1165"/>
    </row>
    <row r="165" spans="1:11" ht="12.75">
      <c r="A165" s="1200"/>
      <c r="C165" s="1147" t="str">
        <f t="shared" si="140"/>
        <v>Feb</v>
      </c>
      <c r="D165" s="1147" t="str">
        <f>+D164</f>
        <v>Year 3</v>
      </c>
      <c r="F165" s="1168">
        <f t="shared" si="143"/>
        <v>352721.40358544036</v>
      </c>
      <c r="G165" s="1202">
        <f t="shared" si="144"/>
        <v>0.0063</v>
      </c>
      <c r="H165" s="1165">
        <f t="shared" si="144"/>
        <v>89573.55249873862</v>
      </c>
      <c r="I165" s="1153">
        <f t="shared" si="141"/>
        <v>265369.99592929</v>
      </c>
      <c r="K165" s="1165"/>
    </row>
    <row r="166" spans="1:11" ht="12.75">
      <c r="A166" s="1200"/>
      <c r="C166" s="1147" t="str">
        <f t="shared" si="140"/>
        <v>Mar</v>
      </c>
      <c r="D166" s="1147" t="str">
        <f>+D165</f>
        <v>Year 3</v>
      </c>
      <c r="F166" s="1168">
        <f t="shared" si="143"/>
        <v>265369.99592929</v>
      </c>
      <c r="G166" s="1202">
        <f t="shared" si="144"/>
        <v>0.0063</v>
      </c>
      <c r="H166" s="1165">
        <f t="shared" si="144"/>
        <v>89573.55249873862</v>
      </c>
      <c r="I166" s="1153">
        <f t="shared" si="141"/>
        <v>177468.2744049059</v>
      </c>
      <c r="K166" s="1165"/>
    </row>
    <row r="167" spans="1:11" ht="12.75">
      <c r="A167" s="1200"/>
      <c r="C167" s="1147" t="str">
        <f t="shared" si="140"/>
        <v>Apr</v>
      </c>
      <c r="D167" s="1147" t="str">
        <f>+D166</f>
        <v>Year 3</v>
      </c>
      <c r="F167" s="1168">
        <f t="shared" si="143"/>
        <v>177468.2744049059</v>
      </c>
      <c r="G167" s="1202">
        <f t="shared" si="144"/>
        <v>0.0063</v>
      </c>
      <c r="H167" s="1165">
        <f t="shared" si="144"/>
        <v>89573.55249873862</v>
      </c>
      <c r="I167" s="1153">
        <f t="shared" si="141"/>
        <v>89012.7720349182</v>
      </c>
      <c r="K167" s="1165"/>
    </row>
    <row r="168" spans="1:11" ht="12.75">
      <c r="A168" s="1200"/>
      <c r="C168" s="1147" t="str">
        <f t="shared" si="140"/>
        <v>May</v>
      </c>
      <c r="D168" s="1147" t="str">
        <f>+D167</f>
        <v>Year 3</v>
      </c>
      <c r="F168" s="1168">
        <f t="shared" si="143"/>
        <v>89012.7720349182</v>
      </c>
      <c r="G168" s="1202">
        <f t="shared" si="144"/>
        <v>0.0063</v>
      </c>
      <c r="H168" s="1165">
        <f t="shared" si="144"/>
        <v>89573.55249873862</v>
      </c>
      <c r="I168" s="1153">
        <f t="shared" si="141"/>
        <v>-4.220055416226387E-10</v>
      </c>
      <c r="K168" s="1165"/>
    </row>
    <row r="169" spans="3:11" ht="12.75">
      <c r="C169" s="1147" t="s">
        <v>703</v>
      </c>
      <c r="H169" s="1165">
        <f>SUM(H157:H168)</f>
        <v>1074882.6299848633</v>
      </c>
      <c r="K169" s="1165"/>
    </row>
    <row r="170" ht="12.75">
      <c r="C170" s="1147"/>
    </row>
    <row r="171" spans="3:9" ht="12.75">
      <c r="C171" s="1148" t="str">
        <f>"The difference between the Reconciliation in Step "&amp;A77&amp;" and the forecast in Prior Year with interest"</f>
        <v>The difference between the Reconciliation in Step 6 and the forecast in Prior Year with interest</v>
      </c>
      <c r="D171" s="1146"/>
      <c r="E171" s="1146"/>
      <c r="G171" s="1146"/>
      <c r="I171" s="1165">
        <f>+H169</f>
        <v>1074882.6299848633</v>
      </c>
    </row>
    <row r="172" spans="3:13" ht="12.75">
      <c r="C172" s="1148"/>
      <c r="D172" s="1146"/>
      <c r="E172" s="1148" t="str">
        <f>"Place result in line "&amp;'[2]Appendix A'!A267&amp;" of the formula for Year 2 rate"</f>
        <v>Place result in line 164 of the formula for Year 2 rate</v>
      </c>
      <c r="G172" s="1146"/>
      <c r="L172" s="1165"/>
      <c r="M172" s="1165"/>
    </row>
    <row r="173" spans="3:13" ht="12.75">
      <c r="C173" s="1181"/>
      <c r="D173" s="1146"/>
      <c r="E173" s="1148"/>
      <c r="G173" s="1146"/>
      <c r="H173" s="1165"/>
      <c r="I173" s="1165"/>
      <c r="J173" s="1165"/>
      <c r="K173" s="1165"/>
      <c r="L173" s="1165"/>
      <c r="M173" s="1165"/>
    </row>
    <row r="174" spans="3:13" ht="12.75">
      <c r="C174" s="1181"/>
      <c r="D174" s="1146"/>
      <c r="E174" s="1148"/>
      <c r="G174" s="1146"/>
      <c r="H174" s="1165"/>
      <c r="I174" s="1165"/>
      <c r="J174" s="1165"/>
      <c r="K174" s="1165"/>
      <c r="L174" s="1148"/>
      <c r="M174" s="1165"/>
    </row>
    <row r="175" spans="3:13" ht="12.75">
      <c r="C175" s="1147"/>
      <c r="D175" s="1146"/>
      <c r="E175" s="1148"/>
      <c r="G175" s="1146"/>
      <c r="H175" s="1181"/>
      <c r="I175" s="1181"/>
      <c r="J175" s="1181"/>
      <c r="K175" s="1181"/>
      <c r="L175" s="1204"/>
      <c r="M175" s="1165"/>
    </row>
    <row r="176" spans="3:13" ht="12.75">
      <c r="C176" s="1181"/>
      <c r="D176" s="1146"/>
      <c r="G176" s="1146"/>
      <c r="H176" s="1148"/>
      <c r="I176" s="1148"/>
      <c r="J176" s="1148"/>
      <c r="K176" s="1148"/>
      <c r="L176" s="1148"/>
      <c r="M176" s="1165"/>
    </row>
    <row r="177" spans="3:13" ht="12.75">
      <c r="C177" s="1181"/>
      <c r="D177" s="1146"/>
      <c r="E177" s="1148"/>
      <c r="G177" s="1146"/>
      <c r="H177" s="1165"/>
      <c r="I177" s="1165"/>
      <c r="J177" s="1165"/>
      <c r="K177" s="1165"/>
      <c r="L177" s="1148"/>
      <c r="M177" s="1165"/>
    </row>
    <row r="178" spans="3:13" ht="12.75">
      <c r="C178" s="1181"/>
      <c r="D178" s="1146"/>
      <c r="E178" s="1148"/>
      <c r="G178" s="1146"/>
      <c r="H178" s="1165"/>
      <c r="I178" s="1165"/>
      <c r="J178" s="1165"/>
      <c r="K178" s="1165"/>
      <c r="L178" s="1148"/>
      <c r="M178" s="1165"/>
    </row>
    <row r="179" spans="3:25" ht="12.75">
      <c r="C179" s="1181"/>
      <c r="D179" s="1146"/>
      <c r="E179" s="1146"/>
      <c r="G179" s="1146"/>
      <c r="H179" s="1165"/>
      <c r="I179" s="1165"/>
      <c r="J179" s="1165"/>
      <c r="K179" s="1165"/>
      <c r="L179" s="1148"/>
      <c r="M179" s="1165"/>
      <c r="Y179" s="1166"/>
    </row>
    <row r="180" spans="1:25" ht="12.75">
      <c r="A180" s="1146">
        <f>A12</f>
        <v>9</v>
      </c>
      <c r="B180" s="1146" t="str">
        <f>+B12</f>
        <v>April</v>
      </c>
      <c r="C180" s="1146" t="str">
        <f>+C12</f>
        <v>Year 3</v>
      </c>
      <c r="D180" s="1148" t="str">
        <f>+D12</f>
        <v>TO estimates all transmission Cap Adds, Retirements, CWIP, and associated depreciation for Year 3 based on Months expected to be in service and monthly CWIP balances in Year 3.</v>
      </c>
      <c r="E180" s="1148"/>
      <c r="Y180" s="1166"/>
    </row>
    <row r="181" spans="18:32" ht="12.75">
      <c r="R181" s="1146"/>
      <c r="S181" s="1146"/>
      <c r="T181" s="1146"/>
      <c r="U181" s="1146"/>
      <c r="V181" s="1146"/>
      <c r="Z181" s="1166"/>
      <c r="AA181" s="1166"/>
      <c r="AE181" s="1205"/>
      <c r="AF181" s="1205"/>
    </row>
    <row r="182" spans="4:52" ht="12.75">
      <c r="D182" s="1148"/>
      <c r="E182" s="1148"/>
      <c r="AG182" s="1147" t="str">
        <f>AG82</f>
        <v>(AD)</v>
      </c>
      <c r="AH182" s="1147" t="str">
        <f aca="true" t="shared" si="145" ref="AH182:AY182">AH82</f>
        <v>(AE)</v>
      </c>
      <c r="AI182" s="1147" t="str">
        <f t="shared" si="145"/>
        <v>(AF)</v>
      </c>
      <c r="AJ182" s="1147" t="str">
        <f t="shared" si="145"/>
        <v>(AG)</v>
      </c>
      <c r="AK182" s="1147" t="str">
        <f t="shared" si="145"/>
        <v>(AH)</v>
      </c>
      <c r="AL182" s="1147" t="str">
        <f t="shared" si="145"/>
        <v>(AI)</v>
      </c>
      <c r="AM182" s="1147" t="str">
        <f t="shared" si="145"/>
        <v>(AJ)</v>
      </c>
      <c r="AN182" s="1147" t="str">
        <f t="shared" si="145"/>
        <v>(AK)</v>
      </c>
      <c r="AO182" s="1147" t="str">
        <f t="shared" si="145"/>
        <v>(AL)</v>
      </c>
      <c r="AP182" s="1147" t="str">
        <f t="shared" si="145"/>
        <v>(AM)</v>
      </c>
      <c r="AQ182" s="1147" t="str">
        <f t="shared" si="145"/>
        <v>(AN)</v>
      </c>
      <c r="AR182" s="1147" t="str">
        <f t="shared" si="145"/>
        <v>(AO)</v>
      </c>
      <c r="AS182" s="1147" t="str">
        <f t="shared" si="145"/>
        <v>(AP)</v>
      </c>
      <c r="AT182" s="1147" t="str">
        <f t="shared" si="145"/>
        <v>(AQ)</v>
      </c>
      <c r="AU182" s="1147" t="str">
        <f t="shared" si="145"/>
        <v>(AR)</v>
      </c>
      <c r="AV182" s="1147" t="str">
        <f t="shared" si="145"/>
        <v>(AS)</v>
      </c>
      <c r="AW182" s="1147" t="str">
        <f t="shared" si="145"/>
        <v>(AT)</v>
      </c>
      <c r="AX182" s="1147" t="str">
        <f t="shared" si="145"/>
        <v>(AU)</v>
      </c>
      <c r="AY182" s="1147" t="str">
        <f t="shared" si="145"/>
        <v>(AV)</v>
      </c>
      <c r="AZ182" s="1164"/>
    </row>
    <row r="183" spans="1:87" ht="12.75">
      <c r="A183" s="1163"/>
      <c r="C183" s="1148"/>
      <c r="D183" s="1147" t="str">
        <f>D83</f>
        <v>(A)</v>
      </c>
      <c r="E183" s="1147" t="str">
        <f aca="true" t="shared" si="146" ref="E183:AF183">E83</f>
        <v>(B)</v>
      </c>
      <c r="F183" s="1147" t="str">
        <f t="shared" si="146"/>
        <v>(C)</v>
      </c>
      <c r="G183" s="1147" t="str">
        <f t="shared" si="146"/>
        <v>(D)</v>
      </c>
      <c r="H183" s="1147" t="str">
        <f t="shared" si="146"/>
        <v>(E)</v>
      </c>
      <c r="I183" s="1147" t="str">
        <f t="shared" si="146"/>
        <v>(F)</v>
      </c>
      <c r="J183" s="1147" t="str">
        <f t="shared" si="146"/>
        <v>(G)</v>
      </c>
      <c r="K183" s="1147" t="str">
        <f t="shared" si="146"/>
        <v>(H)</v>
      </c>
      <c r="L183" s="1147" t="str">
        <f t="shared" si="146"/>
        <v>(I)</v>
      </c>
      <c r="M183" s="1147" t="str">
        <f t="shared" si="146"/>
        <v>(J)</v>
      </c>
      <c r="N183" s="1147" t="str">
        <f t="shared" si="146"/>
        <v>(K)</v>
      </c>
      <c r="O183" s="1147" t="str">
        <f t="shared" si="146"/>
        <v>(L)</v>
      </c>
      <c r="P183" s="1147" t="str">
        <f t="shared" si="146"/>
        <v>(M)</v>
      </c>
      <c r="Q183" s="1147" t="str">
        <f t="shared" si="146"/>
        <v>(N)</v>
      </c>
      <c r="R183" s="1147" t="str">
        <f t="shared" si="146"/>
        <v>(O)</v>
      </c>
      <c r="S183" s="1147" t="str">
        <f t="shared" si="146"/>
        <v>(P)</v>
      </c>
      <c r="T183" s="1147" t="str">
        <f t="shared" si="146"/>
        <v>(Q)</v>
      </c>
      <c r="U183" s="1147" t="str">
        <f t="shared" si="146"/>
        <v>(R)</v>
      </c>
      <c r="V183" s="1147" t="str">
        <f t="shared" si="146"/>
        <v>(S)</v>
      </c>
      <c r="W183" s="1147" t="str">
        <f t="shared" si="146"/>
        <v>(T)</v>
      </c>
      <c r="X183" s="1147" t="str">
        <f t="shared" si="146"/>
        <v>(U)</v>
      </c>
      <c r="Y183" s="1147" t="str">
        <f t="shared" si="146"/>
        <v>(V)</v>
      </c>
      <c r="Z183" s="1147" t="str">
        <f t="shared" si="146"/>
        <v>(W)</v>
      </c>
      <c r="AA183" s="1147" t="str">
        <f t="shared" si="146"/>
        <v>(X)</v>
      </c>
      <c r="AB183" s="1147" t="str">
        <f t="shared" si="146"/>
        <v>(Y)</v>
      </c>
      <c r="AC183" s="1147" t="str">
        <f t="shared" si="146"/>
        <v>(Z)</v>
      </c>
      <c r="AD183" s="1147" t="str">
        <f t="shared" si="146"/>
        <v>(AA)</v>
      </c>
      <c r="AE183" s="1147" t="str">
        <f t="shared" si="146"/>
        <v>(AB)</v>
      </c>
      <c r="AF183" s="1147" t="str">
        <f t="shared" si="146"/>
        <v>(AC)</v>
      </c>
      <c r="AG183" s="1206" t="s">
        <v>697</v>
      </c>
      <c r="AH183" s="1207"/>
      <c r="AI183" s="1207"/>
      <c r="AJ183" s="1207"/>
      <c r="AK183" s="1207"/>
      <c r="AL183" s="1207"/>
      <c r="AM183" s="1207"/>
      <c r="AN183" s="1207"/>
      <c r="AO183" s="1207"/>
      <c r="AP183" s="1208"/>
      <c r="AQ183" s="1158"/>
      <c r="AR183" s="1158"/>
      <c r="AS183" s="1158"/>
      <c r="AT183" s="1158"/>
      <c r="AU183" s="1158"/>
      <c r="AV183" s="1158"/>
      <c r="AW183" s="1158"/>
      <c r="AX183" s="1158"/>
      <c r="AY183" s="1158"/>
      <c r="BE183" s="1148"/>
      <c r="BF183" s="1147" t="s">
        <v>515</v>
      </c>
      <c r="BG183" s="1147" t="s">
        <v>516</v>
      </c>
      <c r="BH183" s="1147" t="s">
        <v>477</v>
      </c>
      <c r="BI183" s="1147" t="s">
        <v>517</v>
      </c>
      <c r="BJ183" s="1147" t="s">
        <v>696</v>
      </c>
      <c r="BK183" s="1147" t="s">
        <v>140</v>
      </c>
      <c r="BL183" s="1147" t="s">
        <v>141</v>
      </c>
      <c r="BM183" s="1147" t="s">
        <v>698</v>
      </c>
      <c r="BN183" s="1147" t="s">
        <v>93</v>
      </c>
      <c r="BO183" s="1147" t="s">
        <v>119</v>
      </c>
      <c r="BP183" s="1147" t="s">
        <v>94</v>
      </c>
      <c r="BQ183" s="1147" t="s">
        <v>750</v>
      </c>
      <c r="BR183" s="1147" t="s">
        <v>95</v>
      </c>
      <c r="BS183" s="1147" t="s">
        <v>751</v>
      </c>
      <c r="BT183" s="1147" t="s">
        <v>96</v>
      </c>
      <c r="BU183" s="1147" t="s">
        <v>752</v>
      </c>
      <c r="BV183" s="1147" t="s">
        <v>798</v>
      </c>
      <c r="BW183" s="1147" t="s">
        <v>799</v>
      </c>
      <c r="BX183" s="1147" t="s">
        <v>800</v>
      </c>
      <c r="BY183" s="1147" t="s">
        <v>753</v>
      </c>
      <c r="BZ183" s="1147" t="s">
        <v>801</v>
      </c>
      <c r="CA183" s="1147" t="s">
        <v>807</v>
      </c>
      <c r="CB183" s="1147" t="s">
        <v>808</v>
      </c>
      <c r="CC183" s="1147" t="s">
        <v>809</v>
      </c>
      <c r="CD183" s="1147" t="s">
        <v>803</v>
      </c>
      <c r="CG183" s="1147" t="s">
        <v>810</v>
      </c>
      <c r="CH183" s="1147" t="s">
        <v>1015</v>
      </c>
      <c r="CI183" s="1147" t="s">
        <v>1016</v>
      </c>
    </row>
    <row r="184" spans="1:91" ht="52.5">
      <c r="A184" s="1163"/>
      <c r="C184" s="1147"/>
      <c r="D184" s="1159" t="s">
        <v>812</v>
      </c>
      <c r="E184" s="1146" t="s">
        <v>584</v>
      </c>
      <c r="F184" s="1146" t="s">
        <v>815</v>
      </c>
      <c r="G184" s="1146" t="s">
        <v>815</v>
      </c>
      <c r="H184" s="1146" t="s">
        <v>815</v>
      </c>
      <c r="I184" s="1146" t="s">
        <v>816</v>
      </c>
      <c r="J184" s="1146" t="s">
        <v>816</v>
      </c>
      <c r="K184" s="1146" t="s">
        <v>817</v>
      </c>
      <c r="L184" s="1147" t="s">
        <v>109</v>
      </c>
      <c r="M184" s="1146" t="s">
        <v>109</v>
      </c>
      <c r="N184" s="1159" t="s">
        <v>1052</v>
      </c>
      <c r="O184" s="1159" t="s">
        <v>1053</v>
      </c>
      <c r="P184" s="1159" t="s">
        <v>1052</v>
      </c>
      <c r="Q184" s="1159" t="s">
        <v>1054</v>
      </c>
      <c r="R184" s="1159" t="s">
        <v>1055</v>
      </c>
      <c r="S184" s="1159" t="s">
        <v>1054</v>
      </c>
      <c r="T184" s="1146" t="s">
        <v>1011</v>
      </c>
      <c r="U184" s="1146" t="s">
        <v>1011</v>
      </c>
      <c r="V184" s="1146" t="s">
        <v>1011</v>
      </c>
      <c r="W184" s="1146" t="s">
        <v>1012</v>
      </c>
      <c r="X184" s="1146" t="s">
        <v>1012</v>
      </c>
      <c r="Y184" s="1146" t="s">
        <v>1012</v>
      </c>
      <c r="Z184" s="1146" t="s">
        <v>1013</v>
      </c>
      <c r="AA184" s="1146" t="s">
        <v>1013</v>
      </c>
      <c r="AB184" s="1501" t="s">
        <v>1136</v>
      </c>
      <c r="AC184" s="1501" t="s">
        <v>1136</v>
      </c>
      <c r="AD184" s="1501" t="s">
        <v>1136</v>
      </c>
      <c r="AE184" s="1146" t="s">
        <v>1014</v>
      </c>
      <c r="AF184" s="1146" t="s">
        <v>1014</v>
      </c>
      <c r="AG184" s="1161" t="s">
        <v>812</v>
      </c>
      <c r="AH184" s="1161" t="s">
        <v>815</v>
      </c>
      <c r="AI184" s="1161" t="s">
        <v>820</v>
      </c>
      <c r="AJ184" s="1161" t="s">
        <v>816</v>
      </c>
      <c r="AK184" s="1161" t="s">
        <v>816</v>
      </c>
      <c r="AL184" s="1161" t="s">
        <v>109</v>
      </c>
      <c r="AM184" s="1288" t="s">
        <v>1052</v>
      </c>
      <c r="AN184" s="1288" t="s">
        <v>1053</v>
      </c>
      <c r="AO184" s="1288" t="s">
        <v>1054</v>
      </c>
      <c r="AP184" s="1288" t="s">
        <v>1055</v>
      </c>
      <c r="AQ184" s="1161" t="s">
        <v>1011</v>
      </c>
      <c r="AR184" s="1161" t="s">
        <v>1011</v>
      </c>
      <c r="AS184" s="1161" t="s">
        <v>1012</v>
      </c>
      <c r="AT184" s="1161" t="s">
        <v>1012</v>
      </c>
      <c r="AU184" s="1161" t="s">
        <v>1013</v>
      </c>
      <c r="AV184" s="1161" t="s">
        <v>1136</v>
      </c>
      <c r="AW184" s="1161" t="s">
        <v>1136</v>
      </c>
      <c r="AX184" s="1161" t="s">
        <v>1136</v>
      </c>
      <c r="AY184" s="1161" t="s">
        <v>1014</v>
      </c>
      <c r="AZ184" s="1147" t="s">
        <v>436</v>
      </c>
      <c r="BF184" s="1159" t="s">
        <v>812</v>
      </c>
      <c r="BG184" s="1146" t="s">
        <v>584</v>
      </c>
      <c r="BH184" s="1146" t="s">
        <v>815</v>
      </c>
      <c r="BI184" s="1146" t="s">
        <v>815</v>
      </c>
      <c r="BJ184" s="1146" t="s">
        <v>815</v>
      </c>
      <c r="BK184" s="1146" t="s">
        <v>816</v>
      </c>
      <c r="BL184" s="1146" t="s">
        <v>816</v>
      </c>
      <c r="BM184" s="1146" t="s">
        <v>817</v>
      </c>
      <c r="BN184" s="1147" t="s">
        <v>109</v>
      </c>
      <c r="BO184" s="1146" t="s">
        <v>109</v>
      </c>
      <c r="BP184" s="1146" t="s">
        <v>802</v>
      </c>
      <c r="BQ184" s="1146" t="s">
        <v>818</v>
      </c>
      <c r="BR184" s="1146" t="s">
        <v>802</v>
      </c>
      <c r="BS184" s="1146" t="s">
        <v>811</v>
      </c>
      <c r="BT184" s="1146" t="s">
        <v>819</v>
      </c>
      <c r="BU184" s="1146" t="s">
        <v>811</v>
      </c>
      <c r="BV184" s="1146" t="s">
        <v>1011</v>
      </c>
      <c r="BW184" s="1146" t="s">
        <v>1011</v>
      </c>
      <c r="BX184" s="1146" t="s">
        <v>1011</v>
      </c>
      <c r="BY184" s="1146" t="s">
        <v>1012</v>
      </c>
      <c r="BZ184" s="1146" t="s">
        <v>1012</v>
      </c>
      <c r="CA184" s="1146" t="s">
        <v>1012</v>
      </c>
      <c r="CB184" s="1146" t="s">
        <v>1013</v>
      </c>
      <c r="CC184" s="1146" t="s">
        <v>1013</v>
      </c>
      <c r="CD184" s="1501" t="s">
        <v>1136</v>
      </c>
      <c r="CE184" s="1501" t="s">
        <v>1136</v>
      </c>
      <c r="CF184" s="1501" t="s">
        <v>1136</v>
      </c>
      <c r="CG184" s="1408" t="s">
        <v>1014</v>
      </c>
      <c r="CH184" s="1408" t="s">
        <v>1014</v>
      </c>
      <c r="CI184" s="1408" t="s">
        <v>1049</v>
      </c>
      <c r="CJ184" s="1291" t="s">
        <v>1052</v>
      </c>
      <c r="CK184" s="1291" t="s">
        <v>1054</v>
      </c>
      <c r="CL184" s="1160" t="s">
        <v>1011</v>
      </c>
      <c r="CM184" s="1160" t="s">
        <v>1012</v>
      </c>
    </row>
    <row r="185" spans="1:91" ht="12.75">
      <c r="A185" s="1163"/>
      <c r="C185" s="1147"/>
      <c r="D185" s="1159" t="s">
        <v>115</v>
      </c>
      <c r="E185" s="1146" t="s">
        <v>813</v>
      </c>
      <c r="F185" s="1146" t="s">
        <v>814</v>
      </c>
      <c r="G185" s="1146" t="s">
        <v>115</v>
      </c>
      <c r="H185" s="1146" t="s">
        <v>813</v>
      </c>
      <c r="I185" s="1146" t="s">
        <v>115</v>
      </c>
      <c r="J185" s="1146" t="s">
        <v>813</v>
      </c>
      <c r="K185" s="1146" t="s">
        <v>814</v>
      </c>
      <c r="L185" s="1146" t="s">
        <v>115</v>
      </c>
      <c r="M185" s="1146" t="s">
        <v>813</v>
      </c>
      <c r="N185" s="1146" t="s">
        <v>115</v>
      </c>
      <c r="O185" s="1146" t="s">
        <v>813</v>
      </c>
      <c r="P185" s="1146" t="s">
        <v>814</v>
      </c>
      <c r="Q185" s="1146" t="s">
        <v>115</v>
      </c>
      <c r="R185" s="1146" t="s">
        <v>813</v>
      </c>
      <c r="S185" s="1146" t="s">
        <v>814</v>
      </c>
      <c r="T185" s="1146" t="s">
        <v>115</v>
      </c>
      <c r="U185" s="1146" t="s">
        <v>813</v>
      </c>
      <c r="V185" s="1146" t="s">
        <v>814</v>
      </c>
      <c r="W185" s="1146" t="s">
        <v>115</v>
      </c>
      <c r="X185" s="1146" t="s">
        <v>813</v>
      </c>
      <c r="Y185" s="1146" t="s">
        <v>814</v>
      </c>
      <c r="Z185" s="1146" t="s">
        <v>115</v>
      </c>
      <c r="AA185" s="1146" t="s">
        <v>813</v>
      </c>
      <c r="AB185" s="1408" t="s">
        <v>814</v>
      </c>
      <c r="AC185" s="1408" t="s">
        <v>115</v>
      </c>
      <c r="AD185" s="1408" t="s">
        <v>813</v>
      </c>
      <c r="AE185" s="1146" t="s">
        <v>115</v>
      </c>
      <c r="AF185" s="1146" t="s">
        <v>813</v>
      </c>
      <c r="AG185" s="1162" t="s">
        <v>115</v>
      </c>
      <c r="AH185" s="1162" t="s">
        <v>814</v>
      </c>
      <c r="AI185" s="1162" t="s">
        <v>115</v>
      </c>
      <c r="AJ185" s="1162" t="s">
        <v>115</v>
      </c>
      <c r="AK185" s="1162" t="s">
        <v>814</v>
      </c>
      <c r="AL185" s="1162" t="s">
        <v>115</v>
      </c>
      <c r="AM185" s="1162" t="s">
        <v>115</v>
      </c>
      <c r="AN185" s="1162" t="s">
        <v>814</v>
      </c>
      <c r="AO185" s="1162" t="s">
        <v>115</v>
      </c>
      <c r="AP185" s="1162" t="s">
        <v>814</v>
      </c>
      <c r="AQ185" s="1162" t="s">
        <v>115</v>
      </c>
      <c r="AR185" s="1162" t="s">
        <v>814</v>
      </c>
      <c r="AS185" s="1162" t="s">
        <v>115</v>
      </c>
      <c r="AT185" s="1162" t="s">
        <v>814</v>
      </c>
      <c r="AU185" s="1162" t="s">
        <v>115</v>
      </c>
      <c r="AV185" s="1162" t="s">
        <v>814</v>
      </c>
      <c r="AW185" s="1162" t="s">
        <v>115</v>
      </c>
      <c r="AX185" s="1162" t="s">
        <v>813</v>
      </c>
      <c r="AY185" s="1162" t="s">
        <v>115</v>
      </c>
      <c r="BF185" s="1159" t="s">
        <v>115</v>
      </c>
      <c r="BG185" s="1146" t="s">
        <v>813</v>
      </c>
      <c r="BH185" s="1146" t="s">
        <v>814</v>
      </c>
      <c r="BI185" s="1146" t="s">
        <v>115</v>
      </c>
      <c r="BJ185" s="1146" t="s">
        <v>813</v>
      </c>
      <c r="BK185" s="1146" t="s">
        <v>115</v>
      </c>
      <c r="BL185" s="1146" t="s">
        <v>813</v>
      </c>
      <c r="BM185" s="1146" t="s">
        <v>814</v>
      </c>
      <c r="BN185" s="1146" t="s">
        <v>115</v>
      </c>
      <c r="BO185" s="1146" t="s">
        <v>813</v>
      </c>
      <c r="BP185" s="1146" t="s">
        <v>115</v>
      </c>
      <c r="BQ185" s="1146" t="s">
        <v>813</v>
      </c>
      <c r="BR185" s="1146" t="s">
        <v>814</v>
      </c>
      <c r="BS185" s="1146" t="s">
        <v>115</v>
      </c>
      <c r="BT185" s="1146" t="s">
        <v>813</v>
      </c>
      <c r="BU185" s="1146" t="s">
        <v>814</v>
      </c>
      <c r="BV185" s="1146" t="s">
        <v>115</v>
      </c>
      <c r="BW185" s="1146" t="s">
        <v>813</v>
      </c>
      <c r="BX185" s="1146" t="s">
        <v>814</v>
      </c>
      <c r="BY185" s="1146" t="s">
        <v>115</v>
      </c>
      <c r="BZ185" s="1146" t="s">
        <v>813</v>
      </c>
      <c r="CA185" s="1146" t="s">
        <v>814</v>
      </c>
      <c r="CB185" s="1146" t="s">
        <v>115</v>
      </c>
      <c r="CC185" s="1146" t="s">
        <v>813</v>
      </c>
      <c r="CD185" s="1408" t="s">
        <v>814</v>
      </c>
      <c r="CE185" s="1408" t="s">
        <v>115</v>
      </c>
      <c r="CF185" s="1408" t="s">
        <v>813</v>
      </c>
      <c r="CG185" s="1408" t="s">
        <v>115</v>
      </c>
      <c r="CH185" s="1408" t="s">
        <v>813</v>
      </c>
      <c r="CI185" s="1408" t="s">
        <v>1050</v>
      </c>
      <c r="CJ185" s="1160" t="s">
        <v>1079</v>
      </c>
      <c r="CK185" s="1160" t="s">
        <v>1079</v>
      </c>
      <c r="CL185" s="1160" t="s">
        <v>1079</v>
      </c>
      <c r="CM185" s="1160" t="s">
        <v>1079</v>
      </c>
    </row>
    <row r="186" spans="1:72" ht="12.75">
      <c r="A186" s="1163"/>
      <c r="C186" s="1147" t="s">
        <v>611</v>
      </c>
      <c r="D186" s="1153"/>
      <c r="E186" s="1153"/>
      <c r="F186" s="1153"/>
      <c r="G186" s="1153"/>
      <c r="H186" s="1153"/>
      <c r="I186" s="1153"/>
      <c r="J186" s="1153"/>
      <c r="K186" s="1153"/>
      <c r="AB186" s="1419"/>
      <c r="AC186" s="1419"/>
      <c r="AD186" s="1419"/>
      <c r="AG186" s="1210">
        <v>0</v>
      </c>
      <c r="AH186" s="1210">
        <f>IF('Appendix A'!I1=1,0,0)</f>
        <v>0</v>
      </c>
      <c r="AI186" s="1210">
        <f>230181505*0</f>
        <v>0</v>
      </c>
      <c r="AJ186" s="1211">
        <f>93942082*0</f>
        <v>0</v>
      </c>
      <c r="AK186" s="1211">
        <f>IF('Appendix A'!I1=1,0,41112497*0)</f>
        <v>0</v>
      </c>
      <c r="AL186" s="1210">
        <f>IF('Appendix A'!I1=1,0,3158241.79*0)</f>
        <v>0</v>
      </c>
      <c r="AM186" s="1210">
        <v>0</v>
      </c>
      <c r="AN186" s="1210">
        <f>IF('Appendix A'!I1=1,0,'6- Est &amp; Reconcile WS'!AN98)</f>
        <v>0</v>
      </c>
      <c r="AO186" s="1210">
        <v>0</v>
      </c>
      <c r="AP186" s="1210">
        <f>IF('Appendix A'!I1=1,0,'6- Est &amp; Reconcile WS'!AP98)</f>
        <v>0</v>
      </c>
      <c r="AQ186" s="1210">
        <v>0</v>
      </c>
      <c r="AR186" s="1210">
        <f>IF('Appendix A'!I1=1,0,'6- Est &amp; Reconcile WS'!AR98)</f>
        <v>0</v>
      </c>
      <c r="AS186" s="1210">
        <v>0</v>
      </c>
      <c r="AT186" s="1210">
        <f>IF('Appendix A'!I1=1,0,'6- Est &amp; Reconcile WS'!AT98)</f>
        <v>0</v>
      </c>
      <c r="AU186" s="1210">
        <v>0</v>
      </c>
      <c r="AV186" s="1210">
        <f>IF('Appendix A'!I1=1,0,'6- Est &amp; Reconcile WS'!AV98)</f>
        <v>5702416</v>
      </c>
      <c r="AW186" s="1210">
        <f>IF('Appendix A'!I1=1,0,'6- Est &amp; Reconcile WS'!AW98)</f>
        <v>0</v>
      </c>
      <c r="AX186" s="1210">
        <f>IF('Appendix A'!I1=1,0,'6- Est &amp; Reconcile WS'!AX98)</f>
        <v>0</v>
      </c>
      <c r="AY186" s="1210">
        <v>0</v>
      </c>
      <c r="AZ186" s="1166"/>
      <c r="BD186" s="1147" t="s">
        <v>611</v>
      </c>
      <c r="BG186" s="1153"/>
      <c r="BJ186" s="1153"/>
      <c r="BL186" s="1153"/>
      <c r="BQ186" s="1153"/>
      <c r="BT186" s="920"/>
    </row>
    <row r="187" spans="1:91" ht="12.75">
      <c r="A187" s="1163"/>
      <c r="C187" s="1147" t="s">
        <v>601</v>
      </c>
      <c r="D187" s="1167">
        <f>IF('Appendix A'!$I$1=1,0,'6- Est &amp; Reconcile WS'!BF187)</f>
        <v>1664877.8699999999</v>
      </c>
      <c r="E187" s="1167">
        <f>IF('Appendix A'!$I$1=1,0,'6- Est &amp; Reconcile WS'!BG187)</f>
        <v>0</v>
      </c>
      <c r="F187" s="1167">
        <f>IF('Appendix A'!$I$1=1,0,'6- Est &amp; Reconcile WS'!BH187)</f>
        <v>0</v>
      </c>
      <c r="G187" s="1167">
        <f>IF('Appendix A'!$I$1=1,0,'6- Est &amp; Reconcile WS'!BI187)</f>
        <v>0</v>
      </c>
      <c r="H187" s="1167">
        <f>IF('Appendix A'!$I$1=1,0,'6- Est &amp; Reconcile WS'!BJ187)</f>
        <v>0</v>
      </c>
      <c r="I187" s="1167">
        <f>IF('Appendix A'!$I$1=1,0,'6- Est &amp; Reconcile WS'!BK187)</f>
        <v>0</v>
      </c>
      <c r="J187" s="1167">
        <f>IF('Appendix A'!$I$1=1,0,'6- Est &amp; Reconcile WS'!BL187)</f>
        <v>0</v>
      </c>
      <c r="K187" s="1167">
        <f>IF('Appendix A'!$I$1=1,0,'6- Est &amp; Reconcile WS'!BM187)</f>
        <v>0</v>
      </c>
      <c r="L187" s="1167">
        <f>IF('Appendix A'!$I$1=1,0,'6- Est &amp; Reconcile WS'!BN187)</f>
        <v>0</v>
      </c>
      <c r="M187" s="1167">
        <f>IF('Appendix A'!$I$1=1,0,'6- Est &amp; Reconcile WS'!BO187)</f>
        <v>0</v>
      </c>
      <c r="N187" s="1167">
        <f>IF('Appendix A'!$I$1=1,0,'6- Est &amp; Reconcile WS'!BP187)</f>
        <v>0</v>
      </c>
      <c r="O187" s="1167">
        <f>IF('Appendix A'!$I$1=1,0,'6- Est &amp; Reconcile WS'!BQ187)</f>
        <v>0</v>
      </c>
      <c r="P187" s="1167">
        <f>IF('Appendix A'!$I$1=1,0,'6- Est &amp; Reconcile WS'!BR187)</f>
        <v>0</v>
      </c>
      <c r="Q187" s="1167">
        <f>IF('Appendix A'!$I$1=1,0,'6- Est &amp; Reconcile WS'!BS187)</f>
        <v>0.00999999999839929</v>
      </c>
      <c r="R187" s="1167">
        <f>IF('Appendix A'!$I$1=1,0,'6- Est &amp; Reconcile WS'!BT187)</f>
        <v>0</v>
      </c>
      <c r="S187" s="1167">
        <f>IF('Appendix A'!$I$1=1,0,'6- Est &amp; Reconcile WS'!BU187)</f>
        <v>0</v>
      </c>
      <c r="T187" s="1167">
        <f>IF('Appendix A'!$I$1=1,0,'6- Est &amp; Reconcile WS'!BV187)</f>
        <v>0</v>
      </c>
      <c r="U187" s="1167">
        <f>IF('Appendix A'!$I$1=1,0,'6- Est &amp; Reconcile WS'!BW187)</f>
        <v>0</v>
      </c>
      <c r="V187" s="1167">
        <f>IF('Appendix A'!$I$1=1,0,'6- Est &amp; Reconcile WS'!BX187)</f>
        <v>0</v>
      </c>
      <c r="W187" s="1167">
        <f>IF('Appendix A'!$I$1=1,0,'6- Est &amp; Reconcile WS'!BY187)</f>
        <v>0</v>
      </c>
      <c r="X187" s="1167">
        <f>IF('Appendix A'!$I$1=1,0,'6- Est &amp; Reconcile WS'!BZ187)</f>
        <v>0</v>
      </c>
      <c r="Y187" s="1167">
        <f>IF('Appendix A'!$I$1=1,0,'6- Est &amp; Reconcile WS'!CA187)</f>
        <v>0</v>
      </c>
      <c r="Z187" s="1167">
        <f>IF('Appendix A'!$I$1=1,0,'6- Est &amp; Reconcile WS'!CB187)</f>
        <v>0</v>
      </c>
      <c r="AA187" s="1167">
        <f>IF('Appendix A'!$I$1=1,0,'6- Est &amp; Reconcile WS'!CC187)</f>
        <v>0</v>
      </c>
      <c r="AB187" s="1167">
        <f>IF('Appendix A'!$I$1=1,0,'6- Est &amp; Reconcile WS'!CD187)</f>
        <v>-8158</v>
      </c>
      <c r="AC187" s="1167">
        <f>IF('Appendix A'!$I$1=1,0,'6- Est &amp; Reconcile WS'!CE187)</f>
        <v>0</v>
      </c>
      <c r="AD187" s="1167">
        <f>IF('Appendix A'!$I$1=1,0,'6- Est &amp; Reconcile WS'!CF187)</f>
        <v>0</v>
      </c>
      <c r="AE187" s="1167">
        <f>IF('Appendix A'!$I$1=1,0,'6- Est &amp; Reconcile WS'!CG187)</f>
        <v>0</v>
      </c>
      <c r="AF187" s="1167">
        <f>IF('Appendix A'!$I$1=1,0,'6- Est &amp; Reconcile WS'!CH187)</f>
        <v>0</v>
      </c>
      <c r="AG187" s="1165">
        <f aca="true" t="shared" si="147" ref="AG187:AG198">AG186+D187+E187</f>
        <v>1664877.8699999999</v>
      </c>
      <c r="AH187" s="1165">
        <f aca="true" t="shared" si="148" ref="AH187:AH198">AH186+F187</f>
        <v>0</v>
      </c>
      <c r="AI187" s="1153">
        <f aca="true" t="shared" si="149" ref="AI187:AI198">AI186+G187+H187</f>
        <v>0</v>
      </c>
      <c r="AJ187" s="1153">
        <f aca="true" t="shared" si="150" ref="AJ187:AJ198">AJ186+I187+J187</f>
        <v>0</v>
      </c>
      <c r="AK187" s="1153">
        <f aca="true" t="shared" si="151" ref="AK187:AK198">AK186+K187</f>
        <v>0</v>
      </c>
      <c r="AL187" s="1165">
        <f aca="true" t="shared" si="152" ref="AL187:AL198">AL186+L187+M187</f>
        <v>0</v>
      </c>
      <c r="AM187" s="1165">
        <f aca="true" t="shared" si="153" ref="AM187:AM198">AM186+N187+O187</f>
        <v>0</v>
      </c>
      <c r="AN187" s="1165">
        <f aca="true" t="shared" si="154" ref="AN187:AN198">+AN186+P187</f>
        <v>0</v>
      </c>
      <c r="AO187" s="1165">
        <f aca="true" t="shared" si="155" ref="AO187:AO198">AO186+Q187+R187</f>
        <v>0.00999999999839929</v>
      </c>
      <c r="AP187" s="1165">
        <f aca="true" t="shared" si="156" ref="AP187:AP198">+AP186+S187</f>
        <v>0</v>
      </c>
      <c r="AQ187" s="1165">
        <f aca="true" t="shared" si="157" ref="AQ187:AQ198">+AQ186+T187</f>
        <v>0</v>
      </c>
      <c r="AR187" s="1165">
        <f aca="true" t="shared" si="158" ref="AR187:AR198">+AR186+V187</f>
        <v>0</v>
      </c>
      <c r="AS187" s="1165">
        <f aca="true" t="shared" si="159" ref="AS187:AS198">+AS186+W187</f>
        <v>0</v>
      </c>
      <c r="AT187" s="1165">
        <f aca="true" t="shared" si="160" ref="AT187:AT198">+AT186+Y187</f>
        <v>0</v>
      </c>
      <c r="AU187" s="1165">
        <f aca="true" t="shared" si="161" ref="AU187:AU198">+AU186+Z187</f>
        <v>0</v>
      </c>
      <c r="AV187" s="1417">
        <f aca="true" t="shared" si="162" ref="AV187:AV198">+AV186+AB187</f>
        <v>5694258</v>
      </c>
      <c r="AW187" s="1417">
        <f aca="true" t="shared" si="163" ref="AW187:AW198">+AW186+AC187</f>
        <v>0</v>
      </c>
      <c r="AX187" s="1417">
        <f aca="true" t="shared" si="164" ref="AX187:AX198">+AX186+AD187</f>
        <v>0</v>
      </c>
      <c r="AY187" s="1165">
        <f aca="true" t="shared" si="165" ref="AY187:AY198">+AY186+AE187</f>
        <v>0</v>
      </c>
      <c r="BD187" s="1147" t="s">
        <v>601</v>
      </c>
      <c r="BE187" s="1147" t="s">
        <v>755</v>
      </c>
      <c r="BF187" s="1168">
        <v>1664877.8699999999</v>
      </c>
      <c r="BG187" s="1168">
        <v>0</v>
      </c>
      <c r="BH187" s="1168">
        <v>0</v>
      </c>
      <c r="BI187" s="1168">
        <v>0</v>
      </c>
      <c r="BJ187" s="1168">
        <v>0</v>
      </c>
      <c r="BK187" s="1168">
        <v>0</v>
      </c>
      <c r="BL187" s="1168">
        <v>0</v>
      </c>
      <c r="BM187" s="1168">
        <v>0</v>
      </c>
      <c r="BN187" s="1168">
        <v>0</v>
      </c>
      <c r="BO187" s="1168">
        <v>0</v>
      </c>
      <c r="BP187" s="1168">
        <v>0</v>
      </c>
      <c r="BQ187" s="1168">
        <v>0</v>
      </c>
      <c r="BR187" s="1168">
        <v>0</v>
      </c>
      <c r="BS187" s="1168">
        <v>0.00999999999839929</v>
      </c>
      <c r="BT187" s="1168">
        <v>0</v>
      </c>
      <c r="BU187" s="1168">
        <v>0</v>
      </c>
      <c r="BV187" s="1168">
        <v>0</v>
      </c>
      <c r="BW187" s="1168">
        <v>0</v>
      </c>
      <c r="BX187" s="1168">
        <v>0</v>
      </c>
      <c r="BY187" s="1168">
        <v>0</v>
      </c>
      <c r="BZ187" s="1168">
        <v>0</v>
      </c>
      <c r="CA187" s="1168">
        <v>0</v>
      </c>
      <c r="CB187" s="1168">
        <v>0</v>
      </c>
      <c r="CC187" s="1168">
        <v>0</v>
      </c>
      <c r="CD187" s="1168">
        <v>-8158</v>
      </c>
      <c r="CE187" s="1168">
        <v>0</v>
      </c>
      <c r="CF187" s="1168">
        <v>0</v>
      </c>
      <c r="CG187" s="1168">
        <v>0</v>
      </c>
      <c r="CH187" s="1168">
        <v>0</v>
      </c>
      <c r="CI187" s="1168">
        <v>0</v>
      </c>
      <c r="CJ187" s="1292">
        <v>0</v>
      </c>
      <c r="CK187" s="1292">
        <v>0</v>
      </c>
      <c r="CL187" s="1292">
        <v>0</v>
      </c>
      <c r="CM187" s="1292">
        <v>0</v>
      </c>
    </row>
    <row r="188" spans="1:91" ht="12.75">
      <c r="A188" s="1163"/>
      <c r="C188" s="1147" t="s">
        <v>602</v>
      </c>
      <c r="D188" s="1167">
        <f>IF('Appendix A'!$I$1=1,0,'6- Est &amp; Reconcile WS'!BF188)</f>
        <v>1401905.55</v>
      </c>
      <c r="E188" s="1167">
        <f>IF('Appendix A'!$I$1=1,0,'6- Est &amp; Reconcile WS'!BG188)</f>
        <v>0</v>
      </c>
      <c r="F188" s="1167">
        <f>IF('Appendix A'!$I$1=1,0,'6- Est &amp; Reconcile WS'!BH188)</f>
        <v>0</v>
      </c>
      <c r="G188" s="1167">
        <f>IF('Appendix A'!$I$1=1,0,'6- Est &amp; Reconcile WS'!BI188)</f>
        <v>0</v>
      </c>
      <c r="H188" s="1167">
        <f>IF('Appendix A'!$I$1=1,0,'6- Est &amp; Reconcile WS'!BJ188)</f>
        <v>0</v>
      </c>
      <c r="I188" s="1167">
        <f>IF('Appendix A'!$I$1=1,0,'6- Est &amp; Reconcile WS'!BK188)</f>
        <v>0</v>
      </c>
      <c r="J188" s="1167">
        <f>IF('Appendix A'!$I$1=1,0,'6- Est &amp; Reconcile WS'!BL188)</f>
        <v>0</v>
      </c>
      <c r="K188" s="1167">
        <f>IF('Appendix A'!$I$1=1,0,'6- Est &amp; Reconcile WS'!BM188)</f>
        <v>0</v>
      </c>
      <c r="L188" s="1167">
        <f>IF('Appendix A'!$I$1=1,0,'6- Est &amp; Reconcile WS'!BN188)</f>
        <v>0</v>
      </c>
      <c r="M188" s="1167">
        <f>IF('Appendix A'!$I$1=1,0,'6- Est &amp; Reconcile WS'!BO188)</f>
        <v>0</v>
      </c>
      <c r="N188" s="1167">
        <f>IF('Appendix A'!$I$1=1,0,'6- Est &amp; Reconcile WS'!BP188)</f>
        <v>0</v>
      </c>
      <c r="O188" s="1167">
        <f>IF('Appendix A'!$I$1=1,0,'6- Est &amp; Reconcile WS'!BQ188)</f>
        <v>0</v>
      </c>
      <c r="P188" s="1167">
        <f>IF('Appendix A'!$I$1=1,0,'6- Est &amp; Reconcile WS'!BR188)</f>
        <v>0</v>
      </c>
      <c r="Q188" s="1167">
        <f>IF('Appendix A'!$I$1=1,0,'6- Est &amp; Reconcile WS'!BS188)</f>
        <v>2083.0699999999924</v>
      </c>
      <c r="R188" s="1167">
        <f>IF('Appendix A'!$I$1=1,0,'6- Est &amp; Reconcile WS'!BT188)</f>
        <v>0</v>
      </c>
      <c r="S188" s="1167">
        <f>IF('Appendix A'!$I$1=1,0,'6- Est &amp; Reconcile WS'!BU188)</f>
        <v>0</v>
      </c>
      <c r="T188" s="1167">
        <f>IF('Appendix A'!$I$1=1,0,'6- Est &amp; Reconcile WS'!BV188)</f>
        <v>0</v>
      </c>
      <c r="U188" s="1167">
        <f>IF('Appendix A'!$I$1=1,0,'6- Est &amp; Reconcile WS'!BW188)</f>
        <v>0</v>
      </c>
      <c r="V188" s="1167">
        <f>IF('Appendix A'!$I$1=1,0,'6- Est &amp; Reconcile WS'!BX188)</f>
        <v>0</v>
      </c>
      <c r="W188" s="1167">
        <f>IF('Appendix A'!$I$1=1,0,'6- Est &amp; Reconcile WS'!BY188)</f>
        <v>0</v>
      </c>
      <c r="X188" s="1167">
        <f>IF('Appendix A'!$I$1=1,0,'6- Est &amp; Reconcile WS'!BZ188)</f>
        <v>0</v>
      </c>
      <c r="Y188" s="1167">
        <f>IF('Appendix A'!$I$1=1,0,'6- Est &amp; Reconcile WS'!CA188)</f>
        <v>0</v>
      </c>
      <c r="Z188" s="1167">
        <f>IF('Appendix A'!$I$1=1,0,'6- Est &amp; Reconcile WS'!CB188)</f>
        <v>0</v>
      </c>
      <c r="AA188" s="1167">
        <f>IF('Appendix A'!$I$1=1,0,'6- Est &amp; Reconcile WS'!CC188)</f>
        <v>0</v>
      </c>
      <c r="AB188" s="1167">
        <f>IF('Appendix A'!$I$1=1,0,'6- Est &amp; Reconcile WS'!CD188)</f>
        <v>30643</v>
      </c>
      <c r="AC188" s="1167">
        <f>IF('Appendix A'!$I$1=1,0,'6- Est &amp; Reconcile WS'!CE188)</f>
        <v>0</v>
      </c>
      <c r="AD188" s="1167">
        <f>IF('Appendix A'!$I$1=1,0,'6- Est &amp; Reconcile WS'!CF188)</f>
        <v>0</v>
      </c>
      <c r="AE188" s="1167">
        <f>IF('Appendix A'!$I$1=1,0,'6- Est &amp; Reconcile WS'!CG188)</f>
        <v>0</v>
      </c>
      <c r="AF188" s="1167">
        <f>IF('Appendix A'!$I$1=1,0,'6- Est &amp; Reconcile WS'!CH188)</f>
        <v>0</v>
      </c>
      <c r="AG188" s="1165">
        <f t="shared" si="147"/>
        <v>3066783.42</v>
      </c>
      <c r="AH188" s="1165">
        <f t="shared" si="148"/>
        <v>0</v>
      </c>
      <c r="AI188" s="1153">
        <f t="shared" si="149"/>
        <v>0</v>
      </c>
      <c r="AJ188" s="1153">
        <f t="shared" si="150"/>
        <v>0</v>
      </c>
      <c r="AK188" s="1153">
        <f t="shared" si="151"/>
        <v>0</v>
      </c>
      <c r="AL188" s="1165">
        <f t="shared" si="152"/>
        <v>0</v>
      </c>
      <c r="AM188" s="1165">
        <f t="shared" si="153"/>
        <v>0</v>
      </c>
      <c r="AN188" s="1165">
        <f t="shared" si="154"/>
        <v>0</v>
      </c>
      <c r="AO188" s="1165">
        <f t="shared" si="155"/>
        <v>2083.079999999991</v>
      </c>
      <c r="AP188" s="1165">
        <f t="shared" si="156"/>
        <v>0</v>
      </c>
      <c r="AQ188" s="1165">
        <f t="shared" si="157"/>
        <v>0</v>
      </c>
      <c r="AR188" s="1165">
        <f t="shared" si="158"/>
        <v>0</v>
      </c>
      <c r="AS188" s="1165">
        <f t="shared" si="159"/>
        <v>0</v>
      </c>
      <c r="AT188" s="1165">
        <f t="shared" si="160"/>
        <v>0</v>
      </c>
      <c r="AU188" s="1165">
        <f t="shared" si="161"/>
        <v>0</v>
      </c>
      <c r="AV188" s="1417">
        <f t="shared" si="162"/>
        <v>5724901</v>
      </c>
      <c r="AW188" s="1417">
        <f t="shared" si="163"/>
        <v>0</v>
      </c>
      <c r="AX188" s="1417">
        <f t="shared" si="164"/>
        <v>0</v>
      </c>
      <c r="AY188" s="1165">
        <f t="shared" si="165"/>
        <v>0</v>
      </c>
      <c r="BD188" s="1147" t="s">
        <v>602</v>
      </c>
      <c r="BE188" s="1147" t="s">
        <v>755</v>
      </c>
      <c r="BF188" s="1168">
        <v>1401905.55</v>
      </c>
      <c r="BG188" s="1168">
        <v>0</v>
      </c>
      <c r="BH188" s="1168">
        <v>0</v>
      </c>
      <c r="BI188" s="1168">
        <v>0</v>
      </c>
      <c r="BJ188" s="1168">
        <v>0</v>
      </c>
      <c r="BK188" s="1168">
        <v>0</v>
      </c>
      <c r="BL188" s="1168">
        <v>0</v>
      </c>
      <c r="BM188" s="1168">
        <v>0</v>
      </c>
      <c r="BN188" s="1168">
        <v>0</v>
      </c>
      <c r="BO188" s="1168">
        <v>0</v>
      </c>
      <c r="BP188" s="1168">
        <v>0</v>
      </c>
      <c r="BQ188" s="1168">
        <v>0</v>
      </c>
      <c r="BR188" s="1168">
        <v>0</v>
      </c>
      <c r="BS188" s="1168">
        <v>2083.0699999999924</v>
      </c>
      <c r="BT188" s="1168">
        <v>0</v>
      </c>
      <c r="BU188" s="1168">
        <v>0</v>
      </c>
      <c r="BV188" s="1168">
        <v>0</v>
      </c>
      <c r="BW188" s="1168">
        <v>0</v>
      </c>
      <c r="BX188" s="1168">
        <v>0</v>
      </c>
      <c r="BY188" s="1168">
        <v>0</v>
      </c>
      <c r="BZ188" s="1168">
        <v>0</v>
      </c>
      <c r="CA188" s="1168">
        <v>0</v>
      </c>
      <c r="CB188" s="1168">
        <v>0</v>
      </c>
      <c r="CC188" s="1168">
        <v>0</v>
      </c>
      <c r="CD188" s="1168">
        <v>30643</v>
      </c>
      <c r="CE188" s="1168">
        <v>0</v>
      </c>
      <c r="CF188" s="1168">
        <v>0</v>
      </c>
      <c r="CG188" s="1168">
        <v>0</v>
      </c>
      <c r="CH188" s="1168">
        <v>0</v>
      </c>
      <c r="CI188" s="1168">
        <v>0</v>
      </c>
      <c r="CJ188" s="1292">
        <v>0</v>
      </c>
      <c r="CK188" s="1292">
        <v>0</v>
      </c>
      <c r="CL188" s="1292">
        <v>0</v>
      </c>
      <c r="CM188" s="1292">
        <v>0</v>
      </c>
    </row>
    <row r="189" spans="1:91" ht="12.75">
      <c r="A189" s="1163"/>
      <c r="C189" s="1147" t="s">
        <v>603</v>
      </c>
      <c r="D189" s="1167">
        <f>IF('Appendix A'!$I$1=1,0,'6- Est &amp; Reconcile WS'!BF189)</f>
        <v>1223982.6699999997</v>
      </c>
      <c r="E189" s="1167">
        <f>IF('Appendix A'!$I$1=1,0,'6- Est &amp; Reconcile WS'!BG189)</f>
        <v>0</v>
      </c>
      <c r="F189" s="1167">
        <f>IF('Appendix A'!$I$1=1,0,'6- Est &amp; Reconcile WS'!BH189)</f>
        <v>0</v>
      </c>
      <c r="G189" s="1167">
        <f>IF('Appendix A'!$I$1=1,0,'6- Est &amp; Reconcile WS'!BI189)</f>
        <v>0</v>
      </c>
      <c r="H189" s="1167">
        <f>IF('Appendix A'!$I$1=1,0,'6- Est &amp; Reconcile WS'!BJ189)</f>
        <v>0</v>
      </c>
      <c r="I189" s="1167">
        <f>IF('Appendix A'!$I$1=1,0,'6- Est &amp; Reconcile WS'!BK189)</f>
        <v>0</v>
      </c>
      <c r="J189" s="1167">
        <f>IF('Appendix A'!$I$1=1,0,'6- Est &amp; Reconcile WS'!BL189)</f>
        <v>0</v>
      </c>
      <c r="K189" s="1167">
        <f>IF('Appendix A'!$I$1=1,0,'6- Est &amp; Reconcile WS'!BM189)</f>
        <v>0</v>
      </c>
      <c r="L189" s="1167">
        <f>IF('Appendix A'!$I$1=1,0,'6- Est &amp; Reconcile WS'!BN189)</f>
        <v>0</v>
      </c>
      <c r="M189" s="1167">
        <f>IF('Appendix A'!$I$1=1,0,'6- Est &amp; Reconcile WS'!BO189)</f>
        <v>0</v>
      </c>
      <c r="N189" s="1167">
        <f>IF('Appendix A'!$I$1=1,0,'6- Est &amp; Reconcile WS'!BP189)</f>
        <v>0</v>
      </c>
      <c r="O189" s="1167">
        <f>IF('Appendix A'!$I$1=1,0,'6- Est &amp; Reconcile WS'!BQ189)</f>
        <v>0</v>
      </c>
      <c r="P189" s="1167">
        <f>IF('Appendix A'!$I$1=1,0,'6- Est &amp; Reconcile WS'!BR189)</f>
        <v>0</v>
      </c>
      <c r="Q189" s="1167">
        <f>IF('Appendix A'!$I$1=1,0,'6- Est &amp; Reconcile WS'!BS189)</f>
        <v>-1.4551915228366852E-11</v>
      </c>
      <c r="R189" s="1167">
        <f>IF('Appendix A'!$I$1=1,0,'6- Est &amp; Reconcile WS'!BT189)</f>
        <v>0</v>
      </c>
      <c r="S189" s="1167">
        <f>IF('Appendix A'!$I$1=1,0,'6- Est &amp; Reconcile WS'!BU189)</f>
        <v>0</v>
      </c>
      <c r="T189" s="1167">
        <f>IF('Appendix A'!$I$1=1,0,'6- Est &amp; Reconcile WS'!BV189)</f>
        <v>0</v>
      </c>
      <c r="U189" s="1167">
        <f>IF('Appendix A'!$I$1=1,0,'6- Est &amp; Reconcile WS'!BW189)</f>
        <v>0</v>
      </c>
      <c r="V189" s="1167">
        <f>IF('Appendix A'!$I$1=1,0,'6- Est &amp; Reconcile WS'!BX189)</f>
        <v>0</v>
      </c>
      <c r="W189" s="1167">
        <f>IF('Appendix A'!$I$1=1,0,'6- Est &amp; Reconcile WS'!BY189)</f>
        <v>0</v>
      </c>
      <c r="X189" s="1167">
        <f>IF('Appendix A'!$I$1=1,0,'6- Est &amp; Reconcile WS'!BZ189)</f>
        <v>0</v>
      </c>
      <c r="Y189" s="1167">
        <f>IF('Appendix A'!$I$1=1,0,'6- Est &amp; Reconcile WS'!CA189)</f>
        <v>0</v>
      </c>
      <c r="Z189" s="1167">
        <f>IF('Appendix A'!$I$1=1,0,'6- Est &amp; Reconcile WS'!CB189)</f>
        <v>0</v>
      </c>
      <c r="AA189" s="1167">
        <f>IF('Appendix A'!$I$1=1,0,'6- Est &amp; Reconcile WS'!CC189)</f>
        <v>0</v>
      </c>
      <c r="AB189" s="1167">
        <f>IF('Appendix A'!$I$1=1,0,'6- Est &amp; Reconcile WS'!CD189)</f>
        <v>22301</v>
      </c>
      <c r="AC189" s="1167">
        <f>IF('Appendix A'!$I$1=1,0,'6- Est &amp; Reconcile WS'!CE189)</f>
        <v>0</v>
      </c>
      <c r="AD189" s="1167">
        <f>IF('Appendix A'!$I$1=1,0,'6- Est &amp; Reconcile WS'!CF189)</f>
        <v>0</v>
      </c>
      <c r="AE189" s="1167">
        <f>IF('Appendix A'!$I$1=1,0,'6- Est &amp; Reconcile WS'!CG189)</f>
        <v>0</v>
      </c>
      <c r="AF189" s="1167">
        <f>IF('Appendix A'!$I$1=1,0,'6- Est &amp; Reconcile WS'!CH189)</f>
        <v>0</v>
      </c>
      <c r="AG189" s="1165">
        <f t="shared" si="147"/>
        <v>4290766.09</v>
      </c>
      <c r="AH189" s="1165">
        <f t="shared" si="148"/>
        <v>0</v>
      </c>
      <c r="AI189" s="1153">
        <f t="shared" si="149"/>
        <v>0</v>
      </c>
      <c r="AJ189" s="1153">
        <f t="shared" si="150"/>
        <v>0</v>
      </c>
      <c r="AK189" s="1153">
        <f t="shared" si="151"/>
        <v>0</v>
      </c>
      <c r="AL189" s="1165">
        <f t="shared" si="152"/>
        <v>0</v>
      </c>
      <c r="AM189" s="1165">
        <f t="shared" si="153"/>
        <v>0</v>
      </c>
      <c r="AN189" s="1165">
        <f t="shared" si="154"/>
        <v>0</v>
      </c>
      <c r="AO189" s="1165">
        <f t="shared" si="155"/>
        <v>2083.0799999999763</v>
      </c>
      <c r="AP189" s="1165">
        <f t="shared" si="156"/>
        <v>0</v>
      </c>
      <c r="AQ189" s="1165">
        <f t="shared" si="157"/>
        <v>0</v>
      </c>
      <c r="AR189" s="1165">
        <f t="shared" si="158"/>
        <v>0</v>
      </c>
      <c r="AS189" s="1165">
        <f t="shared" si="159"/>
        <v>0</v>
      </c>
      <c r="AT189" s="1165">
        <f t="shared" si="160"/>
        <v>0</v>
      </c>
      <c r="AU189" s="1165">
        <f t="shared" si="161"/>
        <v>0</v>
      </c>
      <c r="AV189" s="1417">
        <f t="shared" si="162"/>
        <v>5747202</v>
      </c>
      <c r="AW189" s="1417">
        <f t="shared" si="163"/>
        <v>0</v>
      </c>
      <c r="AX189" s="1417">
        <f t="shared" si="164"/>
        <v>0</v>
      </c>
      <c r="AY189" s="1165">
        <f t="shared" si="165"/>
        <v>0</v>
      </c>
      <c r="BD189" s="1147" t="s">
        <v>603</v>
      </c>
      <c r="BE189" s="1147" t="s">
        <v>755</v>
      </c>
      <c r="BF189" s="1168">
        <v>1223982.6699999997</v>
      </c>
      <c r="BG189" s="1168">
        <v>0</v>
      </c>
      <c r="BH189" s="1168">
        <v>0</v>
      </c>
      <c r="BI189" s="1168">
        <v>0</v>
      </c>
      <c r="BJ189" s="1168">
        <v>0</v>
      </c>
      <c r="BK189" s="1168">
        <v>0</v>
      </c>
      <c r="BL189" s="1168">
        <v>0</v>
      </c>
      <c r="BM189" s="1168">
        <v>0</v>
      </c>
      <c r="BN189" s="1168">
        <v>0</v>
      </c>
      <c r="BO189" s="1168">
        <v>0</v>
      </c>
      <c r="BP189" s="1168">
        <v>0</v>
      </c>
      <c r="BQ189" s="1168">
        <v>0</v>
      </c>
      <c r="BR189" s="1168">
        <v>0</v>
      </c>
      <c r="BS189" s="1168">
        <v>-1.4551915228366852E-11</v>
      </c>
      <c r="BT189" s="1168">
        <v>0</v>
      </c>
      <c r="BU189" s="1168">
        <v>0</v>
      </c>
      <c r="BV189" s="1168">
        <v>0</v>
      </c>
      <c r="BW189" s="1168">
        <v>0</v>
      </c>
      <c r="BX189" s="1168">
        <v>0</v>
      </c>
      <c r="BY189" s="1168">
        <v>0</v>
      </c>
      <c r="BZ189" s="1168">
        <v>0</v>
      </c>
      <c r="CA189" s="1168">
        <v>0</v>
      </c>
      <c r="CB189" s="1168">
        <v>0</v>
      </c>
      <c r="CC189" s="1168">
        <v>0</v>
      </c>
      <c r="CD189" s="1168">
        <v>22301</v>
      </c>
      <c r="CE189" s="1168">
        <v>0</v>
      </c>
      <c r="CF189" s="1168">
        <v>0</v>
      </c>
      <c r="CG189" s="1168">
        <v>0</v>
      </c>
      <c r="CH189" s="1168">
        <v>0</v>
      </c>
      <c r="CI189" s="1168">
        <v>0</v>
      </c>
      <c r="CJ189" s="1292">
        <v>0</v>
      </c>
      <c r="CK189" s="1292">
        <v>0</v>
      </c>
      <c r="CL189" s="1292">
        <v>0</v>
      </c>
      <c r="CM189" s="1292">
        <v>0</v>
      </c>
    </row>
    <row r="190" spans="1:91" ht="12.75">
      <c r="A190" s="1163"/>
      <c r="C190" s="1147" t="s">
        <v>604</v>
      </c>
      <c r="D190" s="1167">
        <f>IF('Appendix A'!$I$1=1,0,'6- Est &amp; Reconcile WS'!BF190)</f>
        <v>-1634397.9300000006</v>
      </c>
      <c r="E190" s="1167">
        <f>IF('Appendix A'!$I$1=1,0,'6- Est &amp; Reconcile WS'!BG190)</f>
        <v>0</v>
      </c>
      <c r="F190" s="1167">
        <f>IF('Appendix A'!$I$1=1,0,'6- Est &amp; Reconcile WS'!BH190)</f>
        <v>0</v>
      </c>
      <c r="G190" s="1167">
        <f>IF('Appendix A'!$I$1=1,0,'6- Est &amp; Reconcile WS'!BI190)</f>
        <v>0</v>
      </c>
      <c r="H190" s="1167">
        <f>IF('Appendix A'!$I$1=1,0,'6- Est &amp; Reconcile WS'!BJ190)</f>
        <v>0</v>
      </c>
      <c r="I190" s="1167">
        <f>IF('Appendix A'!$I$1=1,0,'6- Est &amp; Reconcile WS'!BK190)</f>
        <v>0</v>
      </c>
      <c r="J190" s="1167">
        <f>IF('Appendix A'!$I$1=1,0,'6- Est &amp; Reconcile WS'!BL190)</f>
        <v>0</v>
      </c>
      <c r="K190" s="1167">
        <f>IF('Appendix A'!$I$1=1,0,'6- Est &amp; Reconcile WS'!BM190)</f>
        <v>0</v>
      </c>
      <c r="L190" s="1167">
        <f>IF('Appendix A'!$I$1=1,0,'6- Est &amp; Reconcile WS'!BN190)</f>
        <v>0</v>
      </c>
      <c r="M190" s="1167">
        <f>IF('Appendix A'!$I$1=1,0,'6- Est &amp; Reconcile WS'!BO190)</f>
        <v>0</v>
      </c>
      <c r="N190" s="1167">
        <f>IF('Appendix A'!$I$1=1,0,'6- Est &amp; Reconcile WS'!BP190)</f>
        <v>0</v>
      </c>
      <c r="O190" s="1167">
        <f>IF('Appendix A'!$I$1=1,0,'6- Est &amp; Reconcile WS'!BQ190)</f>
        <v>0</v>
      </c>
      <c r="P190" s="1167">
        <f>IF('Appendix A'!$I$1=1,0,'6- Est &amp; Reconcile WS'!BR190)</f>
        <v>0</v>
      </c>
      <c r="Q190" s="1167">
        <f>IF('Appendix A'!$I$1=1,0,'6- Est &amp; Reconcile WS'!BS190)</f>
        <v>0</v>
      </c>
      <c r="R190" s="1167">
        <f>IF('Appendix A'!$I$1=1,0,'6- Est &amp; Reconcile WS'!BT190)</f>
        <v>0</v>
      </c>
      <c r="S190" s="1167">
        <f>IF('Appendix A'!$I$1=1,0,'6- Est &amp; Reconcile WS'!BU190)</f>
        <v>0</v>
      </c>
      <c r="T190" s="1167">
        <f>IF('Appendix A'!$I$1=1,0,'6- Est &amp; Reconcile WS'!BV190)</f>
        <v>0</v>
      </c>
      <c r="U190" s="1167">
        <f>IF('Appendix A'!$I$1=1,0,'6- Est &amp; Reconcile WS'!BW190)</f>
        <v>0</v>
      </c>
      <c r="V190" s="1167">
        <f>IF('Appendix A'!$I$1=1,0,'6- Est &amp; Reconcile WS'!BX190)</f>
        <v>0</v>
      </c>
      <c r="W190" s="1167">
        <f>IF('Appendix A'!$I$1=1,0,'6- Est &amp; Reconcile WS'!BY190)</f>
        <v>0</v>
      </c>
      <c r="X190" s="1167">
        <f>IF('Appendix A'!$I$1=1,0,'6- Est &amp; Reconcile WS'!BZ190)</f>
        <v>0</v>
      </c>
      <c r="Y190" s="1167">
        <f>IF('Appendix A'!$I$1=1,0,'6- Est &amp; Reconcile WS'!CA190)</f>
        <v>0</v>
      </c>
      <c r="Z190" s="1167">
        <f>IF('Appendix A'!$I$1=1,0,'6- Est &amp; Reconcile WS'!CB190)</f>
        <v>0</v>
      </c>
      <c r="AA190" s="1167">
        <f>IF('Appendix A'!$I$1=1,0,'6- Est &amp; Reconcile WS'!CC190)</f>
        <v>0</v>
      </c>
      <c r="AB190" s="1167">
        <f>IF('Appendix A'!$I$1=1,0,'6- Est &amp; Reconcile WS'!CD190)</f>
        <v>13892</v>
      </c>
      <c r="AC190" s="1167">
        <f>IF('Appendix A'!$I$1=1,0,'6- Est &amp; Reconcile WS'!CE190)</f>
        <v>0</v>
      </c>
      <c r="AD190" s="1167">
        <f>IF('Appendix A'!$I$1=1,0,'6- Est &amp; Reconcile WS'!CF190)</f>
        <v>0</v>
      </c>
      <c r="AE190" s="1167">
        <f>IF('Appendix A'!$I$1=1,0,'6- Est &amp; Reconcile WS'!CG190)</f>
        <v>0</v>
      </c>
      <c r="AF190" s="1167">
        <f>IF('Appendix A'!$I$1=1,0,'6- Est &amp; Reconcile WS'!CH190)</f>
        <v>0</v>
      </c>
      <c r="AG190" s="1165">
        <f t="shared" si="147"/>
        <v>2656368.159999999</v>
      </c>
      <c r="AH190" s="1165">
        <f t="shared" si="148"/>
        <v>0</v>
      </c>
      <c r="AI190" s="1153">
        <f t="shared" si="149"/>
        <v>0</v>
      </c>
      <c r="AJ190" s="1153">
        <f t="shared" si="150"/>
        <v>0</v>
      </c>
      <c r="AK190" s="1153">
        <f t="shared" si="151"/>
        <v>0</v>
      </c>
      <c r="AL190" s="1165">
        <f t="shared" si="152"/>
        <v>0</v>
      </c>
      <c r="AM190" s="1165">
        <f t="shared" si="153"/>
        <v>0</v>
      </c>
      <c r="AN190" s="1165">
        <f t="shared" si="154"/>
        <v>0</v>
      </c>
      <c r="AO190" s="1165">
        <f t="shared" si="155"/>
        <v>2083.0799999999763</v>
      </c>
      <c r="AP190" s="1165">
        <f t="shared" si="156"/>
        <v>0</v>
      </c>
      <c r="AQ190" s="1165">
        <f t="shared" si="157"/>
        <v>0</v>
      </c>
      <c r="AR190" s="1165">
        <f t="shared" si="158"/>
        <v>0</v>
      </c>
      <c r="AS190" s="1165">
        <f t="shared" si="159"/>
        <v>0</v>
      </c>
      <c r="AT190" s="1165">
        <f t="shared" si="160"/>
        <v>0</v>
      </c>
      <c r="AU190" s="1165">
        <f t="shared" si="161"/>
        <v>0</v>
      </c>
      <c r="AV190" s="1417">
        <f t="shared" si="162"/>
        <v>5761094</v>
      </c>
      <c r="AW190" s="1417">
        <f t="shared" si="163"/>
        <v>0</v>
      </c>
      <c r="AX190" s="1417">
        <f t="shared" si="164"/>
        <v>0</v>
      </c>
      <c r="AY190" s="1165">
        <f t="shared" si="165"/>
        <v>0</v>
      </c>
      <c r="BD190" s="1147" t="s">
        <v>604</v>
      </c>
      <c r="BE190" s="1147" t="s">
        <v>755</v>
      </c>
      <c r="BF190" s="1168">
        <v>-1634397.9300000006</v>
      </c>
      <c r="BG190" s="1168">
        <v>0</v>
      </c>
      <c r="BH190" s="1168">
        <v>0</v>
      </c>
      <c r="BI190" s="1168">
        <v>0</v>
      </c>
      <c r="BJ190" s="1168">
        <f aca="true" t="shared" si="166" ref="BJ190:BJ198">+BJ189</f>
        <v>0</v>
      </c>
      <c r="BK190" s="1168">
        <v>0</v>
      </c>
      <c r="BL190" s="1168">
        <v>0</v>
      </c>
      <c r="BM190" s="1168">
        <v>0</v>
      </c>
      <c r="BN190" s="1168">
        <v>0</v>
      </c>
      <c r="BO190" s="1168">
        <v>0</v>
      </c>
      <c r="BP190" s="1168">
        <v>0</v>
      </c>
      <c r="BQ190" s="1168">
        <v>0</v>
      </c>
      <c r="BR190" s="1168">
        <v>0</v>
      </c>
      <c r="BS190" s="1168">
        <v>0</v>
      </c>
      <c r="BT190" s="1168">
        <v>0</v>
      </c>
      <c r="BU190" s="1168">
        <v>0</v>
      </c>
      <c r="BV190" s="1168">
        <v>0</v>
      </c>
      <c r="BW190" s="1168">
        <v>0</v>
      </c>
      <c r="BX190" s="1168">
        <v>0</v>
      </c>
      <c r="BY190" s="1168">
        <v>0</v>
      </c>
      <c r="BZ190" s="1168">
        <v>0</v>
      </c>
      <c r="CA190" s="1168">
        <v>0</v>
      </c>
      <c r="CB190" s="1168">
        <v>0</v>
      </c>
      <c r="CC190" s="1168">
        <v>0</v>
      </c>
      <c r="CD190" s="1168">
        <v>13892</v>
      </c>
      <c r="CE190" s="1168">
        <v>0</v>
      </c>
      <c r="CF190" s="1168">
        <v>0</v>
      </c>
      <c r="CG190" s="1168">
        <v>0</v>
      </c>
      <c r="CH190" s="1168">
        <v>0</v>
      </c>
      <c r="CI190" s="1168">
        <v>0</v>
      </c>
      <c r="CJ190" s="1292">
        <v>0</v>
      </c>
      <c r="CK190" s="1292">
        <v>0</v>
      </c>
      <c r="CL190" s="1292">
        <v>0</v>
      </c>
      <c r="CM190" s="1292">
        <v>0</v>
      </c>
    </row>
    <row r="191" spans="1:91" ht="12.75">
      <c r="A191" s="1163"/>
      <c r="C191" s="1147" t="s">
        <v>599</v>
      </c>
      <c r="D191" s="1167">
        <f>IF('Appendix A'!$I$1=1,0,'6- Est &amp; Reconcile WS'!BF191)</f>
        <v>29050782.516275644</v>
      </c>
      <c r="E191" s="1167">
        <f>IF('Appendix A'!$I$1=1,0,'6- Est &amp; Reconcile WS'!BG191)</f>
        <v>0</v>
      </c>
      <c r="F191" s="1167">
        <f>IF('Appendix A'!$I$1=1,0,'6- Est &amp; Reconcile WS'!BH191)</f>
        <v>0</v>
      </c>
      <c r="G191" s="1167">
        <f>IF('Appendix A'!$I$1=1,0,'6- Est &amp; Reconcile WS'!BI191)</f>
        <v>0</v>
      </c>
      <c r="H191" s="1167">
        <f>IF('Appendix A'!$I$1=1,0,'6- Est &amp; Reconcile WS'!BJ191)</f>
        <v>0</v>
      </c>
      <c r="I191" s="1167">
        <f>IF('Appendix A'!$I$1=1,0,'6- Est &amp; Reconcile WS'!BK191)</f>
        <v>0</v>
      </c>
      <c r="J191" s="1167">
        <f>IF('Appendix A'!$I$1=1,0,'6- Est &amp; Reconcile WS'!BL191)</f>
        <v>0</v>
      </c>
      <c r="K191" s="1167">
        <f>IF('Appendix A'!$I$1=1,0,'6- Est &amp; Reconcile WS'!BM191)</f>
        <v>0</v>
      </c>
      <c r="L191" s="1167">
        <f>IF('Appendix A'!$I$1=1,0,'6- Est &amp; Reconcile WS'!BN191)</f>
        <v>0</v>
      </c>
      <c r="M191" s="1167">
        <f>IF('Appendix A'!$I$1=1,0,'6- Est &amp; Reconcile WS'!BO191)</f>
        <v>0</v>
      </c>
      <c r="N191" s="1167">
        <f>IF('Appendix A'!$I$1=1,0,'6- Est &amp; Reconcile WS'!BP191)</f>
        <v>0</v>
      </c>
      <c r="O191" s="1167">
        <f>IF('Appendix A'!$I$1=1,0,'6- Est &amp; Reconcile WS'!BQ191)</f>
        <v>0</v>
      </c>
      <c r="P191" s="1167">
        <f>IF('Appendix A'!$I$1=1,0,'6- Est &amp; Reconcile WS'!BR191)</f>
        <v>0</v>
      </c>
      <c r="Q191" s="1167">
        <f>IF('Appendix A'!$I$1=1,0,'6- Est &amp; Reconcile WS'!BS191)</f>
        <v>0</v>
      </c>
      <c r="R191" s="1167">
        <f>IF('Appendix A'!$I$1=1,0,'6- Est &amp; Reconcile WS'!BT191)</f>
        <v>0</v>
      </c>
      <c r="S191" s="1167">
        <f>IF('Appendix A'!$I$1=1,0,'6- Est &amp; Reconcile WS'!BU191)</f>
        <v>0</v>
      </c>
      <c r="T191" s="1167">
        <f>IF('Appendix A'!$I$1=1,0,'6- Est &amp; Reconcile WS'!BV191)</f>
        <v>0</v>
      </c>
      <c r="U191" s="1167">
        <f>IF('Appendix A'!$I$1=1,0,'6- Est &amp; Reconcile WS'!BW191)</f>
        <v>0</v>
      </c>
      <c r="V191" s="1167">
        <f>IF('Appendix A'!$I$1=1,0,'6- Est &amp; Reconcile WS'!BX191)</f>
        <v>0</v>
      </c>
      <c r="W191" s="1167">
        <f>IF('Appendix A'!$I$1=1,0,'6- Est &amp; Reconcile WS'!BY191)</f>
        <v>0</v>
      </c>
      <c r="X191" s="1167">
        <f>IF('Appendix A'!$I$1=1,0,'6- Est &amp; Reconcile WS'!BZ191)</f>
        <v>0</v>
      </c>
      <c r="Y191" s="1167">
        <f>IF('Appendix A'!$I$1=1,0,'6- Est &amp; Reconcile WS'!CA191)</f>
        <v>0</v>
      </c>
      <c r="Z191" s="1167">
        <f>IF('Appendix A'!$I$1=1,0,'6- Est &amp; Reconcile WS'!CB191)</f>
        <v>0</v>
      </c>
      <c r="AA191" s="1167">
        <f>IF('Appendix A'!$I$1=1,0,'6- Est &amp; Reconcile WS'!CC191)</f>
        <v>0</v>
      </c>
      <c r="AB191" s="1167">
        <f>IF('Appendix A'!$I$1=1,0,'6- Est &amp; Reconcile WS'!CD191)</f>
        <v>172656</v>
      </c>
      <c r="AC191" s="1167">
        <f>IF('Appendix A'!$I$1=1,0,'6- Est &amp; Reconcile WS'!CE191)</f>
        <v>0</v>
      </c>
      <c r="AD191" s="1167">
        <f>IF('Appendix A'!$I$1=1,0,'6- Est &amp; Reconcile WS'!CF191)</f>
        <v>0</v>
      </c>
      <c r="AE191" s="1167">
        <f>IF('Appendix A'!$I$1=1,0,'6- Est &amp; Reconcile WS'!CG191)</f>
        <v>0</v>
      </c>
      <c r="AF191" s="1167">
        <f>IF('Appendix A'!$I$1=1,0,'6- Est &amp; Reconcile WS'!CH191)</f>
        <v>0</v>
      </c>
      <c r="AG191" s="1165">
        <f t="shared" si="147"/>
        <v>31707150.676275644</v>
      </c>
      <c r="AH191" s="1165">
        <f t="shared" si="148"/>
        <v>0</v>
      </c>
      <c r="AI191" s="1153">
        <f t="shared" si="149"/>
        <v>0</v>
      </c>
      <c r="AJ191" s="1153">
        <f t="shared" si="150"/>
        <v>0</v>
      </c>
      <c r="AK191" s="1153">
        <f t="shared" si="151"/>
        <v>0</v>
      </c>
      <c r="AL191" s="1165">
        <f t="shared" si="152"/>
        <v>0</v>
      </c>
      <c r="AM191" s="1165">
        <f t="shared" si="153"/>
        <v>0</v>
      </c>
      <c r="AN191" s="1165">
        <f t="shared" si="154"/>
        <v>0</v>
      </c>
      <c r="AO191" s="1165">
        <f t="shared" si="155"/>
        <v>2083.0799999999763</v>
      </c>
      <c r="AP191" s="1165">
        <f t="shared" si="156"/>
        <v>0</v>
      </c>
      <c r="AQ191" s="1165">
        <f t="shared" si="157"/>
        <v>0</v>
      </c>
      <c r="AR191" s="1165">
        <f t="shared" si="158"/>
        <v>0</v>
      </c>
      <c r="AS191" s="1165">
        <f t="shared" si="159"/>
        <v>0</v>
      </c>
      <c r="AT191" s="1165">
        <f t="shared" si="160"/>
        <v>0</v>
      </c>
      <c r="AU191" s="1165">
        <f t="shared" si="161"/>
        <v>0</v>
      </c>
      <c r="AV191" s="1417">
        <f t="shared" si="162"/>
        <v>5933750</v>
      </c>
      <c r="AW191" s="1417">
        <f t="shared" si="163"/>
        <v>0</v>
      </c>
      <c r="AX191" s="1417">
        <f t="shared" si="164"/>
        <v>0</v>
      </c>
      <c r="AY191" s="1165">
        <f t="shared" si="165"/>
        <v>0</v>
      </c>
      <c r="BD191" s="1147" t="s">
        <v>599</v>
      </c>
      <c r="BE191" s="1147" t="s">
        <v>756</v>
      </c>
      <c r="BF191" s="1168">
        <v>29050782.516275644</v>
      </c>
      <c r="BG191" s="1168">
        <v>0</v>
      </c>
      <c r="BH191" s="1168">
        <v>0</v>
      </c>
      <c r="BI191" s="1168">
        <v>0</v>
      </c>
      <c r="BJ191" s="1168">
        <f t="shared" si="166"/>
        <v>0</v>
      </c>
      <c r="BK191" s="1168">
        <v>0</v>
      </c>
      <c r="BL191" s="1168">
        <v>0</v>
      </c>
      <c r="BM191" s="1168">
        <v>0</v>
      </c>
      <c r="BN191" s="1168">
        <v>0</v>
      </c>
      <c r="BO191" s="1168">
        <v>0</v>
      </c>
      <c r="BP191" s="1168">
        <v>0</v>
      </c>
      <c r="BQ191" s="1168">
        <v>0</v>
      </c>
      <c r="BR191" s="1168">
        <v>0</v>
      </c>
      <c r="BS191" s="1168">
        <v>0</v>
      </c>
      <c r="BT191" s="1168">
        <v>0</v>
      </c>
      <c r="BU191" s="1168">
        <v>0</v>
      </c>
      <c r="BV191" s="1168">
        <v>0</v>
      </c>
      <c r="BW191" s="1168">
        <v>0</v>
      </c>
      <c r="BX191" s="1168">
        <v>0</v>
      </c>
      <c r="BY191" s="1168">
        <v>0</v>
      </c>
      <c r="BZ191" s="1168">
        <v>0</v>
      </c>
      <c r="CA191" s="1168">
        <v>0</v>
      </c>
      <c r="CB191" s="1168">
        <v>0</v>
      </c>
      <c r="CC191" s="1168">
        <v>0</v>
      </c>
      <c r="CD191" s="1168">
        <v>172656</v>
      </c>
      <c r="CE191" s="1168">
        <v>0</v>
      </c>
      <c r="CF191" s="1168">
        <v>0</v>
      </c>
      <c r="CG191" s="1168">
        <v>0</v>
      </c>
      <c r="CH191" s="1168">
        <v>0</v>
      </c>
      <c r="CI191" s="1168">
        <v>0</v>
      </c>
      <c r="CJ191" s="1292">
        <v>0</v>
      </c>
      <c r="CK191" s="1292">
        <v>0</v>
      </c>
      <c r="CL191" s="1292">
        <v>0</v>
      </c>
      <c r="CM191" s="1292">
        <v>0</v>
      </c>
    </row>
    <row r="192" spans="1:91" ht="12.75">
      <c r="A192" s="1163"/>
      <c r="C192" s="1147" t="s">
        <v>605</v>
      </c>
      <c r="D192" s="1167">
        <f>IF('Appendix A'!$I$1=1,0,'6- Est &amp; Reconcile WS'!BF192)</f>
        <v>797148.1794846484</v>
      </c>
      <c r="E192" s="1167">
        <f>IF('Appendix A'!$I$1=1,0,'6- Est &amp; Reconcile WS'!BG192)</f>
        <v>0</v>
      </c>
      <c r="F192" s="1167">
        <f>IF('Appendix A'!$I$1=1,0,'6- Est &amp; Reconcile WS'!BH192)</f>
        <v>0</v>
      </c>
      <c r="G192" s="1167">
        <f>IF('Appendix A'!$I$1=1,0,'6- Est &amp; Reconcile WS'!BI192)</f>
        <v>0</v>
      </c>
      <c r="H192" s="1167">
        <f>IF('Appendix A'!$I$1=1,0,'6- Est &amp; Reconcile WS'!BJ192)</f>
        <v>0</v>
      </c>
      <c r="I192" s="1167">
        <f>IF('Appendix A'!$I$1=1,0,'6- Est &amp; Reconcile WS'!BK192)</f>
        <v>0</v>
      </c>
      <c r="J192" s="1167">
        <f>IF('Appendix A'!$I$1=1,0,'6- Est &amp; Reconcile WS'!BL192)</f>
        <v>0</v>
      </c>
      <c r="K192" s="1167">
        <f>IF('Appendix A'!$I$1=1,0,'6- Est &amp; Reconcile WS'!BM192)</f>
        <v>0</v>
      </c>
      <c r="L192" s="1167">
        <f>IF('Appendix A'!$I$1=1,0,'6- Est &amp; Reconcile WS'!BN192)</f>
        <v>0</v>
      </c>
      <c r="M192" s="1167">
        <f>IF('Appendix A'!$I$1=1,0,'6- Est &amp; Reconcile WS'!BO192)</f>
        <v>0</v>
      </c>
      <c r="N192" s="1167">
        <f>IF('Appendix A'!$I$1=1,0,'6- Est &amp; Reconcile WS'!BP192)</f>
        <v>0</v>
      </c>
      <c r="O192" s="1167">
        <f>IF('Appendix A'!$I$1=1,0,'6- Est &amp; Reconcile WS'!BQ192)</f>
        <v>0</v>
      </c>
      <c r="P192" s="1167">
        <f>IF('Appendix A'!$I$1=1,0,'6- Est &amp; Reconcile WS'!BR192)</f>
        <v>0</v>
      </c>
      <c r="Q192" s="1167">
        <f>IF('Appendix A'!$I$1=1,0,'6- Est &amp; Reconcile WS'!BS192)</f>
        <v>0</v>
      </c>
      <c r="R192" s="1167">
        <f>IF('Appendix A'!$I$1=1,0,'6- Est &amp; Reconcile WS'!BT192)</f>
        <v>0</v>
      </c>
      <c r="S192" s="1167">
        <f>IF('Appendix A'!$I$1=1,0,'6- Est &amp; Reconcile WS'!BU192)</f>
        <v>0</v>
      </c>
      <c r="T192" s="1167">
        <f>IF('Appendix A'!$I$1=1,0,'6- Est &amp; Reconcile WS'!BV192)</f>
        <v>0</v>
      </c>
      <c r="U192" s="1167">
        <f>IF('Appendix A'!$I$1=1,0,'6- Est &amp; Reconcile WS'!BW192)</f>
        <v>0</v>
      </c>
      <c r="V192" s="1167">
        <f>IF('Appendix A'!$I$1=1,0,'6- Est &amp; Reconcile WS'!BX192)</f>
        <v>0</v>
      </c>
      <c r="W192" s="1167">
        <f>IF('Appendix A'!$I$1=1,0,'6- Est &amp; Reconcile WS'!BY192)</f>
        <v>0</v>
      </c>
      <c r="X192" s="1167">
        <f>IF('Appendix A'!$I$1=1,0,'6- Est &amp; Reconcile WS'!BZ192)</f>
        <v>0</v>
      </c>
      <c r="Y192" s="1167">
        <f>IF('Appendix A'!$I$1=1,0,'6- Est &amp; Reconcile WS'!CA192)</f>
        <v>0</v>
      </c>
      <c r="Z192" s="1167">
        <f>IF('Appendix A'!$I$1=1,0,'6- Est &amp; Reconcile WS'!CB192)</f>
        <v>0</v>
      </c>
      <c r="AA192" s="1167">
        <f>IF('Appendix A'!$I$1=1,0,'6- Est &amp; Reconcile WS'!CC192)</f>
        <v>0</v>
      </c>
      <c r="AB192" s="1167">
        <f>IF('Appendix A'!$I$1=1,0,'6- Est &amp; Reconcile WS'!CD192)</f>
        <v>132695</v>
      </c>
      <c r="AC192" s="1167">
        <f>IF('Appendix A'!$I$1=1,0,'6- Est &amp; Reconcile WS'!CE192)</f>
        <v>0</v>
      </c>
      <c r="AD192" s="1167">
        <f>IF('Appendix A'!$I$1=1,0,'6- Est &amp; Reconcile WS'!CF192)</f>
        <v>0</v>
      </c>
      <c r="AE192" s="1167">
        <f>IF('Appendix A'!$I$1=1,0,'6- Est &amp; Reconcile WS'!CG192)</f>
        <v>0</v>
      </c>
      <c r="AF192" s="1167">
        <f>IF('Appendix A'!$I$1=1,0,'6- Est &amp; Reconcile WS'!CH192)</f>
        <v>0</v>
      </c>
      <c r="AG192" s="1165">
        <f t="shared" si="147"/>
        <v>32504298.85576029</v>
      </c>
      <c r="AH192" s="1165">
        <f t="shared" si="148"/>
        <v>0</v>
      </c>
      <c r="AI192" s="1153">
        <f t="shared" si="149"/>
        <v>0</v>
      </c>
      <c r="AJ192" s="1153">
        <f t="shared" si="150"/>
        <v>0</v>
      </c>
      <c r="AK192" s="1153">
        <f t="shared" si="151"/>
        <v>0</v>
      </c>
      <c r="AL192" s="1165">
        <f t="shared" si="152"/>
        <v>0</v>
      </c>
      <c r="AM192" s="1165">
        <f t="shared" si="153"/>
        <v>0</v>
      </c>
      <c r="AN192" s="1165">
        <f t="shared" si="154"/>
        <v>0</v>
      </c>
      <c r="AO192" s="1165">
        <f t="shared" si="155"/>
        <v>2083.0799999999763</v>
      </c>
      <c r="AP192" s="1165">
        <f t="shared" si="156"/>
        <v>0</v>
      </c>
      <c r="AQ192" s="1165">
        <f t="shared" si="157"/>
        <v>0</v>
      </c>
      <c r="AR192" s="1165">
        <f t="shared" si="158"/>
        <v>0</v>
      </c>
      <c r="AS192" s="1165">
        <f t="shared" si="159"/>
        <v>0</v>
      </c>
      <c r="AT192" s="1165">
        <f t="shared" si="160"/>
        <v>0</v>
      </c>
      <c r="AU192" s="1165">
        <f t="shared" si="161"/>
        <v>0</v>
      </c>
      <c r="AV192" s="1417">
        <f t="shared" si="162"/>
        <v>6066445</v>
      </c>
      <c r="AW192" s="1417">
        <f t="shared" si="163"/>
        <v>0</v>
      </c>
      <c r="AX192" s="1417">
        <f t="shared" si="164"/>
        <v>0</v>
      </c>
      <c r="AY192" s="1165">
        <f t="shared" si="165"/>
        <v>0</v>
      </c>
      <c r="BD192" s="1147" t="s">
        <v>605</v>
      </c>
      <c r="BE192" s="1147" t="s">
        <v>756</v>
      </c>
      <c r="BF192" s="1168">
        <v>797148.1794846484</v>
      </c>
      <c r="BG192" s="1168">
        <v>0</v>
      </c>
      <c r="BH192" s="1168">
        <v>0</v>
      </c>
      <c r="BI192" s="1168">
        <v>0</v>
      </c>
      <c r="BJ192" s="1168">
        <f t="shared" si="166"/>
        <v>0</v>
      </c>
      <c r="BK192" s="1168">
        <v>0</v>
      </c>
      <c r="BL192" s="1168">
        <v>0</v>
      </c>
      <c r="BM192" s="1168">
        <v>0</v>
      </c>
      <c r="BN192" s="1168">
        <v>0</v>
      </c>
      <c r="BO192" s="1168">
        <v>0</v>
      </c>
      <c r="BP192" s="1168">
        <v>0</v>
      </c>
      <c r="BQ192" s="1168">
        <v>0</v>
      </c>
      <c r="BR192" s="1168">
        <v>0</v>
      </c>
      <c r="BS192" s="1168">
        <v>0</v>
      </c>
      <c r="BT192" s="1168">
        <v>0</v>
      </c>
      <c r="BU192" s="1168">
        <v>0</v>
      </c>
      <c r="BV192" s="1168">
        <v>0</v>
      </c>
      <c r="BW192" s="1168">
        <v>0</v>
      </c>
      <c r="BX192" s="1168">
        <v>0</v>
      </c>
      <c r="BY192" s="1168">
        <v>0</v>
      </c>
      <c r="BZ192" s="1168">
        <v>0</v>
      </c>
      <c r="CA192" s="1168">
        <v>0</v>
      </c>
      <c r="CB192" s="1168">
        <v>0</v>
      </c>
      <c r="CC192" s="1168">
        <v>0</v>
      </c>
      <c r="CD192" s="1168">
        <v>132695</v>
      </c>
      <c r="CE192" s="1168">
        <v>0</v>
      </c>
      <c r="CF192" s="1168">
        <v>0</v>
      </c>
      <c r="CG192" s="1168">
        <v>0</v>
      </c>
      <c r="CH192" s="1168">
        <v>0</v>
      </c>
      <c r="CI192" s="1168">
        <v>0</v>
      </c>
      <c r="CJ192" s="1292">
        <v>0</v>
      </c>
      <c r="CK192" s="1292">
        <v>0</v>
      </c>
      <c r="CL192" s="1292">
        <v>0</v>
      </c>
      <c r="CM192" s="1292">
        <v>0</v>
      </c>
    </row>
    <row r="193" spans="1:91" ht="12.75">
      <c r="A193" s="1163"/>
      <c r="C193" s="1147" t="s">
        <v>606</v>
      </c>
      <c r="D193" s="1167">
        <f>IF('Appendix A'!$I$1=1,0,'6- Est &amp; Reconcile WS'!BF193)</f>
        <v>744179.1794846484</v>
      </c>
      <c r="E193" s="1167">
        <f>IF('Appendix A'!$I$1=1,0,'6- Est &amp; Reconcile WS'!BG193)</f>
        <v>0</v>
      </c>
      <c r="F193" s="1167">
        <f>IF('Appendix A'!$I$1=1,0,'6- Est &amp; Reconcile WS'!BH193)</f>
        <v>0</v>
      </c>
      <c r="G193" s="1167">
        <f>IF('Appendix A'!$I$1=1,0,'6- Est &amp; Reconcile WS'!BI193)</f>
        <v>0</v>
      </c>
      <c r="H193" s="1167">
        <f>IF('Appendix A'!$I$1=1,0,'6- Est &amp; Reconcile WS'!BJ193)</f>
        <v>0</v>
      </c>
      <c r="I193" s="1167">
        <f>IF('Appendix A'!$I$1=1,0,'6- Est &amp; Reconcile WS'!BK193)</f>
        <v>0</v>
      </c>
      <c r="J193" s="1167">
        <f>IF('Appendix A'!$I$1=1,0,'6- Est &amp; Reconcile WS'!BL193)</f>
        <v>0</v>
      </c>
      <c r="K193" s="1167">
        <f>IF('Appendix A'!$I$1=1,0,'6- Est &amp; Reconcile WS'!BM193)</f>
        <v>0</v>
      </c>
      <c r="L193" s="1167">
        <f>IF('Appendix A'!$I$1=1,0,'6- Est &amp; Reconcile WS'!BN193)</f>
        <v>0</v>
      </c>
      <c r="M193" s="1167">
        <f>IF('Appendix A'!$I$1=1,0,'6- Est &amp; Reconcile WS'!BO193)</f>
        <v>0</v>
      </c>
      <c r="N193" s="1167">
        <f>IF('Appendix A'!$I$1=1,0,'6- Est &amp; Reconcile WS'!BP193)</f>
        <v>0</v>
      </c>
      <c r="O193" s="1167">
        <f>IF('Appendix A'!$I$1=1,0,'6- Est &amp; Reconcile WS'!BQ193)</f>
        <v>0</v>
      </c>
      <c r="P193" s="1167">
        <f>IF('Appendix A'!$I$1=1,0,'6- Est &amp; Reconcile WS'!BR193)</f>
        <v>0</v>
      </c>
      <c r="Q193" s="1167">
        <f>IF('Appendix A'!$I$1=1,0,'6- Est &amp; Reconcile WS'!BS193)</f>
        <v>0</v>
      </c>
      <c r="R193" s="1167">
        <f>IF('Appendix A'!$I$1=1,0,'6- Est &amp; Reconcile WS'!BT193)</f>
        <v>0</v>
      </c>
      <c r="S193" s="1167">
        <f>IF('Appendix A'!$I$1=1,0,'6- Est &amp; Reconcile WS'!BU193)</f>
        <v>0</v>
      </c>
      <c r="T193" s="1167">
        <f>IF('Appendix A'!$I$1=1,0,'6- Est &amp; Reconcile WS'!BV193)</f>
        <v>0</v>
      </c>
      <c r="U193" s="1167">
        <f>IF('Appendix A'!$I$1=1,0,'6- Est &amp; Reconcile WS'!BW193)</f>
        <v>0</v>
      </c>
      <c r="V193" s="1167">
        <f>IF('Appendix A'!$I$1=1,0,'6- Est &amp; Reconcile WS'!BX193)</f>
        <v>0</v>
      </c>
      <c r="W193" s="1167">
        <f>IF('Appendix A'!$I$1=1,0,'6- Est &amp; Reconcile WS'!BY193)</f>
        <v>0</v>
      </c>
      <c r="X193" s="1167">
        <f>IF('Appendix A'!$I$1=1,0,'6- Est &amp; Reconcile WS'!BZ193)</f>
        <v>0</v>
      </c>
      <c r="Y193" s="1167">
        <f>IF('Appendix A'!$I$1=1,0,'6- Est &amp; Reconcile WS'!CA193)</f>
        <v>0</v>
      </c>
      <c r="Z193" s="1167">
        <f>IF('Appendix A'!$I$1=1,0,'6- Est &amp; Reconcile WS'!CB193)</f>
        <v>0</v>
      </c>
      <c r="AA193" s="1167">
        <f>IF('Appendix A'!$I$1=1,0,'6- Est &amp; Reconcile WS'!CC193)</f>
        <v>0</v>
      </c>
      <c r="AB193" s="1167">
        <f>IF('Appendix A'!$I$1=1,0,'6- Est &amp; Reconcile WS'!CD193)</f>
        <v>646482</v>
      </c>
      <c r="AC193" s="1167">
        <f>IF('Appendix A'!$I$1=1,0,'6- Est &amp; Reconcile WS'!CE193)</f>
        <v>0</v>
      </c>
      <c r="AD193" s="1167">
        <f>IF('Appendix A'!$I$1=1,0,'6- Est &amp; Reconcile WS'!CF193)</f>
        <v>0</v>
      </c>
      <c r="AE193" s="1167">
        <f>IF('Appendix A'!$I$1=1,0,'6- Est &amp; Reconcile WS'!CG193)</f>
        <v>0</v>
      </c>
      <c r="AF193" s="1167">
        <f>IF('Appendix A'!$I$1=1,0,'6- Est &amp; Reconcile WS'!CH193)</f>
        <v>0</v>
      </c>
      <c r="AG193" s="1165">
        <f t="shared" si="147"/>
        <v>33248478.035244938</v>
      </c>
      <c r="AH193" s="1165">
        <f t="shared" si="148"/>
        <v>0</v>
      </c>
      <c r="AI193" s="1153">
        <f t="shared" si="149"/>
        <v>0</v>
      </c>
      <c r="AJ193" s="1153">
        <f t="shared" si="150"/>
        <v>0</v>
      </c>
      <c r="AK193" s="1153">
        <f t="shared" si="151"/>
        <v>0</v>
      </c>
      <c r="AL193" s="1165">
        <f t="shared" si="152"/>
        <v>0</v>
      </c>
      <c r="AM193" s="1165">
        <f t="shared" si="153"/>
        <v>0</v>
      </c>
      <c r="AN193" s="1165">
        <f t="shared" si="154"/>
        <v>0</v>
      </c>
      <c r="AO193" s="1165">
        <f t="shared" si="155"/>
        <v>2083.0799999999763</v>
      </c>
      <c r="AP193" s="1165">
        <f t="shared" si="156"/>
        <v>0</v>
      </c>
      <c r="AQ193" s="1165">
        <f t="shared" si="157"/>
        <v>0</v>
      </c>
      <c r="AR193" s="1165">
        <f t="shared" si="158"/>
        <v>0</v>
      </c>
      <c r="AS193" s="1165">
        <f t="shared" si="159"/>
        <v>0</v>
      </c>
      <c r="AT193" s="1165">
        <f t="shared" si="160"/>
        <v>0</v>
      </c>
      <c r="AU193" s="1165">
        <f t="shared" si="161"/>
        <v>0</v>
      </c>
      <c r="AV193" s="1417">
        <f t="shared" si="162"/>
        <v>6712927</v>
      </c>
      <c r="AW193" s="1417">
        <f t="shared" si="163"/>
        <v>0</v>
      </c>
      <c r="AX193" s="1417">
        <f t="shared" si="164"/>
        <v>0</v>
      </c>
      <c r="AY193" s="1165">
        <f t="shared" si="165"/>
        <v>0</v>
      </c>
      <c r="BD193" s="1147" t="s">
        <v>606</v>
      </c>
      <c r="BE193" s="1147" t="s">
        <v>756</v>
      </c>
      <c r="BF193" s="1168">
        <v>744179.1794846484</v>
      </c>
      <c r="BG193" s="1168">
        <v>0</v>
      </c>
      <c r="BH193" s="1168">
        <v>0</v>
      </c>
      <c r="BI193" s="1168">
        <v>0</v>
      </c>
      <c r="BJ193" s="1168">
        <f t="shared" si="166"/>
        <v>0</v>
      </c>
      <c r="BK193" s="1168">
        <v>0</v>
      </c>
      <c r="BL193" s="1168">
        <v>0</v>
      </c>
      <c r="BM193" s="1168">
        <v>0</v>
      </c>
      <c r="BN193" s="1168">
        <v>0</v>
      </c>
      <c r="BO193" s="1168">
        <v>0</v>
      </c>
      <c r="BP193" s="1168">
        <v>0</v>
      </c>
      <c r="BQ193" s="1168">
        <v>0</v>
      </c>
      <c r="BR193" s="1168">
        <v>0</v>
      </c>
      <c r="BS193" s="1168">
        <v>0</v>
      </c>
      <c r="BT193" s="1168">
        <v>0</v>
      </c>
      <c r="BU193" s="1168">
        <v>0</v>
      </c>
      <c r="BV193" s="1168">
        <v>0</v>
      </c>
      <c r="BW193" s="1168">
        <v>0</v>
      </c>
      <c r="BX193" s="1168">
        <v>0</v>
      </c>
      <c r="BY193" s="1168">
        <v>0</v>
      </c>
      <c r="BZ193" s="1168">
        <v>0</v>
      </c>
      <c r="CA193" s="1168">
        <v>0</v>
      </c>
      <c r="CB193" s="1168">
        <v>0</v>
      </c>
      <c r="CC193" s="1168">
        <v>0</v>
      </c>
      <c r="CD193" s="1168">
        <v>646482</v>
      </c>
      <c r="CE193" s="1168">
        <v>0</v>
      </c>
      <c r="CF193" s="1168">
        <v>0</v>
      </c>
      <c r="CG193" s="1168">
        <v>0</v>
      </c>
      <c r="CH193" s="1168">
        <v>0</v>
      </c>
      <c r="CI193" s="1168">
        <v>0</v>
      </c>
      <c r="CJ193" s="1292">
        <v>0</v>
      </c>
      <c r="CK193" s="1292">
        <v>0</v>
      </c>
      <c r="CL193" s="1292">
        <v>0</v>
      </c>
      <c r="CM193" s="1292">
        <v>0</v>
      </c>
    </row>
    <row r="194" spans="1:91" ht="12.75">
      <c r="A194" s="1163"/>
      <c r="C194" s="1147" t="s">
        <v>607</v>
      </c>
      <c r="D194" s="1167">
        <f>IF('Appendix A'!$I$1=1,0,'6- Est &amp; Reconcile WS'!BF194)</f>
        <v>4336955.1167188715</v>
      </c>
      <c r="E194" s="1167">
        <f>IF('Appendix A'!$I$1=1,0,'6- Est &amp; Reconcile WS'!BG194)</f>
        <v>0</v>
      </c>
      <c r="F194" s="1167">
        <f>IF('Appendix A'!$I$1=1,0,'6- Est &amp; Reconcile WS'!BH194)</f>
        <v>0</v>
      </c>
      <c r="G194" s="1167">
        <f>IF('Appendix A'!$I$1=1,0,'6- Est &amp; Reconcile WS'!BI194)</f>
        <v>0</v>
      </c>
      <c r="H194" s="1167">
        <f>IF('Appendix A'!$I$1=1,0,'6- Est &amp; Reconcile WS'!BJ194)</f>
        <v>0</v>
      </c>
      <c r="I194" s="1167">
        <f>IF('Appendix A'!$I$1=1,0,'6- Est &amp; Reconcile WS'!BK194)</f>
        <v>0</v>
      </c>
      <c r="J194" s="1167">
        <f>IF('Appendix A'!$I$1=1,0,'6- Est &amp; Reconcile WS'!BL194)</f>
        <v>0</v>
      </c>
      <c r="K194" s="1167">
        <f>IF('Appendix A'!$I$1=1,0,'6- Est &amp; Reconcile WS'!BM194)</f>
        <v>0</v>
      </c>
      <c r="L194" s="1167">
        <f>IF('Appendix A'!$I$1=1,0,'6- Est &amp; Reconcile WS'!BN194)</f>
        <v>0</v>
      </c>
      <c r="M194" s="1167">
        <f>IF('Appendix A'!$I$1=1,0,'6- Est &amp; Reconcile WS'!BO194)</f>
        <v>0</v>
      </c>
      <c r="N194" s="1167">
        <f>IF('Appendix A'!$I$1=1,0,'6- Est &amp; Reconcile WS'!BP194)</f>
        <v>0</v>
      </c>
      <c r="O194" s="1167">
        <f>IF('Appendix A'!$I$1=1,0,'6- Est &amp; Reconcile WS'!BQ194)</f>
        <v>0</v>
      </c>
      <c r="P194" s="1167">
        <f>IF('Appendix A'!$I$1=1,0,'6- Est &amp; Reconcile WS'!BR194)</f>
        <v>0</v>
      </c>
      <c r="Q194" s="1167">
        <f>IF('Appendix A'!$I$1=1,0,'6- Est &amp; Reconcile WS'!BS194)</f>
        <v>0</v>
      </c>
      <c r="R194" s="1167">
        <f>IF('Appendix A'!$I$1=1,0,'6- Est &amp; Reconcile WS'!BT194)</f>
        <v>0</v>
      </c>
      <c r="S194" s="1167">
        <f>IF('Appendix A'!$I$1=1,0,'6- Est &amp; Reconcile WS'!BU194)</f>
        <v>0</v>
      </c>
      <c r="T194" s="1167">
        <f>IF('Appendix A'!$I$1=1,0,'6- Est &amp; Reconcile WS'!BV194)</f>
        <v>0</v>
      </c>
      <c r="U194" s="1167">
        <f>IF('Appendix A'!$I$1=1,0,'6- Est &amp; Reconcile WS'!BW194)</f>
        <v>0</v>
      </c>
      <c r="V194" s="1167">
        <f>IF('Appendix A'!$I$1=1,0,'6- Est &amp; Reconcile WS'!BX194)</f>
        <v>0</v>
      </c>
      <c r="W194" s="1167">
        <f>IF('Appendix A'!$I$1=1,0,'6- Est &amp; Reconcile WS'!BY194)</f>
        <v>0</v>
      </c>
      <c r="X194" s="1167">
        <f>IF('Appendix A'!$I$1=1,0,'6- Est &amp; Reconcile WS'!BZ194)</f>
        <v>0</v>
      </c>
      <c r="Y194" s="1167">
        <f>IF('Appendix A'!$I$1=1,0,'6- Est &amp; Reconcile WS'!CA194)</f>
        <v>0</v>
      </c>
      <c r="Z194" s="1167">
        <f>IF('Appendix A'!$I$1=1,0,'6- Est &amp; Reconcile WS'!CB194)</f>
        <v>0</v>
      </c>
      <c r="AA194" s="1167">
        <f>IF('Appendix A'!$I$1=1,0,'6- Est &amp; Reconcile WS'!CC194)</f>
        <v>0</v>
      </c>
      <c r="AB194" s="1167">
        <f>IF('Appendix A'!$I$1=1,0,'6- Est &amp; Reconcile WS'!CD194)</f>
        <v>4621530</v>
      </c>
      <c r="AC194" s="1167">
        <f>IF('Appendix A'!$I$1=1,0,'6- Est &amp; Reconcile WS'!CE194)</f>
        <v>0</v>
      </c>
      <c r="AD194" s="1167">
        <f>IF('Appendix A'!$I$1=1,0,'6- Est &amp; Reconcile WS'!CF194)</f>
        <v>0</v>
      </c>
      <c r="AE194" s="1167">
        <f>IF('Appendix A'!$I$1=1,0,'6- Est &amp; Reconcile WS'!CG194)</f>
        <v>0</v>
      </c>
      <c r="AF194" s="1167">
        <f>IF('Appendix A'!$I$1=1,0,'6- Est &amp; Reconcile WS'!CH194)</f>
        <v>0</v>
      </c>
      <c r="AG194" s="1165">
        <f t="shared" si="147"/>
        <v>37585433.15196381</v>
      </c>
      <c r="AH194" s="1165">
        <f t="shared" si="148"/>
        <v>0</v>
      </c>
      <c r="AI194" s="1153">
        <f t="shared" si="149"/>
        <v>0</v>
      </c>
      <c r="AJ194" s="1153">
        <f t="shared" si="150"/>
        <v>0</v>
      </c>
      <c r="AK194" s="1153">
        <f t="shared" si="151"/>
        <v>0</v>
      </c>
      <c r="AL194" s="1165">
        <f t="shared" si="152"/>
        <v>0</v>
      </c>
      <c r="AM194" s="1165">
        <f t="shared" si="153"/>
        <v>0</v>
      </c>
      <c r="AN194" s="1165">
        <f t="shared" si="154"/>
        <v>0</v>
      </c>
      <c r="AO194" s="1165">
        <f t="shared" si="155"/>
        <v>2083.0799999999763</v>
      </c>
      <c r="AP194" s="1165">
        <f t="shared" si="156"/>
        <v>0</v>
      </c>
      <c r="AQ194" s="1165">
        <f t="shared" si="157"/>
        <v>0</v>
      </c>
      <c r="AR194" s="1165">
        <f t="shared" si="158"/>
        <v>0</v>
      </c>
      <c r="AS194" s="1165">
        <f t="shared" si="159"/>
        <v>0</v>
      </c>
      <c r="AT194" s="1165">
        <f t="shared" si="160"/>
        <v>0</v>
      </c>
      <c r="AU194" s="1165">
        <f t="shared" si="161"/>
        <v>0</v>
      </c>
      <c r="AV194" s="1417">
        <f t="shared" si="162"/>
        <v>11334457</v>
      </c>
      <c r="AW194" s="1417">
        <f t="shared" si="163"/>
        <v>0</v>
      </c>
      <c r="AX194" s="1417">
        <f t="shared" si="164"/>
        <v>0</v>
      </c>
      <c r="AY194" s="1165">
        <f t="shared" si="165"/>
        <v>0</v>
      </c>
      <c r="BD194" s="1147" t="s">
        <v>607</v>
      </c>
      <c r="BE194" s="1147" t="s">
        <v>756</v>
      </c>
      <c r="BF194" s="1168">
        <v>4336955.1167188715</v>
      </c>
      <c r="BG194" s="1168">
        <v>0</v>
      </c>
      <c r="BH194" s="1168">
        <v>0</v>
      </c>
      <c r="BI194" s="1168">
        <v>0</v>
      </c>
      <c r="BJ194" s="1168">
        <f t="shared" si="166"/>
        <v>0</v>
      </c>
      <c r="BK194" s="1168">
        <v>0</v>
      </c>
      <c r="BL194" s="1168">
        <v>0</v>
      </c>
      <c r="BM194" s="1168">
        <v>0</v>
      </c>
      <c r="BN194" s="1168">
        <v>0</v>
      </c>
      <c r="BO194" s="1168">
        <v>0</v>
      </c>
      <c r="BP194" s="1168">
        <v>0</v>
      </c>
      <c r="BQ194" s="1168">
        <v>0</v>
      </c>
      <c r="BR194" s="1168">
        <v>0</v>
      </c>
      <c r="BS194" s="1168">
        <v>0</v>
      </c>
      <c r="BT194" s="1168">
        <v>0</v>
      </c>
      <c r="BU194" s="1168">
        <v>0</v>
      </c>
      <c r="BV194" s="1168">
        <v>0</v>
      </c>
      <c r="BW194" s="1168">
        <v>0</v>
      </c>
      <c r="BX194" s="1168">
        <v>0</v>
      </c>
      <c r="BY194" s="1168">
        <v>0</v>
      </c>
      <c r="BZ194" s="1168">
        <v>0</v>
      </c>
      <c r="CA194" s="1168">
        <v>0</v>
      </c>
      <c r="CB194" s="1168">
        <v>0</v>
      </c>
      <c r="CC194" s="1168">
        <v>0</v>
      </c>
      <c r="CD194" s="1168">
        <v>4621530</v>
      </c>
      <c r="CE194" s="1168">
        <v>0</v>
      </c>
      <c r="CF194" s="1168">
        <v>0</v>
      </c>
      <c r="CG194" s="1168">
        <v>0</v>
      </c>
      <c r="CH194" s="1168">
        <v>0</v>
      </c>
      <c r="CI194" s="1168">
        <v>0</v>
      </c>
      <c r="CJ194" s="1292">
        <v>0</v>
      </c>
      <c r="CK194" s="1292">
        <v>0</v>
      </c>
      <c r="CL194" s="1292">
        <v>0</v>
      </c>
      <c r="CM194" s="1292">
        <v>0</v>
      </c>
    </row>
    <row r="195" spans="1:91" ht="12.75">
      <c r="A195" s="1163"/>
      <c r="C195" s="1147" t="s">
        <v>608</v>
      </c>
      <c r="D195" s="1167">
        <f>IF('Appendix A'!$I$1=1,0,'6- Est &amp; Reconcile WS'!BF195)</f>
        <v>1153935.4067728415</v>
      </c>
      <c r="E195" s="1167">
        <f>IF('Appendix A'!$I$1=1,0,'6- Est &amp; Reconcile WS'!BG195)</f>
        <v>0</v>
      </c>
      <c r="F195" s="1167">
        <f>IF('Appendix A'!$I$1=1,0,'6- Est &amp; Reconcile WS'!BH195)</f>
        <v>0</v>
      </c>
      <c r="G195" s="1167">
        <f>IF('Appendix A'!$I$1=1,0,'6- Est &amp; Reconcile WS'!BI195)</f>
        <v>0</v>
      </c>
      <c r="H195" s="1167">
        <f>IF('Appendix A'!$I$1=1,0,'6- Est &amp; Reconcile WS'!BJ195)</f>
        <v>0</v>
      </c>
      <c r="I195" s="1167">
        <f>IF('Appendix A'!$I$1=1,0,'6- Est &amp; Reconcile WS'!BK195)</f>
        <v>0</v>
      </c>
      <c r="J195" s="1167">
        <f>IF('Appendix A'!$I$1=1,0,'6- Est &amp; Reconcile WS'!BL195)</f>
        <v>0</v>
      </c>
      <c r="K195" s="1167">
        <f>IF('Appendix A'!$I$1=1,0,'6- Est &amp; Reconcile WS'!BM195)</f>
        <v>0</v>
      </c>
      <c r="L195" s="1167">
        <f>IF('Appendix A'!$I$1=1,0,'6- Est &amp; Reconcile WS'!BN195)</f>
        <v>0</v>
      </c>
      <c r="M195" s="1167">
        <f>IF('Appendix A'!$I$1=1,0,'6- Est &amp; Reconcile WS'!BO195)</f>
        <v>0</v>
      </c>
      <c r="N195" s="1167">
        <f>IF('Appendix A'!$I$1=1,0,'6- Est &amp; Reconcile WS'!BP195)</f>
        <v>0</v>
      </c>
      <c r="O195" s="1167">
        <f>IF('Appendix A'!$I$1=1,0,'6- Est &amp; Reconcile WS'!BQ195)</f>
        <v>0</v>
      </c>
      <c r="P195" s="1167">
        <f>IF('Appendix A'!$I$1=1,0,'6- Est &amp; Reconcile WS'!BR195)</f>
        <v>0</v>
      </c>
      <c r="Q195" s="1167">
        <f>IF('Appendix A'!$I$1=1,0,'6- Est &amp; Reconcile WS'!BS195)</f>
        <v>0</v>
      </c>
      <c r="R195" s="1167">
        <f>IF('Appendix A'!$I$1=1,0,'6- Est &amp; Reconcile WS'!BT195)</f>
        <v>0</v>
      </c>
      <c r="S195" s="1167">
        <f>IF('Appendix A'!$I$1=1,0,'6- Est &amp; Reconcile WS'!BU195)</f>
        <v>0</v>
      </c>
      <c r="T195" s="1167">
        <f>IF('Appendix A'!$I$1=1,0,'6- Est &amp; Reconcile WS'!BV195)</f>
        <v>0</v>
      </c>
      <c r="U195" s="1167">
        <f>IF('Appendix A'!$I$1=1,0,'6- Est &amp; Reconcile WS'!BW195)</f>
        <v>0</v>
      </c>
      <c r="V195" s="1167">
        <f>IF('Appendix A'!$I$1=1,0,'6- Est &amp; Reconcile WS'!BX195)</f>
        <v>0</v>
      </c>
      <c r="W195" s="1167">
        <f>IF('Appendix A'!$I$1=1,0,'6- Est &amp; Reconcile WS'!BY195)</f>
        <v>0</v>
      </c>
      <c r="X195" s="1167">
        <f>IF('Appendix A'!$I$1=1,0,'6- Est &amp; Reconcile WS'!BZ195)</f>
        <v>0</v>
      </c>
      <c r="Y195" s="1167">
        <f>IF('Appendix A'!$I$1=1,0,'6- Est &amp; Reconcile WS'!CA195)</f>
        <v>0</v>
      </c>
      <c r="Z195" s="1167">
        <f>IF('Appendix A'!$I$1=1,0,'6- Est &amp; Reconcile WS'!CB195)</f>
        <v>0</v>
      </c>
      <c r="AA195" s="1167">
        <f>IF('Appendix A'!$I$1=1,0,'6- Est &amp; Reconcile WS'!CC195)</f>
        <v>0</v>
      </c>
      <c r="AB195" s="1167">
        <f>IF('Appendix A'!$I$1=1,0,'6- Est &amp; Reconcile WS'!CD195)</f>
        <v>4897070</v>
      </c>
      <c r="AC195" s="1167">
        <f>IF('Appendix A'!$I$1=1,0,'6- Est &amp; Reconcile WS'!CE195)</f>
        <v>0</v>
      </c>
      <c r="AD195" s="1167">
        <f>IF('Appendix A'!$I$1=1,0,'6- Est &amp; Reconcile WS'!CF195)</f>
        <v>0</v>
      </c>
      <c r="AE195" s="1167">
        <f>IF('Appendix A'!$I$1=1,0,'6- Est &amp; Reconcile WS'!CG195)</f>
        <v>0</v>
      </c>
      <c r="AF195" s="1167">
        <f>IF('Appendix A'!$I$1=1,0,'6- Est &amp; Reconcile WS'!CH195)</f>
        <v>0</v>
      </c>
      <c r="AG195" s="1165">
        <f t="shared" si="147"/>
        <v>38739368.55873665</v>
      </c>
      <c r="AH195" s="1165">
        <f t="shared" si="148"/>
        <v>0</v>
      </c>
      <c r="AI195" s="1153">
        <f t="shared" si="149"/>
        <v>0</v>
      </c>
      <c r="AJ195" s="1153">
        <f t="shared" si="150"/>
        <v>0</v>
      </c>
      <c r="AK195" s="1153">
        <f t="shared" si="151"/>
        <v>0</v>
      </c>
      <c r="AL195" s="1165">
        <f t="shared" si="152"/>
        <v>0</v>
      </c>
      <c r="AM195" s="1165">
        <f t="shared" si="153"/>
        <v>0</v>
      </c>
      <c r="AN195" s="1165">
        <f t="shared" si="154"/>
        <v>0</v>
      </c>
      <c r="AO195" s="1165">
        <f t="shared" si="155"/>
        <v>2083.0799999999763</v>
      </c>
      <c r="AP195" s="1165">
        <f t="shared" si="156"/>
        <v>0</v>
      </c>
      <c r="AQ195" s="1165">
        <f t="shared" si="157"/>
        <v>0</v>
      </c>
      <c r="AR195" s="1165">
        <f t="shared" si="158"/>
        <v>0</v>
      </c>
      <c r="AS195" s="1165">
        <f t="shared" si="159"/>
        <v>0</v>
      </c>
      <c r="AT195" s="1165">
        <f t="shared" si="160"/>
        <v>0</v>
      </c>
      <c r="AU195" s="1165">
        <f t="shared" si="161"/>
        <v>0</v>
      </c>
      <c r="AV195" s="1417">
        <f t="shared" si="162"/>
        <v>16231527</v>
      </c>
      <c r="AW195" s="1417">
        <f t="shared" si="163"/>
        <v>0</v>
      </c>
      <c r="AX195" s="1417">
        <f t="shared" si="164"/>
        <v>0</v>
      </c>
      <c r="AY195" s="1165">
        <f t="shared" si="165"/>
        <v>0</v>
      </c>
      <c r="BD195" s="1147" t="s">
        <v>608</v>
      </c>
      <c r="BE195" s="1147" t="s">
        <v>756</v>
      </c>
      <c r="BF195" s="1168">
        <v>1153935.4067728415</v>
      </c>
      <c r="BG195" s="1168">
        <v>0</v>
      </c>
      <c r="BH195" s="1168">
        <v>0</v>
      </c>
      <c r="BI195" s="1168">
        <v>0</v>
      </c>
      <c r="BJ195" s="1168">
        <f t="shared" si="166"/>
        <v>0</v>
      </c>
      <c r="BK195" s="1168">
        <v>0</v>
      </c>
      <c r="BL195" s="1168">
        <v>0</v>
      </c>
      <c r="BM195" s="1168">
        <v>0</v>
      </c>
      <c r="BN195" s="1168">
        <v>0</v>
      </c>
      <c r="BO195" s="1168">
        <v>0</v>
      </c>
      <c r="BP195" s="1168">
        <v>0</v>
      </c>
      <c r="BQ195" s="1168">
        <v>0</v>
      </c>
      <c r="BR195" s="1168">
        <v>0</v>
      </c>
      <c r="BS195" s="1168">
        <v>0</v>
      </c>
      <c r="BT195" s="1168">
        <v>0</v>
      </c>
      <c r="BU195" s="1168">
        <v>0</v>
      </c>
      <c r="BV195" s="1168">
        <v>0</v>
      </c>
      <c r="BW195" s="1168">
        <v>0</v>
      </c>
      <c r="BX195" s="1168">
        <v>0</v>
      </c>
      <c r="BY195" s="1168">
        <v>0</v>
      </c>
      <c r="BZ195" s="1168">
        <v>0</v>
      </c>
      <c r="CA195" s="1168">
        <v>0</v>
      </c>
      <c r="CB195" s="1168">
        <v>0</v>
      </c>
      <c r="CC195" s="1168">
        <v>0</v>
      </c>
      <c r="CD195" s="1168">
        <v>4897070</v>
      </c>
      <c r="CE195" s="1168">
        <v>0</v>
      </c>
      <c r="CF195" s="1168">
        <v>0</v>
      </c>
      <c r="CG195" s="1168">
        <v>0</v>
      </c>
      <c r="CH195" s="1168">
        <v>0</v>
      </c>
      <c r="CI195" s="1168">
        <v>0</v>
      </c>
      <c r="CJ195" s="1292">
        <v>0</v>
      </c>
      <c r="CK195" s="1292">
        <v>0</v>
      </c>
      <c r="CL195" s="1292">
        <v>0</v>
      </c>
      <c r="CM195" s="1292">
        <v>0</v>
      </c>
    </row>
    <row r="196" spans="1:91" ht="12.75">
      <c r="A196" s="1163"/>
      <c r="C196" s="1147" t="s">
        <v>609</v>
      </c>
      <c r="D196" s="1167">
        <f>IF('Appendix A'!$I$1=1,0,'6- Est &amp; Reconcile WS'!BF196)</f>
        <v>1701238.0354846483</v>
      </c>
      <c r="E196" s="1167">
        <f>IF('Appendix A'!$I$1=1,0,'6- Est &amp; Reconcile WS'!BG196)</f>
        <v>0</v>
      </c>
      <c r="F196" s="1167">
        <f>IF('Appendix A'!$I$1=1,0,'6- Est &amp; Reconcile WS'!BH196)</f>
        <v>0</v>
      </c>
      <c r="G196" s="1167">
        <f>IF('Appendix A'!$I$1=1,0,'6- Est &amp; Reconcile WS'!BI196)</f>
        <v>0</v>
      </c>
      <c r="H196" s="1167">
        <f>IF('Appendix A'!$I$1=1,0,'6- Est &amp; Reconcile WS'!BJ196)</f>
        <v>0</v>
      </c>
      <c r="I196" s="1167">
        <f>IF('Appendix A'!$I$1=1,0,'6- Est &amp; Reconcile WS'!BK196)</f>
        <v>0</v>
      </c>
      <c r="J196" s="1167">
        <f>IF('Appendix A'!$I$1=1,0,'6- Est &amp; Reconcile WS'!BL196)</f>
        <v>0</v>
      </c>
      <c r="K196" s="1167">
        <f>IF('Appendix A'!$I$1=1,0,'6- Est &amp; Reconcile WS'!BM196)</f>
        <v>0</v>
      </c>
      <c r="L196" s="1167">
        <f>IF('Appendix A'!$I$1=1,0,'6- Est &amp; Reconcile WS'!BN196)</f>
        <v>0</v>
      </c>
      <c r="M196" s="1167">
        <f>IF('Appendix A'!$I$1=1,0,'6- Est &amp; Reconcile WS'!BO196)</f>
        <v>0</v>
      </c>
      <c r="N196" s="1167">
        <f>IF('Appendix A'!$I$1=1,0,'6- Est &amp; Reconcile WS'!BP196)</f>
        <v>0</v>
      </c>
      <c r="O196" s="1167">
        <f>IF('Appendix A'!$I$1=1,0,'6- Est &amp; Reconcile WS'!BQ196)</f>
        <v>0</v>
      </c>
      <c r="P196" s="1167">
        <f>IF('Appendix A'!$I$1=1,0,'6- Est &amp; Reconcile WS'!BR196)</f>
        <v>0</v>
      </c>
      <c r="Q196" s="1167">
        <f>IF('Appendix A'!$I$1=1,0,'6- Est &amp; Reconcile WS'!BS196)</f>
        <v>0</v>
      </c>
      <c r="R196" s="1167">
        <f>IF('Appendix A'!$I$1=1,0,'6- Est &amp; Reconcile WS'!BT196)</f>
        <v>0</v>
      </c>
      <c r="S196" s="1167">
        <f>IF('Appendix A'!$I$1=1,0,'6- Est &amp; Reconcile WS'!BU196)</f>
        <v>0</v>
      </c>
      <c r="T196" s="1167">
        <f>IF('Appendix A'!$I$1=1,0,'6- Est &amp; Reconcile WS'!BV196)</f>
        <v>0</v>
      </c>
      <c r="U196" s="1167">
        <f>IF('Appendix A'!$I$1=1,0,'6- Est &amp; Reconcile WS'!BW196)</f>
        <v>0</v>
      </c>
      <c r="V196" s="1167">
        <f>IF('Appendix A'!$I$1=1,0,'6- Est &amp; Reconcile WS'!BX196)</f>
        <v>0</v>
      </c>
      <c r="W196" s="1167">
        <f>IF('Appendix A'!$I$1=1,0,'6- Est &amp; Reconcile WS'!BY196)</f>
        <v>0</v>
      </c>
      <c r="X196" s="1167">
        <f>IF('Appendix A'!$I$1=1,0,'6- Est &amp; Reconcile WS'!BZ196)</f>
        <v>0</v>
      </c>
      <c r="Y196" s="1167">
        <f>IF('Appendix A'!$I$1=1,0,'6- Est &amp; Reconcile WS'!CA196)</f>
        <v>0</v>
      </c>
      <c r="Z196" s="1167">
        <f>IF('Appendix A'!$I$1=1,0,'6- Est &amp; Reconcile WS'!CB196)</f>
        <v>0</v>
      </c>
      <c r="AA196" s="1167">
        <f>IF('Appendix A'!$I$1=1,0,'6- Est &amp; Reconcile WS'!CC196)</f>
        <v>0</v>
      </c>
      <c r="AB196" s="1167">
        <f>IF('Appendix A'!$I$1=1,0,'6- Est &amp; Reconcile WS'!CD196)</f>
        <v>4018726</v>
      </c>
      <c r="AC196" s="1167">
        <f>IF('Appendix A'!$I$1=1,0,'6- Est &amp; Reconcile WS'!CE196)</f>
        <v>0</v>
      </c>
      <c r="AD196" s="1167">
        <f>IF('Appendix A'!$I$1=1,0,'6- Est &amp; Reconcile WS'!CF196)</f>
        <v>0</v>
      </c>
      <c r="AE196" s="1167">
        <f>IF('Appendix A'!$I$1=1,0,'6- Est &amp; Reconcile WS'!CG196)</f>
        <v>0</v>
      </c>
      <c r="AF196" s="1167">
        <f>IF('Appendix A'!$I$1=1,0,'6- Est &amp; Reconcile WS'!CH196)</f>
        <v>0</v>
      </c>
      <c r="AG196" s="1165">
        <f t="shared" si="147"/>
        <v>40440606.5942213</v>
      </c>
      <c r="AH196" s="1165">
        <f t="shared" si="148"/>
        <v>0</v>
      </c>
      <c r="AI196" s="1153">
        <f t="shared" si="149"/>
        <v>0</v>
      </c>
      <c r="AJ196" s="1153">
        <f t="shared" si="150"/>
        <v>0</v>
      </c>
      <c r="AK196" s="1153">
        <f t="shared" si="151"/>
        <v>0</v>
      </c>
      <c r="AL196" s="1165">
        <f t="shared" si="152"/>
        <v>0</v>
      </c>
      <c r="AM196" s="1165">
        <f t="shared" si="153"/>
        <v>0</v>
      </c>
      <c r="AN196" s="1165">
        <f t="shared" si="154"/>
        <v>0</v>
      </c>
      <c r="AO196" s="1165">
        <f t="shared" si="155"/>
        <v>2083.0799999999763</v>
      </c>
      <c r="AP196" s="1165">
        <f t="shared" si="156"/>
        <v>0</v>
      </c>
      <c r="AQ196" s="1165">
        <f t="shared" si="157"/>
        <v>0</v>
      </c>
      <c r="AR196" s="1165">
        <f t="shared" si="158"/>
        <v>0</v>
      </c>
      <c r="AS196" s="1165">
        <f t="shared" si="159"/>
        <v>0</v>
      </c>
      <c r="AT196" s="1165">
        <f t="shared" si="160"/>
        <v>0</v>
      </c>
      <c r="AU196" s="1165">
        <f t="shared" si="161"/>
        <v>0</v>
      </c>
      <c r="AV196" s="1417">
        <f t="shared" si="162"/>
        <v>20250253</v>
      </c>
      <c r="AW196" s="1417">
        <f t="shared" si="163"/>
        <v>0</v>
      </c>
      <c r="AX196" s="1417">
        <f t="shared" si="164"/>
        <v>0</v>
      </c>
      <c r="AY196" s="1165">
        <f t="shared" si="165"/>
        <v>0</v>
      </c>
      <c r="BD196" s="1147" t="s">
        <v>609</v>
      </c>
      <c r="BE196" s="1147" t="s">
        <v>756</v>
      </c>
      <c r="BF196" s="1168">
        <v>1701238.0354846483</v>
      </c>
      <c r="BG196" s="1168">
        <v>0</v>
      </c>
      <c r="BH196" s="1168">
        <v>0</v>
      </c>
      <c r="BI196" s="1168">
        <v>0</v>
      </c>
      <c r="BJ196" s="1168">
        <f t="shared" si="166"/>
        <v>0</v>
      </c>
      <c r="BK196" s="1168">
        <v>0</v>
      </c>
      <c r="BL196" s="1168">
        <v>0</v>
      </c>
      <c r="BM196" s="1168">
        <v>0</v>
      </c>
      <c r="BN196" s="1168">
        <v>0</v>
      </c>
      <c r="BO196" s="1168">
        <v>0</v>
      </c>
      <c r="BP196" s="1168">
        <v>0</v>
      </c>
      <c r="BQ196" s="1168">
        <v>0</v>
      </c>
      <c r="BR196" s="1168">
        <v>0</v>
      </c>
      <c r="BS196" s="1168">
        <v>0</v>
      </c>
      <c r="BT196" s="1168">
        <v>0</v>
      </c>
      <c r="BU196" s="1168">
        <v>0</v>
      </c>
      <c r="BV196" s="1168">
        <v>0</v>
      </c>
      <c r="BW196" s="1168">
        <v>0</v>
      </c>
      <c r="BX196" s="1168">
        <v>0</v>
      </c>
      <c r="BY196" s="1168">
        <v>0</v>
      </c>
      <c r="BZ196" s="1168">
        <v>0</v>
      </c>
      <c r="CA196" s="1168">
        <v>0</v>
      </c>
      <c r="CB196" s="1168">
        <v>0</v>
      </c>
      <c r="CC196" s="1168">
        <v>0</v>
      </c>
      <c r="CD196" s="1168">
        <v>4018726</v>
      </c>
      <c r="CE196" s="1168">
        <v>0</v>
      </c>
      <c r="CF196" s="1168">
        <v>0</v>
      </c>
      <c r="CG196" s="1168">
        <v>0</v>
      </c>
      <c r="CH196" s="1168">
        <v>0</v>
      </c>
      <c r="CI196" s="1168">
        <v>0</v>
      </c>
      <c r="CJ196" s="1292">
        <v>0</v>
      </c>
      <c r="CK196" s="1292">
        <v>0</v>
      </c>
      <c r="CL196" s="1292">
        <v>0</v>
      </c>
      <c r="CM196" s="1292">
        <v>0</v>
      </c>
    </row>
    <row r="197" spans="1:91" ht="12.75">
      <c r="A197" s="1163"/>
      <c r="C197" s="1147" t="s">
        <v>610</v>
      </c>
      <c r="D197" s="1167">
        <f>IF('Appendix A'!$I$1=1,0,'6- Est &amp; Reconcile WS'!BF197)</f>
        <v>4971581.375284648</v>
      </c>
      <c r="E197" s="1167">
        <f>IF('Appendix A'!$I$1=1,0,'6- Est &amp; Reconcile WS'!BG197)</f>
        <v>0</v>
      </c>
      <c r="F197" s="1167">
        <f>IF('Appendix A'!$I$1=1,0,'6- Est &amp; Reconcile WS'!BH197)</f>
        <v>0</v>
      </c>
      <c r="G197" s="1167">
        <f>IF('Appendix A'!$I$1=1,0,'6- Est &amp; Reconcile WS'!BI197)</f>
        <v>0</v>
      </c>
      <c r="H197" s="1167">
        <f>IF('Appendix A'!$I$1=1,0,'6- Est &amp; Reconcile WS'!BJ197)</f>
        <v>0</v>
      </c>
      <c r="I197" s="1167">
        <f>IF('Appendix A'!$I$1=1,0,'6- Est &amp; Reconcile WS'!BK197)</f>
        <v>0</v>
      </c>
      <c r="J197" s="1167">
        <f>IF('Appendix A'!$I$1=1,0,'6- Est &amp; Reconcile WS'!BL197)</f>
        <v>0</v>
      </c>
      <c r="K197" s="1167">
        <f>IF('Appendix A'!$I$1=1,0,'6- Est &amp; Reconcile WS'!BM197)</f>
        <v>0</v>
      </c>
      <c r="L197" s="1167">
        <f>IF('Appendix A'!$I$1=1,0,'6- Est &amp; Reconcile WS'!BN197)</f>
        <v>0</v>
      </c>
      <c r="M197" s="1167">
        <f>IF('Appendix A'!$I$1=1,0,'6- Est &amp; Reconcile WS'!BO197)</f>
        <v>0</v>
      </c>
      <c r="N197" s="1167">
        <f>IF('Appendix A'!$I$1=1,0,'6- Est &amp; Reconcile WS'!BP197)</f>
        <v>0</v>
      </c>
      <c r="O197" s="1167">
        <f>IF('Appendix A'!$I$1=1,0,'6- Est &amp; Reconcile WS'!BQ197)</f>
        <v>0</v>
      </c>
      <c r="P197" s="1167">
        <f>IF('Appendix A'!$I$1=1,0,'6- Est &amp; Reconcile WS'!BR197)</f>
        <v>0</v>
      </c>
      <c r="Q197" s="1167">
        <f>IF('Appendix A'!$I$1=1,0,'6- Est &amp; Reconcile WS'!BS197)</f>
        <v>0</v>
      </c>
      <c r="R197" s="1167">
        <f>IF('Appendix A'!$I$1=1,0,'6- Est &amp; Reconcile WS'!BT197)</f>
        <v>0</v>
      </c>
      <c r="S197" s="1167">
        <f>IF('Appendix A'!$I$1=1,0,'6- Est &amp; Reconcile WS'!BU197)</f>
        <v>0</v>
      </c>
      <c r="T197" s="1167">
        <f>IF('Appendix A'!$I$1=1,0,'6- Est &amp; Reconcile WS'!BV197)</f>
        <v>0</v>
      </c>
      <c r="U197" s="1167">
        <f>IF('Appendix A'!$I$1=1,0,'6- Est &amp; Reconcile WS'!BW197)</f>
        <v>0</v>
      </c>
      <c r="V197" s="1167">
        <f>IF('Appendix A'!$I$1=1,0,'6- Est &amp; Reconcile WS'!BX197)</f>
        <v>0</v>
      </c>
      <c r="W197" s="1167">
        <f>IF('Appendix A'!$I$1=1,0,'6- Est &amp; Reconcile WS'!BY197)</f>
        <v>0</v>
      </c>
      <c r="X197" s="1167">
        <f>IF('Appendix A'!$I$1=1,0,'6- Est &amp; Reconcile WS'!BZ197)</f>
        <v>0</v>
      </c>
      <c r="Y197" s="1167">
        <f>IF('Appendix A'!$I$1=1,0,'6- Est &amp; Reconcile WS'!CA197)</f>
        <v>0</v>
      </c>
      <c r="Z197" s="1167">
        <f>IF('Appendix A'!$I$1=1,0,'6- Est &amp; Reconcile WS'!CB197)</f>
        <v>0</v>
      </c>
      <c r="AA197" s="1167">
        <f>IF('Appendix A'!$I$1=1,0,'6- Est &amp; Reconcile WS'!CC197)</f>
        <v>0</v>
      </c>
      <c r="AB197" s="1167">
        <f>IF('Appendix A'!$I$1=1,0,'6- Est &amp; Reconcile WS'!CD197)</f>
        <v>2027620</v>
      </c>
      <c r="AC197" s="1167">
        <f>IF('Appendix A'!$I$1=1,0,'6- Est &amp; Reconcile WS'!CE197)</f>
        <v>0</v>
      </c>
      <c r="AD197" s="1167">
        <f>IF('Appendix A'!$I$1=1,0,'6- Est &amp; Reconcile WS'!CF197)</f>
        <v>0</v>
      </c>
      <c r="AE197" s="1167">
        <f>IF('Appendix A'!$I$1=1,0,'6- Est &amp; Reconcile WS'!CG197)</f>
        <v>0</v>
      </c>
      <c r="AF197" s="1167">
        <f>IF('Appendix A'!$I$1=1,0,'6- Est &amp; Reconcile WS'!CH197)</f>
        <v>0</v>
      </c>
      <c r="AG197" s="1165">
        <f t="shared" si="147"/>
        <v>45412187.96950595</v>
      </c>
      <c r="AH197" s="1165">
        <f t="shared" si="148"/>
        <v>0</v>
      </c>
      <c r="AI197" s="1153">
        <f t="shared" si="149"/>
        <v>0</v>
      </c>
      <c r="AJ197" s="1153">
        <f t="shared" si="150"/>
        <v>0</v>
      </c>
      <c r="AK197" s="1153">
        <f t="shared" si="151"/>
        <v>0</v>
      </c>
      <c r="AL197" s="1165">
        <f t="shared" si="152"/>
        <v>0</v>
      </c>
      <c r="AM197" s="1165">
        <f t="shared" si="153"/>
        <v>0</v>
      </c>
      <c r="AN197" s="1165">
        <f t="shared" si="154"/>
        <v>0</v>
      </c>
      <c r="AO197" s="1165">
        <f t="shared" si="155"/>
        <v>2083.0799999999763</v>
      </c>
      <c r="AP197" s="1165">
        <f t="shared" si="156"/>
        <v>0</v>
      </c>
      <c r="AQ197" s="1165">
        <f t="shared" si="157"/>
        <v>0</v>
      </c>
      <c r="AR197" s="1165">
        <f t="shared" si="158"/>
        <v>0</v>
      </c>
      <c r="AS197" s="1165">
        <f t="shared" si="159"/>
        <v>0</v>
      </c>
      <c r="AT197" s="1165">
        <f t="shared" si="160"/>
        <v>0</v>
      </c>
      <c r="AU197" s="1165">
        <f t="shared" si="161"/>
        <v>0</v>
      </c>
      <c r="AV197" s="1417">
        <f t="shared" si="162"/>
        <v>22277873</v>
      </c>
      <c r="AW197" s="1417">
        <f t="shared" si="163"/>
        <v>0</v>
      </c>
      <c r="AX197" s="1417">
        <f t="shared" si="164"/>
        <v>0</v>
      </c>
      <c r="AY197" s="1165">
        <f t="shared" si="165"/>
        <v>0</v>
      </c>
      <c r="BD197" s="1147" t="s">
        <v>610</v>
      </c>
      <c r="BE197" s="1147" t="s">
        <v>756</v>
      </c>
      <c r="BF197" s="1168">
        <v>4971581.375284648</v>
      </c>
      <c r="BG197" s="1168">
        <v>0</v>
      </c>
      <c r="BH197" s="1168">
        <v>0</v>
      </c>
      <c r="BI197" s="1168">
        <v>0</v>
      </c>
      <c r="BJ197" s="1168">
        <f t="shared" si="166"/>
        <v>0</v>
      </c>
      <c r="BK197" s="1168">
        <v>0</v>
      </c>
      <c r="BL197" s="1168">
        <v>0</v>
      </c>
      <c r="BM197" s="1168">
        <v>0</v>
      </c>
      <c r="BN197" s="1168">
        <v>0</v>
      </c>
      <c r="BO197" s="1168">
        <v>0</v>
      </c>
      <c r="BP197" s="1168">
        <v>0</v>
      </c>
      <c r="BQ197" s="1168">
        <v>0</v>
      </c>
      <c r="BR197" s="1168">
        <v>0</v>
      </c>
      <c r="BS197" s="1168">
        <v>0</v>
      </c>
      <c r="BT197" s="1168">
        <v>0</v>
      </c>
      <c r="BU197" s="1168">
        <v>0</v>
      </c>
      <c r="BV197" s="1168">
        <v>0</v>
      </c>
      <c r="BW197" s="1168">
        <v>0</v>
      </c>
      <c r="BX197" s="1168">
        <v>0</v>
      </c>
      <c r="BY197" s="1168">
        <v>0</v>
      </c>
      <c r="BZ197" s="1168">
        <v>0</v>
      </c>
      <c r="CA197" s="1168">
        <v>0</v>
      </c>
      <c r="CB197" s="1168">
        <v>0</v>
      </c>
      <c r="CC197" s="1168">
        <v>0</v>
      </c>
      <c r="CD197" s="1168">
        <v>2027620</v>
      </c>
      <c r="CE197" s="1168">
        <v>0</v>
      </c>
      <c r="CF197" s="1168">
        <v>0</v>
      </c>
      <c r="CG197" s="1168">
        <v>0</v>
      </c>
      <c r="CH197" s="1168">
        <v>0</v>
      </c>
      <c r="CI197" s="1168">
        <v>0</v>
      </c>
      <c r="CJ197" s="1292">
        <v>0</v>
      </c>
      <c r="CK197" s="1292">
        <v>0</v>
      </c>
      <c r="CL197" s="1292">
        <v>0</v>
      </c>
      <c r="CM197" s="1292">
        <v>0</v>
      </c>
    </row>
    <row r="198" spans="1:91" ht="12.75">
      <c r="A198" s="1163"/>
      <c r="C198" s="1147" t="s">
        <v>611</v>
      </c>
      <c r="D198" s="1170">
        <f>IF('Appendix A'!$I$1=1,0,'6- Est &amp; Reconcile WS'!BF198)</f>
        <v>11630203.591822837</v>
      </c>
      <c r="E198" s="1170">
        <f>IF('Appendix A'!$I$1=1,0,'6- Est &amp; Reconcile WS'!BG198)</f>
        <v>0</v>
      </c>
      <c r="F198" s="1170">
        <f>IF('Appendix A'!$I$1=1,0,'6- Est &amp; Reconcile WS'!BH198)</f>
        <v>0</v>
      </c>
      <c r="G198" s="1170">
        <f>IF('Appendix A'!$I$1=1,0,'6- Est &amp; Reconcile WS'!BI198)</f>
        <v>0</v>
      </c>
      <c r="H198" s="1170">
        <f>IF('Appendix A'!$I$1=1,0,'6- Est &amp; Reconcile WS'!BJ198)</f>
        <v>0</v>
      </c>
      <c r="I198" s="1170">
        <f>IF('Appendix A'!$I$1=1,0,'6- Est &amp; Reconcile WS'!BK198)</f>
        <v>0</v>
      </c>
      <c r="J198" s="1170">
        <f>IF('Appendix A'!$I$1=1,0,'6- Est &amp; Reconcile WS'!BL198)</f>
        <v>0</v>
      </c>
      <c r="K198" s="1170">
        <f>IF('Appendix A'!$I$1=1,0,'6- Est &amp; Reconcile WS'!BM198)</f>
        <v>0</v>
      </c>
      <c r="L198" s="1170">
        <f>IF('Appendix A'!$I$1=1,0,'6- Est &amp; Reconcile WS'!BN198)</f>
        <v>0</v>
      </c>
      <c r="M198" s="1170">
        <f>IF('Appendix A'!$I$1=1,0,'6- Est &amp; Reconcile WS'!BO198)</f>
        <v>0</v>
      </c>
      <c r="N198" s="1170">
        <f>IF('Appendix A'!$I$1=1,0,'6- Est &amp; Reconcile WS'!BP198)</f>
        <v>0</v>
      </c>
      <c r="O198" s="1170">
        <f>IF('Appendix A'!$I$1=1,0,'6- Est &amp; Reconcile WS'!BQ198)</f>
        <v>0</v>
      </c>
      <c r="P198" s="1170">
        <f>IF('Appendix A'!$I$1=1,0,'6- Est &amp; Reconcile WS'!BR198)</f>
        <v>0</v>
      </c>
      <c r="Q198" s="1170">
        <f>IF('Appendix A'!$I$1=1,0,'6- Est &amp; Reconcile WS'!BS198)</f>
        <v>0</v>
      </c>
      <c r="R198" s="1170">
        <f>IF('Appendix A'!$I$1=1,0,'6- Est &amp; Reconcile WS'!BT198)</f>
        <v>0</v>
      </c>
      <c r="S198" s="1170">
        <f>IF('Appendix A'!$I$1=1,0,'6- Est &amp; Reconcile WS'!BU198)</f>
        <v>0</v>
      </c>
      <c r="T198" s="1170">
        <f>IF('Appendix A'!$I$1=1,0,'6- Est &amp; Reconcile WS'!BV198)</f>
        <v>0</v>
      </c>
      <c r="U198" s="1170">
        <f>IF('Appendix A'!$I$1=1,0,'6- Est &amp; Reconcile WS'!BW198)</f>
        <v>0</v>
      </c>
      <c r="V198" s="1170">
        <f>IF('Appendix A'!$I$1=1,0,'6- Est &amp; Reconcile WS'!BX198)</f>
        <v>0</v>
      </c>
      <c r="W198" s="1170">
        <f>IF('Appendix A'!$I$1=1,0,'6- Est &amp; Reconcile WS'!BY198)</f>
        <v>0</v>
      </c>
      <c r="X198" s="1170">
        <f>IF('Appendix A'!$I$1=1,0,'6- Est &amp; Reconcile WS'!BZ198)</f>
        <v>0</v>
      </c>
      <c r="Y198" s="1170">
        <f>IF('Appendix A'!$I$1=1,0,'6- Est &amp; Reconcile WS'!CA198)</f>
        <v>0</v>
      </c>
      <c r="Z198" s="1170">
        <f>IF('Appendix A'!$I$1=1,0,'6- Est &amp; Reconcile WS'!CB198)</f>
        <v>0</v>
      </c>
      <c r="AA198" s="1170">
        <f>IF('Appendix A'!$I$1=1,0,'6- Est &amp; Reconcile WS'!CC198)</f>
        <v>0</v>
      </c>
      <c r="AB198" s="1170">
        <f>IF('Appendix A'!$I$1=1,0,'6- Est &amp; Reconcile WS'!CD198)</f>
        <v>-22277873</v>
      </c>
      <c r="AC198" s="1170">
        <f>IF('Appendix A'!$I$1=1,0,'6- Est &amp; Reconcile WS'!CE198)</f>
        <v>22277873</v>
      </c>
      <c r="AD198" s="1170">
        <f>IF('Appendix A'!$I$1=1,0,'6- Est &amp; Reconcile WS'!CF198)</f>
        <v>0</v>
      </c>
      <c r="AE198" s="1170">
        <f>IF('Appendix A'!$I$1=1,0,'6- Est &amp; Reconcile WS'!CG198)</f>
        <v>0</v>
      </c>
      <c r="AF198" s="1170">
        <f>IF('Appendix A'!$I$1=1,0,'6- Est &amp; Reconcile WS'!CH198)</f>
        <v>0</v>
      </c>
      <c r="AG198" s="1172">
        <f t="shared" si="147"/>
        <v>57042391.56132878</v>
      </c>
      <c r="AH198" s="1172">
        <f t="shared" si="148"/>
        <v>0</v>
      </c>
      <c r="AI198" s="1173">
        <f t="shared" si="149"/>
        <v>0</v>
      </c>
      <c r="AJ198" s="1173">
        <f t="shared" si="150"/>
        <v>0</v>
      </c>
      <c r="AK198" s="1173">
        <f t="shared" si="151"/>
        <v>0</v>
      </c>
      <c r="AL198" s="1172">
        <f t="shared" si="152"/>
        <v>0</v>
      </c>
      <c r="AM198" s="1172">
        <f t="shared" si="153"/>
        <v>0</v>
      </c>
      <c r="AN198" s="1172">
        <f t="shared" si="154"/>
        <v>0</v>
      </c>
      <c r="AO198" s="1172">
        <f t="shared" si="155"/>
        <v>2083.0799999999763</v>
      </c>
      <c r="AP198" s="1172">
        <f t="shared" si="156"/>
        <v>0</v>
      </c>
      <c r="AQ198" s="1172">
        <f t="shared" si="157"/>
        <v>0</v>
      </c>
      <c r="AR198" s="1172">
        <f t="shared" si="158"/>
        <v>0</v>
      </c>
      <c r="AS198" s="1172">
        <f t="shared" si="159"/>
        <v>0</v>
      </c>
      <c r="AT198" s="1172">
        <f t="shared" si="160"/>
        <v>0</v>
      </c>
      <c r="AU198" s="1172">
        <f t="shared" si="161"/>
        <v>0</v>
      </c>
      <c r="AV198" s="1502">
        <f t="shared" si="162"/>
        <v>0</v>
      </c>
      <c r="AW198" s="1502">
        <f t="shared" si="163"/>
        <v>22277873</v>
      </c>
      <c r="AX198" s="1502">
        <f t="shared" si="164"/>
        <v>0</v>
      </c>
      <c r="AY198" s="1172">
        <f t="shared" si="165"/>
        <v>0</v>
      </c>
      <c r="AZ198" s="1169"/>
      <c r="BD198" s="1169" t="s">
        <v>611</v>
      </c>
      <c r="BE198" s="1169" t="s">
        <v>756</v>
      </c>
      <c r="BF198" s="1171">
        <v>11630203.591822837</v>
      </c>
      <c r="BG198" s="1171">
        <v>0</v>
      </c>
      <c r="BH198" s="1171">
        <v>0</v>
      </c>
      <c r="BI198" s="1171">
        <v>0</v>
      </c>
      <c r="BJ198" s="1171">
        <f t="shared" si="166"/>
        <v>0</v>
      </c>
      <c r="BK198" s="1171">
        <v>0</v>
      </c>
      <c r="BL198" s="1171">
        <v>0</v>
      </c>
      <c r="BM198" s="1171">
        <v>0</v>
      </c>
      <c r="BN198" s="1171">
        <v>0</v>
      </c>
      <c r="BO198" s="1171">
        <v>0</v>
      </c>
      <c r="BP198" s="1171">
        <v>0</v>
      </c>
      <c r="BQ198" s="1171">
        <v>0</v>
      </c>
      <c r="BR198" s="1171">
        <v>0</v>
      </c>
      <c r="BS198" s="1171">
        <v>0</v>
      </c>
      <c r="BT198" s="1171">
        <v>0</v>
      </c>
      <c r="BU198" s="1171">
        <v>0</v>
      </c>
      <c r="BV198" s="1171">
        <v>0</v>
      </c>
      <c r="BW198" s="1171">
        <v>0</v>
      </c>
      <c r="BX198" s="1171">
        <v>0</v>
      </c>
      <c r="BY198" s="1171">
        <v>0</v>
      </c>
      <c r="BZ198" s="1171">
        <v>0</v>
      </c>
      <c r="CA198" s="1171">
        <v>0</v>
      </c>
      <c r="CB198" s="1171">
        <v>0</v>
      </c>
      <c r="CC198" s="1171">
        <v>0</v>
      </c>
      <c r="CD198" s="1171">
        <v>-22277873</v>
      </c>
      <c r="CE198" s="1171">
        <v>22277873</v>
      </c>
      <c r="CF198" s="1171">
        <v>0</v>
      </c>
      <c r="CG198" s="1171">
        <v>0</v>
      </c>
      <c r="CH198" s="1171">
        <v>0</v>
      </c>
      <c r="CI198" s="1171">
        <v>0</v>
      </c>
      <c r="CJ198" s="1293">
        <v>0</v>
      </c>
      <c r="CK198" s="1293">
        <v>0</v>
      </c>
      <c r="CL198" s="1293">
        <v>0</v>
      </c>
      <c r="CM198" s="1293">
        <v>0</v>
      </c>
    </row>
    <row r="199" spans="1:91" ht="12.75">
      <c r="A199" s="1163"/>
      <c r="C199" s="1147" t="s">
        <v>436</v>
      </c>
      <c r="D199" s="1165">
        <f>SUM(D187:D198)</f>
        <v>57042391.56132878</v>
      </c>
      <c r="E199" s="1165">
        <f>SUM(E187:E198)</f>
        <v>0</v>
      </c>
      <c r="F199" s="1165">
        <f>SUM(F187:F198)</f>
        <v>0</v>
      </c>
      <c r="G199" s="1165">
        <f>SUM(G187:G198)</f>
        <v>0</v>
      </c>
      <c r="H199" s="1153"/>
      <c r="I199" s="1165">
        <f aca="true" t="shared" si="167" ref="I199:P199">SUM(I187:I198)</f>
        <v>0</v>
      </c>
      <c r="J199" s="1165">
        <f t="shared" si="167"/>
        <v>0</v>
      </c>
      <c r="K199" s="1165">
        <f t="shared" si="167"/>
        <v>0</v>
      </c>
      <c r="L199" s="1165">
        <f t="shared" si="167"/>
        <v>0</v>
      </c>
      <c r="M199" s="1165">
        <f t="shared" si="167"/>
        <v>0</v>
      </c>
      <c r="N199" s="1165">
        <f t="shared" si="167"/>
        <v>0</v>
      </c>
      <c r="O199" s="1165">
        <f t="shared" si="167"/>
        <v>0</v>
      </c>
      <c r="P199" s="1165">
        <f t="shared" si="167"/>
        <v>0</v>
      </c>
      <c r="Q199" s="1165">
        <f>SUM(Q187:Q198)</f>
        <v>2083.0799999999763</v>
      </c>
      <c r="R199" s="1165">
        <f>SUM(R187:R198)</f>
        <v>0</v>
      </c>
      <c r="S199" s="1165">
        <f>SUM(S187:S198)</f>
        <v>0</v>
      </c>
      <c r="T199" s="1165">
        <f aca="true" t="shared" si="168" ref="T199:AF199">SUM(T187:T198)</f>
        <v>0</v>
      </c>
      <c r="U199" s="1165">
        <f t="shared" si="168"/>
        <v>0</v>
      </c>
      <c r="V199" s="1165">
        <f t="shared" si="168"/>
        <v>0</v>
      </c>
      <c r="W199" s="1165">
        <f t="shared" si="168"/>
        <v>0</v>
      </c>
      <c r="X199" s="1165">
        <f t="shared" si="168"/>
        <v>0</v>
      </c>
      <c r="Y199" s="1165">
        <f t="shared" si="168"/>
        <v>0</v>
      </c>
      <c r="Z199" s="1165">
        <f t="shared" si="168"/>
        <v>0</v>
      </c>
      <c r="AA199" s="1165">
        <f t="shared" si="168"/>
        <v>0</v>
      </c>
      <c r="AB199" s="1417">
        <f t="shared" si="168"/>
        <v>-5702416</v>
      </c>
      <c r="AC199" s="1417">
        <f>SUM(AC187:AC198)</f>
        <v>22277873</v>
      </c>
      <c r="AD199" s="1417">
        <f>SUM(AD187:AD198)</f>
        <v>0</v>
      </c>
      <c r="AE199" s="1165">
        <f t="shared" si="168"/>
        <v>0</v>
      </c>
      <c r="AF199" s="1165">
        <f t="shared" si="168"/>
        <v>0</v>
      </c>
      <c r="AG199" s="1165">
        <f aca="true" t="shared" si="169" ref="AG199:AY199">AVERAGE(AG186:AG198)</f>
        <v>25258362.38023364</v>
      </c>
      <c r="AH199" s="1165">
        <f t="shared" si="169"/>
        <v>0</v>
      </c>
      <c r="AI199" s="1165">
        <f t="shared" si="169"/>
        <v>0</v>
      </c>
      <c r="AJ199" s="1165">
        <f t="shared" si="169"/>
        <v>0</v>
      </c>
      <c r="AK199" s="1165">
        <f t="shared" si="169"/>
        <v>0</v>
      </c>
      <c r="AL199" s="1165">
        <f t="shared" si="169"/>
        <v>0</v>
      </c>
      <c r="AM199" s="1165">
        <f t="shared" si="169"/>
        <v>0</v>
      </c>
      <c r="AN199" s="1165">
        <f t="shared" si="169"/>
        <v>0</v>
      </c>
      <c r="AO199" s="1165">
        <f t="shared" si="169"/>
        <v>1762.606923076904</v>
      </c>
      <c r="AP199" s="1165">
        <f t="shared" si="169"/>
        <v>0</v>
      </c>
      <c r="AQ199" s="1165">
        <f t="shared" si="169"/>
        <v>0</v>
      </c>
      <c r="AR199" s="1165">
        <f t="shared" si="169"/>
        <v>0</v>
      </c>
      <c r="AS199" s="1165">
        <f t="shared" si="169"/>
        <v>0</v>
      </c>
      <c r="AT199" s="1165">
        <f t="shared" si="169"/>
        <v>0</v>
      </c>
      <c r="AU199" s="1165">
        <f t="shared" si="169"/>
        <v>0</v>
      </c>
      <c r="AV199" s="1417">
        <f t="shared" si="169"/>
        <v>9033623.307692308</v>
      </c>
      <c r="AW199" s="1417">
        <f>AVERAGE(AW186:AW198)</f>
        <v>1713682.5384615385</v>
      </c>
      <c r="AX199" s="1417">
        <f>AVERAGE(AX186:AX198)</f>
        <v>0</v>
      </c>
      <c r="AY199" s="1165">
        <f t="shared" si="169"/>
        <v>0</v>
      </c>
      <c r="AZ199" s="1165">
        <f>SUM(AG199:AY199)</f>
        <v>36007430.83331056</v>
      </c>
      <c r="BA199" s="1165"/>
      <c r="BD199" s="1147" t="s">
        <v>436</v>
      </c>
      <c r="BF199" s="1165">
        <f>SUM(BF187:BF198)</f>
        <v>57042391.56132878</v>
      </c>
      <c r="BG199" s="1165">
        <f>SUM(BG187:BG198)</f>
        <v>0</v>
      </c>
      <c r="BH199" s="1165">
        <f>SUM(BH187:BH198)</f>
        <v>0</v>
      </c>
      <c r="BI199" s="1165">
        <f>SUM(BI187:BI198)</f>
        <v>0</v>
      </c>
      <c r="BJ199" s="1153"/>
      <c r="BK199" s="1165">
        <f aca="true" t="shared" si="170" ref="BK199:BR199">SUM(BK187:BK198)</f>
        <v>0</v>
      </c>
      <c r="BL199" s="1165">
        <f t="shared" si="170"/>
        <v>0</v>
      </c>
      <c r="BM199" s="1165">
        <f t="shared" si="170"/>
        <v>0</v>
      </c>
      <c r="BN199" s="1165">
        <f t="shared" si="170"/>
        <v>0</v>
      </c>
      <c r="BO199" s="1165">
        <f t="shared" si="170"/>
        <v>0</v>
      </c>
      <c r="BP199" s="1165">
        <f t="shared" si="170"/>
        <v>0</v>
      </c>
      <c r="BQ199" s="1165">
        <f t="shared" si="170"/>
        <v>0</v>
      </c>
      <c r="BR199" s="1165">
        <f t="shared" si="170"/>
        <v>0</v>
      </c>
      <c r="BS199" s="1165">
        <f>SUM(BS187:BS198)</f>
        <v>2083.0799999999763</v>
      </c>
      <c r="BT199" s="1165">
        <f>SUM(BT187:BT198)</f>
        <v>0</v>
      </c>
      <c r="BU199" s="1165">
        <f>SUM(BU187:BU198)</f>
        <v>0</v>
      </c>
      <c r="BV199" s="1165">
        <f aca="true" t="shared" si="171" ref="BV199:CI199">SUM(BV187:BV198)</f>
        <v>0</v>
      </c>
      <c r="BW199" s="1165">
        <f t="shared" si="171"/>
        <v>0</v>
      </c>
      <c r="BX199" s="1165">
        <f t="shared" si="171"/>
        <v>0</v>
      </c>
      <c r="BY199" s="1165">
        <f t="shared" si="171"/>
        <v>0</v>
      </c>
      <c r="BZ199" s="1165">
        <f t="shared" si="171"/>
        <v>0</v>
      </c>
      <c r="CA199" s="1165">
        <f t="shared" si="171"/>
        <v>0</v>
      </c>
      <c r="CB199" s="1165">
        <f t="shared" si="171"/>
        <v>0</v>
      </c>
      <c r="CC199" s="1165">
        <f t="shared" si="171"/>
        <v>0</v>
      </c>
      <c r="CD199" s="1165">
        <f t="shared" si="171"/>
        <v>-5702416</v>
      </c>
      <c r="CE199" s="1165">
        <f>SUM(CE187:CE198)</f>
        <v>22277873</v>
      </c>
      <c r="CF199" s="1165">
        <f>SUM(CF187:CF198)</f>
        <v>0</v>
      </c>
      <c r="CG199" s="1165">
        <f t="shared" si="171"/>
        <v>0</v>
      </c>
      <c r="CH199" s="1165">
        <f t="shared" si="171"/>
        <v>0</v>
      </c>
      <c r="CI199" s="1165">
        <f t="shared" si="171"/>
        <v>0</v>
      </c>
      <c r="CJ199" s="1294">
        <f>SUM(CJ187:CJ198)</f>
        <v>0</v>
      </c>
      <c r="CK199" s="1294">
        <f>SUM(CK187:CK198)</f>
        <v>0</v>
      </c>
      <c r="CL199" s="1294">
        <f>SUM(CL187:CL198)</f>
        <v>0</v>
      </c>
      <c r="CM199" s="1294">
        <f>SUM(CM187:CM198)</f>
        <v>0</v>
      </c>
    </row>
    <row r="200" spans="3:17" ht="12.75">
      <c r="C200" s="1147"/>
      <c r="D200" s="1165"/>
      <c r="E200" s="1165"/>
      <c r="F200" s="1165"/>
      <c r="G200" s="1165"/>
      <c r="H200" s="1153"/>
      <c r="I200" s="1153"/>
      <c r="J200" s="1153"/>
      <c r="K200" s="1153"/>
      <c r="L200" s="1165"/>
      <c r="M200" s="1165"/>
      <c r="N200" s="1165"/>
      <c r="O200" s="1165"/>
      <c r="Q200" s="1165"/>
    </row>
    <row r="201" spans="1:34" ht="12.75">
      <c r="A201" s="1471"/>
      <c r="B201" s="1471"/>
      <c r="C201" s="1469"/>
      <c r="D201" s="1472"/>
      <c r="E201" s="1472"/>
      <c r="F201" s="1469"/>
      <c r="G201" s="1472"/>
      <c r="H201" s="1469"/>
      <c r="I201" s="1497" t="str">
        <f>I44</f>
        <v>13 month avg of new plant additions = Col AD + Col AF + Col AG + Col AI + Col AJ + Col AL + Col AN + Col AP + Col AR + Col AT + Col AV</v>
      </c>
      <c r="J201" s="1417">
        <f>AG199+AI199+AJ199+AL199+AM199+AO199+AQ199+AS199+AU199+AY199+AW199</f>
        <v>26973807.52561826</v>
      </c>
      <c r="K201" s="1165" t="str">
        <f>"goes to line "&amp;'[2]Appendix A'!$A$29&amp;" of the formula"</f>
        <v>goes to line 14 of the formula</v>
      </c>
      <c r="N201" s="1165"/>
      <c r="O201" s="1165"/>
      <c r="AH201" s="1165"/>
    </row>
    <row r="202" spans="1:15" ht="12.75">
      <c r="A202" s="1471"/>
      <c r="B202" s="1471"/>
      <c r="C202" s="1469"/>
      <c r="D202" s="1472"/>
      <c r="E202" s="1472"/>
      <c r="F202" s="1469"/>
      <c r="G202" s="1472"/>
      <c r="H202" s="1469"/>
      <c r="I202" s="1497" t="str">
        <f>I45</f>
        <v>13 month avg of current year changes to CWIP = Col AE + Col AH + Col AK + Col AM + Col AO + Col AQ + Col AS</v>
      </c>
      <c r="J202" s="1417">
        <f>AH199+AK199+AN199+AP199+AR199+AT199+AV199</f>
        <v>9033623.307692308</v>
      </c>
      <c r="K202" s="1165" t="str">
        <f>"goes to line "&amp;'[2]Appendix A'!$A$65&amp;" of the formula"</f>
        <v>goes to line 36 of the formula</v>
      </c>
      <c r="N202" s="1165"/>
      <c r="O202" s="1165"/>
    </row>
    <row r="203" spans="3:15" ht="12.75">
      <c r="C203" s="1147"/>
      <c r="D203" s="1165"/>
      <c r="E203" s="1165"/>
      <c r="G203" s="1165"/>
      <c r="I203" s="1290"/>
      <c r="J203" s="1165"/>
      <c r="K203" s="1165"/>
      <c r="N203" s="1165"/>
      <c r="O203" s="1165"/>
    </row>
    <row r="204" spans="3:15" ht="12.75">
      <c r="C204" s="1147"/>
      <c r="D204" s="1417"/>
      <c r="E204" s="1417"/>
      <c r="F204" s="1419"/>
      <c r="G204" s="1417"/>
      <c r="H204" s="1419"/>
      <c r="I204" s="1418"/>
      <c r="J204" s="1295"/>
      <c r="K204" s="1165"/>
      <c r="N204" s="1165"/>
      <c r="O204" s="1165"/>
    </row>
    <row r="205" spans="3:11" ht="12.75">
      <c r="C205" s="1147"/>
      <c r="H205" s="1165"/>
      <c r="I205" s="1165"/>
      <c r="J205" s="1165"/>
      <c r="K205" s="1165"/>
    </row>
    <row r="206" spans="3:47" ht="12.75">
      <c r="C206" s="1148"/>
      <c r="D206" s="1470" t="str">
        <f>D108</f>
        <v>(AW) = AD</v>
      </c>
      <c r="E206" s="1470" t="str">
        <f aca="true" t="shared" si="172" ref="E206:AU206">E108</f>
        <v>(AX)</v>
      </c>
      <c r="F206" s="1470" t="str">
        <f t="shared" si="172"/>
        <v>(AY) = AW * AX</v>
      </c>
      <c r="G206" s="1470" t="str">
        <f t="shared" si="172"/>
        <v>(AZ)</v>
      </c>
      <c r="H206" s="1470" t="str">
        <f t="shared" si="172"/>
        <v>(BA) = AF</v>
      </c>
      <c r="I206" s="1470" t="str">
        <f t="shared" si="172"/>
        <v>(BB)</v>
      </c>
      <c r="J206" s="1470" t="str">
        <f t="shared" si="172"/>
        <v>(BC) = BA * BB</v>
      </c>
      <c r="K206" s="1470" t="str">
        <f t="shared" si="172"/>
        <v>(BD)</v>
      </c>
      <c r="L206" s="1470" t="str">
        <f t="shared" si="172"/>
        <v>(BE) = AG</v>
      </c>
      <c r="M206" s="1470" t="str">
        <f t="shared" si="172"/>
        <v>(BF)</v>
      </c>
      <c r="N206" s="1470" t="str">
        <f t="shared" si="172"/>
        <v>(BG) = BE * BF</v>
      </c>
      <c r="O206" s="1470" t="str">
        <f t="shared" si="172"/>
        <v>(BH)</v>
      </c>
      <c r="P206" s="1470" t="str">
        <f t="shared" si="172"/>
        <v>(BI) = AI</v>
      </c>
      <c r="Q206" s="1470" t="str">
        <f t="shared" si="172"/>
        <v>(BJ)</v>
      </c>
      <c r="R206" s="1470" t="str">
        <f t="shared" si="172"/>
        <v>(BK) = BI * BJ</v>
      </c>
      <c r="S206" s="1470" t="str">
        <f t="shared" si="172"/>
        <v>(BL)</v>
      </c>
      <c r="T206" s="1470" t="str">
        <f t="shared" si="172"/>
        <v>(BM) = AJ</v>
      </c>
      <c r="U206" s="1470" t="str">
        <f t="shared" si="172"/>
        <v>(BN)</v>
      </c>
      <c r="V206" s="1470" t="str">
        <f t="shared" si="172"/>
        <v>(BO) = BM * BN</v>
      </c>
      <c r="W206" s="1470" t="str">
        <f t="shared" si="172"/>
        <v>(BP)</v>
      </c>
      <c r="X206" s="1470" t="str">
        <f t="shared" si="172"/>
        <v>(BQ) = AL</v>
      </c>
      <c r="Y206" s="1470" t="str">
        <f t="shared" si="172"/>
        <v>(BR)</v>
      </c>
      <c r="Z206" s="1470" t="str">
        <f t="shared" si="172"/>
        <v>(BS) = BQ * BR</v>
      </c>
      <c r="AA206" s="1470" t="str">
        <f t="shared" si="172"/>
        <v>(BT)</v>
      </c>
      <c r="AB206" s="1470" t="str">
        <f t="shared" si="172"/>
        <v>(BU) = AN</v>
      </c>
      <c r="AC206" s="1470" t="str">
        <f t="shared" si="172"/>
        <v>(BV)</v>
      </c>
      <c r="AD206" s="1470" t="str">
        <f t="shared" si="172"/>
        <v>(BW) = BU * BV</v>
      </c>
      <c r="AE206" s="1470" t="str">
        <f t="shared" si="172"/>
        <v>(BX)</v>
      </c>
      <c r="AF206" s="1470" t="str">
        <f t="shared" si="172"/>
        <v>(BY) = AP</v>
      </c>
      <c r="AG206" s="1470" t="str">
        <f t="shared" si="172"/>
        <v>(BZ)</v>
      </c>
      <c r="AH206" s="1470" t="str">
        <f t="shared" si="172"/>
        <v>(CA) = BY * BZ</v>
      </c>
      <c r="AI206" s="1470" t="str">
        <f t="shared" si="172"/>
        <v>(CB)</v>
      </c>
      <c r="AJ206" s="1470" t="str">
        <f t="shared" si="172"/>
        <v>(CD) = AR</v>
      </c>
      <c r="AK206" s="1470" t="str">
        <f t="shared" si="172"/>
        <v>(CE)</v>
      </c>
      <c r="AL206" s="1470" t="str">
        <f t="shared" si="172"/>
        <v>(CF) = CD * CE</v>
      </c>
      <c r="AM206" s="1470" t="str">
        <f t="shared" si="172"/>
        <v>(CG)</v>
      </c>
      <c r="AN206" s="1470" t="str">
        <f t="shared" si="172"/>
        <v>(CH) = AT</v>
      </c>
      <c r="AO206" s="1470" t="str">
        <f t="shared" si="172"/>
        <v>(CI)</v>
      </c>
      <c r="AP206" s="1470" t="str">
        <f t="shared" si="172"/>
        <v>(CJ) = CH * CI</v>
      </c>
      <c r="AQ206" s="1470" t="str">
        <f t="shared" si="172"/>
        <v>(CK)</v>
      </c>
      <c r="AR206" s="1470" t="str">
        <f t="shared" si="172"/>
        <v>(CL) = AV</v>
      </c>
      <c r="AS206" s="1470" t="str">
        <f t="shared" si="172"/>
        <v>(CM)</v>
      </c>
      <c r="AT206" s="1470" t="str">
        <f t="shared" si="172"/>
        <v>(CN) = CL * CM</v>
      </c>
      <c r="AU206" s="1470" t="str">
        <f t="shared" si="172"/>
        <v>(CO)</v>
      </c>
    </row>
    <row r="207" spans="3:47" ht="26.25">
      <c r="C207" s="1148"/>
      <c r="D207" s="1146" t="s">
        <v>137</v>
      </c>
      <c r="E207" s="1147" t="s">
        <v>116</v>
      </c>
      <c r="F207" s="1146" t="s">
        <v>562</v>
      </c>
      <c r="G207" s="1146" t="s">
        <v>640</v>
      </c>
      <c r="H207" s="1146" t="s">
        <v>139</v>
      </c>
      <c r="I207" s="1147" t="s">
        <v>116</v>
      </c>
      <c r="J207" s="1146" t="s">
        <v>562</v>
      </c>
      <c r="K207" s="1146" t="s">
        <v>361</v>
      </c>
      <c r="L207" s="1146" t="s">
        <v>754</v>
      </c>
      <c r="M207" s="1147" t="s">
        <v>116</v>
      </c>
      <c r="N207" s="1146" t="s">
        <v>562</v>
      </c>
      <c r="O207" s="1146" t="s">
        <v>361</v>
      </c>
      <c r="P207" s="1146" t="s">
        <v>109</v>
      </c>
      <c r="Q207" s="1147" t="s">
        <v>116</v>
      </c>
      <c r="R207" s="1146" t="s">
        <v>562</v>
      </c>
      <c r="S207" s="1146" t="s">
        <v>361</v>
      </c>
      <c r="T207" s="1146" t="s">
        <v>802</v>
      </c>
      <c r="U207" s="1147" t="s">
        <v>116</v>
      </c>
      <c r="V207" s="1146" t="s">
        <v>562</v>
      </c>
      <c r="W207" s="1146" t="s">
        <v>361</v>
      </c>
      <c r="X207" s="1146" t="s">
        <v>811</v>
      </c>
      <c r="Y207" s="1147" t="s">
        <v>116</v>
      </c>
      <c r="Z207" s="1146" t="s">
        <v>562</v>
      </c>
      <c r="AA207" s="1146" t="s">
        <v>361</v>
      </c>
      <c r="AB207" s="1146" t="s">
        <v>1011</v>
      </c>
      <c r="AC207" s="1147" t="s">
        <v>116</v>
      </c>
      <c r="AD207" s="1146" t="s">
        <v>562</v>
      </c>
      <c r="AE207" s="1146" t="s">
        <v>361</v>
      </c>
      <c r="AF207" s="1146" t="s">
        <v>1012</v>
      </c>
      <c r="AG207" s="1147" t="s">
        <v>116</v>
      </c>
      <c r="AH207" s="1146" t="s">
        <v>562</v>
      </c>
      <c r="AI207" s="1146" t="s">
        <v>361</v>
      </c>
      <c r="AJ207" s="1146" t="s">
        <v>1013</v>
      </c>
      <c r="AK207" s="1147" t="s">
        <v>116</v>
      </c>
      <c r="AL207" s="1146" t="s">
        <v>562</v>
      </c>
      <c r="AM207" s="1146" t="s">
        <v>361</v>
      </c>
      <c r="AN207" s="1501" t="s">
        <v>1136</v>
      </c>
      <c r="AO207" s="1419" t="s">
        <v>116</v>
      </c>
      <c r="AP207" s="1408" t="s">
        <v>562</v>
      </c>
      <c r="AQ207" s="1408" t="s">
        <v>361</v>
      </c>
      <c r="AR207" s="1146" t="s">
        <v>1014</v>
      </c>
      <c r="AS207" s="1147" t="s">
        <v>116</v>
      </c>
      <c r="AT207" s="1146" t="s">
        <v>562</v>
      </c>
      <c r="AU207" s="1146" t="s">
        <v>361</v>
      </c>
    </row>
    <row r="208" spans="3:47" ht="12.75">
      <c r="C208" s="1147"/>
      <c r="D208" s="1146" t="s">
        <v>114</v>
      </c>
      <c r="E208" s="1146" t="s">
        <v>117</v>
      </c>
      <c r="F208" s="1146" t="s">
        <v>118</v>
      </c>
      <c r="G208" s="1146"/>
      <c r="H208" s="1146" t="s">
        <v>115</v>
      </c>
      <c r="I208" s="1146" t="s">
        <v>117</v>
      </c>
      <c r="J208" s="1146" t="s">
        <v>118</v>
      </c>
      <c r="K208" s="1146" t="s">
        <v>362</v>
      </c>
      <c r="L208" s="1146" t="s">
        <v>115</v>
      </c>
      <c r="M208" s="1146" t="s">
        <v>117</v>
      </c>
      <c r="N208" s="1146" t="s">
        <v>118</v>
      </c>
      <c r="O208" s="1146" t="s">
        <v>362</v>
      </c>
      <c r="P208" s="1146" t="s">
        <v>115</v>
      </c>
      <c r="Q208" s="1146" t="s">
        <v>117</v>
      </c>
      <c r="R208" s="1146" t="s">
        <v>118</v>
      </c>
      <c r="S208" s="1146" t="s">
        <v>362</v>
      </c>
      <c r="T208" s="1146" t="s">
        <v>115</v>
      </c>
      <c r="U208" s="1146" t="s">
        <v>117</v>
      </c>
      <c r="V208" s="1146" t="s">
        <v>118</v>
      </c>
      <c r="W208" s="1146" t="s">
        <v>362</v>
      </c>
      <c r="X208" s="1146" t="s">
        <v>115</v>
      </c>
      <c r="Y208" s="1146" t="s">
        <v>117</v>
      </c>
      <c r="Z208" s="1146" t="s">
        <v>118</v>
      </c>
      <c r="AA208" s="1146" t="s">
        <v>362</v>
      </c>
      <c r="AB208" s="1146" t="s">
        <v>115</v>
      </c>
      <c r="AC208" s="1146" t="s">
        <v>117</v>
      </c>
      <c r="AD208" s="1146" t="s">
        <v>118</v>
      </c>
      <c r="AE208" s="1146" t="s">
        <v>362</v>
      </c>
      <c r="AF208" s="1146" t="s">
        <v>115</v>
      </c>
      <c r="AG208" s="1146" t="s">
        <v>117</v>
      </c>
      <c r="AH208" s="1146" t="s">
        <v>118</v>
      </c>
      <c r="AI208" s="1146" t="s">
        <v>362</v>
      </c>
      <c r="AJ208" s="1146" t="s">
        <v>115</v>
      </c>
      <c r="AK208" s="1146" t="s">
        <v>117</v>
      </c>
      <c r="AL208" s="1146" t="s">
        <v>118</v>
      </c>
      <c r="AM208" s="1146" t="s">
        <v>362</v>
      </c>
      <c r="AN208" s="1408" t="s">
        <v>115</v>
      </c>
      <c r="AO208" s="1408" t="s">
        <v>117</v>
      </c>
      <c r="AP208" s="1408" t="s">
        <v>118</v>
      </c>
      <c r="AQ208" s="1408" t="s">
        <v>362</v>
      </c>
      <c r="AR208" s="1146" t="s">
        <v>115</v>
      </c>
      <c r="AS208" s="1146" t="s">
        <v>117</v>
      </c>
      <c r="AT208" s="1146" t="s">
        <v>118</v>
      </c>
      <c r="AU208" s="1146" t="s">
        <v>362</v>
      </c>
    </row>
    <row r="209" spans="3:47" ht="12.75">
      <c r="C209" s="1147" t="s">
        <v>138</v>
      </c>
      <c r="D209" s="1174">
        <f aca="true" t="shared" si="173" ref="D209:D221">AG186</f>
        <v>0</v>
      </c>
      <c r="E209" s="1175">
        <v>0.0022</v>
      </c>
      <c r="F209" s="1165">
        <f aca="true" t="shared" si="174" ref="F209:F221">D209*E209</f>
        <v>0</v>
      </c>
      <c r="G209" s="1165">
        <f>F209</f>
        <v>0</v>
      </c>
      <c r="H209" s="1176">
        <f>AI186*0</f>
        <v>0</v>
      </c>
      <c r="I209" s="1175">
        <f>E209</f>
        <v>0.0022</v>
      </c>
      <c r="J209" s="1165">
        <f aca="true" t="shared" si="175" ref="J209:J221">H209*I209</f>
        <v>0</v>
      </c>
      <c r="K209" s="1165">
        <f>J209</f>
        <v>0</v>
      </c>
      <c r="L209" s="1176">
        <f aca="true" t="shared" si="176" ref="L209:L221">AJ186</f>
        <v>0</v>
      </c>
      <c r="M209" s="1175">
        <f>E209</f>
        <v>0.0022</v>
      </c>
      <c r="N209" s="1165">
        <f>L209*M209</f>
        <v>0</v>
      </c>
      <c r="O209" s="1165">
        <f>N209</f>
        <v>0</v>
      </c>
      <c r="P209" s="1176">
        <f>AL186*0</f>
        <v>0</v>
      </c>
      <c r="Q209" s="1175">
        <f>E209</f>
        <v>0.0022</v>
      </c>
      <c r="R209" s="1165">
        <f aca="true" t="shared" si="177" ref="R209:R221">P209*Q209</f>
        <v>0</v>
      </c>
      <c r="S209" s="1165">
        <f>R209+S122*0</f>
        <v>0</v>
      </c>
      <c r="T209" s="1176">
        <f aca="true" t="shared" si="178" ref="T209:T221">AM186</f>
        <v>0</v>
      </c>
      <c r="U209" s="1175">
        <f>E209</f>
        <v>0.0022</v>
      </c>
      <c r="V209" s="1165">
        <f>T209*U209</f>
        <v>0</v>
      </c>
      <c r="W209" s="1165">
        <f>V209+W122*0</f>
        <v>0</v>
      </c>
      <c r="X209" s="921">
        <f aca="true" t="shared" si="179" ref="X209:X221">AO186</f>
        <v>0</v>
      </c>
      <c r="Y209" s="1175">
        <f>E209</f>
        <v>0.0022</v>
      </c>
      <c r="Z209" s="1165">
        <f>X209*Y209</f>
        <v>0</v>
      </c>
      <c r="AA209" s="1165">
        <f>Z209+AA122*0</f>
        <v>0</v>
      </c>
      <c r="AB209" s="921">
        <f>+AQ186</f>
        <v>0</v>
      </c>
      <c r="AC209" s="1175">
        <f>I209</f>
        <v>0.0022</v>
      </c>
      <c r="AD209" s="1165">
        <f aca="true" t="shared" si="180" ref="AD209:AD221">AB209*AC209</f>
        <v>0</v>
      </c>
      <c r="AE209" s="1165">
        <f>AD209</f>
        <v>0</v>
      </c>
      <c r="AF209" s="921">
        <f>+AS186</f>
        <v>0</v>
      </c>
      <c r="AG209" s="1175">
        <f>M209</f>
        <v>0.0022</v>
      </c>
      <c r="AH209" s="1165">
        <f aca="true" t="shared" si="181" ref="AH209:AH221">AF209*AG209</f>
        <v>0</v>
      </c>
      <c r="AI209" s="1165">
        <f>AH209</f>
        <v>0</v>
      </c>
      <c r="AJ209" s="921">
        <f>+AU186</f>
        <v>0</v>
      </c>
      <c r="AK209" s="1175">
        <f>Q209</f>
        <v>0.0022</v>
      </c>
      <c r="AL209" s="1165">
        <f aca="true" t="shared" si="182" ref="AL209:AL221">AJ209*AK209</f>
        <v>0</v>
      </c>
      <c r="AM209" s="1165">
        <f>AL209</f>
        <v>0</v>
      </c>
      <c r="AN209" s="921">
        <f aca="true" t="shared" si="183" ref="AN209:AN221">+AW186</f>
        <v>0</v>
      </c>
      <c r="AO209" s="1175">
        <f>U209</f>
        <v>0.0022</v>
      </c>
      <c r="AP209" s="1417">
        <f>AN209*AO209</f>
        <v>0</v>
      </c>
      <c r="AQ209" s="1417">
        <f>AP209</f>
        <v>0</v>
      </c>
      <c r="AR209" s="921">
        <f aca="true" t="shared" si="184" ref="AR209:AR221">+AY186</f>
        <v>0</v>
      </c>
      <c r="AS209" s="1175">
        <f>U209</f>
        <v>0.0022</v>
      </c>
      <c r="AT209" s="1165">
        <f aca="true" t="shared" si="185" ref="AT209:AT221">AR209*AS209</f>
        <v>0</v>
      </c>
      <c r="AU209" s="1165">
        <f>AT209</f>
        <v>0</v>
      </c>
    </row>
    <row r="210" spans="3:47" ht="12.75">
      <c r="C210" s="1147" t="s">
        <v>601</v>
      </c>
      <c r="D210" s="1165">
        <f t="shared" si="173"/>
        <v>1664877.8699999999</v>
      </c>
      <c r="E210" s="1177">
        <f>+E209</f>
        <v>0.0022</v>
      </c>
      <c r="F210" s="1165">
        <f t="shared" si="174"/>
        <v>3662.731314</v>
      </c>
      <c r="G210" s="1165">
        <f>G209+F210</f>
        <v>3662.731314</v>
      </c>
      <c r="H210" s="1176">
        <f aca="true" t="shared" si="186" ref="H210:H221">AI187</f>
        <v>0</v>
      </c>
      <c r="I210" s="1177">
        <f>+I209</f>
        <v>0.0022</v>
      </c>
      <c r="J210" s="1165">
        <f t="shared" si="175"/>
        <v>0</v>
      </c>
      <c r="K210" s="1165">
        <f>J210+K209</f>
        <v>0</v>
      </c>
      <c r="L210" s="1176">
        <f t="shared" si="176"/>
        <v>0</v>
      </c>
      <c r="M210" s="1212">
        <f>M209</f>
        <v>0.0022</v>
      </c>
      <c r="N210" s="1165">
        <f aca="true" t="shared" si="187" ref="N210:N221">L210*M210</f>
        <v>0</v>
      </c>
      <c r="O210" s="1165">
        <f>N210+O209</f>
        <v>0</v>
      </c>
      <c r="P210" s="1176">
        <f aca="true" t="shared" si="188" ref="P210:P221">AL187</f>
        <v>0</v>
      </c>
      <c r="Q210" s="1177">
        <f>+Q209</f>
        <v>0.0022</v>
      </c>
      <c r="R210" s="1165">
        <f t="shared" si="177"/>
        <v>0</v>
      </c>
      <c r="S210" s="1165">
        <f>R210+S209</f>
        <v>0</v>
      </c>
      <c r="T210" s="1176">
        <f t="shared" si="178"/>
        <v>0</v>
      </c>
      <c r="U210" s="1177">
        <f>+U209</f>
        <v>0.0022</v>
      </c>
      <c r="V210" s="1165">
        <f aca="true" t="shared" si="189" ref="V210:V221">T210*U210</f>
        <v>0</v>
      </c>
      <c r="W210" s="1165">
        <f>V210+W209</f>
        <v>0</v>
      </c>
      <c r="X210" s="921">
        <f t="shared" si="179"/>
        <v>0.00999999999839929</v>
      </c>
      <c r="Y210" s="1177">
        <f>+Y209</f>
        <v>0.0022</v>
      </c>
      <c r="Z210" s="1165">
        <f aca="true" t="shared" si="190" ref="Z210:Z221">X210*Y210</f>
        <v>2.1999999996478436E-05</v>
      </c>
      <c r="AA210" s="1165">
        <f>Z210+AA209</f>
        <v>2.1999999996478436E-05</v>
      </c>
      <c r="AB210" s="921">
        <f>+AQ187</f>
        <v>0</v>
      </c>
      <c r="AC210" s="1177">
        <f>+AC209</f>
        <v>0.0022</v>
      </c>
      <c r="AD210" s="1165">
        <f t="shared" si="180"/>
        <v>0</v>
      </c>
      <c r="AE210" s="1165">
        <f>AD210+AE209</f>
        <v>0</v>
      </c>
      <c r="AF210" s="921">
        <f>+AS187</f>
        <v>0</v>
      </c>
      <c r="AG210" s="1177">
        <f>+AG209</f>
        <v>0.0022</v>
      </c>
      <c r="AH210" s="1165">
        <f t="shared" si="181"/>
        <v>0</v>
      </c>
      <c r="AI210" s="1165">
        <f>AH210+AI209</f>
        <v>0</v>
      </c>
      <c r="AJ210" s="921">
        <f>+AU187</f>
        <v>0</v>
      </c>
      <c r="AK210" s="1177">
        <f>+AK209</f>
        <v>0.0022</v>
      </c>
      <c r="AL210" s="1165">
        <f t="shared" si="182"/>
        <v>0</v>
      </c>
      <c r="AM210" s="1165">
        <f>AL210+AM209</f>
        <v>0</v>
      </c>
      <c r="AN210" s="921">
        <f t="shared" si="183"/>
        <v>0</v>
      </c>
      <c r="AO210" s="1177">
        <f>+AO209</f>
        <v>0.0022</v>
      </c>
      <c r="AP210" s="1417">
        <f aca="true" t="shared" si="191" ref="AP210:AP221">AN210*AO210</f>
        <v>0</v>
      </c>
      <c r="AQ210" s="1417">
        <f>AP210+AQ209</f>
        <v>0</v>
      </c>
      <c r="AR210" s="921">
        <f t="shared" si="184"/>
        <v>0</v>
      </c>
      <c r="AS210" s="1177">
        <f>+AS209</f>
        <v>0.0022</v>
      </c>
      <c r="AT210" s="1165">
        <f t="shared" si="185"/>
        <v>0</v>
      </c>
      <c r="AU210" s="1165">
        <f>AT210+AU209</f>
        <v>0</v>
      </c>
    </row>
    <row r="211" spans="3:47" ht="12.75">
      <c r="C211" s="1147" t="s">
        <v>602</v>
      </c>
      <c r="D211" s="1165">
        <f t="shared" si="173"/>
        <v>3066783.42</v>
      </c>
      <c r="E211" s="1177">
        <f aca="true" t="shared" si="192" ref="E211:E221">+E210</f>
        <v>0.0022</v>
      </c>
      <c r="F211" s="1165">
        <f t="shared" si="174"/>
        <v>6746.923524</v>
      </c>
      <c r="G211" s="1165">
        <f aca="true" t="shared" si="193" ref="G211:G221">G210+F211</f>
        <v>10409.654838</v>
      </c>
      <c r="H211" s="1176">
        <f t="shared" si="186"/>
        <v>0</v>
      </c>
      <c r="I211" s="1177">
        <f aca="true" t="shared" si="194" ref="I211:I221">+I210</f>
        <v>0.0022</v>
      </c>
      <c r="J211" s="1165">
        <f t="shared" si="175"/>
        <v>0</v>
      </c>
      <c r="K211" s="1165">
        <f aca="true" t="shared" si="195" ref="K211:K221">J211+K210</f>
        <v>0</v>
      </c>
      <c r="L211" s="1176">
        <f t="shared" si="176"/>
        <v>0</v>
      </c>
      <c r="M211" s="1212">
        <f aca="true" t="shared" si="196" ref="M211:M221">M210</f>
        <v>0.0022</v>
      </c>
      <c r="N211" s="1165">
        <f t="shared" si="187"/>
        <v>0</v>
      </c>
      <c r="O211" s="1165">
        <f aca="true" t="shared" si="197" ref="O211:O221">N211+O210</f>
        <v>0</v>
      </c>
      <c r="P211" s="1176">
        <f t="shared" si="188"/>
        <v>0</v>
      </c>
      <c r="Q211" s="1177">
        <f aca="true" t="shared" si="198" ref="Q211:Q221">+Q210</f>
        <v>0.0022</v>
      </c>
      <c r="R211" s="1165">
        <f t="shared" si="177"/>
        <v>0</v>
      </c>
      <c r="S211" s="1165">
        <f aca="true" t="shared" si="199" ref="S211:S221">R211+S210</f>
        <v>0</v>
      </c>
      <c r="T211" s="1176">
        <f t="shared" si="178"/>
        <v>0</v>
      </c>
      <c r="U211" s="1177">
        <f aca="true" t="shared" si="200" ref="U211:U221">+U210</f>
        <v>0.0022</v>
      </c>
      <c r="V211" s="1165">
        <f t="shared" si="189"/>
        <v>0</v>
      </c>
      <c r="W211" s="1165">
        <f aca="true" t="shared" si="201" ref="W211:W221">V211+W210</f>
        <v>0</v>
      </c>
      <c r="X211" s="921">
        <f t="shared" si="179"/>
        <v>2083.079999999991</v>
      </c>
      <c r="Y211" s="1177">
        <f aca="true" t="shared" si="202" ref="Y211:Y221">+Y210</f>
        <v>0.0022</v>
      </c>
      <c r="Z211" s="1165">
        <f>X211*Y211</f>
        <v>4.58277599999998</v>
      </c>
      <c r="AA211" s="1165">
        <f aca="true" t="shared" si="203" ref="AA211:AA221">Z211+AA210</f>
        <v>4.582797999999977</v>
      </c>
      <c r="AB211" s="921">
        <f>+AQ188</f>
        <v>0</v>
      </c>
      <c r="AC211" s="1177">
        <f aca="true" t="shared" si="204" ref="AC211:AC221">+AC210</f>
        <v>0.0022</v>
      </c>
      <c r="AD211" s="1165">
        <f t="shared" si="180"/>
        <v>0</v>
      </c>
      <c r="AE211" s="1165">
        <f aca="true" t="shared" si="205" ref="AE211:AE221">AD211+AE210</f>
        <v>0</v>
      </c>
      <c r="AF211" s="921">
        <f>+AS188</f>
        <v>0</v>
      </c>
      <c r="AG211" s="1177">
        <f aca="true" t="shared" si="206" ref="AG211:AG221">+AG210</f>
        <v>0.0022</v>
      </c>
      <c r="AH211" s="1165">
        <f t="shared" si="181"/>
        <v>0</v>
      </c>
      <c r="AI211" s="1165">
        <f aca="true" t="shared" si="207" ref="AI211:AI221">AH211+AI210</f>
        <v>0</v>
      </c>
      <c r="AJ211" s="921">
        <f>+AU188</f>
        <v>0</v>
      </c>
      <c r="AK211" s="1177">
        <f aca="true" t="shared" si="208" ref="AK211:AK221">+AK210</f>
        <v>0.0022</v>
      </c>
      <c r="AL211" s="1165">
        <f t="shared" si="182"/>
        <v>0</v>
      </c>
      <c r="AM211" s="1165">
        <f aca="true" t="shared" si="209" ref="AM211:AM221">AL211+AM210</f>
        <v>0</v>
      </c>
      <c r="AN211" s="921">
        <f t="shared" si="183"/>
        <v>0</v>
      </c>
      <c r="AO211" s="1177">
        <f aca="true" t="shared" si="210" ref="AO211:AO221">+AO210</f>
        <v>0.0022</v>
      </c>
      <c r="AP211" s="1417">
        <f t="shared" si="191"/>
        <v>0</v>
      </c>
      <c r="AQ211" s="1417">
        <f aca="true" t="shared" si="211" ref="AQ211:AQ221">AP211+AQ210</f>
        <v>0</v>
      </c>
      <c r="AR211" s="921">
        <f t="shared" si="184"/>
        <v>0</v>
      </c>
      <c r="AS211" s="1177">
        <f aca="true" t="shared" si="212" ref="AS211:AS221">+AS210</f>
        <v>0.0022</v>
      </c>
      <c r="AT211" s="1165">
        <f t="shared" si="185"/>
        <v>0</v>
      </c>
      <c r="AU211" s="1165">
        <f aca="true" t="shared" si="213" ref="AU211:AU221">AT211+AU210</f>
        <v>0</v>
      </c>
    </row>
    <row r="212" spans="3:47" ht="12.75">
      <c r="C212" s="1147" t="s">
        <v>603</v>
      </c>
      <c r="D212" s="1165">
        <f t="shared" si="173"/>
        <v>4290766.09</v>
      </c>
      <c r="E212" s="1177">
        <f t="shared" si="192"/>
        <v>0.0022</v>
      </c>
      <c r="F212" s="1165">
        <f t="shared" si="174"/>
        <v>9439.685398</v>
      </c>
      <c r="G212" s="1165">
        <f t="shared" si="193"/>
        <v>19849.340236</v>
      </c>
      <c r="H212" s="1176">
        <f t="shared" si="186"/>
        <v>0</v>
      </c>
      <c r="I212" s="1177">
        <f t="shared" si="194"/>
        <v>0.0022</v>
      </c>
      <c r="J212" s="1165">
        <f t="shared" si="175"/>
        <v>0</v>
      </c>
      <c r="K212" s="1165">
        <f t="shared" si="195"/>
        <v>0</v>
      </c>
      <c r="L212" s="1176">
        <f t="shared" si="176"/>
        <v>0</v>
      </c>
      <c r="M212" s="1212">
        <f t="shared" si="196"/>
        <v>0.0022</v>
      </c>
      <c r="N212" s="1165">
        <f t="shared" si="187"/>
        <v>0</v>
      </c>
      <c r="O212" s="1165">
        <f t="shared" si="197"/>
        <v>0</v>
      </c>
      <c r="P212" s="1176">
        <f t="shared" si="188"/>
        <v>0</v>
      </c>
      <c r="Q212" s="1177">
        <f t="shared" si="198"/>
        <v>0.0022</v>
      </c>
      <c r="R212" s="1165">
        <f t="shared" si="177"/>
        <v>0</v>
      </c>
      <c r="S212" s="1165">
        <f t="shared" si="199"/>
        <v>0</v>
      </c>
      <c r="T212" s="1176">
        <f t="shared" si="178"/>
        <v>0</v>
      </c>
      <c r="U212" s="1177">
        <f t="shared" si="200"/>
        <v>0.0022</v>
      </c>
      <c r="V212" s="1165">
        <f t="shared" si="189"/>
        <v>0</v>
      </c>
      <c r="W212" s="1165">
        <f t="shared" si="201"/>
        <v>0</v>
      </c>
      <c r="X212" s="921">
        <f t="shared" si="179"/>
        <v>2083.0799999999763</v>
      </c>
      <c r="Y212" s="1177">
        <f t="shared" si="202"/>
        <v>0.0022</v>
      </c>
      <c r="Z212" s="1165">
        <f t="shared" si="190"/>
        <v>4.5827759999999484</v>
      </c>
      <c r="AA212" s="1165">
        <f t="shared" si="203"/>
        <v>9.165573999999925</v>
      </c>
      <c r="AB212" s="921">
        <f aca="true" t="shared" si="214" ref="AB212:AB221">+AQ189</f>
        <v>0</v>
      </c>
      <c r="AC212" s="1177">
        <f t="shared" si="204"/>
        <v>0.0022</v>
      </c>
      <c r="AD212" s="1165">
        <f t="shared" si="180"/>
        <v>0</v>
      </c>
      <c r="AE212" s="1165">
        <f t="shared" si="205"/>
        <v>0</v>
      </c>
      <c r="AF212" s="921">
        <f aca="true" t="shared" si="215" ref="AF212:AF221">+AS189</f>
        <v>0</v>
      </c>
      <c r="AG212" s="1177">
        <f t="shared" si="206"/>
        <v>0.0022</v>
      </c>
      <c r="AH212" s="1165">
        <f t="shared" si="181"/>
        <v>0</v>
      </c>
      <c r="AI212" s="1165">
        <f t="shared" si="207"/>
        <v>0</v>
      </c>
      <c r="AJ212" s="921">
        <f aca="true" t="shared" si="216" ref="AJ212:AJ221">+AU189</f>
        <v>0</v>
      </c>
      <c r="AK212" s="1177">
        <f t="shared" si="208"/>
        <v>0.0022</v>
      </c>
      <c r="AL212" s="1165">
        <f t="shared" si="182"/>
        <v>0</v>
      </c>
      <c r="AM212" s="1165">
        <f t="shared" si="209"/>
        <v>0</v>
      </c>
      <c r="AN212" s="921">
        <f t="shared" si="183"/>
        <v>0</v>
      </c>
      <c r="AO212" s="1177">
        <f t="shared" si="210"/>
        <v>0.0022</v>
      </c>
      <c r="AP212" s="1417">
        <f t="shared" si="191"/>
        <v>0</v>
      </c>
      <c r="AQ212" s="1417">
        <f t="shared" si="211"/>
        <v>0</v>
      </c>
      <c r="AR212" s="921">
        <f t="shared" si="184"/>
        <v>0</v>
      </c>
      <c r="AS212" s="1177">
        <f t="shared" si="212"/>
        <v>0.0022</v>
      </c>
      <c r="AT212" s="1165">
        <f t="shared" si="185"/>
        <v>0</v>
      </c>
      <c r="AU212" s="1165">
        <f t="shared" si="213"/>
        <v>0</v>
      </c>
    </row>
    <row r="213" spans="3:47" ht="12.75">
      <c r="C213" s="1147" t="s">
        <v>604</v>
      </c>
      <c r="D213" s="1165">
        <f t="shared" si="173"/>
        <v>2656368.159999999</v>
      </c>
      <c r="E213" s="1177">
        <f t="shared" si="192"/>
        <v>0.0022</v>
      </c>
      <c r="F213" s="1165">
        <f t="shared" si="174"/>
        <v>5844.0099519999985</v>
      </c>
      <c r="G213" s="1165">
        <f t="shared" si="193"/>
        <v>25693.350187999997</v>
      </c>
      <c r="H213" s="1176">
        <f t="shared" si="186"/>
        <v>0</v>
      </c>
      <c r="I213" s="1177">
        <f t="shared" si="194"/>
        <v>0.0022</v>
      </c>
      <c r="J213" s="1165">
        <f t="shared" si="175"/>
        <v>0</v>
      </c>
      <c r="K213" s="1165">
        <f t="shared" si="195"/>
        <v>0</v>
      </c>
      <c r="L213" s="1176">
        <f t="shared" si="176"/>
        <v>0</v>
      </c>
      <c r="M213" s="1212">
        <f t="shared" si="196"/>
        <v>0.0022</v>
      </c>
      <c r="N213" s="1165">
        <f t="shared" si="187"/>
        <v>0</v>
      </c>
      <c r="O213" s="1165">
        <f t="shared" si="197"/>
        <v>0</v>
      </c>
      <c r="P213" s="1176">
        <f t="shared" si="188"/>
        <v>0</v>
      </c>
      <c r="Q213" s="1177">
        <f t="shared" si="198"/>
        <v>0.0022</v>
      </c>
      <c r="R213" s="1165">
        <f t="shared" si="177"/>
        <v>0</v>
      </c>
      <c r="S213" s="1165">
        <f t="shared" si="199"/>
        <v>0</v>
      </c>
      <c r="T213" s="1176">
        <f t="shared" si="178"/>
        <v>0</v>
      </c>
      <c r="U213" s="1177">
        <f t="shared" si="200"/>
        <v>0.0022</v>
      </c>
      <c r="V213" s="1165">
        <f t="shared" si="189"/>
        <v>0</v>
      </c>
      <c r="W213" s="1165">
        <f t="shared" si="201"/>
        <v>0</v>
      </c>
      <c r="X213" s="921">
        <f t="shared" si="179"/>
        <v>2083.0799999999763</v>
      </c>
      <c r="Y213" s="1177">
        <f t="shared" si="202"/>
        <v>0.0022</v>
      </c>
      <c r="Z213" s="1165">
        <f t="shared" si="190"/>
        <v>4.5827759999999484</v>
      </c>
      <c r="AA213" s="1165">
        <f t="shared" si="203"/>
        <v>13.748349999999874</v>
      </c>
      <c r="AB213" s="921">
        <f t="shared" si="214"/>
        <v>0</v>
      </c>
      <c r="AC213" s="1177">
        <f t="shared" si="204"/>
        <v>0.0022</v>
      </c>
      <c r="AD213" s="1165">
        <f t="shared" si="180"/>
        <v>0</v>
      </c>
      <c r="AE213" s="1165">
        <f t="shared" si="205"/>
        <v>0</v>
      </c>
      <c r="AF213" s="921">
        <f t="shared" si="215"/>
        <v>0</v>
      </c>
      <c r="AG213" s="1177">
        <f t="shared" si="206"/>
        <v>0.0022</v>
      </c>
      <c r="AH213" s="1165">
        <f t="shared" si="181"/>
        <v>0</v>
      </c>
      <c r="AI213" s="1165">
        <f t="shared" si="207"/>
        <v>0</v>
      </c>
      <c r="AJ213" s="921">
        <f t="shared" si="216"/>
        <v>0</v>
      </c>
      <c r="AK213" s="1177">
        <f t="shared" si="208"/>
        <v>0.0022</v>
      </c>
      <c r="AL213" s="1165">
        <f t="shared" si="182"/>
        <v>0</v>
      </c>
      <c r="AM213" s="1165">
        <f t="shared" si="209"/>
        <v>0</v>
      </c>
      <c r="AN213" s="921">
        <f t="shared" si="183"/>
        <v>0</v>
      </c>
      <c r="AO213" s="1177">
        <f t="shared" si="210"/>
        <v>0.0022</v>
      </c>
      <c r="AP213" s="1417">
        <f t="shared" si="191"/>
        <v>0</v>
      </c>
      <c r="AQ213" s="1417">
        <f t="shared" si="211"/>
        <v>0</v>
      </c>
      <c r="AR213" s="921">
        <f t="shared" si="184"/>
        <v>0</v>
      </c>
      <c r="AS213" s="1177">
        <f t="shared" si="212"/>
        <v>0.0022</v>
      </c>
      <c r="AT213" s="1165">
        <f t="shared" si="185"/>
        <v>0</v>
      </c>
      <c r="AU213" s="1165">
        <f t="shared" si="213"/>
        <v>0</v>
      </c>
    </row>
    <row r="214" spans="3:47" ht="12.75">
      <c r="C214" s="1147" t="s">
        <v>599</v>
      </c>
      <c r="D214" s="1165">
        <f t="shared" si="173"/>
        <v>31707150.676275644</v>
      </c>
      <c r="E214" s="1177">
        <f t="shared" si="192"/>
        <v>0.0022</v>
      </c>
      <c r="F214" s="1165">
        <f t="shared" si="174"/>
        <v>69755.73148780642</v>
      </c>
      <c r="G214" s="1165">
        <f t="shared" si="193"/>
        <v>95449.08167580642</v>
      </c>
      <c r="H214" s="1176">
        <f t="shared" si="186"/>
        <v>0</v>
      </c>
      <c r="I214" s="1177">
        <f t="shared" si="194"/>
        <v>0.0022</v>
      </c>
      <c r="J214" s="1165">
        <f t="shared" si="175"/>
        <v>0</v>
      </c>
      <c r="K214" s="1165">
        <f t="shared" si="195"/>
        <v>0</v>
      </c>
      <c r="L214" s="1176">
        <f t="shared" si="176"/>
        <v>0</v>
      </c>
      <c r="M214" s="1212">
        <f t="shared" si="196"/>
        <v>0.0022</v>
      </c>
      <c r="N214" s="1165">
        <f t="shared" si="187"/>
        <v>0</v>
      </c>
      <c r="O214" s="1165">
        <f t="shared" si="197"/>
        <v>0</v>
      </c>
      <c r="P214" s="1176">
        <f t="shared" si="188"/>
        <v>0</v>
      </c>
      <c r="Q214" s="1177">
        <f t="shared" si="198"/>
        <v>0.0022</v>
      </c>
      <c r="R214" s="1165">
        <f t="shared" si="177"/>
        <v>0</v>
      </c>
      <c r="S214" s="1165">
        <f t="shared" si="199"/>
        <v>0</v>
      </c>
      <c r="T214" s="1176">
        <f t="shared" si="178"/>
        <v>0</v>
      </c>
      <c r="U214" s="1177">
        <f t="shared" si="200"/>
        <v>0.0022</v>
      </c>
      <c r="V214" s="1165">
        <f t="shared" si="189"/>
        <v>0</v>
      </c>
      <c r="W214" s="1165">
        <f t="shared" si="201"/>
        <v>0</v>
      </c>
      <c r="X214" s="921">
        <f t="shared" si="179"/>
        <v>2083.0799999999763</v>
      </c>
      <c r="Y214" s="1177">
        <f t="shared" si="202"/>
        <v>0.0022</v>
      </c>
      <c r="Z214" s="1165">
        <f t="shared" si="190"/>
        <v>4.5827759999999484</v>
      </c>
      <c r="AA214" s="1165">
        <f t="shared" si="203"/>
        <v>18.331125999999824</v>
      </c>
      <c r="AB214" s="921">
        <f t="shared" si="214"/>
        <v>0</v>
      </c>
      <c r="AC214" s="1177">
        <f t="shared" si="204"/>
        <v>0.0022</v>
      </c>
      <c r="AD214" s="1165">
        <f t="shared" si="180"/>
        <v>0</v>
      </c>
      <c r="AE214" s="1165">
        <f t="shared" si="205"/>
        <v>0</v>
      </c>
      <c r="AF214" s="921">
        <f t="shared" si="215"/>
        <v>0</v>
      </c>
      <c r="AG214" s="1177">
        <f t="shared" si="206"/>
        <v>0.0022</v>
      </c>
      <c r="AH214" s="1165">
        <f t="shared" si="181"/>
        <v>0</v>
      </c>
      <c r="AI214" s="1165">
        <f t="shared" si="207"/>
        <v>0</v>
      </c>
      <c r="AJ214" s="921">
        <f t="shared" si="216"/>
        <v>0</v>
      </c>
      <c r="AK214" s="1177">
        <f t="shared" si="208"/>
        <v>0.0022</v>
      </c>
      <c r="AL214" s="1165">
        <f t="shared" si="182"/>
        <v>0</v>
      </c>
      <c r="AM214" s="1165">
        <f t="shared" si="209"/>
        <v>0</v>
      </c>
      <c r="AN214" s="921">
        <f t="shared" si="183"/>
        <v>0</v>
      </c>
      <c r="AO214" s="1177">
        <f t="shared" si="210"/>
        <v>0.0022</v>
      </c>
      <c r="AP214" s="1417">
        <f t="shared" si="191"/>
        <v>0</v>
      </c>
      <c r="AQ214" s="1417">
        <f t="shared" si="211"/>
        <v>0</v>
      </c>
      <c r="AR214" s="921">
        <f t="shared" si="184"/>
        <v>0</v>
      </c>
      <c r="AS214" s="1177">
        <f t="shared" si="212"/>
        <v>0.0022</v>
      </c>
      <c r="AT214" s="1165">
        <f t="shared" si="185"/>
        <v>0</v>
      </c>
      <c r="AU214" s="1165">
        <f t="shared" si="213"/>
        <v>0</v>
      </c>
    </row>
    <row r="215" spans="3:47" ht="12.75">
      <c r="C215" s="1147" t="s">
        <v>605</v>
      </c>
      <c r="D215" s="1165">
        <f t="shared" si="173"/>
        <v>32504298.85576029</v>
      </c>
      <c r="E215" s="1177">
        <f t="shared" si="192"/>
        <v>0.0022</v>
      </c>
      <c r="F215" s="1165">
        <f t="shared" si="174"/>
        <v>71509.45748267265</v>
      </c>
      <c r="G215" s="1165">
        <f t="shared" si="193"/>
        <v>166958.53915847908</v>
      </c>
      <c r="H215" s="1176">
        <f t="shared" si="186"/>
        <v>0</v>
      </c>
      <c r="I215" s="1177">
        <f t="shared" si="194"/>
        <v>0.0022</v>
      </c>
      <c r="J215" s="1165">
        <f t="shared" si="175"/>
        <v>0</v>
      </c>
      <c r="K215" s="1165">
        <f t="shared" si="195"/>
        <v>0</v>
      </c>
      <c r="L215" s="1176">
        <f t="shared" si="176"/>
        <v>0</v>
      </c>
      <c r="M215" s="1212">
        <f t="shared" si="196"/>
        <v>0.0022</v>
      </c>
      <c r="N215" s="1165">
        <f t="shared" si="187"/>
        <v>0</v>
      </c>
      <c r="O215" s="1165">
        <f t="shared" si="197"/>
        <v>0</v>
      </c>
      <c r="P215" s="1176">
        <f t="shared" si="188"/>
        <v>0</v>
      </c>
      <c r="Q215" s="1177">
        <f t="shared" si="198"/>
        <v>0.0022</v>
      </c>
      <c r="R215" s="1165">
        <f t="shared" si="177"/>
        <v>0</v>
      </c>
      <c r="S215" s="1165">
        <f t="shared" si="199"/>
        <v>0</v>
      </c>
      <c r="T215" s="1176">
        <f t="shared" si="178"/>
        <v>0</v>
      </c>
      <c r="U215" s="1177">
        <f t="shared" si="200"/>
        <v>0.0022</v>
      </c>
      <c r="V215" s="1165">
        <f t="shared" si="189"/>
        <v>0</v>
      </c>
      <c r="W215" s="1165">
        <f t="shared" si="201"/>
        <v>0</v>
      </c>
      <c r="X215" s="921">
        <f t="shared" si="179"/>
        <v>2083.0799999999763</v>
      </c>
      <c r="Y215" s="1177">
        <f t="shared" si="202"/>
        <v>0.0022</v>
      </c>
      <c r="Z215" s="1165">
        <f t="shared" si="190"/>
        <v>4.5827759999999484</v>
      </c>
      <c r="AA215" s="1165">
        <f t="shared" si="203"/>
        <v>22.913901999999773</v>
      </c>
      <c r="AB215" s="921">
        <f t="shared" si="214"/>
        <v>0</v>
      </c>
      <c r="AC215" s="1177">
        <f t="shared" si="204"/>
        <v>0.0022</v>
      </c>
      <c r="AD215" s="1165">
        <f t="shared" si="180"/>
        <v>0</v>
      </c>
      <c r="AE215" s="1165">
        <f t="shared" si="205"/>
        <v>0</v>
      </c>
      <c r="AF215" s="921">
        <f t="shared" si="215"/>
        <v>0</v>
      </c>
      <c r="AG215" s="1177">
        <f t="shared" si="206"/>
        <v>0.0022</v>
      </c>
      <c r="AH215" s="1165">
        <f t="shared" si="181"/>
        <v>0</v>
      </c>
      <c r="AI215" s="1165">
        <f t="shared" si="207"/>
        <v>0</v>
      </c>
      <c r="AJ215" s="921">
        <f t="shared" si="216"/>
        <v>0</v>
      </c>
      <c r="AK215" s="1177">
        <f t="shared" si="208"/>
        <v>0.0022</v>
      </c>
      <c r="AL215" s="1165">
        <f t="shared" si="182"/>
        <v>0</v>
      </c>
      <c r="AM215" s="1165">
        <f t="shared" si="209"/>
        <v>0</v>
      </c>
      <c r="AN215" s="921">
        <f t="shared" si="183"/>
        <v>0</v>
      </c>
      <c r="AO215" s="1177">
        <f t="shared" si="210"/>
        <v>0.0022</v>
      </c>
      <c r="AP215" s="1417">
        <f t="shared" si="191"/>
        <v>0</v>
      </c>
      <c r="AQ215" s="1417">
        <f t="shared" si="211"/>
        <v>0</v>
      </c>
      <c r="AR215" s="921">
        <f t="shared" si="184"/>
        <v>0</v>
      </c>
      <c r="AS215" s="1177">
        <f t="shared" si="212"/>
        <v>0.0022</v>
      </c>
      <c r="AT215" s="1165">
        <f t="shared" si="185"/>
        <v>0</v>
      </c>
      <c r="AU215" s="1165">
        <f t="shared" si="213"/>
        <v>0</v>
      </c>
    </row>
    <row r="216" spans="3:47" ht="12.75">
      <c r="C216" s="1147" t="s">
        <v>606</v>
      </c>
      <c r="D216" s="1165">
        <f t="shared" si="173"/>
        <v>33248478.035244938</v>
      </c>
      <c r="E216" s="1177">
        <f t="shared" si="192"/>
        <v>0.0022</v>
      </c>
      <c r="F216" s="1165">
        <f t="shared" si="174"/>
        <v>73146.65167753887</v>
      </c>
      <c r="G216" s="1165">
        <f t="shared" si="193"/>
        <v>240105.19083601795</v>
      </c>
      <c r="H216" s="1176">
        <f t="shared" si="186"/>
        <v>0</v>
      </c>
      <c r="I216" s="1177">
        <f t="shared" si="194"/>
        <v>0.0022</v>
      </c>
      <c r="J216" s="1165">
        <f t="shared" si="175"/>
        <v>0</v>
      </c>
      <c r="K216" s="1165">
        <f t="shared" si="195"/>
        <v>0</v>
      </c>
      <c r="L216" s="1176">
        <f t="shared" si="176"/>
        <v>0</v>
      </c>
      <c r="M216" s="1212">
        <f t="shared" si="196"/>
        <v>0.0022</v>
      </c>
      <c r="N216" s="1165">
        <f t="shared" si="187"/>
        <v>0</v>
      </c>
      <c r="O216" s="1165">
        <f t="shared" si="197"/>
        <v>0</v>
      </c>
      <c r="P216" s="1176">
        <f t="shared" si="188"/>
        <v>0</v>
      </c>
      <c r="Q216" s="1177">
        <f t="shared" si="198"/>
        <v>0.0022</v>
      </c>
      <c r="R216" s="1165">
        <f t="shared" si="177"/>
        <v>0</v>
      </c>
      <c r="S216" s="1165">
        <f t="shared" si="199"/>
        <v>0</v>
      </c>
      <c r="T216" s="1176">
        <f t="shared" si="178"/>
        <v>0</v>
      </c>
      <c r="U216" s="1177">
        <f t="shared" si="200"/>
        <v>0.0022</v>
      </c>
      <c r="V216" s="1165">
        <f t="shared" si="189"/>
        <v>0</v>
      </c>
      <c r="W216" s="1165">
        <f t="shared" si="201"/>
        <v>0</v>
      </c>
      <c r="X216" s="921">
        <f t="shared" si="179"/>
        <v>2083.0799999999763</v>
      </c>
      <c r="Y216" s="1177">
        <f t="shared" si="202"/>
        <v>0.0022</v>
      </c>
      <c r="Z216" s="1165">
        <f t="shared" si="190"/>
        <v>4.5827759999999484</v>
      </c>
      <c r="AA216" s="1165">
        <f t="shared" si="203"/>
        <v>27.496677999999722</v>
      </c>
      <c r="AB216" s="921">
        <f t="shared" si="214"/>
        <v>0</v>
      </c>
      <c r="AC216" s="1177">
        <f t="shared" si="204"/>
        <v>0.0022</v>
      </c>
      <c r="AD216" s="1165">
        <f t="shared" si="180"/>
        <v>0</v>
      </c>
      <c r="AE216" s="1165">
        <f t="shared" si="205"/>
        <v>0</v>
      </c>
      <c r="AF216" s="921">
        <f t="shared" si="215"/>
        <v>0</v>
      </c>
      <c r="AG216" s="1177">
        <f t="shared" si="206"/>
        <v>0.0022</v>
      </c>
      <c r="AH216" s="1165">
        <f t="shared" si="181"/>
        <v>0</v>
      </c>
      <c r="AI216" s="1165">
        <f t="shared" si="207"/>
        <v>0</v>
      </c>
      <c r="AJ216" s="921">
        <f t="shared" si="216"/>
        <v>0</v>
      </c>
      <c r="AK216" s="1177">
        <f t="shared" si="208"/>
        <v>0.0022</v>
      </c>
      <c r="AL216" s="1165">
        <f t="shared" si="182"/>
        <v>0</v>
      </c>
      <c r="AM216" s="1165">
        <f t="shared" si="209"/>
        <v>0</v>
      </c>
      <c r="AN216" s="921">
        <f t="shared" si="183"/>
        <v>0</v>
      </c>
      <c r="AO216" s="1177">
        <f t="shared" si="210"/>
        <v>0.0022</v>
      </c>
      <c r="AP216" s="1417">
        <f t="shared" si="191"/>
        <v>0</v>
      </c>
      <c r="AQ216" s="1417">
        <f t="shared" si="211"/>
        <v>0</v>
      </c>
      <c r="AR216" s="921">
        <f t="shared" si="184"/>
        <v>0</v>
      </c>
      <c r="AS216" s="1177">
        <f t="shared" si="212"/>
        <v>0.0022</v>
      </c>
      <c r="AT216" s="1165">
        <f t="shared" si="185"/>
        <v>0</v>
      </c>
      <c r="AU216" s="1165">
        <f t="shared" si="213"/>
        <v>0</v>
      </c>
    </row>
    <row r="217" spans="3:47" ht="12.75">
      <c r="C217" s="1147" t="s">
        <v>607</v>
      </c>
      <c r="D217" s="1165">
        <f t="shared" si="173"/>
        <v>37585433.15196381</v>
      </c>
      <c r="E217" s="1177">
        <f t="shared" si="192"/>
        <v>0.0022</v>
      </c>
      <c r="F217" s="1165">
        <f t="shared" si="174"/>
        <v>82687.95293432038</v>
      </c>
      <c r="G217" s="1165">
        <f t="shared" si="193"/>
        <v>322793.1437703383</v>
      </c>
      <c r="H217" s="1176">
        <f t="shared" si="186"/>
        <v>0</v>
      </c>
      <c r="I217" s="1177">
        <f t="shared" si="194"/>
        <v>0.0022</v>
      </c>
      <c r="J217" s="1165">
        <f t="shared" si="175"/>
        <v>0</v>
      </c>
      <c r="K217" s="1165">
        <f t="shared" si="195"/>
        <v>0</v>
      </c>
      <c r="L217" s="1176">
        <f t="shared" si="176"/>
        <v>0</v>
      </c>
      <c r="M217" s="1212">
        <f t="shared" si="196"/>
        <v>0.0022</v>
      </c>
      <c r="N217" s="1165">
        <f t="shared" si="187"/>
        <v>0</v>
      </c>
      <c r="O217" s="1165">
        <f t="shared" si="197"/>
        <v>0</v>
      </c>
      <c r="P217" s="1176">
        <f t="shared" si="188"/>
        <v>0</v>
      </c>
      <c r="Q217" s="1177">
        <f t="shared" si="198"/>
        <v>0.0022</v>
      </c>
      <c r="R217" s="1165">
        <f t="shared" si="177"/>
        <v>0</v>
      </c>
      <c r="S217" s="1165">
        <f t="shared" si="199"/>
        <v>0</v>
      </c>
      <c r="T217" s="1176">
        <f t="shared" si="178"/>
        <v>0</v>
      </c>
      <c r="U217" s="1177">
        <f t="shared" si="200"/>
        <v>0.0022</v>
      </c>
      <c r="V217" s="1165">
        <f t="shared" si="189"/>
        <v>0</v>
      </c>
      <c r="W217" s="1165">
        <f t="shared" si="201"/>
        <v>0</v>
      </c>
      <c r="X217" s="921">
        <f t="shared" si="179"/>
        <v>2083.0799999999763</v>
      </c>
      <c r="Y217" s="1177">
        <f t="shared" si="202"/>
        <v>0.0022</v>
      </c>
      <c r="Z217" s="1165">
        <f t="shared" si="190"/>
        <v>4.5827759999999484</v>
      </c>
      <c r="AA217" s="1165">
        <f t="shared" si="203"/>
        <v>32.07945399999967</v>
      </c>
      <c r="AB217" s="921">
        <f t="shared" si="214"/>
        <v>0</v>
      </c>
      <c r="AC217" s="1177">
        <f t="shared" si="204"/>
        <v>0.0022</v>
      </c>
      <c r="AD217" s="1165">
        <f t="shared" si="180"/>
        <v>0</v>
      </c>
      <c r="AE217" s="1165">
        <f t="shared" si="205"/>
        <v>0</v>
      </c>
      <c r="AF217" s="921">
        <f t="shared" si="215"/>
        <v>0</v>
      </c>
      <c r="AG217" s="1177">
        <f t="shared" si="206"/>
        <v>0.0022</v>
      </c>
      <c r="AH217" s="1165">
        <f t="shared" si="181"/>
        <v>0</v>
      </c>
      <c r="AI217" s="1165">
        <f t="shared" si="207"/>
        <v>0</v>
      </c>
      <c r="AJ217" s="921">
        <f t="shared" si="216"/>
        <v>0</v>
      </c>
      <c r="AK217" s="1177">
        <f t="shared" si="208"/>
        <v>0.0022</v>
      </c>
      <c r="AL217" s="1165">
        <f t="shared" si="182"/>
        <v>0</v>
      </c>
      <c r="AM217" s="1165">
        <f t="shared" si="209"/>
        <v>0</v>
      </c>
      <c r="AN217" s="921">
        <f t="shared" si="183"/>
        <v>0</v>
      </c>
      <c r="AO217" s="1177">
        <f t="shared" si="210"/>
        <v>0.0022</v>
      </c>
      <c r="AP217" s="1417">
        <f t="shared" si="191"/>
        <v>0</v>
      </c>
      <c r="AQ217" s="1417">
        <f t="shared" si="211"/>
        <v>0</v>
      </c>
      <c r="AR217" s="921">
        <f t="shared" si="184"/>
        <v>0</v>
      </c>
      <c r="AS217" s="1177">
        <f t="shared" si="212"/>
        <v>0.0022</v>
      </c>
      <c r="AT217" s="1165">
        <f t="shared" si="185"/>
        <v>0</v>
      </c>
      <c r="AU217" s="1165">
        <f t="shared" si="213"/>
        <v>0</v>
      </c>
    </row>
    <row r="218" spans="3:47" ht="12.75">
      <c r="C218" s="1147" t="s">
        <v>608</v>
      </c>
      <c r="D218" s="1165">
        <f t="shared" si="173"/>
        <v>38739368.55873665</v>
      </c>
      <c r="E218" s="1177">
        <f t="shared" si="192"/>
        <v>0.0022</v>
      </c>
      <c r="F218" s="1165">
        <f t="shared" si="174"/>
        <v>85226.61082922063</v>
      </c>
      <c r="G218" s="1165">
        <f t="shared" si="193"/>
        <v>408019.75459955895</v>
      </c>
      <c r="H218" s="1176">
        <f t="shared" si="186"/>
        <v>0</v>
      </c>
      <c r="I218" s="1177">
        <f t="shared" si="194"/>
        <v>0.0022</v>
      </c>
      <c r="J218" s="1165">
        <f t="shared" si="175"/>
        <v>0</v>
      </c>
      <c r="K218" s="1165">
        <f t="shared" si="195"/>
        <v>0</v>
      </c>
      <c r="L218" s="1176">
        <f t="shared" si="176"/>
        <v>0</v>
      </c>
      <c r="M218" s="1212">
        <f t="shared" si="196"/>
        <v>0.0022</v>
      </c>
      <c r="N218" s="1165">
        <f t="shared" si="187"/>
        <v>0</v>
      </c>
      <c r="O218" s="1165">
        <f t="shared" si="197"/>
        <v>0</v>
      </c>
      <c r="P218" s="1176">
        <f t="shared" si="188"/>
        <v>0</v>
      </c>
      <c r="Q218" s="1177">
        <f t="shared" si="198"/>
        <v>0.0022</v>
      </c>
      <c r="R218" s="1165">
        <f t="shared" si="177"/>
        <v>0</v>
      </c>
      <c r="S218" s="1165">
        <f t="shared" si="199"/>
        <v>0</v>
      </c>
      <c r="T218" s="1176">
        <f t="shared" si="178"/>
        <v>0</v>
      </c>
      <c r="U218" s="1177">
        <f t="shared" si="200"/>
        <v>0.0022</v>
      </c>
      <c r="V218" s="1165">
        <f t="shared" si="189"/>
        <v>0</v>
      </c>
      <c r="W218" s="1165">
        <f t="shared" si="201"/>
        <v>0</v>
      </c>
      <c r="X218" s="921">
        <f t="shared" si="179"/>
        <v>2083.0799999999763</v>
      </c>
      <c r="Y218" s="1177">
        <f t="shared" si="202"/>
        <v>0.0022</v>
      </c>
      <c r="Z218" s="1165">
        <f t="shared" si="190"/>
        <v>4.5827759999999484</v>
      </c>
      <c r="AA218" s="1165">
        <f t="shared" si="203"/>
        <v>36.66222999999962</v>
      </c>
      <c r="AB218" s="921">
        <f t="shared" si="214"/>
        <v>0</v>
      </c>
      <c r="AC218" s="1177">
        <f t="shared" si="204"/>
        <v>0.0022</v>
      </c>
      <c r="AD218" s="1165">
        <f t="shared" si="180"/>
        <v>0</v>
      </c>
      <c r="AE218" s="1165">
        <f t="shared" si="205"/>
        <v>0</v>
      </c>
      <c r="AF218" s="921">
        <f t="shared" si="215"/>
        <v>0</v>
      </c>
      <c r="AG218" s="1177">
        <f t="shared" si="206"/>
        <v>0.0022</v>
      </c>
      <c r="AH218" s="1165">
        <f t="shared" si="181"/>
        <v>0</v>
      </c>
      <c r="AI218" s="1165">
        <f t="shared" si="207"/>
        <v>0</v>
      </c>
      <c r="AJ218" s="921">
        <f t="shared" si="216"/>
        <v>0</v>
      </c>
      <c r="AK218" s="1177">
        <f t="shared" si="208"/>
        <v>0.0022</v>
      </c>
      <c r="AL218" s="1165">
        <f t="shared" si="182"/>
        <v>0</v>
      </c>
      <c r="AM218" s="1165">
        <f t="shared" si="209"/>
        <v>0</v>
      </c>
      <c r="AN218" s="921">
        <f t="shared" si="183"/>
        <v>0</v>
      </c>
      <c r="AO218" s="1177">
        <f t="shared" si="210"/>
        <v>0.0022</v>
      </c>
      <c r="AP218" s="1417">
        <f t="shared" si="191"/>
        <v>0</v>
      </c>
      <c r="AQ218" s="1417">
        <f t="shared" si="211"/>
        <v>0</v>
      </c>
      <c r="AR218" s="921">
        <f t="shared" si="184"/>
        <v>0</v>
      </c>
      <c r="AS218" s="1177">
        <f t="shared" si="212"/>
        <v>0.0022</v>
      </c>
      <c r="AT218" s="1165">
        <f t="shared" si="185"/>
        <v>0</v>
      </c>
      <c r="AU218" s="1165">
        <f t="shared" si="213"/>
        <v>0</v>
      </c>
    </row>
    <row r="219" spans="3:47" ht="12.75">
      <c r="C219" s="1147" t="s">
        <v>609</v>
      </c>
      <c r="D219" s="1165">
        <f t="shared" si="173"/>
        <v>40440606.5942213</v>
      </c>
      <c r="E219" s="1177">
        <f t="shared" si="192"/>
        <v>0.0022</v>
      </c>
      <c r="F219" s="1165">
        <f t="shared" si="174"/>
        <v>88969.33450728687</v>
      </c>
      <c r="G219" s="1165">
        <f t="shared" si="193"/>
        <v>496989.0891068458</v>
      </c>
      <c r="H219" s="1176">
        <f t="shared" si="186"/>
        <v>0</v>
      </c>
      <c r="I219" s="1177">
        <f t="shared" si="194"/>
        <v>0.0022</v>
      </c>
      <c r="J219" s="1165">
        <f t="shared" si="175"/>
        <v>0</v>
      </c>
      <c r="K219" s="1165">
        <f t="shared" si="195"/>
        <v>0</v>
      </c>
      <c r="L219" s="1176">
        <f t="shared" si="176"/>
        <v>0</v>
      </c>
      <c r="M219" s="1212">
        <f t="shared" si="196"/>
        <v>0.0022</v>
      </c>
      <c r="N219" s="1165">
        <f t="shared" si="187"/>
        <v>0</v>
      </c>
      <c r="O219" s="1165">
        <f t="shared" si="197"/>
        <v>0</v>
      </c>
      <c r="P219" s="1176">
        <f t="shared" si="188"/>
        <v>0</v>
      </c>
      <c r="Q219" s="1177">
        <f t="shared" si="198"/>
        <v>0.0022</v>
      </c>
      <c r="R219" s="1165">
        <f t="shared" si="177"/>
        <v>0</v>
      </c>
      <c r="S219" s="1165">
        <f t="shared" si="199"/>
        <v>0</v>
      </c>
      <c r="T219" s="1176">
        <f t="shared" si="178"/>
        <v>0</v>
      </c>
      <c r="U219" s="1177">
        <f t="shared" si="200"/>
        <v>0.0022</v>
      </c>
      <c r="V219" s="1165">
        <f t="shared" si="189"/>
        <v>0</v>
      </c>
      <c r="W219" s="1165">
        <f t="shared" si="201"/>
        <v>0</v>
      </c>
      <c r="X219" s="921">
        <f t="shared" si="179"/>
        <v>2083.0799999999763</v>
      </c>
      <c r="Y219" s="1177">
        <f t="shared" si="202"/>
        <v>0.0022</v>
      </c>
      <c r="Z219" s="1165">
        <f t="shared" si="190"/>
        <v>4.5827759999999484</v>
      </c>
      <c r="AA219" s="1165">
        <f t="shared" si="203"/>
        <v>41.24500599999956</v>
      </c>
      <c r="AB219" s="921">
        <f t="shared" si="214"/>
        <v>0</v>
      </c>
      <c r="AC219" s="1177">
        <f t="shared" si="204"/>
        <v>0.0022</v>
      </c>
      <c r="AD219" s="1165">
        <f t="shared" si="180"/>
        <v>0</v>
      </c>
      <c r="AE219" s="1165">
        <f t="shared" si="205"/>
        <v>0</v>
      </c>
      <c r="AF219" s="921">
        <f t="shared" si="215"/>
        <v>0</v>
      </c>
      <c r="AG219" s="1177">
        <f t="shared" si="206"/>
        <v>0.0022</v>
      </c>
      <c r="AH219" s="1165">
        <f t="shared" si="181"/>
        <v>0</v>
      </c>
      <c r="AI219" s="1165">
        <f t="shared" si="207"/>
        <v>0</v>
      </c>
      <c r="AJ219" s="921">
        <f t="shared" si="216"/>
        <v>0</v>
      </c>
      <c r="AK219" s="1177">
        <f t="shared" si="208"/>
        <v>0.0022</v>
      </c>
      <c r="AL219" s="1165">
        <f t="shared" si="182"/>
        <v>0</v>
      </c>
      <c r="AM219" s="1165">
        <f t="shared" si="209"/>
        <v>0</v>
      </c>
      <c r="AN219" s="921">
        <f t="shared" si="183"/>
        <v>0</v>
      </c>
      <c r="AO219" s="1177">
        <f t="shared" si="210"/>
        <v>0.0022</v>
      </c>
      <c r="AP219" s="1417">
        <f t="shared" si="191"/>
        <v>0</v>
      </c>
      <c r="AQ219" s="1417">
        <f t="shared" si="211"/>
        <v>0</v>
      </c>
      <c r="AR219" s="921">
        <f t="shared" si="184"/>
        <v>0</v>
      </c>
      <c r="AS219" s="1177">
        <f t="shared" si="212"/>
        <v>0.0022</v>
      </c>
      <c r="AT219" s="1165">
        <f t="shared" si="185"/>
        <v>0</v>
      </c>
      <c r="AU219" s="1165">
        <f t="shared" si="213"/>
        <v>0</v>
      </c>
    </row>
    <row r="220" spans="3:47" ht="12.75">
      <c r="C220" s="1147" t="s">
        <v>610</v>
      </c>
      <c r="D220" s="1165">
        <f t="shared" si="173"/>
        <v>45412187.96950595</v>
      </c>
      <c r="E220" s="1177">
        <f t="shared" si="192"/>
        <v>0.0022</v>
      </c>
      <c r="F220" s="1165">
        <f t="shared" si="174"/>
        <v>99906.8135329131</v>
      </c>
      <c r="G220" s="1165">
        <f t="shared" si="193"/>
        <v>596895.9026397589</v>
      </c>
      <c r="H220" s="1176">
        <f t="shared" si="186"/>
        <v>0</v>
      </c>
      <c r="I220" s="1177">
        <f t="shared" si="194"/>
        <v>0.0022</v>
      </c>
      <c r="J220" s="1165">
        <f t="shared" si="175"/>
        <v>0</v>
      </c>
      <c r="K220" s="1165">
        <f t="shared" si="195"/>
        <v>0</v>
      </c>
      <c r="L220" s="1176">
        <f t="shared" si="176"/>
        <v>0</v>
      </c>
      <c r="M220" s="1212">
        <f t="shared" si="196"/>
        <v>0.0022</v>
      </c>
      <c r="N220" s="1165">
        <f t="shared" si="187"/>
        <v>0</v>
      </c>
      <c r="O220" s="1165">
        <f t="shared" si="197"/>
        <v>0</v>
      </c>
      <c r="P220" s="1176">
        <f t="shared" si="188"/>
        <v>0</v>
      </c>
      <c r="Q220" s="1177">
        <f t="shared" si="198"/>
        <v>0.0022</v>
      </c>
      <c r="R220" s="1165">
        <f t="shared" si="177"/>
        <v>0</v>
      </c>
      <c r="S220" s="1165">
        <f t="shared" si="199"/>
        <v>0</v>
      </c>
      <c r="T220" s="1176">
        <f t="shared" si="178"/>
        <v>0</v>
      </c>
      <c r="U220" s="1177">
        <f t="shared" si="200"/>
        <v>0.0022</v>
      </c>
      <c r="V220" s="1165">
        <f t="shared" si="189"/>
        <v>0</v>
      </c>
      <c r="W220" s="1165">
        <f t="shared" si="201"/>
        <v>0</v>
      </c>
      <c r="X220" s="921">
        <f t="shared" si="179"/>
        <v>2083.0799999999763</v>
      </c>
      <c r="Y220" s="1177">
        <f t="shared" si="202"/>
        <v>0.0022</v>
      </c>
      <c r="Z220" s="1165">
        <f t="shared" si="190"/>
        <v>4.5827759999999484</v>
      </c>
      <c r="AA220" s="1165">
        <f t="shared" si="203"/>
        <v>45.82778199999951</v>
      </c>
      <c r="AB220" s="921">
        <f t="shared" si="214"/>
        <v>0</v>
      </c>
      <c r="AC220" s="1177">
        <f t="shared" si="204"/>
        <v>0.0022</v>
      </c>
      <c r="AD220" s="1165">
        <f t="shared" si="180"/>
        <v>0</v>
      </c>
      <c r="AE220" s="1165">
        <f t="shared" si="205"/>
        <v>0</v>
      </c>
      <c r="AF220" s="921">
        <f t="shared" si="215"/>
        <v>0</v>
      </c>
      <c r="AG220" s="1177">
        <f t="shared" si="206"/>
        <v>0.0022</v>
      </c>
      <c r="AH220" s="1165">
        <f t="shared" si="181"/>
        <v>0</v>
      </c>
      <c r="AI220" s="1165">
        <f t="shared" si="207"/>
        <v>0</v>
      </c>
      <c r="AJ220" s="921">
        <f t="shared" si="216"/>
        <v>0</v>
      </c>
      <c r="AK220" s="1177">
        <f t="shared" si="208"/>
        <v>0.0022</v>
      </c>
      <c r="AL220" s="1165">
        <f t="shared" si="182"/>
        <v>0</v>
      </c>
      <c r="AM220" s="1165">
        <f t="shared" si="209"/>
        <v>0</v>
      </c>
      <c r="AN220" s="921">
        <f t="shared" si="183"/>
        <v>0</v>
      </c>
      <c r="AO220" s="1177">
        <f t="shared" si="210"/>
        <v>0.0022</v>
      </c>
      <c r="AP220" s="1417">
        <f t="shared" si="191"/>
        <v>0</v>
      </c>
      <c r="AQ220" s="1417">
        <f t="shared" si="211"/>
        <v>0</v>
      </c>
      <c r="AR220" s="921">
        <f t="shared" si="184"/>
        <v>0</v>
      </c>
      <c r="AS220" s="1177">
        <f t="shared" si="212"/>
        <v>0.0022</v>
      </c>
      <c r="AT220" s="1165">
        <f t="shared" si="185"/>
        <v>0</v>
      </c>
      <c r="AU220" s="1165">
        <f t="shared" si="213"/>
        <v>0</v>
      </c>
    </row>
    <row r="221" spans="3:47" ht="12.75">
      <c r="C221" s="1147" t="s">
        <v>611</v>
      </c>
      <c r="D221" s="1172">
        <f t="shared" si="173"/>
        <v>57042391.56132878</v>
      </c>
      <c r="E221" s="1179">
        <f t="shared" si="192"/>
        <v>0.0022</v>
      </c>
      <c r="F221" s="1172">
        <f t="shared" si="174"/>
        <v>125493.26143492333</v>
      </c>
      <c r="G221" s="1172">
        <f t="shared" si="193"/>
        <v>722389.1640746822</v>
      </c>
      <c r="H221" s="1180">
        <f t="shared" si="186"/>
        <v>0</v>
      </c>
      <c r="I221" s="1179">
        <f t="shared" si="194"/>
        <v>0.0022</v>
      </c>
      <c r="J221" s="1172">
        <f t="shared" si="175"/>
        <v>0</v>
      </c>
      <c r="K221" s="1172">
        <f t="shared" si="195"/>
        <v>0</v>
      </c>
      <c r="L221" s="1180">
        <f t="shared" si="176"/>
        <v>0</v>
      </c>
      <c r="M221" s="1213">
        <f t="shared" si="196"/>
        <v>0.0022</v>
      </c>
      <c r="N221" s="1172">
        <f t="shared" si="187"/>
        <v>0</v>
      </c>
      <c r="O221" s="1172">
        <f t="shared" si="197"/>
        <v>0</v>
      </c>
      <c r="P221" s="1180">
        <f t="shared" si="188"/>
        <v>0</v>
      </c>
      <c r="Q221" s="1179">
        <f t="shared" si="198"/>
        <v>0.0022</v>
      </c>
      <c r="R221" s="1172">
        <f t="shared" si="177"/>
        <v>0</v>
      </c>
      <c r="S221" s="1172">
        <f t="shared" si="199"/>
        <v>0</v>
      </c>
      <c r="T221" s="1180">
        <f t="shared" si="178"/>
        <v>0</v>
      </c>
      <c r="U221" s="1179">
        <f t="shared" si="200"/>
        <v>0.0022</v>
      </c>
      <c r="V221" s="1172">
        <f t="shared" si="189"/>
        <v>0</v>
      </c>
      <c r="W221" s="1172">
        <f t="shared" si="201"/>
        <v>0</v>
      </c>
      <c r="X221" s="922">
        <f t="shared" si="179"/>
        <v>2083.0799999999763</v>
      </c>
      <c r="Y221" s="1179">
        <f t="shared" si="202"/>
        <v>0.0022</v>
      </c>
      <c r="Z221" s="1172">
        <f t="shared" si="190"/>
        <v>4.5827759999999484</v>
      </c>
      <c r="AA221" s="1172">
        <f t="shared" si="203"/>
        <v>50.410557999999455</v>
      </c>
      <c r="AB221" s="922">
        <f t="shared" si="214"/>
        <v>0</v>
      </c>
      <c r="AC221" s="1179">
        <f t="shared" si="204"/>
        <v>0.0022</v>
      </c>
      <c r="AD221" s="1172">
        <f t="shared" si="180"/>
        <v>0</v>
      </c>
      <c r="AE221" s="1172">
        <f t="shared" si="205"/>
        <v>0</v>
      </c>
      <c r="AF221" s="922">
        <f t="shared" si="215"/>
        <v>0</v>
      </c>
      <c r="AG221" s="1179">
        <f t="shared" si="206"/>
        <v>0.0022</v>
      </c>
      <c r="AH221" s="1172">
        <f t="shared" si="181"/>
        <v>0</v>
      </c>
      <c r="AI221" s="1172">
        <f t="shared" si="207"/>
        <v>0</v>
      </c>
      <c r="AJ221" s="922">
        <f t="shared" si="216"/>
        <v>0</v>
      </c>
      <c r="AK221" s="1179">
        <f t="shared" si="208"/>
        <v>0.0022</v>
      </c>
      <c r="AL221" s="1172">
        <f t="shared" si="182"/>
        <v>0</v>
      </c>
      <c r="AM221" s="1172">
        <f t="shared" si="209"/>
        <v>0</v>
      </c>
      <c r="AN221" s="922">
        <f t="shared" si="183"/>
        <v>22277873</v>
      </c>
      <c r="AO221" s="1179">
        <f t="shared" si="210"/>
        <v>0.0022</v>
      </c>
      <c r="AP221" s="1502">
        <f t="shared" si="191"/>
        <v>49011.32060000001</v>
      </c>
      <c r="AQ221" s="1502">
        <f t="shared" si="211"/>
        <v>49011.32060000001</v>
      </c>
      <c r="AR221" s="922">
        <f t="shared" si="184"/>
        <v>0</v>
      </c>
      <c r="AS221" s="1179">
        <f t="shared" si="212"/>
        <v>0.0022</v>
      </c>
      <c r="AT221" s="1172">
        <f t="shared" si="185"/>
        <v>0</v>
      </c>
      <c r="AU221" s="1172">
        <f t="shared" si="213"/>
        <v>0</v>
      </c>
    </row>
    <row r="222" spans="3:47" ht="12.75">
      <c r="C222" s="1147" t="s">
        <v>436</v>
      </c>
      <c r="D222" s="1165"/>
      <c r="E222" s="1165"/>
      <c r="F222" s="1165">
        <f>SUM(F210:F221)</f>
        <v>722389.1640746822</v>
      </c>
      <c r="G222" s="1165">
        <f>AVERAGE(G209:G221)</f>
        <v>239170.38018749902</v>
      </c>
      <c r="J222" s="1165">
        <f>SUM(J210:J221)</f>
        <v>0</v>
      </c>
      <c r="K222" s="1165">
        <f>AVERAGE(K209:K221)</f>
        <v>0</v>
      </c>
      <c r="N222" s="1165">
        <f>SUM(N210:N221)</f>
        <v>0</v>
      </c>
      <c r="O222" s="1165">
        <f>AVERAGE(O209:O221)</f>
        <v>0</v>
      </c>
      <c r="R222" s="1165">
        <f>SUM(R210:R221)</f>
        <v>0</v>
      </c>
      <c r="S222" s="1165">
        <f>AVERAGE(S209:S221)</f>
        <v>0</v>
      </c>
      <c r="T222" s="1165">
        <f>AVERAGE(T209:T221)</f>
        <v>0</v>
      </c>
      <c r="V222" s="1165">
        <f>SUM(V210:V221)</f>
        <v>0</v>
      </c>
      <c r="W222" s="1165">
        <f>AVERAGE(W209:W221)</f>
        <v>0</v>
      </c>
      <c r="X222" s="1165">
        <f>AVERAGE(X209:X221)</f>
        <v>1762.606923076904</v>
      </c>
      <c r="Z222" s="1165">
        <f>SUM(Z210:Z221)</f>
        <v>50.410557999999455</v>
      </c>
      <c r="AA222" s="1165">
        <f>AVERAGE(AA209:AA221)</f>
        <v>23.266421538461298</v>
      </c>
      <c r="AD222" s="1165">
        <f>SUM(AD210:AD221)</f>
        <v>0</v>
      </c>
      <c r="AE222" s="1165">
        <f>AVERAGE(AE209:AE221)</f>
        <v>0</v>
      </c>
      <c r="AH222" s="1165">
        <f>SUM(AH210:AH221)</f>
        <v>0</v>
      </c>
      <c r="AI222" s="1165">
        <f>AVERAGE(AI209:AI221)</f>
        <v>0</v>
      </c>
      <c r="AL222" s="1165">
        <f>SUM(AL210:AL221)</f>
        <v>0</v>
      </c>
      <c r="AM222" s="1165">
        <f>AVERAGE(AM209:AM221)</f>
        <v>0</v>
      </c>
      <c r="AN222" s="1419"/>
      <c r="AO222" s="1419"/>
      <c r="AP222" s="1417">
        <f>SUM(AP210:AP221)</f>
        <v>49011.32060000001</v>
      </c>
      <c r="AQ222" s="1417">
        <f>AVERAGE(AQ209:AQ221)</f>
        <v>3770.101584615385</v>
      </c>
      <c r="AT222" s="1165">
        <f>SUM(AT210:AT221)</f>
        <v>0</v>
      </c>
      <c r="AU222" s="1165">
        <f>AVERAGE(AU209:AU221)</f>
        <v>0</v>
      </c>
    </row>
    <row r="223" spans="3:21" ht="12.75">
      <c r="C223" s="1147"/>
      <c r="D223" s="1165"/>
      <c r="E223" s="1165"/>
      <c r="F223" s="1165"/>
      <c r="G223" s="1165"/>
      <c r="J223" s="1165"/>
      <c r="K223" s="1165"/>
      <c r="N223" s="1165"/>
      <c r="O223" s="1165"/>
      <c r="R223" s="1165"/>
      <c r="S223" s="1165"/>
      <c r="T223" s="1165"/>
      <c r="U223" s="1165"/>
    </row>
    <row r="224" spans="1:11" ht="12.75">
      <c r="A224" s="1471"/>
      <c r="B224" s="1469"/>
      <c r="C224" s="1471"/>
      <c r="D224" s="1469"/>
      <c r="E224" s="1469"/>
      <c r="F224" s="1469"/>
      <c r="G224" s="1469"/>
      <c r="H224" s="1469"/>
      <c r="I224" s="1498" t="str">
        <f>I65</f>
        <v>13 mo. Avg accumulated depreciation = Col AZ + Col BD + Col BH + Col BL + Col BP + Col BT + Col BX + Col CB + Col CG + Col CK + Col CO</v>
      </c>
      <c r="J224" s="1499">
        <f>G222+K222+O222+S222+W222+AA222+AE222+AI222+AM222+AU222+AQ222</f>
        <v>242963.74819365286</v>
      </c>
      <c r="K224" s="1472" t="str">
        <f>"goes to line "&amp;'[2]Appendix A'!$A$43&amp;" of the formula"</f>
        <v>goes to line 23 of the formula</v>
      </c>
    </row>
    <row r="225" spans="1:11" ht="12.75">
      <c r="A225" s="1471"/>
      <c r="B225" s="1471"/>
      <c r="C225" s="1471"/>
      <c r="D225" s="1469"/>
      <c r="E225" s="1469"/>
      <c r="F225" s="1472"/>
      <c r="G225" s="1469"/>
      <c r="H225" s="1469"/>
      <c r="I225" s="1498" t="str">
        <f>I66</f>
        <v>Depreciation Expense = Col AY + Col BC + Col BG + Col BK + Col BO + Col BS + Col BW + Col CA + Col CF + Col CJ + Col CN</v>
      </c>
      <c r="J225" s="1499">
        <f>F222+J222+N222+R222+V222+Z222+AD222+AH222+AL222+AT222+AP222</f>
        <v>771450.8952326821</v>
      </c>
      <c r="K225" s="1472" t="str">
        <f>"goes to line "&amp;'[2]Appendix A'!$A$132&amp;" of the formula"</f>
        <v>goes to line 77 of the formula</v>
      </c>
    </row>
    <row r="226" spans="1:12" ht="12.75">
      <c r="A226" s="1471"/>
      <c r="B226" s="1469"/>
      <c r="C226" s="1471"/>
      <c r="D226" s="1469"/>
      <c r="E226" s="1469"/>
      <c r="F226" s="1469"/>
      <c r="G226" s="1469"/>
      <c r="H226" s="1472"/>
      <c r="I226" s="1472"/>
      <c r="J226" s="1472"/>
      <c r="K226" s="1472"/>
      <c r="L226" s="1165"/>
    </row>
    <row r="227" spans="1:13" ht="12.75">
      <c r="A227" s="1471">
        <v>10</v>
      </c>
      <c r="B227" s="1473" t="str">
        <f>"Rev Req based on Year 2 data with estimated Cap Adds, Rets, CWIP, and Deprec for Year 3  Cap Adds (Step "&amp;A180&amp;") and True up of Year 1 data (Step "&amp;A136&amp;")"</f>
        <v>Rev Req based on Year 2 data with estimated Cap Adds, Rets, CWIP, and Deprec for Year 3  Cap Adds (Step 9) and True up of Year 1 data (Step 8)</v>
      </c>
      <c r="C227" s="1469"/>
      <c r="D227" s="1471"/>
      <c r="E227" s="1471"/>
      <c r="F227" s="1469"/>
      <c r="G227" s="1471"/>
      <c r="H227" s="1469"/>
      <c r="I227" s="1469"/>
      <c r="J227" s="1469"/>
      <c r="K227" s="1469"/>
      <c r="M227" s="1165"/>
    </row>
    <row r="228" spans="3:13" ht="12.75">
      <c r="C228" s="1148"/>
      <c r="D228" s="1148" t="s">
        <v>1216</v>
      </c>
      <c r="E228" s="1146"/>
      <c r="G228" s="1146"/>
      <c r="H228" s="1181"/>
      <c r="I228" s="1181"/>
      <c r="J228" s="1181"/>
      <c r="K228" s="1181"/>
      <c r="L228" s="1148"/>
      <c r="M228" s="1165"/>
    </row>
    <row r="229" spans="1:13" ht="12.75">
      <c r="A229" s="1146">
        <f>+A14</f>
        <v>11</v>
      </c>
      <c r="B229" s="1146" t="str">
        <f>+B14</f>
        <v>May</v>
      </c>
      <c r="C229" s="1146" t="str">
        <f>+C14</f>
        <v>Year 3</v>
      </c>
      <c r="D229" s="1148" t="str">
        <f>+D14</f>
        <v>Post results of Step 10 on PJM web site.</v>
      </c>
      <c r="E229" s="1148"/>
      <c r="M229" s="1148"/>
    </row>
    <row r="230" spans="4:6" ht="12.75">
      <c r="D230" s="1214">
        <f>IF('Appendix A'!I1=1,0,'Appendix A'!G272)</f>
        <v>171941505.18642858</v>
      </c>
      <c r="E230" s="1183"/>
      <c r="F230" s="1147" t="str">
        <f>+D71</f>
        <v>Post results of Step 3 on PJM web site.</v>
      </c>
    </row>
    <row r="231" spans="4:6" ht="12.75">
      <c r="D231" s="1215"/>
      <c r="E231" s="1190"/>
      <c r="F231" s="1181"/>
    </row>
    <row r="232" spans="1:5" ht="12.75">
      <c r="A232" s="1146">
        <f>+A15</f>
        <v>12</v>
      </c>
      <c r="B232" s="1146" t="str">
        <f>+B15</f>
        <v>June</v>
      </c>
      <c r="C232" s="1146" t="str">
        <f>+C15</f>
        <v>Year 3</v>
      </c>
      <c r="D232" s="1148" t="str">
        <f>+D15</f>
        <v>Results of Step 9 go into effect for the Rate Year 2.</v>
      </c>
      <c r="E232" s="1148"/>
    </row>
    <row r="233" spans="4:5" ht="12.75">
      <c r="D233" s="1214">
        <f>+D230</f>
        <v>171941505.18642858</v>
      </c>
      <c r="E233" s="1214"/>
    </row>
    <row r="293" spans="3:7" ht="15">
      <c r="C293" s="1216"/>
      <c r="D293" s="1217"/>
      <c r="E293" s="1217"/>
      <c r="F293" s="1217"/>
      <c r="G293" s="1217"/>
    </row>
    <row r="294" spans="3:7" ht="99.75" customHeight="1">
      <c r="C294" s="1216"/>
      <c r="D294" s="1217"/>
      <c r="E294" s="1217"/>
      <c r="F294" s="1217"/>
      <c r="G294" s="1217"/>
    </row>
    <row r="295" spans="3:7" ht="15">
      <c r="C295" s="1216"/>
      <c r="D295" s="1217"/>
      <c r="E295" s="1217"/>
      <c r="F295" s="1217"/>
      <c r="G295" s="1217"/>
    </row>
    <row r="296" spans="3:7" ht="15">
      <c r="C296" s="1216"/>
      <c r="D296" s="1217"/>
      <c r="E296" s="1217"/>
      <c r="F296" s="1217"/>
      <c r="G296" s="1217"/>
    </row>
    <row r="297" spans="3:7" ht="15">
      <c r="C297" s="1216"/>
      <c r="D297" s="1217"/>
      <c r="E297" s="1217"/>
      <c r="F297" s="1217"/>
      <c r="G297" s="1217"/>
    </row>
    <row r="298" spans="3:7" ht="15">
      <c r="C298" s="1216"/>
      <c r="D298" s="1217"/>
      <c r="E298" s="1217"/>
      <c r="F298" s="1217"/>
      <c r="G298" s="1217"/>
    </row>
    <row r="299" spans="3:7" ht="15">
      <c r="C299" s="1216"/>
      <c r="D299" s="1217"/>
      <c r="E299" s="1217"/>
      <c r="F299" s="1217"/>
      <c r="G299" s="1217"/>
    </row>
    <row r="300" spans="3:7" ht="15">
      <c r="C300" s="1216"/>
      <c r="D300" s="1217"/>
      <c r="E300" s="1217"/>
      <c r="F300" s="1217"/>
      <c r="G300" s="1217"/>
    </row>
    <row r="301" spans="3:7" ht="15">
      <c r="C301" s="1216"/>
      <c r="D301" s="1217"/>
      <c r="E301" s="1217"/>
      <c r="F301" s="1217"/>
      <c r="G301" s="1217"/>
    </row>
    <row r="302" spans="3:7" ht="15">
      <c r="C302" s="1216"/>
      <c r="D302" s="1217"/>
      <c r="E302" s="1217"/>
      <c r="F302" s="1217"/>
      <c r="G302" s="1217"/>
    </row>
    <row r="303" spans="3:7" ht="15">
      <c r="C303" s="1216"/>
      <c r="D303" s="1217"/>
      <c r="E303" s="1217"/>
      <c r="F303" s="1217"/>
      <c r="G303" s="1217"/>
    </row>
    <row r="304" spans="3:7" ht="15">
      <c r="C304" s="1216"/>
      <c r="D304" s="1217"/>
      <c r="E304" s="1217"/>
      <c r="F304" s="1217"/>
      <c r="G304" s="1217"/>
    </row>
    <row r="305" spans="3:7" ht="15">
      <c r="C305" s="1216"/>
      <c r="D305" s="1217"/>
      <c r="E305" s="1217"/>
      <c r="F305" s="1217"/>
      <c r="G305" s="1217"/>
    </row>
    <row r="306" spans="3:7" ht="15">
      <c r="C306" s="1216"/>
      <c r="D306" s="1217"/>
      <c r="E306" s="1217"/>
      <c r="F306" s="1217"/>
      <c r="G306" s="1217"/>
    </row>
    <row r="307" spans="2:7" ht="15">
      <c r="B307" s="1218"/>
      <c r="C307" s="1216"/>
      <c r="D307" s="1217"/>
      <c r="E307" s="1217"/>
      <c r="F307" s="1217"/>
      <c r="G307" s="1217"/>
    </row>
    <row r="308" spans="2:7" ht="15">
      <c r="B308" s="1218"/>
      <c r="C308" s="1216"/>
      <c r="D308" s="1217"/>
      <c r="E308" s="1217"/>
      <c r="F308" s="1217"/>
      <c r="G308" s="1217"/>
    </row>
    <row r="309" spans="3:7" ht="15">
      <c r="C309" s="1216"/>
      <c r="D309" s="1217"/>
      <c r="E309" s="1217"/>
      <c r="F309" s="1217"/>
      <c r="G309" s="1217"/>
    </row>
    <row r="310" spans="3:7" ht="15">
      <c r="C310" s="1216"/>
      <c r="D310" s="1217"/>
      <c r="E310" s="1217"/>
      <c r="F310" s="1217"/>
      <c r="G310" s="1217"/>
    </row>
    <row r="311" spans="3:7" ht="15">
      <c r="C311" s="1216"/>
      <c r="D311" s="1217"/>
      <c r="E311" s="1217"/>
      <c r="F311" s="1217"/>
      <c r="G311" s="1217"/>
    </row>
    <row r="312" spans="3:7" ht="15">
      <c r="C312" s="1216"/>
      <c r="D312" s="1217"/>
      <c r="E312" s="1217"/>
      <c r="F312" s="1217"/>
      <c r="G312" s="1217"/>
    </row>
    <row r="313" spans="3:7" ht="15">
      <c r="C313" s="1216"/>
      <c r="D313" s="1217"/>
      <c r="E313" s="1217"/>
      <c r="F313" s="1217"/>
      <c r="G313" s="1217"/>
    </row>
    <row r="314" spans="3:7" ht="15">
      <c r="C314" s="1216"/>
      <c r="D314" s="1217"/>
      <c r="E314" s="1217"/>
      <c r="F314" s="1217"/>
      <c r="G314" s="1217"/>
    </row>
    <row r="315" spans="3:7" ht="40.5" customHeight="1">
      <c r="C315" s="1216"/>
      <c r="D315" s="1217"/>
      <c r="E315" s="1217"/>
      <c r="F315" s="1217"/>
      <c r="G315" s="1217"/>
    </row>
    <row r="316" spans="3:7" ht="15">
      <c r="C316" s="1216"/>
      <c r="D316" s="1217"/>
      <c r="E316" s="1217"/>
      <c r="F316" s="1217"/>
      <c r="G316" s="1217"/>
    </row>
  </sheetData>
  <sheetProtection/>
  <mergeCells count="3">
    <mergeCell ref="D10:N11"/>
    <mergeCell ref="D128:O129"/>
    <mergeCell ref="D136:O137"/>
  </mergeCells>
  <printOptions/>
  <pageMargins left="0.5" right="0.5" top="1" bottom="1" header="0.5" footer="0.5"/>
  <pageSetup fitToHeight="0" fitToWidth="2" horizontalDpi="600" verticalDpi="600" orientation="landscape" pageOrder="overThenDown" paperSize="5" scale="35" r:id="rId1"/>
  <headerFooter alignWithMargins="0">
    <oddHeader>&amp;CDuquesne Light Company
Attachment H -17A
Attachment 6 - Estimate and Reconciliation Worksheet&amp;RPage &amp;P of &amp;N</oddHeader>
  </headerFooter>
  <rowBreaks count="3" manualBreakCount="3">
    <brk id="67" max="57" man="1"/>
    <brk id="127" max="50" man="1"/>
    <brk id="179" max="255" man="1"/>
  </rowBreaks>
  <colBreaks count="2" manualBreakCount="2">
    <brk id="32" max="126" man="1"/>
    <brk id="32" min="179" max="232" man="1"/>
  </colBreaks>
</worksheet>
</file>

<file path=xl/worksheets/sheet8.xml><?xml version="1.0" encoding="utf-8"?>
<worksheet xmlns="http://schemas.openxmlformats.org/spreadsheetml/2006/main" xmlns:r="http://schemas.openxmlformats.org/officeDocument/2006/relationships">
  <dimension ref="A1:CS315"/>
  <sheetViews>
    <sheetView zoomScale="80" zoomScaleNormal="80" zoomScaleSheetLayoutView="70" zoomScalePageLayoutView="0" workbookViewId="0" topLeftCell="BR7">
      <selection activeCell="I2" sqref="I2"/>
    </sheetView>
  </sheetViews>
  <sheetFormatPr defaultColWidth="9.421875" defaultRowHeight="12.75"/>
  <cols>
    <col min="1" max="1" width="5.421875" style="1147" customWidth="1"/>
    <col min="2" max="2" width="15.421875" style="1147" customWidth="1"/>
    <col min="3" max="3" width="10.57421875" style="1146" customWidth="1"/>
    <col min="4" max="6" width="14.00390625" style="1147" customWidth="1"/>
    <col min="7" max="7" width="14.140625" style="1219" customWidth="1"/>
    <col min="8" max="10" width="13.57421875" style="1147" customWidth="1"/>
    <col min="11" max="14" width="13.57421875" style="1219" customWidth="1"/>
    <col min="15" max="15" width="14.421875" style="1219" customWidth="1"/>
    <col min="16" max="23" width="13.57421875" style="1219" customWidth="1"/>
    <col min="24" max="25" width="14.421875" style="1219" customWidth="1"/>
    <col min="26" max="27" width="14.421875" style="1147" customWidth="1"/>
    <col min="28" max="31" width="13.57421875" style="1147" customWidth="1"/>
    <col min="32" max="33" width="13.57421875" style="1219" customWidth="1"/>
    <col min="34" max="39" width="13.57421875" style="1147" customWidth="1"/>
    <col min="40" max="41" width="13.57421875" style="1219" customWidth="1"/>
    <col min="42" max="54" width="13.57421875" style="1147" customWidth="1"/>
    <col min="55" max="55" width="15.28125" style="1147" customWidth="1"/>
    <col min="56" max="58" width="13.57421875" style="1147" customWidth="1"/>
    <col min="59" max="59" width="16.57421875" style="1147" customWidth="1"/>
    <col min="60" max="62" width="13.57421875" style="1147" customWidth="1"/>
    <col min="63" max="63" width="21.421875" style="1147" customWidth="1"/>
    <col min="64" max="66" width="13.57421875" style="1147" customWidth="1"/>
    <col min="67" max="67" width="16.421875" style="1147" customWidth="1"/>
    <col min="68" max="68" width="14.8515625" style="1147" customWidth="1"/>
    <col min="69" max="70" width="13.57421875" style="1147" customWidth="1"/>
    <col min="71" max="71" width="16.28125" style="1147" customWidth="1"/>
    <col min="72" max="72" width="13.57421875" style="1147" customWidth="1"/>
    <col min="73" max="73" width="14.8515625" style="1147" customWidth="1"/>
    <col min="74" max="75" width="13.57421875" style="1147" customWidth="1"/>
    <col min="76" max="76" width="20.421875" style="1147" customWidth="1"/>
    <col min="77" max="77" width="13.57421875" style="1147" customWidth="1"/>
    <col min="78" max="78" width="14.8515625" style="1147" customWidth="1"/>
    <col min="79" max="82" width="13.57421875" style="1147" customWidth="1"/>
    <col min="83" max="83" width="14.8515625" style="1147" customWidth="1"/>
    <col min="84" max="85" width="12.57421875" style="1147" bestFit="1" customWidth="1"/>
    <col min="86" max="86" width="13.57421875" style="1147" customWidth="1"/>
    <col min="87" max="87" width="9.421875" style="1147" customWidth="1"/>
    <col min="88" max="88" width="12.421875" style="1147" bestFit="1" customWidth="1"/>
    <col min="89" max="90" width="9.421875" style="1147" customWidth="1"/>
    <col min="91" max="91" width="13.421875" style="1147" customWidth="1"/>
    <col min="92" max="92" width="11.421875" style="1147" bestFit="1" customWidth="1"/>
    <col min="93" max="94" width="11.57421875" style="1147" bestFit="1" customWidth="1"/>
    <col min="95" max="95" width="9.421875" style="1147" customWidth="1"/>
    <col min="96" max="96" width="11.28125" style="1147" bestFit="1" customWidth="1"/>
    <col min="97" max="16384" width="9.421875" style="1147" customWidth="1"/>
  </cols>
  <sheetData>
    <row r="1" spans="1:3" ht="12.75">
      <c r="A1" s="1147" t="s">
        <v>639</v>
      </c>
      <c r="C1" s="1147" t="s">
        <v>566</v>
      </c>
    </row>
    <row r="2" spans="1:79" ht="12.75">
      <c r="A2" s="1147">
        <v>1</v>
      </c>
      <c r="C2" s="1146">
        <f>'Appendix A'!A269</f>
        <v>165</v>
      </c>
      <c r="D2" s="1147" t="str">
        <f>'Appendix A'!C269</f>
        <v>Plus any increased ROE calculated on Attachment 7 other than PJM Sch. 12 projects</v>
      </c>
      <c r="K2" s="1181">
        <f>CO74-CP74</f>
        <v>2978726.9755148888</v>
      </c>
      <c r="L2" s="1181"/>
      <c r="M2" s="1181"/>
      <c r="N2" s="1181"/>
      <c r="O2" s="1181"/>
      <c r="P2" s="1181"/>
      <c r="Q2" s="1181"/>
      <c r="R2" s="1181"/>
      <c r="S2" s="1181"/>
      <c r="T2" s="1181"/>
      <c r="U2" s="1181"/>
      <c r="V2" s="1181"/>
      <c r="W2" s="1181"/>
      <c r="X2" s="1147" t="str">
        <f>D2</f>
        <v>Plus any increased ROE calculated on Attachment 7 other than PJM Sch. 12 projects</v>
      </c>
      <c r="Y2" s="1147"/>
      <c r="AA2" s="1219"/>
      <c r="AE2" s="1181">
        <f>K2</f>
        <v>2978726.9755148888</v>
      </c>
      <c r="AF2" s="1181"/>
      <c r="AG2" s="1181"/>
      <c r="AN2" s="1181"/>
      <c r="AO2" s="1181"/>
      <c r="AV2" s="1147" t="str">
        <f>X2</f>
        <v>Plus any increased ROE calculated on Attachment 7 other than PJM Sch. 12 projects</v>
      </c>
      <c r="AY2" s="1219"/>
      <c r="BC2" s="1181">
        <f>AE2</f>
        <v>2978726.9755148888</v>
      </c>
      <c r="BT2" s="1147" t="str">
        <f>AV2</f>
        <v>Plus any increased ROE calculated on Attachment 7 other than PJM Sch. 12 projects</v>
      </c>
      <c r="BW2" s="1219"/>
      <c r="CA2" s="1181">
        <f>BC2</f>
        <v>2978726.9755148888</v>
      </c>
    </row>
    <row r="3" spans="5:75" ht="12.75">
      <c r="E3" s="1147" t="str">
        <f>"=Incentive - Revenue Credit for the corresponding rate year"</f>
        <v>=Incentive - Revenue Credit for the corresponding rate year</v>
      </c>
      <c r="K3" s="1147"/>
      <c r="L3" s="1147"/>
      <c r="M3" s="1147"/>
      <c r="N3" s="1166"/>
      <c r="O3" s="1166"/>
      <c r="P3" s="1166"/>
      <c r="Q3" s="1147"/>
      <c r="R3" s="1147"/>
      <c r="S3" s="1147"/>
      <c r="T3" s="1147"/>
      <c r="U3" s="1147"/>
      <c r="V3" s="1147"/>
      <c r="W3" s="1147"/>
      <c r="X3" s="1147"/>
      <c r="Y3" s="1147" t="str">
        <f>E3</f>
        <v>=Incentive - Revenue Credit for the corresponding rate year</v>
      </c>
      <c r="AA3" s="1219"/>
      <c r="AF3" s="1147"/>
      <c r="AG3" s="1147"/>
      <c r="AN3" s="1147"/>
      <c r="AO3" s="1147"/>
      <c r="AW3" s="1147" t="str">
        <f>Y3</f>
        <v>=Incentive - Revenue Credit for the corresponding rate year</v>
      </c>
      <c r="AY3" s="1219"/>
      <c r="BU3" s="1147" t="str">
        <f>AW3</f>
        <v>=Incentive - Revenue Credit for the corresponding rate year</v>
      </c>
      <c r="BW3" s="1219"/>
    </row>
    <row r="4" spans="3:75" ht="12.75">
      <c r="C4" s="1148"/>
      <c r="D4" s="1145" t="s">
        <v>670</v>
      </c>
      <c r="K4" s="1147"/>
      <c r="L4" s="1147"/>
      <c r="M4" s="1147"/>
      <c r="N4" s="1166"/>
      <c r="O4" s="1166"/>
      <c r="P4" s="1166"/>
      <c r="Q4" s="1147"/>
      <c r="R4" s="1147"/>
      <c r="S4" s="1147"/>
      <c r="T4" s="1147"/>
      <c r="U4" s="1147"/>
      <c r="V4" s="1147"/>
      <c r="W4" s="1147"/>
      <c r="X4" s="1145" t="s">
        <v>670</v>
      </c>
      <c r="Y4" s="1147"/>
      <c r="AA4" s="1219"/>
      <c r="AF4" s="1147"/>
      <c r="AG4" s="1147"/>
      <c r="AN4" s="1147"/>
      <c r="AO4" s="1147"/>
      <c r="AV4" s="1145" t="s">
        <v>670</v>
      </c>
      <c r="AY4" s="1219"/>
      <c r="BT4" s="1145" t="s">
        <v>670</v>
      </c>
      <c r="BW4" s="1219"/>
    </row>
    <row r="5" spans="1:79" ht="12.75">
      <c r="A5" s="1147">
        <f>A2+1</f>
        <v>2</v>
      </c>
      <c r="B5" s="1146"/>
      <c r="C5" s="1146">
        <f>+'Appendix A'!A255</f>
        <v>155</v>
      </c>
      <c r="D5" s="1148" t="str">
        <f>+'Appendix A'!C255</f>
        <v>Net Plant Carrying Charge without Depreciation</v>
      </c>
      <c r="G5" s="1153"/>
      <c r="K5" s="1220">
        <f>'Appendix A'!G255</f>
        <v>0.1828797847893144</v>
      </c>
      <c r="L5" s="1220"/>
      <c r="M5" s="1220"/>
      <c r="N5" s="1166"/>
      <c r="O5" s="1166"/>
      <c r="P5" s="1166"/>
      <c r="Q5" s="1221"/>
      <c r="R5" s="1221"/>
      <c r="S5" s="1220"/>
      <c r="T5" s="1220"/>
      <c r="U5" s="1220"/>
      <c r="V5" s="1220"/>
      <c r="W5" s="1220"/>
      <c r="X5" s="1148" t="str">
        <f aca="true" t="shared" si="0" ref="X5:X18">D5</f>
        <v>Net Plant Carrying Charge without Depreciation</v>
      </c>
      <c r="Y5" s="1147"/>
      <c r="AA5" s="1153"/>
      <c r="AE5" s="1220">
        <f>K5</f>
        <v>0.1828797847893144</v>
      </c>
      <c r="AF5" s="1220"/>
      <c r="AG5" s="1220"/>
      <c r="AN5" s="1220"/>
      <c r="AO5" s="1220"/>
      <c r="AV5" s="1148" t="str">
        <f>X5</f>
        <v>Net Plant Carrying Charge without Depreciation</v>
      </c>
      <c r="AY5" s="1153"/>
      <c r="BC5" s="1220">
        <f>AE5</f>
        <v>0.1828797847893144</v>
      </c>
      <c r="BT5" s="1148" t="str">
        <f>AV5</f>
        <v>Net Plant Carrying Charge without Depreciation</v>
      </c>
      <c r="BW5" s="1153"/>
      <c r="CA5" s="1220">
        <f>BC5</f>
        <v>0.1828797847893144</v>
      </c>
    </row>
    <row r="6" spans="1:79" ht="12.75">
      <c r="A6" s="1147">
        <f>A5+1</f>
        <v>3</v>
      </c>
      <c r="B6" s="1146"/>
      <c r="C6" s="1146">
        <f>+'Appendix A'!A265</f>
        <v>162</v>
      </c>
      <c r="D6" s="1148" t="str">
        <f>+'Appendix A'!C265</f>
        <v>Net Plant Carrying Charge per 100 Basis Point increase in ROE without Depreciation</v>
      </c>
      <c r="G6" s="1153"/>
      <c r="K6" s="1220">
        <f>'Appendix A'!G265</f>
        <v>0.18995149504785822</v>
      </c>
      <c r="L6" s="1220"/>
      <c r="M6" s="1220"/>
      <c r="N6" s="1166"/>
      <c r="O6" s="1166"/>
      <c r="P6" s="1166"/>
      <c r="Q6" s="1221"/>
      <c r="T6" s="1220"/>
      <c r="U6" s="1220"/>
      <c r="V6" s="1220"/>
      <c r="W6" s="1220"/>
      <c r="X6" s="1148" t="str">
        <f t="shared" si="0"/>
        <v>Net Plant Carrying Charge per 100 Basis Point increase in ROE without Depreciation</v>
      </c>
      <c r="Y6" s="1147"/>
      <c r="AA6" s="1153"/>
      <c r="AE6" s="1220">
        <f>K6</f>
        <v>0.18995149504785822</v>
      </c>
      <c r="AF6" s="1220"/>
      <c r="AG6" s="1220"/>
      <c r="AN6" s="1220"/>
      <c r="AO6" s="1220"/>
      <c r="AV6" s="1148" t="str">
        <f>X6</f>
        <v>Net Plant Carrying Charge per 100 Basis Point increase in ROE without Depreciation</v>
      </c>
      <c r="AY6" s="1153"/>
      <c r="BC6" s="1220">
        <f>AE6</f>
        <v>0.18995149504785822</v>
      </c>
      <c r="BL6" s="394"/>
      <c r="BM6" s="1300"/>
      <c r="BT6" s="1148" t="str">
        <f>AV6</f>
        <v>Net Plant Carrying Charge per 100 Basis Point increase in ROE without Depreciation</v>
      </c>
      <c r="BW6" s="1153"/>
      <c r="CA6" s="1220">
        <f>BC6</f>
        <v>0.18995149504785822</v>
      </c>
    </row>
    <row r="7" spans="1:79" ht="12.75">
      <c r="A7" s="1147">
        <f>A6+1</f>
        <v>4</v>
      </c>
      <c r="B7" s="1146"/>
      <c r="D7" s="1147" t="s">
        <v>553</v>
      </c>
      <c r="G7" s="1153"/>
      <c r="K7" s="1220">
        <f>+K6-K5</f>
        <v>0.007071710258543806</v>
      </c>
      <c r="L7" s="1220"/>
      <c r="M7" s="1220"/>
      <c r="N7" s="1221"/>
      <c r="O7" s="1221"/>
      <c r="P7" s="1221"/>
      <c r="Q7" s="1221"/>
      <c r="T7" s="1220"/>
      <c r="U7" s="1220"/>
      <c r="V7" s="1220"/>
      <c r="W7" s="1220"/>
      <c r="X7" s="1147" t="str">
        <f t="shared" si="0"/>
        <v>Line B less Line A </v>
      </c>
      <c r="Y7" s="1147"/>
      <c r="AA7" s="1153"/>
      <c r="AE7" s="1220">
        <f>K7</f>
        <v>0.007071710258543806</v>
      </c>
      <c r="AF7" s="1220"/>
      <c r="AG7" s="1220"/>
      <c r="AN7" s="1220"/>
      <c r="AO7" s="1220"/>
      <c r="AV7" s="1147" t="str">
        <f>X7</f>
        <v>Line B less Line A </v>
      </c>
      <c r="AY7" s="1153"/>
      <c r="BC7" s="1220">
        <f>AE7</f>
        <v>0.007071710258543806</v>
      </c>
      <c r="BL7" s="394"/>
      <c r="BM7" s="1300"/>
      <c r="BT7" s="1147" t="str">
        <f>AV7</f>
        <v>Line B less Line A </v>
      </c>
      <c r="BW7" s="1153"/>
      <c r="CA7" s="1220">
        <f>BC7</f>
        <v>0.007071710258543806</v>
      </c>
    </row>
    <row r="8" spans="2:79" ht="12.75">
      <c r="B8" s="1145"/>
      <c r="G8" s="1153"/>
      <c r="K8" s="1220"/>
      <c r="L8" s="1220"/>
      <c r="M8" s="1220"/>
      <c r="N8" s="1147"/>
      <c r="O8" s="1147"/>
      <c r="P8" s="1147"/>
      <c r="Q8" s="1147"/>
      <c r="T8" s="1220"/>
      <c r="U8" s="1220"/>
      <c r="V8" s="1220"/>
      <c r="W8" s="1220"/>
      <c r="X8" s="1147"/>
      <c r="Y8" s="1147"/>
      <c r="AA8" s="1153"/>
      <c r="AE8" s="1220"/>
      <c r="AF8" s="1220"/>
      <c r="AG8" s="1220"/>
      <c r="AN8" s="1220"/>
      <c r="AO8" s="1220"/>
      <c r="AY8" s="1153"/>
      <c r="BC8" s="1220"/>
      <c r="BM8" s="1220"/>
      <c r="BW8" s="1153"/>
      <c r="CA8" s="1220"/>
    </row>
    <row r="9" spans="1:79" ht="12.75">
      <c r="A9" s="1147">
        <f>A7+1</f>
        <v>5</v>
      </c>
      <c r="B9" s="1146"/>
      <c r="C9" s="1146">
        <f>+'Appendix A'!A256</f>
        <v>156</v>
      </c>
      <c r="D9" s="1148" t="str">
        <f>+'Appendix A'!C256</f>
        <v>Net Plant Carrying Charge without Depreciation, Return, nor Income Taxes</v>
      </c>
      <c r="G9" s="1153"/>
      <c r="K9" s="1220">
        <f>'Appendix A'!G256</f>
        <v>0.08580214328845619</v>
      </c>
      <c r="L9" s="1220"/>
      <c r="M9" s="1220"/>
      <c r="N9" s="1147"/>
      <c r="O9" s="1166"/>
      <c r="P9" s="1147"/>
      <c r="Q9" s="1147"/>
      <c r="T9" s="1220"/>
      <c r="U9" s="1220"/>
      <c r="V9" s="1220"/>
      <c r="W9" s="1220"/>
      <c r="X9" s="1148" t="str">
        <f t="shared" si="0"/>
        <v>Net Plant Carrying Charge without Depreciation, Return, nor Income Taxes</v>
      </c>
      <c r="Y9" s="1147"/>
      <c r="AA9" s="1153"/>
      <c r="AE9" s="1220">
        <f>K9</f>
        <v>0.08580214328845619</v>
      </c>
      <c r="AF9" s="1220"/>
      <c r="AG9" s="1220"/>
      <c r="AN9" s="1220"/>
      <c r="AO9" s="1220"/>
      <c r="AV9" s="1148" t="str">
        <f>X9</f>
        <v>Net Plant Carrying Charge without Depreciation, Return, nor Income Taxes</v>
      </c>
      <c r="AY9" s="1153"/>
      <c r="BC9" s="1220">
        <f>AE9</f>
        <v>0.08580214328845619</v>
      </c>
      <c r="BT9" s="1148" t="str">
        <f>AV9</f>
        <v>Net Plant Carrying Charge without Depreciation, Return, nor Income Taxes</v>
      </c>
      <c r="BW9" s="1153"/>
      <c r="CA9" s="1220">
        <f>BC9</f>
        <v>0.08580214328845619</v>
      </c>
    </row>
    <row r="10" spans="2:79" ht="13.5">
      <c r="B10" s="1146"/>
      <c r="D10" s="1148"/>
      <c r="G10" s="1153"/>
      <c r="N10" s="1147"/>
      <c r="O10" s="1166"/>
      <c r="P10" s="1147"/>
      <c r="Q10" s="1147"/>
      <c r="R10" s="1147"/>
      <c r="T10" s="1222"/>
      <c r="X10" s="1148"/>
      <c r="Y10" s="1147"/>
      <c r="AA10" s="1153"/>
      <c r="AE10" s="1219"/>
      <c r="AV10" s="1148"/>
      <c r="AY10" s="1153"/>
      <c r="BC10" s="1219"/>
      <c r="BT10" s="1148"/>
      <c r="BW10" s="1153"/>
      <c r="CA10" s="1219"/>
    </row>
    <row r="11" spans="2:79" ht="12.75">
      <c r="B11" s="1166"/>
      <c r="C11" s="1163"/>
      <c r="D11" s="1166"/>
      <c r="E11" s="1166"/>
      <c r="F11" s="1166"/>
      <c r="M11" s="1223"/>
      <c r="N11" s="1147"/>
      <c r="O11" s="1166"/>
      <c r="P11" s="1147"/>
      <c r="Q11" s="1147"/>
      <c r="R11" s="1147"/>
      <c r="X11" s="1166"/>
      <c r="Y11" s="1166"/>
      <c r="Z11" s="1166"/>
      <c r="AA11" s="1219"/>
      <c r="AE11" s="1219"/>
      <c r="AG11" s="1223"/>
      <c r="AO11" s="1223"/>
      <c r="AV11" s="1166"/>
      <c r="AW11" s="1166"/>
      <c r="AX11" s="1166"/>
      <c r="AY11" s="1219"/>
      <c r="BC11" s="1219"/>
      <c r="BT11" s="1166"/>
      <c r="BU11" s="1166"/>
      <c r="BV11" s="1166"/>
      <c r="BW11" s="1219"/>
      <c r="CA11" s="1219"/>
    </row>
    <row r="12" spans="16:79" ht="12.75">
      <c r="P12" s="1220"/>
      <c r="Q12" s="1220"/>
      <c r="X12" s="1147"/>
      <c r="Y12" s="1147"/>
      <c r="AA12" s="1219"/>
      <c r="AE12" s="1219"/>
      <c r="AY12" s="1219"/>
      <c r="BC12" s="1219"/>
      <c r="BW12" s="1219"/>
      <c r="CA12" s="1219"/>
    </row>
    <row r="13" spans="2:79" ht="12.75">
      <c r="B13" s="1166"/>
      <c r="G13" s="1224"/>
      <c r="K13" s="1209"/>
      <c r="L13" s="1209"/>
      <c r="M13" s="1209"/>
      <c r="N13" s="1209"/>
      <c r="O13" s="1209"/>
      <c r="P13" s="1147"/>
      <c r="Q13" s="1147"/>
      <c r="R13" s="1209"/>
      <c r="S13" s="1209"/>
      <c r="T13" s="1147"/>
      <c r="U13" s="1147"/>
      <c r="V13" s="1209"/>
      <c r="W13" s="1209"/>
      <c r="X13" s="1147"/>
      <c r="Y13" s="1147"/>
      <c r="AA13" s="1224"/>
      <c r="AE13" s="1209"/>
      <c r="AF13" s="1209"/>
      <c r="AG13" s="1209"/>
      <c r="AN13" s="1209"/>
      <c r="AO13" s="1209"/>
      <c r="AY13" s="1224"/>
      <c r="BC13" s="1209"/>
      <c r="BW13" s="1224"/>
      <c r="CA13" s="1209"/>
    </row>
    <row r="14" spans="4:79" ht="12.75">
      <c r="D14" s="246" t="s">
        <v>1208</v>
      </c>
      <c r="E14" s="246"/>
      <c r="F14" s="246"/>
      <c r="G14" s="445"/>
      <c r="H14" s="246"/>
      <c r="I14" s="246"/>
      <c r="J14" s="246"/>
      <c r="K14" s="246" t="s">
        <v>1209</v>
      </c>
      <c r="L14" s="1147"/>
      <c r="M14" s="1147"/>
      <c r="N14" s="1147"/>
      <c r="O14" s="1147"/>
      <c r="P14" s="1147"/>
      <c r="Q14" s="1147"/>
      <c r="R14" s="1147"/>
      <c r="S14" s="1147"/>
      <c r="T14" s="1147"/>
      <c r="U14" s="1147"/>
      <c r="V14" s="1147"/>
      <c r="W14" s="1147"/>
      <c r="X14" s="1147" t="str">
        <f t="shared" si="0"/>
        <v>Beginning = 13 month avg Plant CWIP or Incentive Plant balance</v>
      </c>
      <c r="Y14" s="1147"/>
      <c r="AA14" s="1224"/>
      <c r="AE14" s="1147" t="str">
        <f>K14</f>
        <v>Total = Sum of Revenue for Projects</v>
      </c>
      <c r="AF14" s="1147"/>
      <c r="AG14" s="1147"/>
      <c r="AN14" s="1147"/>
      <c r="AO14" s="1147"/>
      <c r="AV14" s="1147" t="str">
        <f>X14</f>
        <v>Beginning = 13 month avg Plant CWIP or Incentive Plant balance</v>
      </c>
      <c r="AY14" s="1224"/>
      <c r="BC14" s="1147" t="str">
        <f>AE14</f>
        <v>Total = Sum of Revenue for Projects</v>
      </c>
      <c r="BT14" s="1147" t="str">
        <f>AV14</f>
        <v>Beginning = 13 month avg Plant CWIP or Incentive Plant balance</v>
      </c>
      <c r="BW14" s="1224"/>
      <c r="CA14" s="1147" t="str">
        <f>BC14</f>
        <v>Total = Sum of Revenue for Projects</v>
      </c>
    </row>
    <row r="15" spans="4:79" ht="12.75">
      <c r="D15" s="1147" t="s">
        <v>1210</v>
      </c>
      <c r="G15" s="1224"/>
      <c r="K15" s="1147" t="s">
        <v>274</v>
      </c>
      <c r="L15" s="1147"/>
      <c r="M15" s="1147"/>
      <c r="N15" s="1147"/>
      <c r="O15" s="1147"/>
      <c r="P15" s="1147"/>
      <c r="Q15" s="1147"/>
      <c r="R15" s="1147"/>
      <c r="S15" s="1147"/>
      <c r="T15" s="1147"/>
      <c r="U15" s="1147"/>
      <c r="V15" s="1147"/>
      <c r="W15" s="1147"/>
      <c r="X15" s="1147" t="str">
        <f t="shared" si="0"/>
        <v>Deprec = 13 month avg Accumulated Depreciation specific to Incentive Plant balances</v>
      </c>
      <c r="Y15" s="1147"/>
      <c r="AA15" s="1224"/>
      <c r="AE15" s="1147" t="str">
        <f>K15</f>
        <v>Incentive = Total for "W Increased ROE" row</v>
      </c>
      <c r="AF15" s="1147"/>
      <c r="AG15" s="1147"/>
      <c r="AN15" s="1147"/>
      <c r="AO15" s="1147"/>
      <c r="AV15" s="1147" t="str">
        <f>X15</f>
        <v>Deprec = 13 month avg Accumulated Depreciation specific to Incentive Plant balances</v>
      </c>
      <c r="AY15" s="1224"/>
      <c r="BC15" s="1147" t="str">
        <f>AE15</f>
        <v>Incentive = Total for "W Increased ROE" row</v>
      </c>
      <c r="BT15" s="1147" t="str">
        <f>AV15</f>
        <v>Deprec = 13 month avg Accumulated Depreciation specific to Incentive Plant balances</v>
      </c>
      <c r="BW15" s="1224"/>
      <c r="CA15" s="1147" t="str">
        <f>BC15</f>
        <v>Incentive = Total for "W Increased ROE" row</v>
      </c>
    </row>
    <row r="16" spans="4:79" ht="12.75">
      <c r="D16" s="1147" t="s">
        <v>273</v>
      </c>
      <c r="G16" s="1224"/>
      <c r="K16" s="1147" t="str">
        <f>"Revenue Credit = Total for '"&amp;B31&amp;"' row"</f>
        <v>Revenue Credit = Total for ''FCR W base ROE'' row</v>
      </c>
      <c r="L16" s="1147"/>
      <c r="M16" s="1147"/>
      <c r="N16" s="1147"/>
      <c r="O16" s="1147"/>
      <c r="P16" s="1147"/>
      <c r="Q16" s="1147"/>
      <c r="R16" s="1147"/>
      <c r="S16" s="1147"/>
      <c r="T16" s="1147"/>
      <c r="U16" s="1147"/>
      <c r="V16" s="1147"/>
      <c r="W16" s="1147"/>
      <c r="X16" s="1147" t="str">
        <f t="shared" si="0"/>
        <v>Ending = Beginning - Deprec</v>
      </c>
      <c r="Y16" s="1147"/>
      <c r="AA16" s="1224"/>
      <c r="AE16" s="1147" t="str">
        <f>K16</f>
        <v>Revenue Credit = Total for ''FCR W base ROE'' row</v>
      </c>
      <c r="AF16" s="1147"/>
      <c r="AG16" s="1147"/>
      <c r="AN16" s="1147"/>
      <c r="AO16" s="1147"/>
      <c r="AV16" s="1147" t="str">
        <f>X16</f>
        <v>Ending = Beginning - Deprec</v>
      </c>
      <c r="AY16" s="1224"/>
      <c r="BC16" s="1147" t="str">
        <f>AE16</f>
        <v>Revenue Credit = Total for ''FCR W base ROE'' row</v>
      </c>
      <c r="BT16" s="1147" t="str">
        <f>AV16</f>
        <v>Ending = Beginning - Deprec</v>
      </c>
      <c r="BW16" s="1224"/>
      <c r="CA16" s="1147" t="str">
        <f>BC16</f>
        <v>Revenue Credit = Total for ''FCR W base ROE'' row</v>
      </c>
    </row>
    <row r="17" spans="4:75" ht="12.75">
      <c r="D17" s="1469" t="s">
        <v>1097</v>
      </c>
      <c r="G17" s="1224"/>
      <c r="K17" s="1147"/>
      <c r="L17" s="1147"/>
      <c r="M17" s="1147"/>
      <c r="N17" s="1147"/>
      <c r="O17" s="1147"/>
      <c r="P17" s="1147"/>
      <c r="Q17" s="1147"/>
      <c r="R17" s="1147"/>
      <c r="S17" s="1147"/>
      <c r="T17" s="1147"/>
      <c r="U17" s="1147"/>
      <c r="V17" s="1147"/>
      <c r="W17" s="1147"/>
      <c r="X17" s="1147"/>
      <c r="Y17" s="1147"/>
      <c r="AA17" s="1224"/>
      <c r="AF17" s="1147"/>
      <c r="AG17" s="1147"/>
      <c r="AN17" s="1147"/>
      <c r="AO17" s="1147"/>
      <c r="AY17" s="1224"/>
      <c r="BW17" s="1224"/>
    </row>
    <row r="18" spans="2:79" ht="13.5" thickBot="1">
      <c r="B18" s="1166"/>
      <c r="D18" s="1225" t="s">
        <v>1211</v>
      </c>
      <c r="E18" s="1225"/>
      <c r="F18" s="1225"/>
      <c r="G18" s="1226"/>
      <c r="H18" s="1225"/>
      <c r="I18" s="1225"/>
      <c r="J18" s="1225"/>
      <c r="K18" s="1226"/>
      <c r="L18" s="1226"/>
      <c r="M18" s="1226"/>
      <c r="N18" s="1226"/>
      <c r="O18" s="1226"/>
      <c r="P18" s="1226"/>
      <c r="Q18" s="1226"/>
      <c r="R18" s="1226"/>
      <c r="S18" s="1226"/>
      <c r="T18" s="1224"/>
      <c r="U18" s="1224"/>
      <c r="V18" s="1224"/>
      <c r="W18" s="1224"/>
      <c r="X18" s="1225" t="str">
        <f t="shared" si="0"/>
        <v>Revenue= FCR* (Beginning + Ending)/2 + Amortization Expense (specific for Abandoned Plant)</v>
      </c>
      <c r="Y18" s="1225"/>
      <c r="Z18" s="1225"/>
      <c r="AA18" s="1226"/>
      <c r="AB18" s="1225"/>
      <c r="AC18" s="1225"/>
      <c r="AD18" s="1225"/>
      <c r="AE18" s="1226"/>
      <c r="AF18" s="1226"/>
      <c r="AG18" s="1226"/>
      <c r="AN18" s="1226"/>
      <c r="AO18" s="1226"/>
      <c r="AV18" s="1225" t="str">
        <f>X18</f>
        <v>Revenue= FCR* (Beginning + Ending)/2 + Amortization Expense (specific for Abandoned Plant)</v>
      </c>
      <c r="AW18" s="1225"/>
      <c r="AX18" s="1225"/>
      <c r="AY18" s="1226"/>
      <c r="AZ18" s="1225"/>
      <c r="BA18" s="1225"/>
      <c r="BB18" s="1225"/>
      <c r="BC18" s="1226"/>
      <c r="BT18" s="1225" t="str">
        <f>AV18</f>
        <v>Revenue= FCR* (Beginning + Ending)/2 + Amortization Expense (specific for Abandoned Plant)</v>
      </c>
      <c r="BU18" s="1225"/>
      <c r="BV18" s="1225"/>
      <c r="BW18" s="1226"/>
      <c r="BX18" s="1225"/>
      <c r="BY18" s="1225"/>
      <c r="BZ18" s="1225"/>
      <c r="CA18" s="1226"/>
    </row>
    <row r="19" spans="2:94" ht="13.5">
      <c r="B19" s="1227" t="s">
        <v>551</v>
      </c>
      <c r="C19" s="1228"/>
      <c r="D19" s="1607" t="s">
        <v>767</v>
      </c>
      <c r="E19" s="1608"/>
      <c r="F19" s="1608"/>
      <c r="G19" s="1609"/>
      <c r="H19" s="1607" t="s">
        <v>54</v>
      </c>
      <c r="I19" s="1608"/>
      <c r="J19" s="1608"/>
      <c r="K19" s="1609"/>
      <c r="L19" s="1607" t="s">
        <v>749</v>
      </c>
      <c r="M19" s="1608"/>
      <c r="N19" s="1608"/>
      <c r="O19" s="1609"/>
      <c r="P19" s="1610" t="s">
        <v>748</v>
      </c>
      <c r="Q19" s="1611"/>
      <c r="R19" s="1611"/>
      <c r="S19" s="1611"/>
      <c r="T19" s="1610" t="s">
        <v>108</v>
      </c>
      <c r="U19" s="1611"/>
      <c r="V19" s="1611"/>
      <c r="W19" s="1612"/>
      <c r="X19" s="1610" t="s">
        <v>1056</v>
      </c>
      <c r="Y19" s="1611"/>
      <c r="Z19" s="1611"/>
      <c r="AA19" s="1612"/>
      <c r="AB19" s="1610" t="s">
        <v>1057</v>
      </c>
      <c r="AC19" s="1611"/>
      <c r="AD19" s="1611"/>
      <c r="AE19" s="1612"/>
      <c r="AF19" s="1610" t="s">
        <v>1058</v>
      </c>
      <c r="AG19" s="1611"/>
      <c r="AH19" s="1611"/>
      <c r="AI19" s="1612"/>
      <c r="AJ19" s="1610" t="s">
        <v>1059</v>
      </c>
      <c r="AK19" s="1611"/>
      <c r="AL19" s="1611"/>
      <c r="AM19" s="1612"/>
      <c r="AN19" s="1610" t="s">
        <v>1041</v>
      </c>
      <c r="AO19" s="1611"/>
      <c r="AP19" s="1611"/>
      <c r="AQ19" s="1612"/>
      <c r="AR19" s="1610" t="s">
        <v>1042</v>
      </c>
      <c r="AS19" s="1611"/>
      <c r="AT19" s="1611"/>
      <c r="AU19" s="1612"/>
      <c r="AV19" s="1610" t="s">
        <v>1043</v>
      </c>
      <c r="AW19" s="1611"/>
      <c r="AX19" s="1611"/>
      <c r="AY19" s="1612"/>
      <c r="AZ19" s="1610" t="s">
        <v>1044</v>
      </c>
      <c r="BA19" s="1611"/>
      <c r="BB19" s="1611"/>
      <c r="BC19" s="1612"/>
      <c r="BD19" s="1610" t="s">
        <v>1046</v>
      </c>
      <c r="BE19" s="1611"/>
      <c r="BF19" s="1611"/>
      <c r="BG19" s="1612"/>
      <c r="BH19" s="1616" t="s">
        <v>1138</v>
      </c>
      <c r="BI19" s="1617"/>
      <c r="BJ19" s="1617"/>
      <c r="BK19" s="1618"/>
      <c r="BL19" s="1616" t="s">
        <v>1139</v>
      </c>
      <c r="BM19" s="1617"/>
      <c r="BN19" s="1617"/>
      <c r="BO19" s="1618"/>
      <c r="BP19" s="1610" t="s">
        <v>1045</v>
      </c>
      <c r="BQ19" s="1611"/>
      <c r="BR19" s="1611"/>
      <c r="BS19" s="1612"/>
      <c r="BT19" s="1613" t="s">
        <v>1081</v>
      </c>
      <c r="BU19" s="1614"/>
      <c r="BV19" s="1614"/>
      <c r="BW19" s="1614"/>
      <c r="BX19" s="1615"/>
      <c r="BY19" s="1613" t="s">
        <v>1082</v>
      </c>
      <c r="BZ19" s="1614"/>
      <c r="CA19" s="1614"/>
      <c r="CB19" s="1614"/>
      <c r="CC19" s="1615"/>
      <c r="CD19" s="1613" t="s">
        <v>1083</v>
      </c>
      <c r="CE19" s="1614"/>
      <c r="CF19" s="1614"/>
      <c r="CG19" s="1614"/>
      <c r="CH19" s="1615"/>
      <c r="CI19" s="1613" t="s">
        <v>1084</v>
      </c>
      <c r="CJ19" s="1614"/>
      <c r="CK19" s="1614"/>
      <c r="CL19" s="1614"/>
      <c r="CM19" s="1615"/>
      <c r="CN19" s="1231"/>
      <c r="CO19" s="1227"/>
      <c r="CP19" s="1231"/>
    </row>
    <row r="20" spans="1:94" ht="13.5">
      <c r="A20" s="1147">
        <f>A9+1</f>
        <v>6</v>
      </c>
      <c r="B20" s="1233" t="s">
        <v>24</v>
      </c>
      <c r="C20" s="1234"/>
      <c r="D20" s="1235" t="s">
        <v>97</v>
      </c>
      <c r="E20" s="1146"/>
      <c r="F20" s="1146"/>
      <c r="G20" s="1229"/>
      <c r="H20" s="1235" t="s">
        <v>97</v>
      </c>
      <c r="I20" s="1146"/>
      <c r="J20" s="1146"/>
      <c r="K20" s="1229"/>
      <c r="L20" s="1235" t="s">
        <v>97</v>
      </c>
      <c r="M20" s="1146"/>
      <c r="N20" s="1146"/>
      <c r="O20" s="1229"/>
      <c r="P20" s="1235" t="s">
        <v>97</v>
      </c>
      <c r="Q20" s="1146"/>
      <c r="R20" s="1146"/>
      <c r="S20" s="1146"/>
      <c r="T20" s="1235" t="s">
        <v>97</v>
      </c>
      <c r="U20" s="1146"/>
      <c r="V20" s="1146"/>
      <c r="W20" s="1229"/>
      <c r="X20" s="1235" t="s">
        <v>97</v>
      </c>
      <c r="Y20" s="1504"/>
      <c r="Z20" s="1504"/>
      <c r="AA20" s="1236"/>
      <c r="AB20" s="1235" t="s">
        <v>97</v>
      </c>
      <c r="AC20" s="1146"/>
      <c r="AD20" s="1160"/>
      <c r="AE20" s="1236"/>
      <c r="AF20" s="1235" t="s">
        <v>97</v>
      </c>
      <c r="AG20" s="1160"/>
      <c r="AH20" s="1160"/>
      <c r="AI20" s="1236"/>
      <c r="AJ20" s="1235" t="s">
        <v>97</v>
      </c>
      <c r="AK20" s="1146"/>
      <c r="AL20" s="1160"/>
      <c r="AM20" s="1236"/>
      <c r="AN20" s="1235" t="s">
        <v>97</v>
      </c>
      <c r="AO20" s="1160"/>
      <c r="AP20" s="1160"/>
      <c r="AQ20" s="1236"/>
      <c r="AR20" s="1235" t="s">
        <v>97</v>
      </c>
      <c r="AS20" s="1146"/>
      <c r="AT20" s="1160"/>
      <c r="AU20" s="1236"/>
      <c r="AV20" s="1235" t="s">
        <v>97</v>
      </c>
      <c r="AW20" s="1504"/>
      <c r="AX20" s="1504"/>
      <c r="AY20" s="1236"/>
      <c r="AZ20" s="1235" t="s">
        <v>97</v>
      </c>
      <c r="BA20" s="1146"/>
      <c r="BB20" s="1160"/>
      <c r="BC20" s="1236"/>
      <c r="BD20" s="1235" t="s">
        <v>97</v>
      </c>
      <c r="BE20" s="1146"/>
      <c r="BF20" s="1160"/>
      <c r="BG20" s="1236"/>
      <c r="BH20" s="1406" t="s">
        <v>97</v>
      </c>
      <c r="BI20" s="1510"/>
      <c r="BJ20" s="1510"/>
      <c r="BK20" s="1407"/>
      <c r="BL20" s="1235" t="s">
        <v>97</v>
      </c>
      <c r="BM20" s="1515"/>
      <c r="BN20" s="1510"/>
      <c r="BO20" s="1407"/>
      <c r="BP20" s="1235" t="s">
        <v>97</v>
      </c>
      <c r="BQ20" s="1519"/>
      <c r="BR20" s="1504"/>
      <c r="BS20" s="1236"/>
      <c r="BT20" s="1480" t="s">
        <v>97</v>
      </c>
      <c r="BU20" s="1523"/>
      <c r="BV20" s="1523"/>
      <c r="BW20" s="1523"/>
      <c r="BX20" s="1297"/>
      <c r="BY20" s="1480" t="s">
        <v>97</v>
      </c>
      <c r="BZ20" s="1523"/>
      <c r="CA20" s="1523"/>
      <c r="CB20" s="1523"/>
      <c r="CC20" s="1297"/>
      <c r="CD20" s="1480" t="s">
        <v>97</v>
      </c>
      <c r="CE20" s="1296"/>
      <c r="CF20" s="1296"/>
      <c r="CG20" s="1296"/>
      <c r="CH20" s="1297"/>
      <c r="CI20" s="1480" t="s">
        <v>97</v>
      </c>
      <c r="CJ20" s="1523"/>
      <c r="CK20" s="1523"/>
      <c r="CL20" s="1523"/>
      <c r="CM20" s="1297"/>
      <c r="CN20" s="1237"/>
      <c r="CO20" s="1233"/>
      <c r="CP20" s="1237"/>
    </row>
    <row r="21" spans="1:94" ht="13.5">
      <c r="A21" s="1147">
        <f>A20+1</f>
        <v>7</v>
      </c>
      <c r="B21" s="1233" t="s">
        <v>549</v>
      </c>
      <c r="C21" s="1234"/>
      <c r="D21" s="1235"/>
      <c r="E21" s="1234"/>
      <c r="F21" s="1234"/>
      <c r="G21" s="1238"/>
      <c r="H21" s="1235">
        <v>43</v>
      </c>
      <c r="I21" s="1234"/>
      <c r="J21" s="1234"/>
      <c r="K21" s="1238"/>
      <c r="L21" s="1235"/>
      <c r="M21" s="1234"/>
      <c r="N21" s="1234"/>
      <c r="O21" s="1238"/>
      <c r="P21" s="1235">
        <v>43</v>
      </c>
      <c r="Q21" s="1234"/>
      <c r="R21" s="1234"/>
      <c r="S21" s="1239"/>
      <c r="T21" s="1235">
        <v>43</v>
      </c>
      <c r="U21" s="1240"/>
      <c r="V21" s="1234"/>
      <c r="W21" s="1238"/>
      <c r="X21" s="1235"/>
      <c r="Y21" s="1505"/>
      <c r="Z21" s="1505"/>
      <c r="AA21" s="1242"/>
      <c r="AB21" s="1235">
        <v>43</v>
      </c>
      <c r="AC21" s="1234"/>
      <c r="AD21" s="1241"/>
      <c r="AE21" s="1242"/>
      <c r="AF21" s="1235"/>
      <c r="AG21" s="1241"/>
      <c r="AH21" s="1241"/>
      <c r="AI21" s="1242"/>
      <c r="AJ21" s="1235">
        <v>43</v>
      </c>
      <c r="AK21" s="1234"/>
      <c r="AL21" s="1241"/>
      <c r="AM21" s="1242"/>
      <c r="AN21" s="1235"/>
      <c r="AO21" s="1241"/>
      <c r="AP21" s="1241"/>
      <c r="AQ21" s="1242"/>
      <c r="AR21" s="1235">
        <v>43</v>
      </c>
      <c r="AS21" s="1234"/>
      <c r="AT21" s="1241"/>
      <c r="AU21" s="1242"/>
      <c r="AV21" s="1235"/>
      <c r="AW21" s="1505"/>
      <c r="AX21" s="1505"/>
      <c r="AY21" s="1242"/>
      <c r="AZ21" s="1235">
        <v>43</v>
      </c>
      <c r="BA21" s="1234"/>
      <c r="BB21" s="1241"/>
      <c r="BC21" s="1242"/>
      <c r="BD21" s="1235">
        <v>43</v>
      </c>
      <c r="BE21" s="1234"/>
      <c r="BF21" s="1241"/>
      <c r="BG21" s="1242"/>
      <c r="BH21" s="1406"/>
      <c r="BI21" s="1511"/>
      <c r="BJ21" s="1511"/>
      <c r="BK21" s="1242"/>
      <c r="BL21" s="1235">
        <v>43</v>
      </c>
      <c r="BM21" s="1516"/>
      <c r="BN21" s="1511"/>
      <c r="BO21" s="1242"/>
      <c r="BP21" s="1235">
        <v>43</v>
      </c>
      <c r="BQ21" s="1520"/>
      <c r="BR21" s="1505"/>
      <c r="BS21" s="1242"/>
      <c r="BT21" s="1481">
        <v>0</v>
      </c>
      <c r="BU21" s="1528"/>
      <c r="BV21" s="1528"/>
      <c r="BW21" s="1528"/>
      <c r="BX21" s="1242"/>
      <c r="BY21" s="1480"/>
      <c r="BZ21" s="1528"/>
      <c r="CA21" s="1528"/>
      <c r="CB21" s="1528"/>
      <c r="CC21" s="1242"/>
      <c r="CD21" s="1480"/>
      <c r="CE21" s="1352"/>
      <c r="CF21" s="1352"/>
      <c r="CG21" s="1352"/>
      <c r="CH21" s="1238"/>
      <c r="CI21" s="1480"/>
      <c r="CJ21" s="233"/>
      <c r="CK21" s="233"/>
      <c r="CL21" s="233"/>
      <c r="CM21" s="1238"/>
      <c r="CN21" s="1237"/>
      <c r="CO21" s="1233"/>
      <c r="CP21" s="1237"/>
    </row>
    <row r="22" spans="1:94" ht="13.5">
      <c r="A22" s="1147">
        <f aca="true" t="shared" si="1" ref="A22:A74">A21+1</f>
        <v>8</v>
      </c>
      <c r="B22" s="1233" t="s">
        <v>550</v>
      </c>
      <c r="C22" s="1234"/>
      <c r="D22" s="1235" t="s">
        <v>343</v>
      </c>
      <c r="E22" s="1234"/>
      <c r="F22" s="1234"/>
      <c r="G22" s="1238"/>
      <c r="H22" s="1235" t="s">
        <v>343</v>
      </c>
      <c r="I22" s="1234"/>
      <c r="J22" s="1234"/>
      <c r="K22" s="1238"/>
      <c r="L22" s="1235" t="s">
        <v>343</v>
      </c>
      <c r="M22" s="1234"/>
      <c r="N22" s="1234"/>
      <c r="O22" s="1238"/>
      <c r="P22" s="1235" t="s">
        <v>343</v>
      </c>
      <c r="Q22" s="1234"/>
      <c r="R22" s="1234"/>
      <c r="S22" s="1239"/>
      <c r="T22" s="1235" t="s">
        <v>343</v>
      </c>
      <c r="U22" s="1234"/>
      <c r="V22" s="1234"/>
      <c r="W22" s="1238"/>
      <c r="X22" s="1235" t="s">
        <v>343</v>
      </c>
      <c r="Y22" s="1505"/>
      <c r="Z22" s="1505"/>
      <c r="AA22" s="1242"/>
      <c r="AB22" s="1235" t="s">
        <v>343</v>
      </c>
      <c r="AC22" s="1234"/>
      <c r="AD22" s="1241"/>
      <c r="AE22" s="1242"/>
      <c r="AF22" s="1235" t="s">
        <v>343</v>
      </c>
      <c r="AG22" s="1241"/>
      <c r="AH22" s="1241"/>
      <c r="AI22" s="1242"/>
      <c r="AJ22" s="1235" t="s">
        <v>343</v>
      </c>
      <c r="AK22" s="1234"/>
      <c r="AL22" s="1241"/>
      <c r="AM22" s="1242"/>
      <c r="AN22" s="1235" t="s">
        <v>343</v>
      </c>
      <c r="AO22" s="1241"/>
      <c r="AP22" s="1241"/>
      <c r="AQ22" s="1242"/>
      <c r="AR22" s="1235" t="s">
        <v>343</v>
      </c>
      <c r="AS22" s="1234"/>
      <c r="AT22" s="1241"/>
      <c r="AU22" s="1242"/>
      <c r="AV22" s="1235" t="s">
        <v>343</v>
      </c>
      <c r="AW22" s="1505"/>
      <c r="AX22" s="1505"/>
      <c r="AY22" s="1242"/>
      <c r="AZ22" s="1235" t="s">
        <v>343</v>
      </c>
      <c r="BA22" s="1234"/>
      <c r="BB22" s="1241"/>
      <c r="BC22" s="1242"/>
      <c r="BD22" s="1235" t="s">
        <v>343</v>
      </c>
      <c r="BE22" s="1234"/>
      <c r="BF22" s="1241"/>
      <c r="BG22" s="1242"/>
      <c r="BH22" s="1406" t="s">
        <v>343</v>
      </c>
      <c r="BI22" s="1511"/>
      <c r="BJ22" s="1511"/>
      <c r="BK22" s="1242"/>
      <c r="BL22" s="1235" t="s">
        <v>343</v>
      </c>
      <c r="BM22" s="1516"/>
      <c r="BN22" s="1511"/>
      <c r="BO22" s="1242"/>
      <c r="BP22" s="1235" t="s">
        <v>343</v>
      </c>
      <c r="BQ22" s="1520"/>
      <c r="BR22" s="1505"/>
      <c r="BS22" s="1242"/>
      <c r="BT22" s="1480" t="s">
        <v>343</v>
      </c>
      <c r="BU22" s="1528"/>
      <c r="BV22" s="1528"/>
      <c r="BW22" s="1528"/>
      <c r="BX22" s="1242"/>
      <c r="BY22" s="1480" t="s">
        <v>343</v>
      </c>
      <c r="BZ22" s="1528"/>
      <c r="CA22" s="1528"/>
      <c r="CB22" s="1528"/>
      <c r="CC22" s="1242"/>
      <c r="CD22" s="1480" t="s">
        <v>343</v>
      </c>
      <c r="CE22" s="1352"/>
      <c r="CF22" s="1352"/>
      <c r="CG22" s="1352"/>
      <c r="CH22" s="1238"/>
      <c r="CI22" s="1480" t="s">
        <v>343</v>
      </c>
      <c r="CJ22" s="233"/>
      <c r="CK22" s="233"/>
      <c r="CL22" s="233"/>
      <c r="CM22" s="1238"/>
      <c r="CN22" s="1237"/>
      <c r="CO22" s="1233"/>
      <c r="CP22" s="1237"/>
    </row>
    <row r="23" spans="1:94" ht="13.5">
      <c r="A23" s="1147">
        <f t="shared" si="1"/>
        <v>9</v>
      </c>
      <c r="B23" s="1233" t="s">
        <v>701</v>
      </c>
      <c r="C23" s="1234"/>
      <c r="D23" s="1235">
        <v>100</v>
      </c>
      <c r="E23" s="1234"/>
      <c r="F23" s="1234"/>
      <c r="G23" s="1238"/>
      <c r="H23" s="1235">
        <v>100</v>
      </c>
      <c r="I23" s="1234"/>
      <c r="J23" s="1234"/>
      <c r="K23" s="1238"/>
      <c r="L23" s="1235">
        <v>150</v>
      </c>
      <c r="M23" s="1234"/>
      <c r="N23" s="1234"/>
      <c r="O23" s="1238"/>
      <c r="P23" s="1235">
        <v>150</v>
      </c>
      <c r="Q23" s="1234"/>
      <c r="R23" s="1234"/>
      <c r="S23" s="1239"/>
      <c r="T23" s="1235">
        <v>0</v>
      </c>
      <c r="U23" s="1240"/>
      <c r="V23" s="1234"/>
      <c r="W23" s="1238"/>
      <c r="X23" s="1235">
        <v>0</v>
      </c>
      <c r="Y23" s="1505"/>
      <c r="Z23" s="1505"/>
      <c r="AA23" s="1242"/>
      <c r="AB23" s="1235">
        <v>0</v>
      </c>
      <c r="AC23" s="1234"/>
      <c r="AD23" s="1241"/>
      <c r="AE23" s="1242"/>
      <c r="AF23" s="1235">
        <v>0</v>
      </c>
      <c r="AG23" s="1241"/>
      <c r="AH23" s="1241"/>
      <c r="AI23" s="1242"/>
      <c r="AJ23" s="1235">
        <v>0</v>
      </c>
      <c r="AK23" s="1234"/>
      <c r="AL23" s="1241"/>
      <c r="AM23" s="1242"/>
      <c r="AN23" s="1235">
        <v>0</v>
      </c>
      <c r="AO23" s="1241"/>
      <c r="AP23" s="1241"/>
      <c r="AQ23" s="1242"/>
      <c r="AR23" s="1235">
        <v>0</v>
      </c>
      <c r="AS23" s="1234"/>
      <c r="AT23" s="1241"/>
      <c r="AU23" s="1242"/>
      <c r="AV23" s="1235">
        <v>0</v>
      </c>
      <c r="AW23" s="1505"/>
      <c r="AX23" s="1505"/>
      <c r="AY23" s="1242"/>
      <c r="AZ23" s="1235">
        <v>0</v>
      </c>
      <c r="BA23" s="1234"/>
      <c r="BB23" s="1241"/>
      <c r="BC23" s="1242"/>
      <c r="BD23" s="1235">
        <v>0</v>
      </c>
      <c r="BE23" s="1234"/>
      <c r="BF23" s="1241"/>
      <c r="BG23" s="1242"/>
      <c r="BH23" s="1406">
        <v>0</v>
      </c>
      <c r="BI23" s="1511"/>
      <c r="BJ23" s="1511"/>
      <c r="BK23" s="1242"/>
      <c r="BL23" s="1235">
        <v>0</v>
      </c>
      <c r="BM23" s="1516"/>
      <c r="BN23" s="1511"/>
      <c r="BO23" s="1242"/>
      <c r="BP23" s="1235">
        <v>0</v>
      </c>
      <c r="BQ23" s="1520"/>
      <c r="BR23" s="1505"/>
      <c r="BS23" s="1242"/>
      <c r="BT23" s="1480">
        <v>0</v>
      </c>
      <c r="BU23" s="1528"/>
      <c r="BV23" s="1528"/>
      <c r="BW23" s="1528"/>
      <c r="BX23" s="1242"/>
      <c r="BY23" s="1480">
        <v>0</v>
      </c>
      <c r="BZ23" s="1528"/>
      <c r="CA23" s="1528"/>
      <c r="CB23" s="1528"/>
      <c r="CC23" s="1242"/>
      <c r="CD23" s="1480">
        <v>0</v>
      </c>
      <c r="CE23" s="1352"/>
      <c r="CF23" s="1352"/>
      <c r="CG23" s="1352"/>
      <c r="CH23" s="1238"/>
      <c r="CI23" s="1480">
        <v>0</v>
      </c>
      <c r="CJ23" s="233"/>
      <c r="CK23" s="233"/>
      <c r="CL23" s="233"/>
      <c r="CM23" s="1238"/>
      <c r="CN23" s="1237"/>
      <c r="CO23" s="1233"/>
      <c r="CP23" s="1237"/>
    </row>
    <row r="24" spans="1:94" ht="13.5">
      <c r="A24" s="1147">
        <f t="shared" si="1"/>
        <v>10</v>
      </c>
      <c r="B24" s="1233" t="str">
        <f>"FCR W base ROE"</f>
        <v>FCR W base ROE</v>
      </c>
      <c r="C24" s="1234"/>
      <c r="D24" s="1243">
        <f>+$K5</f>
        <v>0.1828797847893144</v>
      </c>
      <c r="E24" s="1232"/>
      <c r="F24" s="1232"/>
      <c r="G24" s="1244"/>
      <c r="H24" s="1243">
        <f>+$K5</f>
        <v>0.1828797847893144</v>
      </c>
      <c r="I24" s="1245"/>
      <c r="J24" s="1246"/>
      <c r="K24" s="1247"/>
      <c r="L24" s="1243">
        <f>+$K5</f>
        <v>0.1828797847893144</v>
      </c>
      <c r="M24" s="1232"/>
      <c r="N24" s="1232"/>
      <c r="O24" s="1244"/>
      <c r="P24" s="1243">
        <f>+$K5</f>
        <v>0.1828797847893144</v>
      </c>
      <c r="Q24" s="1245"/>
      <c r="R24" s="1246"/>
      <c r="S24" s="1248"/>
      <c r="T24" s="1243">
        <f>+$K5</f>
        <v>0.1828797847893144</v>
      </c>
      <c r="U24" s="1240"/>
      <c r="V24" s="1234"/>
      <c r="W24" s="1238"/>
      <c r="X24" s="1243">
        <f>+$K5</f>
        <v>0.1828797847893144</v>
      </c>
      <c r="Y24" s="1506"/>
      <c r="Z24" s="1506"/>
      <c r="AA24" s="1250"/>
      <c r="AB24" s="1243">
        <f>+$K5</f>
        <v>0.1828797847893144</v>
      </c>
      <c r="AC24" s="1245"/>
      <c r="AD24" s="1246"/>
      <c r="AE24" s="1247"/>
      <c r="AF24" s="1243">
        <f>+$K5</f>
        <v>0.1828797847893144</v>
      </c>
      <c r="AG24" s="1249"/>
      <c r="AH24" s="1249"/>
      <c r="AI24" s="1250"/>
      <c r="AJ24" s="1243">
        <f>+$K5</f>
        <v>0.1828797847893144</v>
      </c>
      <c r="AK24" s="1245"/>
      <c r="AL24" s="1246"/>
      <c r="AM24" s="1247"/>
      <c r="AN24" s="1243">
        <f>+$K5</f>
        <v>0.1828797847893144</v>
      </c>
      <c r="AO24" s="1249"/>
      <c r="AP24" s="1249"/>
      <c r="AQ24" s="1250"/>
      <c r="AR24" s="1243">
        <f>+$K5</f>
        <v>0.1828797847893144</v>
      </c>
      <c r="AS24" s="1245"/>
      <c r="AT24" s="1246"/>
      <c r="AU24" s="1247"/>
      <c r="AV24" s="1243">
        <f>+$K5</f>
        <v>0.1828797847893144</v>
      </c>
      <c r="AW24" s="1506"/>
      <c r="AX24" s="1506"/>
      <c r="AY24" s="1250"/>
      <c r="AZ24" s="1243">
        <f>+$K5</f>
        <v>0.1828797847893144</v>
      </c>
      <c r="BA24" s="1245"/>
      <c r="BB24" s="1246"/>
      <c r="BC24" s="1247"/>
      <c r="BD24" s="1243">
        <f>+$K5</f>
        <v>0.1828797847893144</v>
      </c>
      <c r="BE24" s="1245"/>
      <c r="BF24" s="1246"/>
      <c r="BG24" s="1247"/>
      <c r="BH24" s="1243">
        <f>+$K5</f>
        <v>0.1828797847893144</v>
      </c>
      <c r="BI24" s="1512"/>
      <c r="BJ24" s="1512"/>
      <c r="BK24" s="1250"/>
      <c r="BL24" s="1243">
        <f>+$K5</f>
        <v>0.1828797847893144</v>
      </c>
      <c r="BM24" s="1517"/>
      <c r="BN24" s="1518"/>
      <c r="BO24" s="1247"/>
      <c r="BP24" s="1243">
        <f>+$K5</f>
        <v>0.1828797847893144</v>
      </c>
      <c r="BQ24" s="1521"/>
      <c r="BR24" s="1522"/>
      <c r="BS24" s="1242"/>
      <c r="BT24" s="1496">
        <v>0</v>
      </c>
      <c r="BU24" s="1529"/>
      <c r="BV24" s="1530"/>
      <c r="BW24" s="1530"/>
      <c r="BX24" s="1247"/>
      <c r="BY24" s="1496">
        <v>0</v>
      </c>
      <c r="BZ24" s="1529"/>
      <c r="CA24" s="1530"/>
      <c r="CB24" s="1530"/>
      <c r="CC24" s="1247"/>
      <c r="CD24" s="1496">
        <f>'5 - Cost Support 1'!I305</f>
        <v>0</v>
      </c>
      <c r="CE24" s="1495"/>
      <c r="CF24" s="1489"/>
      <c r="CG24" s="1489"/>
      <c r="CH24" s="1494"/>
      <c r="CI24" s="1496">
        <f>'5 - Cost Support 1'!J305</f>
        <v>0</v>
      </c>
      <c r="CJ24" s="204"/>
      <c r="CK24" s="1524"/>
      <c r="CL24" s="1524"/>
      <c r="CM24" s="1494"/>
      <c r="CN24" s="1492"/>
      <c r="CO24" s="1233"/>
      <c r="CP24" s="1237"/>
    </row>
    <row r="25" spans="1:94" ht="14.25" thickBot="1">
      <c r="A25" s="1147">
        <f t="shared" si="1"/>
        <v>11</v>
      </c>
      <c r="B25" s="1233" t="s">
        <v>223</v>
      </c>
      <c r="C25" s="1234"/>
      <c r="D25" s="1243">
        <f>($K5+$K7/100*D23)</f>
        <v>0.18995149504785822</v>
      </c>
      <c r="E25" s="1232"/>
      <c r="F25" s="1234"/>
      <c r="G25" s="1244"/>
      <c r="H25" s="1243">
        <f>($K5+$K7/100*H23)</f>
        <v>0.18995149504785822</v>
      </c>
      <c r="I25" s="1245"/>
      <c r="J25" s="1246"/>
      <c r="K25" s="1247"/>
      <c r="L25" s="1243">
        <f>($K5+$K7/100*L23)</f>
        <v>0.19348735017713012</v>
      </c>
      <c r="M25" s="1232"/>
      <c r="N25" s="1234"/>
      <c r="O25" s="1244"/>
      <c r="P25" s="1243">
        <f>($K5+$K7/100*P23)</f>
        <v>0.19348735017713012</v>
      </c>
      <c r="Q25" s="1245"/>
      <c r="R25" s="1246"/>
      <c r="S25" s="1248"/>
      <c r="T25" s="1243">
        <f>($K5+$K7/100*T23)</f>
        <v>0.1828797847893144</v>
      </c>
      <c r="U25" s="1240"/>
      <c r="V25" s="1234"/>
      <c r="W25" s="1238"/>
      <c r="X25" s="1243">
        <f>($K5+$K7/100*X23)</f>
        <v>0.1828797847893144</v>
      </c>
      <c r="Y25" s="1506"/>
      <c r="Z25" s="1505"/>
      <c r="AA25" s="1250"/>
      <c r="AB25" s="1243">
        <f>($K5+$K7/100*AB23)</f>
        <v>0.1828797847893144</v>
      </c>
      <c r="AC25" s="1245"/>
      <c r="AD25" s="1246"/>
      <c r="AE25" s="1247"/>
      <c r="AF25" s="1243">
        <f>($K5+$K7/100*AF23)</f>
        <v>0.1828797847893144</v>
      </c>
      <c r="AG25" s="1249"/>
      <c r="AH25" s="1241"/>
      <c r="AI25" s="1250"/>
      <c r="AJ25" s="1243">
        <f>($K5+$K7/100*AJ23)</f>
        <v>0.1828797847893144</v>
      </c>
      <c r="AK25" s="1245"/>
      <c r="AL25" s="1246"/>
      <c r="AM25" s="1247"/>
      <c r="AN25" s="1243">
        <f>($K5+$K7/100*AN23)</f>
        <v>0.1828797847893144</v>
      </c>
      <c r="AO25" s="1249"/>
      <c r="AP25" s="1241"/>
      <c r="AQ25" s="1250"/>
      <c r="AR25" s="1243">
        <f>($K5+$K7/100*AR23)</f>
        <v>0.1828797847893144</v>
      </c>
      <c r="AS25" s="1245"/>
      <c r="AT25" s="1246"/>
      <c r="AU25" s="1247"/>
      <c r="AV25" s="1243">
        <f>($K5+$K7/100*AV23)</f>
        <v>0.1828797847893144</v>
      </c>
      <c r="AW25" s="1506"/>
      <c r="AX25" s="1505"/>
      <c r="AY25" s="1250"/>
      <c r="AZ25" s="1243">
        <f>($K5+$K7/100*AZ23)</f>
        <v>0.1828797847893144</v>
      </c>
      <c r="BA25" s="1245"/>
      <c r="BB25" s="1246"/>
      <c r="BC25" s="1247"/>
      <c r="BD25" s="1243">
        <f>($K5+$K7/100*BD23)</f>
        <v>0.1828797847893144</v>
      </c>
      <c r="BE25" s="1245"/>
      <c r="BF25" s="1246"/>
      <c r="BG25" s="1247"/>
      <c r="BH25" s="1243">
        <f>($K5+$K7/100*BH23)</f>
        <v>0.1828797847893144</v>
      </c>
      <c r="BI25" s="1512"/>
      <c r="BJ25" s="1511"/>
      <c r="BK25" s="1250"/>
      <c r="BL25" s="1243">
        <f>($K5+$K7/100*BL23)</f>
        <v>0.1828797847893144</v>
      </c>
      <c r="BM25" s="1517"/>
      <c r="BN25" s="1518"/>
      <c r="BO25" s="1247"/>
      <c r="BP25" s="1243">
        <f>($K5+$K7/100*BP23)</f>
        <v>0.1828797847893144</v>
      </c>
      <c r="BQ25" s="1521"/>
      <c r="BR25" s="1522"/>
      <c r="BS25" s="1247"/>
      <c r="BT25" s="1478">
        <v>0</v>
      </c>
      <c r="BU25" s="1532"/>
      <c r="BV25" s="1533"/>
      <c r="BW25" s="1533"/>
      <c r="BX25" s="1247"/>
      <c r="BY25" s="1496">
        <v>0</v>
      </c>
      <c r="BZ25" s="1531"/>
      <c r="CA25" s="1528"/>
      <c r="CB25" s="1528"/>
      <c r="CC25" s="1250"/>
      <c r="CD25" s="1496">
        <f>CD24</f>
        <v>0</v>
      </c>
      <c r="CE25" s="1353"/>
      <c r="CF25" s="1488"/>
      <c r="CG25" s="1488"/>
      <c r="CH25" s="1494"/>
      <c r="CI25" s="1496">
        <f>CI24</f>
        <v>0</v>
      </c>
      <c r="CJ25" s="203"/>
      <c r="CK25" s="233"/>
      <c r="CL25" s="233"/>
      <c r="CM25" s="1244"/>
      <c r="CN25" s="1237"/>
      <c r="CO25" s="1233"/>
      <c r="CP25" s="1237"/>
    </row>
    <row r="26" spans="1:94" ht="13.5">
      <c r="A26" s="1147">
        <f t="shared" si="1"/>
        <v>12</v>
      </c>
      <c r="B26" s="1233" t="s">
        <v>559</v>
      </c>
      <c r="C26" s="1234"/>
      <c r="D26" s="1251"/>
      <c r="E26" s="1222"/>
      <c r="F26" s="1222"/>
      <c r="G26" s="1244"/>
      <c r="H26" s="1252">
        <f>IF('Appendix A'!I1=1,'6- Est &amp; Reconcile WS'!G99,'6- Est &amp; Reconcile WS'!G199)</f>
        <v>0</v>
      </c>
      <c r="I26" s="1222" t="s">
        <v>1217</v>
      </c>
      <c r="J26" s="1222"/>
      <c r="K26" s="1244"/>
      <c r="L26" s="1251"/>
      <c r="M26" s="1222"/>
      <c r="N26" s="1222"/>
      <c r="O26" s="1244"/>
      <c r="P26" s="1252">
        <f>IF('Appendix A'!I1=1,'6- Est &amp; Reconcile WS'!I99,'6- Est &amp; Reconcile WS'!I199)</f>
        <v>0</v>
      </c>
      <c r="Q26" s="1222" t="s">
        <v>98</v>
      </c>
      <c r="R26" s="1222"/>
      <c r="S26" s="1244"/>
      <c r="T26" s="1252">
        <f>IF('Appendix A'!I1=1,'6- Est &amp; Reconcile WS'!L99,'6- Est &amp; Reconcile WS'!L199)</f>
        <v>0</v>
      </c>
      <c r="U26" s="1222" t="s">
        <v>900</v>
      </c>
      <c r="V26" s="1253"/>
      <c r="W26" s="1250"/>
      <c r="X26" s="1254"/>
      <c r="Y26" s="1253"/>
      <c r="Z26" s="1253"/>
      <c r="AA26" s="1250"/>
      <c r="AB26" s="1252">
        <f>IF('Appendix A'!I1=1,'6- Est &amp; Reconcile WS'!N99,'6- Est &amp; Reconcile WS'!N199)</f>
        <v>0</v>
      </c>
      <c r="AC26" s="1222" t="s">
        <v>804</v>
      </c>
      <c r="AD26" s="1222"/>
      <c r="AE26" s="1244"/>
      <c r="AF26" s="1254"/>
      <c r="AG26" s="1253"/>
      <c r="AH26" s="1253"/>
      <c r="AI26" s="1250"/>
      <c r="AJ26" s="1252">
        <f>IF('Appendix A'!I1=1,'6- Est &amp; Reconcile WS'!Q99,'6- Est &amp; Reconcile WS'!Q199)</f>
        <v>2083.0799999999763</v>
      </c>
      <c r="AK26" s="1222" t="s">
        <v>1186</v>
      </c>
      <c r="AL26" s="1222"/>
      <c r="AM26" s="1244"/>
      <c r="AN26" s="1254"/>
      <c r="AO26" s="1253"/>
      <c r="AP26" s="1253"/>
      <c r="AQ26" s="1250"/>
      <c r="AR26" s="1252">
        <f>IF('Appendix A'!I1=1,'6- Est &amp; Reconcile WS'!T99,'6- Est &amp; Reconcile WS'!T199)</f>
        <v>0</v>
      </c>
      <c r="AS26" s="1222" t="s">
        <v>1190</v>
      </c>
      <c r="AT26" s="1222"/>
      <c r="AU26" s="1244"/>
      <c r="AV26" s="1254"/>
      <c r="AW26" s="1253"/>
      <c r="AX26" s="1253"/>
      <c r="AY26" s="1250"/>
      <c r="AZ26" s="1252">
        <f>IF('Appendix A'!I1=1,'6- Est &amp; Reconcile WS'!W99,'6- Est &amp; Reconcile WS'!W199)</f>
        <v>0</v>
      </c>
      <c r="BA26" s="1222" t="s">
        <v>1193</v>
      </c>
      <c r="BB26" s="1222"/>
      <c r="BC26" s="1244"/>
      <c r="BD26" s="1252">
        <f>IF('Appendix A'!I1=1,'6- Est &amp; Reconcile WS'!Z99,'6- Est &amp; Reconcile WS'!Z199)</f>
        <v>0</v>
      </c>
      <c r="BE26" s="1222" t="s">
        <v>1048</v>
      </c>
      <c r="BF26" s="1222"/>
      <c r="BG26" s="1244"/>
      <c r="BH26" s="1254"/>
      <c r="BI26" s="1253"/>
      <c r="BJ26" s="1253"/>
      <c r="BK26" s="1250"/>
      <c r="BL26" s="1252">
        <f>IF('Appendix A'!I1=1,'6- Est &amp; Reconcile WS'!AC99,'6- Est &amp; Reconcile WS'!AC199)</f>
        <v>22277873</v>
      </c>
      <c r="BM26" s="1222" t="s">
        <v>1198</v>
      </c>
      <c r="BN26" s="1222"/>
      <c r="BO26" s="1244"/>
      <c r="BP26" s="1252">
        <f>IF('Appendix A'!I1=1,'6- Est &amp; Reconcile WS'!AE99,'6- Est &amp; Reconcile WS'!AE199)</f>
        <v>0</v>
      </c>
      <c r="BQ26" s="1222" t="s">
        <v>1201</v>
      </c>
      <c r="BR26" s="1222"/>
      <c r="BS26" s="1244"/>
      <c r="BT26" s="1299"/>
      <c r="BU26" s="1531"/>
      <c r="BV26" s="1253"/>
      <c r="BW26" s="1253"/>
      <c r="BX26" s="1250"/>
      <c r="BY26" s="1299"/>
      <c r="BZ26" s="1253"/>
      <c r="CA26" s="1253"/>
      <c r="CB26" s="1253"/>
      <c r="CC26" s="1250"/>
      <c r="CD26" s="1299"/>
      <c r="CE26" s="1298"/>
      <c r="CF26" s="1253"/>
      <c r="CG26" s="1253"/>
      <c r="CH26" s="1250"/>
      <c r="CI26" s="1299"/>
      <c r="CJ26" s="1253"/>
      <c r="CK26" s="1253"/>
      <c r="CL26" s="1253"/>
      <c r="CM26" s="1250"/>
      <c r="CN26" s="1237"/>
      <c r="CO26" s="1233"/>
      <c r="CP26" s="1237"/>
    </row>
    <row r="27" spans="1:94" ht="13.5">
      <c r="A27" s="1147">
        <f t="shared" si="1"/>
        <v>13</v>
      </c>
      <c r="B27" s="1233" t="s">
        <v>560</v>
      </c>
      <c r="C27" s="1234"/>
      <c r="D27" s="1251">
        <v>0</v>
      </c>
      <c r="E27" s="1222"/>
      <c r="F27" s="1255"/>
      <c r="G27" s="1244"/>
      <c r="H27" s="1252">
        <f>IF('Appendix A'!I1=1,'6- Est &amp; Reconcile WS'!K124,92695268)</f>
        <v>92695268</v>
      </c>
      <c r="I27" s="1222" t="s">
        <v>1178</v>
      </c>
      <c r="J27" s="1222"/>
      <c r="K27" s="1244"/>
      <c r="L27" s="1251">
        <v>0</v>
      </c>
      <c r="M27" s="1222"/>
      <c r="N27" s="1255"/>
      <c r="O27" s="1244"/>
      <c r="P27" s="1252">
        <f>IF('Appendix A'!I1=1,'6- Est &amp; Reconcile WS'!O124,39008283)</f>
        <v>39008283</v>
      </c>
      <c r="Q27" s="1222" t="s">
        <v>1180</v>
      </c>
      <c r="R27" s="1222"/>
      <c r="S27" s="1244"/>
      <c r="T27" s="1252">
        <f>IF('Appendix A'!I1=1,'6- Est &amp; Reconcile WS'!S124,979353)</f>
        <v>979353</v>
      </c>
      <c r="U27" s="1222" t="s">
        <v>1182</v>
      </c>
      <c r="V27" s="1222"/>
      <c r="W27" s="1244"/>
      <c r="X27" s="1254"/>
      <c r="Y27" s="1253"/>
      <c r="Z27" s="1256"/>
      <c r="AA27" s="1250"/>
      <c r="AB27" s="1252">
        <f>IF('Appendix A'!I1=1,'6- Est &amp; Reconcile WS'!W124,1328382)</f>
        <v>1328382</v>
      </c>
      <c r="AC27" s="1222" t="s">
        <v>1184</v>
      </c>
      <c r="AD27" s="1222"/>
      <c r="AE27" s="1244"/>
      <c r="AF27" s="1254"/>
      <c r="AG27" s="1253"/>
      <c r="AH27" s="1256"/>
      <c r="AI27" s="1250"/>
      <c r="AJ27" s="1252">
        <f>IF('Appendix A'!I1=1,'6- Est &amp; Reconcile WS'!AA124,461081)</f>
        <v>461081</v>
      </c>
      <c r="AK27" s="1222" t="s">
        <v>1187</v>
      </c>
      <c r="AL27" s="1222"/>
      <c r="AM27" s="1244"/>
      <c r="AN27" s="1254"/>
      <c r="AO27" s="1253"/>
      <c r="AP27" s="1256"/>
      <c r="AQ27" s="1250"/>
      <c r="AR27" s="1252">
        <f>IF('Appendix A'!I1=1,'6- Est &amp; Reconcile WS'!AE124,0)</f>
        <v>0</v>
      </c>
      <c r="AS27" s="1222" t="s">
        <v>1191</v>
      </c>
      <c r="AT27" s="1222"/>
      <c r="AU27" s="1244"/>
      <c r="AV27" s="1254"/>
      <c r="AW27" s="1253"/>
      <c r="AX27" s="1256"/>
      <c r="AY27" s="1250"/>
      <c r="AZ27" s="1252">
        <f>IF('Appendix A'!I1=1,'6- Est &amp; Reconcile WS'!AI124,442213)</f>
        <v>442213</v>
      </c>
      <c r="BA27" s="1222" t="s">
        <v>1194</v>
      </c>
      <c r="BB27" s="1222"/>
      <c r="BC27" s="1244"/>
      <c r="BD27" s="1252">
        <f>IF('Appendix A'!I1=1,'6- Est &amp; Reconcile WS'!AM124,2641204)</f>
        <v>2641204</v>
      </c>
      <c r="BE27" s="1222" t="s">
        <v>1195</v>
      </c>
      <c r="BF27" s="1222"/>
      <c r="BG27" s="1244"/>
      <c r="BH27" s="1254"/>
      <c r="BI27" s="1253"/>
      <c r="BJ27" s="1256"/>
      <c r="BK27" s="1250"/>
      <c r="BL27" s="1252">
        <f>IF('Appendix A'!I1=1,'6- Est &amp; Reconcile WS'!AQ124,3761)</f>
        <v>3761</v>
      </c>
      <c r="BM27" s="1222" t="s">
        <v>1199</v>
      </c>
      <c r="BN27" s="1222"/>
      <c r="BO27" s="1244"/>
      <c r="BP27" s="1252">
        <f>IF('Appendix A'!I1=1,'6- Est &amp; Reconcile WS'!AU124,637305)</f>
        <v>637305</v>
      </c>
      <c r="BQ27" s="1222" t="s">
        <v>1202</v>
      </c>
      <c r="BR27" s="1222"/>
      <c r="BS27" s="1244"/>
      <c r="BT27" s="1299"/>
      <c r="BU27" s="1253"/>
      <c r="BV27" s="1253"/>
      <c r="BW27" s="1253"/>
      <c r="BX27" s="1250"/>
      <c r="BY27" s="1299"/>
      <c r="BZ27" s="1253"/>
      <c r="CA27" s="1256"/>
      <c r="CB27" s="1256"/>
      <c r="CC27" s="1250"/>
      <c r="CD27" s="1299"/>
      <c r="CE27" s="1253"/>
      <c r="CF27" s="1253"/>
      <c r="CG27" s="1253"/>
      <c r="CH27" s="1250"/>
      <c r="CI27" s="1299"/>
      <c r="CJ27" s="1253"/>
      <c r="CK27" s="1256"/>
      <c r="CL27" s="1256"/>
      <c r="CM27" s="1250"/>
      <c r="CN27" s="1237"/>
      <c r="CO27" s="1233"/>
      <c r="CP27" s="1237"/>
    </row>
    <row r="28" spans="1:94" ht="13.5">
      <c r="A28" s="1419">
        <f>+A27+1</f>
        <v>14</v>
      </c>
      <c r="B28" s="1233" t="s">
        <v>1095</v>
      </c>
      <c r="C28" s="1234"/>
      <c r="D28" s="1251"/>
      <c r="E28" s="1222"/>
      <c r="F28" s="1255"/>
      <c r="G28" s="1244"/>
      <c r="H28" s="1251"/>
      <c r="I28" s="1253"/>
      <c r="J28" s="1222"/>
      <c r="K28" s="1244"/>
      <c r="L28" s="1251"/>
      <c r="M28" s="1222"/>
      <c r="N28" s="1255"/>
      <c r="O28" s="1244"/>
      <c r="P28" s="1251"/>
      <c r="Q28" s="1253"/>
      <c r="R28" s="1253"/>
      <c r="S28" s="1250"/>
      <c r="T28" s="1251"/>
      <c r="U28" s="1253"/>
      <c r="V28" s="1253"/>
      <c r="W28" s="1250"/>
      <c r="X28" s="1254"/>
      <c r="Y28" s="1253"/>
      <c r="Z28" s="1256"/>
      <c r="AA28" s="1250"/>
      <c r="AB28" s="1251"/>
      <c r="AC28" s="1253"/>
      <c r="AD28" s="1253"/>
      <c r="AE28" s="1250"/>
      <c r="AF28" s="1254"/>
      <c r="AG28" s="1253"/>
      <c r="AH28" s="1256"/>
      <c r="AI28" s="1253"/>
      <c r="AJ28" s="1251"/>
      <c r="AK28" s="1253"/>
      <c r="AL28" s="1253"/>
      <c r="AM28" s="1250"/>
      <c r="AN28" s="1254"/>
      <c r="AO28" s="1253"/>
      <c r="AP28" s="1256"/>
      <c r="AQ28" s="1253"/>
      <c r="AR28" s="1251"/>
      <c r="AS28" s="1253"/>
      <c r="AT28" s="1253"/>
      <c r="AU28" s="1250"/>
      <c r="AV28" s="1254"/>
      <c r="AW28" s="1253"/>
      <c r="AX28" s="1256"/>
      <c r="AY28" s="1250"/>
      <c r="AZ28" s="1251"/>
      <c r="BA28" s="1253"/>
      <c r="BB28" s="1253"/>
      <c r="BC28" s="1250"/>
      <c r="BD28" s="1251"/>
      <c r="BE28" s="1253"/>
      <c r="BF28" s="1253"/>
      <c r="BG28" s="1250"/>
      <c r="BH28" s="1254"/>
      <c r="BI28" s="1253"/>
      <c r="BJ28" s="1256"/>
      <c r="BK28" s="1250"/>
      <c r="BL28" s="1251"/>
      <c r="BM28" s="1253"/>
      <c r="BN28" s="1253"/>
      <c r="BO28" s="1250"/>
      <c r="BP28" s="1251"/>
      <c r="BQ28" s="1253"/>
      <c r="BR28" s="1253"/>
      <c r="BS28" s="1250"/>
      <c r="BT28" s="1252">
        <f>'5 - Cost Support 1'!G304</f>
        <v>3996930</v>
      </c>
      <c r="BU28" s="1474" t="s">
        <v>1096</v>
      </c>
      <c r="BV28" s="1222"/>
      <c r="BW28" s="1222"/>
      <c r="BX28" s="1244"/>
      <c r="BY28" s="1252">
        <f>'5 - Cost Support 1'!H304</f>
        <v>2627006.5</v>
      </c>
      <c r="BZ28" s="1474" t="s">
        <v>1096</v>
      </c>
      <c r="CA28" s="1255"/>
      <c r="CB28" s="1255"/>
      <c r="CC28" s="1244"/>
      <c r="CD28" s="1252">
        <f>'5 - Cost Support 1'!I304</f>
        <v>2993</v>
      </c>
      <c r="CE28" s="1474" t="s">
        <v>1096</v>
      </c>
      <c r="CF28" s="1222"/>
      <c r="CG28" s="1222"/>
      <c r="CH28" s="1244"/>
      <c r="CI28" s="1252">
        <f>'5 - Cost Support 1'!J304</f>
        <v>968709</v>
      </c>
      <c r="CJ28" s="1474" t="s">
        <v>1096</v>
      </c>
      <c r="CK28" s="1222"/>
      <c r="CL28" s="1222"/>
      <c r="CM28" s="1244"/>
      <c r="CN28" s="1492"/>
      <c r="CO28" s="1233"/>
      <c r="CP28" s="1237"/>
    </row>
    <row r="29" spans="1:94" ht="14.25" thickBot="1">
      <c r="A29" s="1147">
        <f>A28+1</f>
        <v>15</v>
      </c>
      <c r="B29" s="1257" t="s">
        <v>142</v>
      </c>
      <c r="C29" s="1258"/>
      <c r="D29" s="1483">
        <f>IF('Appendix A'!I1=1,'6- Est &amp; Reconcile WS'!AH99,+'6- Est &amp; Reconcile WS'!AH199)</f>
        <v>0</v>
      </c>
      <c r="E29" s="1222" t="s">
        <v>1177</v>
      </c>
      <c r="F29" s="1476"/>
      <c r="G29" s="1477"/>
      <c r="H29" s="1483">
        <f>IF('Appendix A'!I1=1,'6- Est &amp; Reconcile WS'!AI99,262950644)</f>
        <v>262950644</v>
      </c>
      <c r="I29" s="1222" t="s">
        <v>1179</v>
      </c>
      <c r="J29" s="1476"/>
      <c r="K29" s="1477"/>
      <c r="L29" s="1483">
        <f>IF('Appendix A'!I1=1,'6- Est &amp; Reconcile WS'!AK99,+'6- Est &amp; Reconcile WS'!AK199)</f>
        <v>0</v>
      </c>
      <c r="M29" s="1222" t="s">
        <v>1047</v>
      </c>
      <c r="N29" s="1476"/>
      <c r="O29" s="1477"/>
      <c r="P29" s="1483">
        <f>IF('Appendix A'!I1=1,'6- Est &amp; Reconcile WS'!AJ99,155913694)</f>
        <v>155913694</v>
      </c>
      <c r="Q29" s="1476" t="s">
        <v>1181</v>
      </c>
      <c r="R29" s="1476"/>
      <c r="S29" s="1477"/>
      <c r="T29" s="1483">
        <f>IF('Appendix A'!I1=1,'6- Est &amp; Reconcile WS'!AL99,3158242)</f>
        <v>3158242</v>
      </c>
      <c r="U29" s="1476" t="s">
        <v>1183</v>
      </c>
      <c r="V29" s="1476"/>
      <c r="W29" s="1477"/>
      <c r="X29" s="1483">
        <f>IF('Appendix A'!I1=1,'6- Est &amp; Reconcile WS'!AN99,+'6- Est &amp; Reconcile WS'!AN199)</f>
        <v>0</v>
      </c>
      <c r="Y29" s="1476" t="s">
        <v>1085</v>
      </c>
      <c r="Z29" s="1476"/>
      <c r="AA29" s="1477"/>
      <c r="AB29" s="1483">
        <f>IF('Appendix A'!I1=1,'6- Est &amp; Reconcile WS'!AM99,17700663)</f>
        <v>17700663</v>
      </c>
      <c r="AC29" s="1476" t="s">
        <v>1086</v>
      </c>
      <c r="AD29" s="1476"/>
      <c r="AE29" s="1477"/>
      <c r="AF29" s="1483">
        <f>IF('Appendix A'!I1=1,'6- Est &amp; Reconcile WS'!AP99,+'6- Est &amp; Reconcile WS'!AP199)</f>
        <v>0</v>
      </c>
      <c r="AG29" s="1476" t="s">
        <v>1185</v>
      </c>
      <c r="AH29" s="1476"/>
      <c r="AI29" s="1476"/>
      <c r="AJ29" s="1483">
        <f>IF('Appendix A'!I1=1,'6- Est &amp; Reconcile WS'!AO99,8298811)</f>
        <v>8298811</v>
      </c>
      <c r="AK29" s="1476" t="s">
        <v>1188</v>
      </c>
      <c r="AL29" s="1476"/>
      <c r="AM29" s="1477"/>
      <c r="AN29" s="1483">
        <f>IF('Appendix A'!I1=1,'6- Est &amp; Reconcile WS'!AR99,+'6- Est &amp; Reconcile WS'!AR199)</f>
        <v>0</v>
      </c>
      <c r="AO29" s="1476" t="s">
        <v>1189</v>
      </c>
      <c r="AP29" s="1476"/>
      <c r="AQ29" s="1476"/>
      <c r="AR29" s="1483">
        <f>IF('Appendix A'!I1=1,'6- Est &amp; Reconcile WS'!AQ99,0)</f>
        <v>0</v>
      </c>
      <c r="AS29" s="1476" t="s">
        <v>1192</v>
      </c>
      <c r="AT29" s="1476"/>
      <c r="AU29" s="1477"/>
      <c r="AV29" s="1483">
        <f>IF('Appendix A'!I1=1,'6- Est &amp; Reconcile WS'!AT99,+'6- Est &amp; Reconcile WS'!AT199)</f>
        <v>0</v>
      </c>
      <c r="AW29" s="1476" t="s">
        <v>1087</v>
      </c>
      <c r="AX29" s="1476"/>
      <c r="AY29" s="1477"/>
      <c r="AZ29" s="1483">
        <f>IF('Appendix A'!I1=1,'6- Est &amp; Reconcile WS'!AS99,5338712)</f>
        <v>5338712</v>
      </c>
      <c r="BA29" s="1476" t="s">
        <v>1088</v>
      </c>
      <c r="BB29" s="1476"/>
      <c r="BC29" s="1477"/>
      <c r="BD29" s="1483">
        <f>IF('Appendix A'!I1=1,'6- Est &amp; Reconcile WS'!AU99,10675843)</f>
        <v>10675843</v>
      </c>
      <c r="BE29" s="1476" t="s">
        <v>1196</v>
      </c>
      <c r="BF29" s="1476"/>
      <c r="BG29" s="1477"/>
      <c r="BH29" s="1483">
        <f>IF('Appendix A'!I1=1,'6- Est &amp; Reconcile WS'!AV99,+'6- Est &amp; Reconcile WS'!AV199)</f>
        <v>9033623.307692308</v>
      </c>
      <c r="BI29" s="1476" t="s">
        <v>1197</v>
      </c>
      <c r="BJ29" s="1476"/>
      <c r="BK29" s="1477"/>
      <c r="BL29" s="1483">
        <f>IF('Appendix A'!I1=1,'6- Est &amp; Reconcile WS'!AW99,1709641)</f>
        <v>1709641</v>
      </c>
      <c r="BM29" s="1476" t="s">
        <v>1200</v>
      </c>
      <c r="BN29" s="1476"/>
      <c r="BO29" s="1477"/>
      <c r="BP29" s="1483">
        <f>IF('Appendix A'!I1=1,'6- Est &amp; Reconcile WS'!AY99,6736837)</f>
        <v>6736837</v>
      </c>
      <c r="BQ29" s="1476" t="s">
        <v>1089</v>
      </c>
      <c r="BR29" s="1476"/>
      <c r="BS29" s="1477"/>
      <c r="BT29" s="1478"/>
      <c r="BU29" s="1475"/>
      <c r="BV29" s="1476"/>
      <c r="BW29" s="1476"/>
      <c r="BX29" s="1477"/>
      <c r="BY29" s="1483"/>
      <c r="BZ29" s="1475"/>
      <c r="CA29" s="1476"/>
      <c r="CB29" s="1476"/>
      <c r="CC29" s="1477"/>
      <c r="CD29" s="1483"/>
      <c r="CE29" s="1475"/>
      <c r="CF29" s="1476"/>
      <c r="CG29" s="1476"/>
      <c r="CH29" s="1477"/>
      <c r="CI29" s="1483"/>
      <c r="CJ29" s="1475"/>
      <c r="CK29" s="1476"/>
      <c r="CL29" s="1476"/>
      <c r="CM29" s="1477"/>
      <c r="CN29" s="1493"/>
      <c r="CO29" s="1257"/>
      <c r="CP29" s="1259"/>
    </row>
    <row r="30" spans="1:94" ht="54.75" customHeight="1">
      <c r="A30" s="1147">
        <f t="shared" si="1"/>
        <v>16</v>
      </c>
      <c r="B30" s="1227"/>
      <c r="C30" s="1260" t="s">
        <v>552</v>
      </c>
      <c r="D30" s="1261" t="s">
        <v>561</v>
      </c>
      <c r="E30" s="1261" t="s">
        <v>562</v>
      </c>
      <c r="F30" s="1261" t="s">
        <v>563</v>
      </c>
      <c r="G30" s="1262" t="s">
        <v>661</v>
      </c>
      <c r="H30" s="1261" t="s">
        <v>561</v>
      </c>
      <c r="I30" s="1261" t="s">
        <v>562</v>
      </c>
      <c r="J30" s="1261" t="s">
        <v>563</v>
      </c>
      <c r="K30" s="1262" t="s">
        <v>661</v>
      </c>
      <c r="L30" s="1261" t="s">
        <v>561</v>
      </c>
      <c r="M30" s="1261" t="s">
        <v>562</v>
      </c>
      <c r="N30" s="1261" t="s">
        <v>563</v>
      </c>
      <c r="O30" s="1289" t="s">
        <v>661</v>
      </c>
      <c r="P30" s="1230" t="s">
        <v>561</v>
      </c>
      <c r="Q30" s="1261" t="s">
        <v>562</v>
      </c>
      <c r="R30" s="1261" t="s">
        <v>563</v>
      </c>
      <c r="S30" s="1262" t="s">
        <v>661</v>
      </c>
      <c r="T30" s="1263" t="s">
        <v>561</v>
      </c>
      <c r="U30" s="1263" t="s">
        <v>562</v>
      </c>
      <c r="V30" s="1263" t="s">
        <v>563</v>
      </c>
      <c r="W30" s="1264" t="s">
        <v>661</v>
      </c>
      <c r="X30" s="1503" t="s">
        <v>561</v>
      </c>
      <c r="Y30" s="1507" t="s">
        <v>562</v>
      </c>
      <c r="Z30" s="1507" t="s">
        <v>563</v>
      </c>
      <c r="AA30" s="1264" t="s">
        <v>661</v>
      </c>
      <c r="AB30" s="1263" t="s">
        <v>561</v>
      </c>
      <c r="AC30" s="1263" t="s">
        <v>562</v>
      </c>
      <c r="AD30" s="1263" t="s">
        <v>563</v>
      </c>
      <c r="AE30" s="1264" t="s">
        <v>661</v>
      </c>
      <c r="AF30" s="1263" t="s">
        <v>561</v>
      </c>
      <c r="AG30" s="1263" t="s">
        <v>562</v>
      </c>
      <c r="AH30" s="1263" t="s">
        <v>563</v>
      </c>
      <c r="AI30" s="1264" t="s">
        <v>661</v>
      </c>
      <c r="AJ30" s="1263" t="s">
        <v>561</v>
      </c>
      <c r="AK30" s="1263" t="s">
        <v>562</v>
      </c>
      <c r="AL30" s="1263" t="s">
        <v>563</v>
      </c>
      <c r="AM30" s="1264" t="s">
        <v>661</v>
      </c>
      <c r="AN30" s="1263" t="s">
        <v>561</v>
      </c>
      <c r="AO30" s="1263" t="s">
        <v>562</v>
      </c>
      <c r="AP30" s="1263" t="s">
        <v>563</v>
      </c>
      <c r="AQ30" s="1264" t="s">
        <v>661</v>
      </c>
      <c r="AR30" s="1263" t="s">
        <v>561</v>
      </c>
      <c r="AS30" s="1263" t="s">
        <v>562</v>
      </c>
      <c r="AT30" s="1263" t="s">
        <v>563</v>
      </c>
      <c r="AU30" s="1264" t="s">
        <v>661</v>
      </c>
      <c r="AV30" s="1503" t="s">
        <v>561</v>
      </c>
      <c r="AW30" s="1507" t="s">
        <v>562</v>
      </c>
      <c r="AX30" s="1507" t="s">
        <v>563</v>
      </c>
      <c r="AY30" s="1264" t="s">
        <v>661</v>
      </c>
      <c r="AZ30" s="1263" t="s">
        <v>561</v>
      </c>
      <c r="BA30" s="1263" t="s">
        <v>562</v>
      </c>
      <c r="BB30" s="1263" t="s">
        <v>563</v>
      </c>
      <c r="BC30" s="1264" t="s">
        <v>661</v>
      </c>
      <c r="BD30" s="1263" t="s">
        <v>561</v>
      </c>
      <c r="BE30" s="1263" t="s">
        <v>562</v>
      </c>
      <c r="BF30" s="1263" t="s">
        <v>563</v>
      </c>
      <c r="BG30" s="1264" t="s">
        <v>661</v>
      </c>
      <c r="BH30" s="1513" t="s">
        <v>561</v>
      </c>
      <c r="BI30" s="1514" t="s">
        <v>562</v>
      </c>
      <c r="BJ30" s="1514" t="s">
        <v>563</v>
      </c>
      <c r="BK30" s="1264" t="s">
        <v>661</v>
      </c>
      <c r="BL30" s="1513" t="s">
        <v>561</v>
      </c>
      <c r="BM30" s="1514" t="s">
        <v>562</v>
      </c>
      <c r="BN30" s="1514" t="s">
        <v>563</v>
      </c>
      <c r="BO30" s="1264" t="s">
        <v>661</v>
      </c>
      <c r="BP30" s="1503" t="s">
        <v>561</v>
      </c>
      <c r="BQ30" s="1507" t="s">
        <v>562</v>
      </c>
      <c r="BR30" s="1507" t="s">
        <v>563</v>
      </c>
      <c r="BS30" s="1264" t="s">
        <v>661</v>
      </c>
      <c r="BT30" s="1479" t="s">
        <v>561</v>
      </c>
      <c r="BU30" s="1507" t="s">
        <v>562</v>
      </c>
      <c r="BV30" s="1482" t="s">
        <v>563</v>
      </c>
      <c r="BW30" s="1482" t="s">
        <v>32</v>
      </c>
      <c r="BX30" s="1262" t="s">
        <v>1094</v>
      </c>
      <c r="BY30" s="1525" t="s">
        <v>561</v>
      </c>
      <c r="BZ30" s="1514" t="s">
        <v>562</v>
      </c>
      <c r="CA30" s="1524" t="s">
        <v>563</v>
      </c>
      <c r="CB30" s="1490" t="s">
        <v>32</v>
      </c>
      <c r="CC30" s="1262" t="s">
        <v>1094</v>
      </c>
      <c r="CD30" s="1491" t="s">
        <v>561</v>
      </c>
      <c r="CE30" s="1409" t="s">
        <v>562</v>
      </c>
      <c r="CF30" s="1490" t="s">
        <v>563</v>
      </c>
      <c r="CG30" s="1490" t="s">
        <v>32</v>
      </c>
      <c r="CH30" s="1262" t="s">
        <v>1094</v>
      </c>
      <c r="CI30" s="1525" t="s">
        <v>561</v>
      </c>
      <c r="CJ30" s="1514" t="s">
        <v>562</v>
      </c>
      <c r="CK30" s="1524" t="s">
        <v>563</v>
      </c>
      <c r="CL30" s="1490" t="s">
        <v>32</v>
      </c>
      <c r="CM30" s="1262" t="s">
        <v>1094</v>
      </c>
      <c r="CN30" s="1260" t="s">
        <v>436</v>
      </c>
      <c r="CO30" s="1261" t="s">
        <v>276</v>
      </c>
      <c r="CP30" s="1265" t="s">
        <v>275</v>
      </c>
    </row>
    <row r="31" spans="1:94" ht="13.5">
      <c r="A31" s="1147">
        <f t="shared" si="1"/>
        <v>17</v>
      </c>
      <c r="B31" s="1233" t="str">
        <f>B24</f>
        <v>FCR W base ROE</v>
      </c>
      <c r="C31" s="1266">
        <v>2006</v>
      </c>
      <c r="D31" s="1267">
        <f>+D29*0</f>
        <v>0</v>
      </c>
      <c r="E31" s="1222">
        <v>0</v>
      </c>
      <c r="F31" s="1267">
        <f>+D31-E31</f>
        <v>0</v>
      </c>
      <c r="G31" s="1244">
        <f>+D$24*(D31+F31)/2+E31</f>
        <v>0</v>
      </c>
      <c r="H31" s="1267">
        <v>12009449</v>
      </c>
      <c r="I31" s="1222">
        <v>131821</v>
      </c>
      <c r="J31" s="1267">
        <f>+H31-I31</f>
        <v>11877628</v>
      </c>
      <c r="K31" s="1244">
        <f>+H$24*(J31+H31)/2</f>
        <v>2184231.750502891</v>
      </c>
      <c r="L31" s="1267">
        <f>+L29*0</f>
        <v>0</v>
      </c>
      <c r="M31" s="1222">
        <v>0</v>
      </c>
      <c r="N31" s="1267">
        <f aca="true" t="shared" si="2" ref="N31:N62">+L31-M31</f>
        <v>0</v>
      </c>
      <c r="O31" s="1222">
        <f>+L$24*(L31+N31)/2</f>
        <v>0</v>
      </c>
      <c r="P31" s="1268">
        <v>0</v>
      </c>
      <c r="Q31" s="1222">
        <v>0</v>
      </c>
      <c r="R31" s="1267">
        <f aca="true" t="shared" si="3" ref="R31:R60">+P31-Q31</f>
        <v>0</v>
      </c>
      <c r="S31" s="1244">
        <f>+P$24*(R31+P31)/2</f>
        <v>0</v>
      </c>
      <c r="T31" s="1267">
        <v>0</v>
      </c>
      <c r="U31" s="1222">
        <v>0</v>
      </c>
      <c r="V31" s="1267">
        <f>+T31-U31</f>
        <v>0</v>
      </c>
      <c r="W31" s="1244">
        <f>+T$24*(V31+T31)/2</f>
        <v>0</v>
      </c>
      <c r="X31" s="1268">
        <v>0</v>
      </c>
      <c r="Y31" s="1508">
        <v>0</v>
      </c>
      <c r="Z31" s="1508">
        <v>0</v>
      </c>
      <c r="AA31" s="1244">
        <v>0</v>
      </c>
      <c r="AB31" s="1267">
        <v>0</v>
      </c>
      <c r="AC31" s="1267">
        <v>0</v>
      </c>
      <c r="AD31" s="1267">
        <v>0</v>
      </c>
      <c r="AE31" s="1244">
        <v>0</v>
      </c>
      <c r="AF31" s="1267">
        <v>0</v>
      </c>
      <c r="AG31" s="1267">
        <v>0</v>
      </c>
      <c r="AH31" s="1267">
        <v>0</v>
      </c>
      <c r="AI31" s="1244">
        <v>0</v>
      </c>
      <c r="AJ31" s="1267">
        <v>0</v>
      </c>
      <c r="AK31" s="1267">
        <v>0</v>
      </c>
      <c r="AL31" s="1267">
        <v>0</v>
      </c>
      <c r="AM31" s="1244">
        <v>0</v>
      </c>
      <c r="AN31" s="1267">
        <v>0</v>
      </c>
      <c r="AO31" s="1267">
        <v>0</v>
      </c>
      <c r="AP31" s="1267">
        <v>0</v>
      </c>
      <c r="AQ31" s="1244">
        <v>0</v>
      </c>
      <c r="AR31" s="1267">
        <v>0</v>
      </c>
      <c r="AS31" s="1267">
        <v>0</v>
      </c>
      <c r="AT31" s="1267">
        <v>0</v>
      </c>
      <c r="AU31" s="1244">
        <v>0</v>
      </c>
      <c r="AV31" s="1268">
        <v>0</v>
      </c>
      <c r="AW31" s="1508">
        <v>0</v>
      </c>
      <c r="AX31" s="1508">
        <v>0</v>
      </c>
      <c r="AY31" s="1244">
        <v>0</v>
      </c>
      <c r="AZ31" s="1267">
        <v>0</v>
      </c>
      <c r="BA31" s="1267">
        <v>0</v>
      </c>
      <c r="BB31" s="1267">
        <v>0</v>
      </c>
      <c r="BC31" s="1244">
        <v>0</v>
      </c>
      <c r="BD31" s="1267">
        <v>0</v>
      </c>
      <c r="BE31" s="1267">
        <v>0</v>
      </c>
      <c r="BF31" s="1267">
        <v>0</v>
      </c>
      <c r="BG31" s="1244">
        <v>0</v>
      </c>
      <c r="BH31" s="1411">
        <v>0</v>
      </c>
      <c r="BI31" s="1509">
        <v>0</v>
      </c>
      <c r="BJ31" s="1509">
        <v>0</v>
      </c>
      <c r="BK31" s="1244">
        <v>0</v>
      </c>
      <c r="BL31" s="1411">
        <v>0</v>
      </c>
      <c r="BM31" s="1509">
        <v>0</v>
      </c>
      <c r="BN31" s="1509">
        <v>0</v>
      </c>
      <c r="BO31" s="1244">
        <v>0</v>
      </c>
      <c r="BP31" s="1268">
        <v>0</v>
      </c>
      <c r="BQ31" s="1508">
        <v>0</v>
      </c>
      <c r="BR31" s="1508">
        <v>0</v>
      </c>
      <c r="BS31" s="1244">
        <v>0</v>
      </c>
      <c r="BT31" s="1484">
        <v>0</v>
      </c>
      <c r="BU31" s="1526">
        <v>0</v>
      </c>
      <c r="BV31" s="1526">
        <v>0</v>
      </c>
      <c r="BW31" s="1526">
        <v>0</v>
      </c>
      <c r="BX31" s="1244">
        <v>0</v>
      </c>
      <c r="BY31" s="1484">
        <v>0</v>
      </c>
      <c r="BZ31" s="1526">
        <v>0</v>
      </c>
      <c r="CA31" s="1526">
        <v>0</v>
      </c>
      <c r="CB31" s="1526">
        <v>0</v>
      </c>
      <c r="CC31" s="1244">
        <v>0</v>
      </c>
      <c r="CD31" s="1484">
        <v>0</v>
      </c>
      <c r="CE31" s="1415">
        <v>0</v>
      </c>
      <c r="CF31" s="1415">
        <v>0</v>
      </c>
      <c r="CG31" s="1415">
        <v>0</v>
      </c>
      <c r="CH31" s="1244">
        <v>0</v>
      </c>
      <c r="CI31" s="1484">
        <v>0</v>
      </c>
      <c r="CJ31" s="1526">
        <v>0</v>
      </c>
      <c r="CK31" s="1526">
        <v>0</v>
      </c>
      <c r="CL31" s="1526">
        <v>0</v>
      </c>
      <c r="CM31" s="1244">
        <v>0</v>
      </c>
      <c r="CN31" s="1269">
        <f aca="true" t="shared" si="4" ref="CN31:CN60">+G31+K31+O31+S31+W31+AA31+AE31+AI31+AM31+AQ31+AU31+AY31+BC31+BG31+BS31+BX31+CC31+CH31+CM31</f>
        <v>2184231.750502891</v>
      </c>
      <c r="CO31" s="1232"/>
      <c r="CP31" s="1270">
        <f>+CN31</f>
        <v>2184231.750502891</v>
      </c>
    </row>
    <row r="32" spans="1:97" ht="13.5">
      <c r="A32" s="1147">
        <f t="shared" si="1"/>
        <v>18</v>
      </c>
      <c r="B32" s="1233" t="s">
        <v>702</v>
      </c>
      <c r="C32" s="1266">
        <v>2006</v>
      </c>
      <c r="D32" s="1267">
        <f>+D31</f>
        <v>0</v>
      </c>
      <c r="E32" s="1222">
        <v>0</v>
      </c>
      <c r="F32" s="1267">
        <f aca="true" t="shared" si="5" ref="F32:F72">+D32-E32</f>
        <v>0</v>
      </c>
      <c r="G32" s="1244">
        <f>+D$25*(F32+D32)/2+E32</f>
        <v>0</v>
      </c>
      <c r="H32" s="1267">
        <f>+H31</f>
        <v>12009449</v>
      </c>
      <c r="I32" s="1222">
        <f>+I31</f>
        <v>131821</v>
      </c>
      <c r="J32" s="1267">
        <f>+H32-I32</f>
        <v>11877628</v>
      </c>
      <c r="K32" s="1244">
        <f>+H$25*(J32+H32)/2</f>
        <v>2268692.994236654</v>
      </c>
      <c r="L32" s="1267">
        <f>+L31</f>
        <v>0</v>
      </c>
      <c r="M32" s="1222">
        <v>0</v>
      </c>
      <c r="N32" s="1267">
        <f t="shared" si="2"/>
        <v>0</v>
      </c>
      <c r="O32" s="1222">
        <f>+L$25*(N32+L32)/2</f>
        <v>0</v>
      </c>
      <c r="P32" s="1268">
        <f>+P31</f>
        <v>0</v>
      </c>
      <c r="Q32" s="1222">
        <f>+Q31</f>
        <v>0</v>
      </c>
      <c r="R32" s="1267">
        <f t="shared" si="3"/>
        <v>0</v>
      </c>
      <c r="S32" s="1244">
        <f>+P$25*(R32+P32)/2</f>
        <v>0</v>
      </c>
      <c r="T32" s="1267">
        <f>+T31</f>
        <v>0</v>
      </c>
      <c r="U32" s="1222">
        <f>+U31</f>
        <v>0</v>
      </c>
      <c r="V32" s="1267">
        <f>+T32-U32</f>
        <v>0</v>
      </c>
      <c r="W32" s="1244">
        <f>+T$25*(V32+T32)/2</f>
        <v>0</v>
      </c>
      <c r="X32" s="1268">
        <v>0</v>
      </c>
      <c r="Y32" s="1508">
        <v>0</v>
      </c>
      <c r="Z32" s="1508">
        <v>0</v>
      </c>
      <c r="AA32" s="1244">
        <v>0</v>
      </c>
      <c r="AB32" s="1267">
        <v>0</v>
      </c>
      <c r="AC32" s="1267">
        <v>0</v>
      </c>
      <c r="AD32" s="1267">
        <v>0</v>
      </c>
      <c r="AE32" s="1244">
        <v>0</v>
      </c>
      <c r="AF32" s="1267">
        <v>0</v>
      </c>
      <c r="AG32" s="1267">
        <v>0</v>
      </c>
      <c r="AH32" s="1267">
        <v>0</v>
      </c>
      <c r="AI32" s="1244">
        <v>0</v>
      </c>
      <c r="AJ32" s="1267">
        <v>0</v>
      </c>
      <c r="AK32" s="1267">
        <v>0</v>
      </c>
      <c r="AL32" s="1267">
        <v>0</v>
      </c>
      <c r="AM32" s="1244">
        <v>0</v>
      </c>
      <c r="AN32" s="1267">
        <v>0</v>
      </c>
      <c r="AO32" s="1267">
        <v>0</v>
      </c>
      <c r="AP32" s="1267">
        <v>0</v>
      </c>
      <c r="AQ32" s="1244">
        <v>0</v>
      </c>
      <c r="AR32" s="1267">
        <v>0</v>
      </c>
      <c r="AS32" s="1267">
        <v>0</v>
      </c>
      <c r="AT32" s="1267">
        <v>0</v>
      </c>
      <c r="AU32" s="1244">
        <v>0</v>
      </c>
      <c r="AV32" s="1268">
        <v>0</v>
      </c>
      <c r="AW32" s="1508">
        <v>0</v>
      </c>
      <c r="AX32" s="1508">
        <v>0</v>
      </c>
      <c r="AY32" s="1244">
        <v>0</v>
      </c>
      <c r="AZ32" s="1267">
        <v>0</v>
      </c>
      <c r="BA32" s="1267">
        <v>0</v>
      </c>
      <c r="BB32" s="1267">
        <v>0</v>
      </c>
      <c r="BC32" s="1244">
        <v>0</v>
      </c>
      <c r="BD32" s="1267">
        <v>0</v>
      </c>
      <c r="BE32" s="1267">
        <v>0</v>
      </c>
      <c r="BF32" s="1267">
        <v>0</v>
      </c>
      <c r="BG32" s="1244">
        <v>0</v>
      </c>
      <c r="BH32" s="1411">
        <v>0</v>
      </c>
      <c r="BI32" s="1509">
        <v>0</v>
      </c>
      <c r="BJ32" s="1509">
        <v>0</v>
      </c>
      <c r="BK32" s="1244">
        <v>0</v>
      </c>
      <c r="BL32" s="1411">
        <v>0</v>
      </c>
      <c r="BM32" s="1509">
        <v>0</v>
      </c>
      <c r="BN32" s="1509">
        <v>0</v>
      </c>
      <c r="BO32" s="1244">
        <v>0</v>
      </c>
      <c r="BP32" s="1268">
        <v>0</v>
      </c>
      <c r="BQ32" s="1508">
        <v>0</v>
      </c>
      <c r="BR32" s="1508">
        <v>0</v>
      </c>
      <c r="BS32" s="1244">
        <v>0</v>
      </c>
      <c r="BT32" s="1484">
        <v>0</v>
      </c>
      <c r="BU32" s="1526">
        <v>0</v>
      </c>
      <c r="BV32" s="1526">
        <v>0</v>
      </c>
      <c r="BW32" s="1526">
        <v>0</v>
      </c>
      <c r="BX32" s="1244">
        <v>0</v>
      </c>
      <c r="BY32" s="1484">
        <v>0</v>
      </c>
      <c r="BZ32" s="1526">
        <v>0</v>
      </c>
      <c r="CA32" s="1526">
        <v>0</v>
      </c>
      <c r="CB32" s="1526">
        <v>0</v>
      </c>
      <c r="CC32" s="1244">
        <v>0</v>
      </c>
      <c r="CD32" s="1484">
        <v>0</v>
      </c>
      <c r="CE32" s="1415">
        <v>0</v>
      </c>
      <c r="CF32" s="1415">
        <v>0</v>
      </c>
      <c r="CG32" s="1415">
        <v>0</v>
      </c>
      <c r="CH32" s="1244">
        <v>0</v>
      </c>
      <c r="CI32" s="1484">
        <v>0</v>
      </c>
      <c r="CJ32" s="1526">
        <v>0</v>
      </c>
      <c r="CK32" s="1526">
        <v>0</v>
      </c>
      <c r="CL32" s="1526">
        <v>0</v>
      </c>
      <c r="CM32" s="1244">
        <v>0</v>
      </c>
      <c r="CN32" s="1269">
        <f t="shared" si="4"/>
        <v>2268692.994236654</v>
      </c>
      <c r="CO32" s="1271">
        <f>+CN32</f>
        <v>2268692.994236654</v>
      </c>
      <c r="CP32" s="1237"/>
      <c r="CQ32" s="1165"/>
      <c r="CR32" s="1165"/>
      <c r="CS32" s="1165"/>
    </row>
    <row r="33" spans="1:94" ht="13.5">
      <c r="A33" s="1147">
        <f t="shared" si="1"/>
        <v>19</v>
      </c>
      <c r="B33" s="1233" t="str">
        <f>+B31</f>
        <v>FCR W base ROE</v>
      </c>
      <c r="C33" s="1266">
        <f aca="true" t="shared" si="6" ref="C33:C72">+C31+1</f>
        <v>2007</v>
      </c>
      <c r="D33" s="1267">
        <f>D29*0</f>
        <v>0</v>
      </c>
      <c r="E33" s="1267">
        <f>+D$27</f>
        <v>0</v>
      </c>
      <c r="F33" s="1267">
        <f t="shared" si="5"/>
        <v>0</v>
      </c>
      <c r="G33" s="1244">
        <f>+D$24*(D33+F33)/2+E33</f>
        <v>0</v>
      </c>
      <c r="H33" s="1267">
        <v>50485747.27946154</v>
      </c>
      <c r="I33" s="1222">
        <v>776717.5581861077</v>
      </c>
      <c r="J33" s="1267">
        <f>+H33-I33</f>
        <v>49709029.721275434</v>
      </c>
      <c r="K33" s="1244">
        <f>+H$24*(J33+H33)/2</f>
        <v>9161799.627454065</v>
      </c>
      <c r="L33" s="1267">
        <f>L29*0</f>
        <v>0</v>
      </c>
      <c r="M33" s="1267">
        <f>+L$27</f>
        <v>0</v>
      </c>
      <c r="N33" s="1267">
        <f t="shared" si="2"/>
        <v>0</v>
      </c>
      <c r="O33" s="1222">
        <f>+L$24*(L33+N33)/2</f>
        <v>0</v>
      </c>
      <c r="P33" s="1268">
        <v>0</v>
      </c>
      <c r="Q33" s="1222">
        <v>0</v>
      </c>
      <c r="R33" s="1267">
        <f t="shared" si="3"/>
        <v>0</v>
      </c>
      <c r="S33" s="1244">
        <f>+P$24*(R33+P33)/2</f>
        <v>0</v>
      </c>
      <c r="T33" s="1267">
        <v>0</v>
      </c>
      <c r="U33" s="1222">
        <v>0</v>
      </c>
      <c r="V33" s="1267">
        <f>+T33-U33</f>
        <v>0</v>
      </c>
      <c r="W33" s="1244">
        <f>+T$24*(V33+T33)/2</f>
        <v>0</v>
      </c>
      <c r="X33" s="1268">
        <v>0</v>
      </c>
      <c r="Y33" s="1508">
        <v>0</v>
      </c>
      <c r="Z33" s="1508">
        <v>0</v>
      </c>
      <c r="AA33" s="1244">
        <v>0</v>
      </c>
      <c r="AB33" s="1267">
        <v>0</v>
      </c>
      <c r="AC33" s="1267">
        <v>0</v>
      </c>
      <c r="AD33" s="1267">
        <v>0</v>
      </c>
      <c r="AE33" s="1244">
        <v>0</v>
      </c>
      <c r="AF33" s="1267">
        <v>0</v>
      </c>
      <c r="AG33" s="1267">
        <v>0</v>
      </c>
      <c r="AH33" s="1267">
        <v>0</v>
      </c>
      <c r="AI33" s="1244">
        <v>0</v>
      </c>
      <c r="AJ33" s="1267">
        <v>0</v>
      </c>
      <c r="AK33" s="1267">
        <v>0</v>
      </c>
      <c r="AL33" s="1267">
        <v>0</v>
      </c>
      <c r="AM33" s="1244">
        <v>0</v>
      </c>
      <c r="AN33" s="1267">
        <v>0</v>
      </c>
      <c r="AO33" s="1267">
        <v>0</v>
      </c>
      <c r="AP33" s="1267">
        <v>0</v>
      </c>
      <c r="AQ33" s="1244">
        <v>0</v>
      </c>
      <c r="AR33" s="1267">
        <v>0</v>
      </c>
      <c r="AS33" s="1267">
        <v>0</v>
      </c>
      <c r="AT33" s="1267">
        <v>0</v>
      </c>
      <c r="AU33" s="1244">
        <v>0</v>
      </c>
      <c r="AV33" s="1268">
        <v>0</v>
      </c>
      <c r="AW33" s="1508">
        <v>0</v>
      </c>
      <c r="AX33" s="1508">
        <v>0</v>
      </c>
      <c r="AY33" s="1244">
        <v>0</v>
      </c>
      <c r="AZ33" s="1267">
        <v>0</v>
      </c>
      <c r="BA33" s="1267">
        <v>0</v>
      </c>
      <c r="BB33" s="1267">
        <v>0</v>
      </c>
      <c r="BC33" s="1244">
        <v>0</v>
      </c>
      <c r="BD33" s="1267">
        <v>0</v>
      </c>
      <c r="BE33" s="1267">
        <v>0</v>
      </c>
      <c r="BF33" s="1267">
        <v>0</v>
      </c>
      <c r="BG33" s="1244">
        <v>0</v>
      </c>
      <c r="BH33" s="1411">
        <v>0</v>
      </c>
      <c r="BI33" s="1509">
        <v>0</v>
      </c>
      <c r="BJ33" s="1509">
        <v>0</v>
      </c>
      <c r="BK33" s="1244">
        <v>0</v>
      </c>
      <c r="BL33" s="1411">
        <v>0</v>
      </c>
      <c r="BM33" s="1509">
        <v>0</v>
      </c>
      <c r="BN33" s="1509">
        <v>0</v>
      </c>
      <c r="BO33" s="1244">
        <v>0</v>
      </c>
      <c r="BP33" s="1268">
        <v>0</v>
      </c>
      <c r="BQ33" s="1508">
        <v>0</v>
      </c>
      <c r="BR33" s="1508">
        <v>0</v>
      </c>
      <c r="BS33" s="1244">
        <v>0</v>
      </c>
      <c r="BT33" s="1484">
        <v>0</v>
      </c>
      <c r="BU33" s="1526">
        <v>0</v>
      </c>
      <c r="BV33" s="1526">
        <v>0</v>
      </c>
      <c r="BW33" s="1526">
        <v>0</v>
      </c>
      <c r="BX33" s="1244">
        <v>0</v>
      </c>
      <c r="BY33" s="1484">
        <v>0</v>
      </c>
      <c r="BZ33" s="1526">
        <v>0</v>
      </c>
      <c r="CA33" s="1526">
        <v>0</v>
      </c>
      <c r="CB33" s="1526">
        <v>0</v>
      </c>
      <c r="CC33" s="1244">
        <v>0</v>
      </c>
      <c r="CD33" s="1484">
        <v>0</v>
      </c>
      <c r="CE33" s="1415">
        <v>0</v>
      </c>
      <c r="CF33" s="1415">
        <v>0</v>
      </c>
      <c r="CG33" s="1415">
        <v>0</v>
      </c>
      <c r="CH33" s="1244">
        <v>0</v>
      </c>
      <c r="CI33" s="1484">
        <v>0</v>
      </c>
      <c r="CJ33" s="1526">
        <v>0</v>
      </c>
      <c r="CK33" s="1526">
        <v>0</v>
      </c>
      <c r="CL33" s="1526">
        <v>0</v>
      </c>
      <c r="CM33" s="1244">
        <v>0</v>
      </c>
      <c r="CN33" s="1269">
        <f t="shared" si="4"/>
        <v>9161799.627454065</v>
      </c>
      <c r="CO33" s="1232"/>
      <c r="CP33" s="1270">
        <f>+CN33</f>
        <v>9161799.627454065</v>
      </c>
    </row>
    <row r="34" spans="1:97" ht="13.5">
      <c r="A34" s="1147">
        <f t="shared" si="1"/>
        <v>20</v>
      </c>
      <c r="B34" s="1233" t="str">
        <f>+B32</f>
        <v>W Increased ROE</v>
      </c>
      <c r="C34" s="1266">
        <f t="shared" si="6"/>
        <v>2007</v>
      </c>
      <c r="D34" s="1267">
        <f>+D33</f>
        <v>0</v>
      </c>
      <c r="E34" s="1267">
        <f>+E33</f>
        <v>0</v>
      </c>
      <c r="F34" s="1267">
        <f t="shared" si="5"/>
        <v>0</v>
      </c>
      <c r="G34" s="1244">
        <f>+D$25*(F34+D34)/2+E34</f>
        <v>0</v>
      </c>
      <c r="H34" s="1267">
        <f>H33</f>
        <v>50485747.27946154</v>
      </c>
      <c r="I34" s="1222">
        <f>I33</f>
        <v>776717.5581861077</v>
      </c>
      <c r="J34" s="1267">
        <f>+H34-I34</f>
        <v>49709029.721275434</v>
      </c>
      <c r="K34" s="1244">
        <f>+H$25*(J34+H34)/2</f>
        <v>9516073.843638375</v>
      </c>
      <c r="L34" s="1267">
        <f>+L33</f>
        <v>0</v>
      </c>
      <c r="M34" s="1267">
        <f>+M33</f>
        <v>0</v>
      </c>
      <c r="N34" s="1267">
        <f t="shared" si="2"/>
        <v>0</v>
      </c>
      <c r="O34" s="1222">
        <f>+L$25*(N34+L34)/2</f>
        <v>0</v>
      </c>
      <c r="P34" s="1268">
        <f>+P33</f>
        <v>0</v>
      </c>
      <c r="Q34" s="1222">
        <f>+Q33</f>
        <v>0</v>
      </c>
      <c r="R34" s="1267">
        <f t="shared" si="3"/>
        <v>0</v>
      </c>
      <c r="S34" s="1244">
        <f>+P$25*(R34+P34)/2</f>
        <v>0</v>
      </c>
      <c r="T34" s="1267">
        <f>T33</f>
        <v>0</v>
      </c>
      <c r="U34" s="1222">
        <f>U33</f>
        <v>0</v>
      </c>
      <c r="V34" s="1267">
        <f>+T34-U34</f>
        <v>0</v>
      </c>
      <c r="W34" s="1244">
        <f>+T$25*(V34+T34)/2</f>
        <v>0</v>
      </c>
      <c r="X34" s="1268">
        <v>0</v>
      </c>
      <c r="Y34" s="1508">
        <v>0</v>
      </c>
      <c r="Z34" s="1508">
        <v>0</v>
      </c>
      <c r="AA34" s="1244">
        <v>0</v>
      </c>
      <c r="AB34" s="1267">
        <v>0</v>
      </c>
      <c r="AC34" s="1267">
        <v>0</v>
      </c>
      <c r="AD34" s="1267">
        <v>0</v>
      </c>
      <c r="AE34" s="1244">
        <v>0</v>
      </c>
      <c r="AF34" s="1267">
        <v>0</v>
      </c>
      <c r="AG34" s="1267">
        <v>0</v>
      </c>
      <c r="AH34" s="1267">
        <v>0</v>
      </c>
      <c r="AI34" s="1244">
        <v>0</v>
      </c>
      <c r="AJ34" s="1267">
        <v>0</v>
      </c>
      <c r="AK34" s="1267">
        <v>0</v>
      </c>
      <c r="AL34" s="1267">
        <v>0</v>
      </c>
      <c r="AM34" s="1244">
        <v>0</v>
      </c>
      <c r="AN34" s="1267">
        <v>0</v>
      </c>
      <c r="AO34" s="1267">
        <v>0</v>
      </c>
      <c r="AP34" s="1267">
        <v>0</v>
      </c>
      <c r="AQ34" s="1244">
        <v>0</v>
      </c>
      <c r="AR34" s="1267">
        <v>0</v>
      </c>
      <c r="AS34" s="1267">
        <v>0</v>
      </c>
      <c r="AT34" s="1267">
        <v>0</v>
      </c>
      <c r="AU34" s="1244">
        <v>0</v>
      </c>
      <c r="AV34" s="1268">
        <v>0</v>
      </c>
      <c r="AW34" s="1508">
        <v>0</v>
      </c>
      <c r="AX34" s="1508">
        <v>0</v>
      </c>
      <c r="AY34" s="1244">
        <v>0</v>
      </c>
      <c r="AZ34" s="1267">
        <v>0</v>
      </c>
      <c r="BA34" s="1267">
        <v>0</v>
      </c>
      <c r="BB34" s="1267">
        <v>0</v>
      </c>
      <c r="BC34" s="1244">
        <v>0</v>
      </c>
      <c r="BD34" s="1267">
        <v>0</v>
      </c>
      <c r="BE34" s="1267">
        <v>0</v>
      </c>
      <c r="BF34" s="1267">
        <v>0</v>
      </c>
      <c r="BG34" s="1244">
        <v>0</v>
      </c>
      <c r="BH34" s="1411">
        <v>0</v>
      </c>
      <c r="BI34" s="1509">
        <v>0</v>
      </c>
      <c r="BJ34" s="1509">
        <v>0</v>
      </c>
      <c r="BK34" s="1244">
        <v>0</v>
      </c>
      <c r="BL34" s="1411">
        <v>0</v>
      </c>
      <c r="BM34" s="1509">
        <v>0</v>
      </c>
      <c r="BN34" s="1509">
        <v>0</v>
      </c>
      <c r="BO34" s="1244">
        <v>0</v>
      </c>
      <c r="BP34" s="1268">
        <v>0</v>
      </c>
      <c r="BQ34" s="1508">
        <v>0</v>
      </c>
      <c r="BR34" s="1508">
        <v>0</v>
      </c>
      <c r="BS34" s="1244">
        <v>0</v>
      </c>
      <c r="BT34" s="1484">
        <v>0</v>
      </c>
      <c r="BU34" s="1526">
        <v>0</v>
      </c>
      <c r="BV34" s="1526">
        <v>0</v>
      </c>
      <c r="BW34" s="1526">
        <v>0</v>
      </c>
      <c r="BX34" s="1244">
        <v>0</v>
      </c>
      <c r="BY34" s="1484">
        <v>0</v>
      </c>
      <c r="BZ34" s="1526">
        <v>0</v>
      </c>
      <c r="CA34" s="1526">
        <v>0</v>
      </c>
      <c r="CB34" s="1526">
        <v>0</v>
      </c>
      <c r="CC34" s="1244">
        <v>0</v>
      </c>
      <c r="CD34" s="1484">
        <v>0</v>
      </c>
      <c r="CE34" s="1415">
        <v>0</v>
      </c>
      <c r="CF34" s="1415">
        <v>0</v>
      </c>
      <c r="CG34" s="1415">
        <v>0</v>
      </c>
      <c r="CH34" s="1244">
        <v>0</v>
      </c>
      <c r="CI34" s="1484">
        <v>0</v>
      </c>
      <c r="CJ34" s="1526">
        <v>0</v>
      </c>
      <c r="CK34" s="1526">
        <v>0</v>
      </c>
      <c r="CL34" s="1526">
        <v>0</v>
      </c>
      <c r="CM34" s="1244">
        <v>0</v>
      </c>
      <c r="CN34" s="1269">
        <f t="shared" si="4"/>
        <v>9516073.843638375</v>
      </c>
      <c r="CO34" s="1271">
        <f>+CN34</f>
        <v>9516073.843638375</v>
      </c>
      <c r="CP34" s="1237"/>
      <c r="CQ34" s="1165"/>
      <c r="CR34" s="1165"/>
      <c r="CS34" s="1165"/>
    </row>
    <row r="35" spans="1:94" ht="13.5">
      <c r="A35" s="1147">
        <f t="shared" si="1"/>
        <v>21</v>
      </c>
      <c r="B35" s="1233" t="str">
        <f aca="true" t="shared" si="7" ref="B35:B72">+B33</f>
        <v>FCR W base ROE</v>
      </c>
      <c r="C35" s="1266">
        <f t="shared" si="6"/>
        <v>2008</v>
      </c>
      <c r="D35" s="1267">
        <f>D29*0</f>
        <v>0</v>
      </c>
      <c r="E35" s="1267">
        <f>+D$27</f>
        <v>0</v>
      </c>
      <c r="F35" s="1267">
        <f t="shared" si="5"/>
        <v>0</v>
      </c>
      <c r="G35" s="1244">
        <f>+D$24*(D35+F35)/2+E35</f>
        <v>0</v>
      </c>
      <c r="H35" s="1267">
        <v>96868229.69999999</v>
      </c>
      <c r="I35" s="1267">
        <v>1396150.8309223847</v>
      </c>
      <c r="J35" s="1267">
        <f>+H35-I35</f>
        <v>95472078.86907761</v>
      </c>
      <c r="K35" s="1244">
        <f>+H$24*(J35+H35)/2</f>
        <v>17587577.11871162</v>
      </c>
      <c r="L35" s="1267">
        <f>L29*0</f>
        <v>0</v>
      </c>
      <c r="M35" s="1267">
        <f>+L$27</f>
        <v>0</v>
      </c>
      <c r="N35" s="1267">
        <f t="shared" si="2"/>
        <v>0</v>
      </c>
      <c r="O35" s="1222">
        <f>+L$24*(L35+N35)/2</f>
        <v>0</v>
      </c>
      <c r="P35" s="1268">
        <v>0</v>
      </c>
      <c r="Q35" s="1222">
        <v>0</v>
      </c>
      <c r="R35" s="1267">
        <f t="shared" si="3"/>
        <v>0</v>
      </c>
      <c r="S35" s="1244">
        <f>+P$24*(R35+P35)/2</f>
        <v>0</v>
      </c>
      <c r="T35" s="1267">
        <v>0</v>
      </c>
      <c r="U35" s="1267">
        <v>0</v>
      </c>
      <c r="V35" s="1267">
        <v>0</v>
      </c>
      <c r="W35" s="1244">
        <f>+T$24*(V35+T35)/2</f>
        <v>0</v>
      </c>
      <c r="X35" s="1268">
        <v>0</v>
      </c>
      <c r="Y35" s="1508">
        <v>0</v>
      </c>
      <c r="Z35" s="1508">
        <v>0</v>
      </c>
      <c r="AA35" s="1244">
        <v>0</v>
      </c>
      <c r="AB35" s="1267">
        <v>0</v>
      </c>
      <c r="AC35" s="1267">
        <v>0</v>
      </c>
      <c r="AD35" s="1267">
        <v>0</v>
      </c>
      <c r="AE35" s="1244">
        <v>0</v>
      </c>
      <c r="AF35" s="1267">
        <v>0</v>
      </c>
      <c r="AG35" s="1267">
        <v>0</v>
      </c>
      <c r="AH35" s="1267">
        <v>0</v>
      </c>
      <c r="AI35" s="1244">
        <v>0</v>
      </c>
      <c r="AJ35" s="1267">
        <v>0</v>
      </c>
      <c r="AK35" s="1267">
        <v>0</v>
      </c>
      <c r="AL35" s="1267">
        <v>0</v>
      </c>
      <c r="AM35" s="1244">
        <v>0</v>
      </c>
      <c r="AN35" s="1267">
        <v>0</v>
      </c>
      <c r="AO35" s="1267">
        <v>0</v>
      </c>
      <c r="AP35" s="1267">
        <v>0</v>
      </c>
      <c r="AQ35" s="1244">
        <v>0</v>
      </c>
      <c r="AR35" s="1267">
        <v>0</v>
      </c>
      <c r="AS35" s="1267">
        <v>0</v>
      </c>
      <c r="AT35" s="1267">
        <v>0</v>
      </c>
      <c r="AU35" s="1244">
        <v>0</v>
      </c>
      <c r="AV35" s="1268">
        <v>0</v>
      </c>
      <c r="AW35" s="1508">
        <v>0</v>
      </c>
      <c r="AX35" s="1508">
        <v>0</v>
      </c>
      <c r="AY35" s="1244">
        <v>0</v>
      </c>
      <c r="AZ35" s="1267">
        <v>0</v>
      </c>
      <c r="BA35" s="1267">
        <v>0</v>
      </c>
      <c r="BB35" s="1267">
        <v>0</v>
      </c>
      <c r="BC35" s="1244">
        <v>0</v>
      </c>
      <c r="BD35" s="1267">
        <v>0</v>
      </c>
      <c r="BE35" s="1267">
        <v>0</v>
      </c>
      <c r="BF35" s="1267">
        <v>0</v>
      </c>
      <c r="BG35" s="1244">
        <v>0</v>
      </c>
      <c r="BH35" s="1411">
        <v>0</v>
      </c>
      <c r="BI35" s="1509">
        <v>0</v>
      </c>
      <c r="BJ35" s="1509">
        <v>0</v>
      </c>
      <c r="BK35" s="1244">
        <v>0</v>
      </c>
      <c r="BL35" s="1411">
        <v>0</v>
      </c>
      <c r="BM35" s="1509">
        <v>0</v>
      </c>
      <c r="BN35" s="1509">
        <v>0</v>
      </c>
      <c r="BO35" s="1244">
        <v>0</v>
      </c>
      <c r="BP35" s="1268">
        <v>0</v>
      </c>
      <c r="BQ35" s="1508">
        <v>0</v>
      </c>
      <c r="BR35" s="1508">
        <v>0</v>
      </c>
      <c r="BS35" s="1244">
        <v>0</v>
      </c>
      <c r="BT35" s="1484">
        <v>0</v>
      </c>
      <c r="BU35" s="1526">
        <v>0</v>
      </c>
      <c r="BV35" s="1526">
        <v>0</v>
      </c>
      <c r="BW35" s="1526">
        <v>0</v>
      </c>
      <c r="BX35" s="1244">
        <v>0</v>
      </c>
      <c r="BY35" s="1484">
        <v>0</v>
      </c>
      <c r="BZ35" s="1526">
        <v>0</v>
      </c>
      <c r="CA35" s="1526">
        <v>0</v>
      </c>
      <c r="CB35" s="1526">
        <v>0</v>
      </c>
      <c r="CC35" s="1244">
        <v>0</v>
      </c>
      <c r="CD35" s="1484">
        <v>0</v>
      </c>
      <c r="CE35" s="1415">
        <v>0</v>
      </c>
      <c r="CF35" s="1415">
        <v>0</v>
      </c>
      <c r="CG35" s="1415">
        <v>0</v>
      </c>
      <c r="CH35" s="1244">
        <v>0</v>
      </c>
      <c r="CI35" s="1484">
        <v>0</v>
      </c>
      <c r="CJ35" s="1526">
        <v>0</v>
      </c>
      <c r="CK35" s="1526">
        <v>0</v>
      </c>
      <c r="CL35" s="1526">
        <v>0</v>
      </c>
      <c r="CM35" s="1244">
        <v>0</v>
      </c>
      <c r="CN35" s="1269">
        <f t="shared" si="4"/>
        <v>17587577.11871162</v>
      </c>
      <c r="CO35" s="1232"/>
      <c r="CP35" s="1270">
        <f>+CN35</f>
        <v>17587577.11871162</v>
      </c>
    </row>
    <row r="36" spans="1:95" ht="13.5">
      <c r="A36" s="1147">
        <f t="shared" si="1"/>
        <v>22</v>
      </c>
      <c r="B36" s="1233" t="str">
        <f t="shared" si="7"/>
        <v>W Increased ROE</v>
      </c>
      <c r="C36" s="1266">
        <f t="shared" si="6"/>
        <v>2008</v>
      </c>
      <c r="D36" s="1267">
        <f>+D35</f>
        <v>0</v>
      </c>
      <c r="E36" s="1267">
        <f>+E35</f>
        <v>0</v>
      </c>
      <c r="F36" s="1267">
        <f t="shared" si="5"/>
        <v>0</v>
      </c>
      <c r="G36" s="1244">
        <f>+D$25*(F36+D36)/2+E36</f>
        <v>0</v>
      </c>
      <c r="H36" s="1267">
        <f>+H35</f>
        <v>96868229.69999999</v>
      </c>
      <c r="I36" s="1267">
        <f>I35</f>
        <v>1396150.8309223847</v>
      </c>
      <c r="J36" s="1267">
        <f>+J35</f>
        <v>95472078.86907761</v>
      </c>
      <c r="K36" s="1244">
        <f>+H$25*(J36+H36)/2</f>
        <v>18267664.585331332</v>
      </c>
      <c r="L36" s="1267">
        <f>+L35</f>
        <v>0</v>
      </c>
      <c r="M36" s="1267">
        <f>+M35</f>
        <v>0</v>
      </c>
      <c r="N36" s="1267">
        <f t="shared" si="2"/>
        <v>0</v>
      </c>
      <c r="O36" s="1222">
        <f>+L$25*(N36+L36)/2</f>
        <v>0</v>
      </c>
      <c r="P36" s="1268">
        <f>+P35</f>
        <v>0</v>
      </c>
      <c r="Q36" s="1222">
        <f>+Q35</f>
        <v>0</v>
      </c>
      <c r="R36" s="1267">
        <f t="shared" si="3"/>
        <v>0</v>
      </c>
      <c r="S36" s="1244">
        <f>+P$25*(R36+P36)/2</f>
        <v>0</v>
      </c>
      <c r="T36" s="1267">
        <f>+T35</f>
        <v>0</v>
      </c>
      <c r="U36" s="1267">
        <f>U35</f>
        <v>0</v>
      </c>
      <c r="V36" s="1267">
        <f>+V35</f>
        <v>0</v>
      </c>
      <c r="W36" s="1244">
        <f>+T$25*(V36+T36)/2</f>
        <v>0</v>
      </c>
      <c r="X36" s="1268">
        <v>0</v>
      </c>
      <c r="Y36" s="1508">
        <v>0</v>
      </c>
      <c r="Z36" s="1508">
        <v>0</v>
      </c>
      <c r="AA36" s="1244">
        <v>0</v>
      </c>
      <c r="AB36" s="1267">
        <v>0</v>
      </c>
      <c r="AC36" s="1267">
        <v>0</v>
      </c>
      <c r="AD36" s="1267">
        <v>0</v>
      </c>
      <c r="AE36" s="1244">
        <v>0</v>
      </c>
      <c r="AF36" s="1267">
        <v>0</v>
      </c>
      <c r="AG36" s="1267">
        <v>0</v>
      </c>
      <c r="AH36" s="1267">
        <v>0</v>
      </c>
      <c r="AI36" s="1244">
        <v>0</v>
      </c>
      <c r="AJ36" s="1267">
        <v>0</v>
      </c>
      <c r="AK36" s="1267">
        <v>0</v>
      </c>
      <c r="AL36" s="1267">
        <v>0</v>
      </c>
      <c r="AM36" s="1244">
        <v>0</v>
      </c>
      <c r="AN36" s="1267">
        <v>0</v>
      </c>
      <c r="AO36" s="1267">
        <v>0</v>
      </c>
      <c r="AP36" s="1267">
        <v>0</v>
      </c>
      <c r="AQ36" s="1244">
        <v>0</v>
      </c>
      <c r="AR36" s="1267">
        <v>0</v>
      </c>
      <c r="AS36" s="1267">
        <v>0</v>
      </c>
      <c r="AT36" s="1267">
        <v>0</v>
      </c>
      <c r="AU36" s="1244">
        <v>0</v>
      </c>
      <c r="AV36" s="1268">
        <v>0</v>
      </c>
      <c r="AW36" s="1508">
        <v>0</v>
      </c>
      <c r="AX36" s="1508">
        <v>0</v>
      </c>
      <c r="AY36" s="1244">
        <v>0</v>
      </c>
      <c r="AZ36" s="1267">
        <v>0</v>
      </c>
      <c r="BA36" s="1267">
        <v>0</v>
      </c>
      <c r="BB36" s="1267">
        <v>0</v>
      </c>
      <c r="BC36" s="1244">
        <v>0</v>
      </c>
      <c r="BD36" s="1267">
        <v>0</v>
      </c>
      <c r="BE36" s="1267">
        <v>0</v>
      </c>
      <c r="BF36" s="1267">
        <v>0</v>
      </c>
      <c r="BG36" s="1244">
        <v>0</v>
      </c>
      <c r="BH36" s="1411">
        <v>0</v>
      </c>
      <c r="BI36" s="1509">
        <v>0</v>
      </c>
      <c r="BJ36" s="1509">
        <v>0</v>
      </c>
      <c r="BK36" s="1244">
        <v>0</v>
      </c>
      <c r="BL36" s="1411">
        <v>0</v>
      </c>
      <c r="BM36" s="1509">
        <v>0</v>
      </c>
      <c r="BN36" s="1509">
        <v>0</v>
      </c>
      <c r="BO36" s="1244">
        <v>0</v>
      </c>
      <c r="BP36" s="1268">
        <v>0</v>
      </c>
      <c r="BQ36" s="1508">
        <v>0</v>
      </c>
      <c r="BR36" s="1508">
        <v>0</v>
      </c>
      <c r="BS36" s="1244">
        <v>0</v>
      </c>
      <c r="BT36" s="1484">
        <v>0</v>
      </c>
      <c r="BU36" s="1526">
        <v>0</v>
      </c>
      <c r="BV36" s="1526">
        <v>0</v>
      </c>
      <c r="BW36" s="1526">
        <v>0</v>
      </c>
      <c r="BX36" s="1244">
        <v>0</v>
      </c>
      <c r="BY36" s="1484">
        <v>0</v>
      </c>
      <c r="BZ36" s="1526">
        <v>0</v>
      </c>
      <c r="CA36" s="1526">
        <v>0</v>
      </c>
      <c r="CB36" s="1526">
        <v>0</v>
      </c>
      <c r="CC36" s="1244">
        <v>0</v>
      </c>
      <c r="CD36" s="1484">
        <v>0</v>
      </c>
      <c r="CE36" s="1415">
        <v>0</v>
      </c>
      <c r="CF36" s="1415">
        <v>0</v>
      </c>
      <c r="CG36" s="1415">
        <v>0</v>
      </c>
      <c r="CH36" s="1244">
        <v>0</v>
      </c>
      <c r="CI36" s="1484">
        <v>0</v>
      </c>
      <c r="CJ36" s="1526">
        <v>0</v>
      </c>
      <c r="CK36" s="1526">
        <v>0</v>
      </c>
      <c r="CL36" s="1526">
        <v>0</v>
      </c>
      <c r="CM36" s="1244">
        <v>0</v>
      </c>
      <c r="CN36" s="1269">
        <f t="shared" si="4"/>
        <v>18267664.585331332</v>
      </c>
      <c r="CO36" s="1271">
        <f>+CN36</f>
        <v>18267664.585331332</v>
      </c>
      <c r="CP36" s="1237"/>
      <c r="CQ36" s="1181"/>
    </row>
    <row r="37" spans="1:94" ht="13.5">
      <c r="A37" s="1147">
        <f t="shared" si="1"/>
        <v>23</v>
      </c>
      <c r="B37" s="1233" t="str">
        <f t="shared" si="7"/>
        <v>FCR W base ROE</v>
      </c>
      <c r="C37" s="1266">
        <f t="shared" si="6"/>
        <v>2009</v>
      </c>
      <c r="D37" s="1267">
        <v>0</v>
      </c>
      <c r="E37" s="1267">
        <f>+D$27</f>
        <v>0</v>
      </c>
      <c r="F37" s="1267">
        <f t="shared" si="5"/>
        <v>0</v>
      </c>
      <c r="G37" s="1244">
        <f>+D$24*(D37+F37)/2+E37</f>
        <v>0</v>
      </c>
      <c r="H37" s="1267">
        <v>115267201.65107693</v>
      </c>
      <c r="I37" s="1267">
        <v>4954232.13815247</v>
      </c>
      <c r="J37" s="1267">
        <f>+H37-I37</f>
        <v>110312969.51292446</v>
      </c>
      <c r="K37" s="1244">
        <f>+H$24*(J37+H37)/2</f>
        <v>20627026.577604644</v>
      </c>
      <c r="L37" s="1267">
        <f>L31*0</f>
        <v>0</v>
      </c>
      <c r="M37" s="1267">
        <f>+L$27</f>
        <v>0</v>
      </c>
      <c r="N37" s="1267">
        <f t="shared" si="2"/>
        <v>0</v>
      </c>
      <c r="O37" s="1222">
        <f>+L$24*(L37+N37)/2</f>
        <v>0</v>
      </c>
      <c r="P37" s="1268">
        <v>0</v>
      </c>
      <c r="Q37" s="1222">
        <v>0</v>
      </c>
      <c r="R37" s="1267">
        <f t="shared" si="3"/>
        <v>0</v>
      </c>
      <c r="S37" s="1244">
        <f>+P$24*(R37+P37)/2</f>
        <v>0</v>
      </c>
      <c r="T37" s="1267">
        <v>0</v>
      </c>
      <c r="U37" s="1267">
        <v>0</v>
      </c>
      <c r="V37" s="1267">
        <f>+T37-U37</f>
        <v>0</v>
      </c>
      <c r="W37" s="1244">
        <f>+T$24*(V37+T37)/2</f>
        <v>0</v>
      </c>
      <c r="X37" s="1268">
        <v>0</v>
      </c>
      <c r="Y37" s="1508">
        <v>0</v>
      </c>
      <c r="Z37" s="1508">
        <v>0</v>
      </c>
      <c r="AA37" s="1244">
        <v>0</v>
      </c>
      <c r="AB37" s="1267">
        <v>0</v>
      </c>
      <c r="AC37" s="1267">
        <v>0</v>
      </c>
      <c r="AD37" s="1267">
        <v>0</v>
      </c>
      <c r="AE37" s="1244">
        <v>0</v>
      </c>
      <c r="AF37" s="1267">
        <v>0</v>
      </c>
      <c r="AG37" s="1267">
        <v>0</v>
      </c>
      <c r="AH37" s="1267">
        <v>0</v>
      </c>
      <c r="AI37" s="1244">
        <v>0</v>
      </c>
      <c r="AJ37" s="1267">
        <v>0</v>
      </c>
      <c r="AK37" s="1267">
        <v>0</v>
      </c>
      <c r="AL37" s="1267">
        <v>0</v>
      </c>
      <c r="AM37" s="1244">
        <v>0</v>
      </c>
      <c r="AN37" s="1267">
        <v>0</v>
      </c>
      <c r="AO37" s="1267">
        <v>0</v>
      </c>
      <c r="AP37" s="1267">
        <v>0</v>
      </c>
      <c r="AQ37" s="1244">
        <v>0</v>
      </c>
      <c r="AR37" s="1267">
        <v>0</v>
      </c>
      <c r="AS37" s="1267">
        <v>0</v>
      </c>
      <c r="AT37" s="1267">
        <v>0</v>
      </c>
      <c r="AU37" s="1244">
        <v>0</v>
      </c>
      <c r="AV37" s="1268">
        <v>0</v>
      </c>
      <c r="AW37" s="1508">
        <v>0</v>
      </c>
      <c r="AX37" s="1508">
        <v>0</v>
      </c>
      <c r="AY37" s="1244">
        <v>0</v>
      </c>
      <c r="AZ37" s="1267">
        <v>0</v>
      </c>
      <c r="BA37" s="1267">
        <v>0</v>
      </c>
      <c r="BB37" s="1267">
        <v>0</v>
      </c>
      <c r="BC37" s="1244">
        <v>0</v>
      </c>
      <c r="BD37" s="1267">
        <v>0</v>
      </c>
      <c r="BE37" s="1267">
        <v>0</v>
      </c>
      <c r="BF37" s="1267">
        <v>0</v>
      </c>
      <c r="BG37" s="1244">
        <v>0</v>
      </c>
      <c r="BH37" s="1411">
        <v>0</v>
      </c>
      <c r="BI37" s="1509">
        <v>0</v>
      </c>
      <c r="BJ37" s="1509">
        <v>0</v>
      </c>
      <c r="BK37" s="1244">
        <v>0</v>
      </c>
      <c r="BL37" s="1411">
        <v>0</v>
      </c>
      <c r="BM37" s="1509">
        <v>0</v>
      </c>
      <c r="BN37" s="1509">
        <v>0</v>
      </c>
      <c r="BO37" s="1244">
        <v>0</v>
      </c>
      <c r="BP37" s="1268">
        <v>0</v>
      </c>
      <c r="BQ37" s="1508">
        <v>0</v>
      </c>
      <c r="BR37" s="1508">
        <v>0</v>
      </c>
      <c r="BS37" s="1244">
        <v>0</v>
      </c>
      <c r="BT37" s="1484">
        <v>0</v>
      </c>
      <c r="BU37" s="1526">
        <v>0</v>
      </c>
      <c r="BV37" s="1526">
        <v>0</v>
      </c>
      <c r="BW37" s="1526">
        <v>0</v>
      </c>
      <c r="BX37" s="1244">
        <v>0</v>
      </c>
      <c r="BY37" s="1484">
        <v>0</v>
      </c>
      <c r="BZ37" s="1526">
        <v>0</v>
      </c>
      <c r="CA37" s="1526">
        <v>0</v>
      </c>
      <c r="CB37" s="1526">
        <v>0</v>
      </c>
      <c r="CC37" s="1244">
        <v>0</v>
      </c>
      <c r="CD37" s="1484">
        <v>0</v>
      </c>
      <c r="CE37" s="1415">
        <v>0</v>
      </c>
      <c r="CF37" s="1415">
        <v>0</v>
      </c>
      <c r="CG37" s="1415">
        <v>0</v>
      </c>
      <c r="CH37" s="1244">
        <v>0</v>
      </c>
      <c r="CI37" s="1484">
        <v>0</v>
      </c>
      <c r="CJ37" s="1526">
        <v>0</v>
      </c>
      <c r="CK37" s="1526">
        <v>0</v>
      </c>
      <c r="CL37" s="1526">
        <v>0</v>
      </c>
      <c r="CM37" s="1244">
        <v>0</v>
      </c>
      <c r="CN37" s="1269">
        <f t="shared" si="4"/>
        <v>20627026.577604644</v>
      </c>
      <c r="CO37" s="1232"/>
      <c r="CP37" s="1270">
        <f>+CN37</f>
        <v>20627026.577604644</v>
      </c>
    </row>
    <row r="38" spans="1:96" ht="13.5">
      <c r="A38" s="1147">
        <f t="shared" si="1"/>
        <v>24</v>
      </c>
      <c r="B38" s="1233" t="str">
        <f t="shared" si="7"/>
        <v>W Increased ROE</v>
      </c>
      <c r="C38" s="1266">
        <f t="shared" si="6"/>
        <v>2009</v>
      </c>
      <c r="D38" s="1267">
        <f>+D37</f>
        <v>0</v>
      </c>
      <c r="E38" s="1267">
        <f>+E37</f>
        <v>0</v>
      </c>
      <c r="F38" s="1267">
        <f t="shared" si="5"/>
        <v>0</v>
      </c>
      <c r="G38" s="1244">
        <f>+D$25*(F38+D38)/2+E38</f>
        <v>0</v>
      </c>
      <c r="H38" s="1267">
        <f>H37</f>
        <v>115267201.65107693</v>
      </c>
      <c r="I38" s="1267">
        <f>I37</f>
        <v>4954232.13815247</v>
      </c>
      <c r="J38" s="1267">
        <f>+J37</f>
        <v>110312969.51292446</v>
      </c>
      <c r="K38" s="1244">
        <f>+H$25*(J38+H38)/2</f>
        <v>21424645.38287691</v>
      </c>
      <c r="L38" s="1267">
        <f>+L37</f>
        <v>0</v>
      </c>
      <c r="M38" s="1267">
        <f>+M37</f>
        <v>0</v>
      </c>
      <c r="N38" s="1267">
        <f t="shared" si="2"/>
        <v>0</v>
      </c>
      <c r="O38" s="1222">
        <f>+L$25*(N38+L38)/2</f>
        <v>0</v>
      </c>
      <c r="P38" s="1268">
        <f>+P37</f>
        <v>0</v>
      </c>
      <c r="Q38" s="1222">
        <f>+Q37</f>
        <v>0</v>
      </c>
      <c r="R38" s="1267">
        <f t="shared" si="3"/>
        <v>0</v>
      </c>
      <c r="S38" s="1244">
        <f>+P$25*(R38+P38)/2</f>
        <v>0</v>
      </c>
      <c r="T38" s="1267">
        <f>T37</f>
        <v>0</v>
      </c>
      <c r="U38" s="1267">
        <f>U37</f>
        <v>0</v>
      </c>
      <c r="V38" s="1267">
        <f>+V37</f>
        <v>0</v>
      </c>
      <c r="W38" s="1244">
        <f>+T$25*(V38+T38)/2</f>
        <v>0</v>
      </c>
      <c r="X38" s="1268">
        <v>0</v>
      </c>
      <c r="Y38" s="1508">
        <v>0</v>
      </c>
      <c r="Z38" s="1508">
        <v>0</v>
      </c>
      <c r="AA38" s="1244">
        <v>0</v>
      </c>
      <c r="AB38" s="1267">
        <v>0</v>
      </c>
      <c r="AC38" s="1267">
        <v>0</v>
      </c>
      <c r="AD38" s="1267">
        <v>0</v>
      </c>
      <c r="AE38" s="1244">
        <v>0</v>
      </c>
      <c r="AF38" s="1267">
        <v>0</v>
      </c>
      <c r="AG38" s="1267">
        <v>0</v>
      </c>
      <c r="AH38" s="1267">
        <v>0</v>
      </c>
      <c r="AI38" s="1244">
        <v>0</v>
      </c>
      <c r="AJ38" s="1267">
        <v>0</v>
      </c>
      <c r="AK38" s="1267">
        <v>0</v>
      </c>
      <c r="AL38" s="1267">
        <v>0</v>
      </c>
      <c r="AM38" s="1244">
        <v>0</v>
      </c>
      <c r="AN38" s="1267">
        <v>0</v>
      </c>
      <c r="AO38" s="1267">
        <v>0</v>
      </c>
      <c r="AP38" s="1267">
        <v>0</v>
      </c>
      <c r="AQ38" s="1244">
        <v>0</v>
      </c>
      <c r="AR38" s="1267">
        <v>0</v>
      </c>
      <c r="AS38" s="1267">
        <v>0</v>
      </c>
      <c r="AT38" s="1267">
        <v>0</v>
      </c>
      <c r="AU38" s="1244">
        <v>0</v>
      </c>
      <c r="AV38" s="1268">
        <v>0</v>
      </c>
      <c r="AW38" s="1508">
        <v>0</v>
      </c>
      <c r="AX38" s="1508">
        <v>0</v>
      </c>
      <c r="AY38" s="1244">
        <v>0</v>
      </c>
      <c r="AZ38" s="1267">
        <v>0</v>
      </c>
      <c r="BA38" s="1267">
        <v>0</v>
      </c>
      <c r="BB38" s="1267">
        <v>0</v>
      </c>
      <c r="BC38" s="1244">
        <v>0</v>
      </c>
      <c r="BD38" s="1267">
        <v>0</v>
      </c>
      <c r="BE38" s="1267">
        <v>0</v>
      </c>
      <c r="BF38" s="1267">
        <v>0</v>
      </c>
      <c r="BG38" s="1244">
        <v>0</v>
      </c>
      <c r="BH38" s="1411">
        <v>0</v>
      </c>
      <c r="BI38" s="1509">
        <v>0</v>
      </c>
      <c r="BJ38" s="1509">
        <v>0</v>
      </c>
      <c r="BK38" s="1244">
        <v>0</v>
      </c>
      <c r="BL38" s="1411">
        <v>0</v>
      </c>
      <c r="BM38" s="1509">
        <v>0</v>
      </c>
      <c r="BN38" s="1509">
        <v>0</v>
      </c>
      <c r="BO38" s="1244">
        <v>0</v>
      </c>
      <c r="BP38" s="1268">
        <v>0</v>
      </c>
      <c r="BQ38" s="1508">
        <v>0</v>
      </c>
      <c r="BR38" s="1508">
        <v>0</v>
      </c>
      <c r="BS38" s="1244">
        <v>0</v>
      </c>
      <c r="BT38" s="1484">
        <v>0</v>
      </c>
      <c r="BU38" s="1526">
        <v>0</v>
      </c>
      <c r="BV38" s="1526">
        <v>0</v>
      </c>
      <c r="BW38" s="1526">
        <v>0</v>
      </c>
      <c r="BX38" s="1244">
        <v>0</v>
      </c>
      <c r="BY38" s="1484">
        <v>0</v>
      </c>
      <c r="BZ38" s="1526">
        <v>0</v>
      </c>
      <c r="CA38" s="1526">
        <v>0</v>
      </c>
      <c r="CB38" s="1526">
        <v>0</v>
      </c>
      <c r="CC38" s="1244">
        <v>0</v>
      </c>
      <c r="CD38" s="1484">
        <v>0</v>
      </c>
      <c r="CE38" s="1415">
        <v>0</v>
      </c>
      <c r="CF38" s="1415">
        <v>0</v>
      </c>
      <c r="CG38" s="1415">
        <v>0</v>
      </c>
      <c r="CH38" s="1244">
        <v>0</v>
      </c>
      <c r="CI38" s="1484">
        <v>0</v>
      </c>
      <c r="CJ38" s="1526">
        <v>0</v>
      </c>
      <c r="CK38" s="1526">
        <v>0</v>
      </c>
      <c r="CL38" s="1526">
        <v>0</v>
      </c>
      <c r="CM38" s="1244">
        <v>0</v>
      </c>
      <c r="CN38" s="1269">
        <f t="shared" si="4"/>
        <v>21424645.38287691</v>
      </c>
      <c r="CO38" s="1271">
        <f>+CN38</f>
        <v>21424645.38287691</v>
      </c>
      <c r="CP38" s="1237"/>
      <c r="CR38" s="1181"/>
    </row>
    <row r="39" spans="1:94" ht="13.5">
      <c r="A39" s="1147">
        <f t="shared" si="1"/>
        <v>25</v>
      </c>
      <c r="B39" s="1233" t="str">
        <f t="shared" si="7"/>
        <v>FCR W base ROE</v>
      </c>
      <c r="C39" s="1266">
        <f t="shared" si="6"/>
        <v>2010</v>
      </c>
      <c r="D39" s="1267">
        <v>0</v>
      </c>
      <c r="E39" s="1267">
        <f>+D$27</f>
        <v>0</v>
      </c>
      <c r="F39" s="1267">
        <f t="shared" si="5"/>
        <v>0</v>
      </c>
      <c r="G39" s="1244">
        <f>+D$24*(D39+F39)/2+E39</f>
        <v>0</v>
      </c>
      <c r="H39" s="1267">
        <v>195470338.322</v>
      </c>
      <c r="I39" s="1267">
        <v>8478483.091957407</v>
      </c>
      <c r="J39" s="1267">
        <f>+H39-I39</f>
        <v>186991855.23004258</v>
      </c>
      <c r="K39" s="1244">
        <f>+H$24*(J39+H39)/2</f>
        <v>34972301.82342333</v>
      </c>
      <c r="L39" s="1267">
        <v>0</v>
      </c>
      <c r="M39" s="1267">
        <f>+L$27</f>
        <v>0</v>
      </c>
      <c r="N39" s="1267">
        <f t="shared" si="2"/>
        <v>0</v>
      </c>
      <c r="O39" s="1222">
        <f>+L$24*(L39+N39)/2</f>
        <v>0</v>
      </c>
      <c r="P39" s="1268">
        <v>0</v>
      </c>
      <c r="Q39" s="1222">
        <v>0</v>
      </c>
      <c r="R39" s="1267">
        <f t="shared" si="3"/>
        <v>0</v>
      </c>
      <c r="S39" s="1244">
        <f>+P$24*(R39+P39)/2</f>
        <v>0</v>
      </c>
      <c r="T39" s="1267">
        <v>0</v>
      </c>
      <c r="U39" s="1267">
        <v>0</v>
      </c>
      <c r="V39" s="1267">
        <f>+T39-U39</f>
        <v>0</v>
      </c>
      <c r="W39" s="1244">
        <f>+T$24*(V39+T39)/2</f>
        <v>0</v>
      </c>
      <c r="X39" s="1268">
        <v>0</v>
      </c>
      <c r="Y39" s="1508">
        <v>0</v>
      </c>
      <c r="Z39" s="1508">
        <v>0</v>
      </c>
      <c r="AA39" s="1244">
        <v>0</v>
      </c>
      <c r="AB39" s="1267">
        <v>0</v>
      </c>
      <c r="AC39" s="1267">
        <v>0</v>
      </c>
      <c r="AD39" s="1267">
        <v>0</v>
      </c>
      <c r="AE39" s="1244">
        <v>0</v>
      </c>
      <c r="AF39" s="1267">
        <v>0</v>
      </c>
      <c r="AG39" s="1267">
        <v>0</v>
      </c>
      <c r="AH39" s="1267">
        <v>0</v>
      </c>
      <c r="AI39" s="1244">
        <v>0</v>
      </c>
      <c r="AJ39" s="1267">
        <v>0</v>
      </c>
      <c r="AK39" s="1267">
        <v>0</v>
      </c>
      <c r="AL39" s="1267">
        <v>0</v>
      </c>
      <c r="AM39" s="1244">
        <v>0</v>
      </c>
      <c r="AN39" s="1267">
        <v>0</v>
      </c>
      <c r="AO39" s="1267">
        <v>0</v>
      </c>
      <c r="AP39" s="1267">
        <v>0</v>
      </c>
      <c r="AQ39" s="1244">
        <v>0</v>
      </c>
      <c r="AR39" s="1267">
        <v>0</v>
      </c>
      <c r="AS39" s="1267">
        <v>0</v>
      </c>
      <c r="AT39" s="1267">
        <v>0</v>
      </c>
      <c r="AU39" s="1244">
        <v>0</v>
      </c>
      <c r="AV39" s="1268">
        <v>0</v>
      </c>
      <c r="AW39" s="1508">
        <v>0</v>
      </c>
      <c r="AX39" s="1508">
        <v>0</v>
      </c>
      <c r="AY39" s="1244">
        <v>0</v>
      </c>
      <c r="AZ39" s="1267">
        <v>0</v>
      </c>
      <c r="BA39" s="1267">
        <v>0</v>
      </c>
      <c r="BB39" s="1267">
        <v>0</v>
      </c>
      <c r="BC39" s="1244">
        <v>0</v>
      </c>
      <c r="BD39" s="1267">
        <v>0</v>
      </c>
      <c r="BE39" s="1267">
        <v>0</v>
      </c>
      <c r="BF39" s="1267">
        <v>0</v>
      </c>
      <c r="BG39" s="1244">
        <v>0</v>
      </c>
      <c r="BH39" s="1411">
        <v>0</v>
      </c>
      <c r="BI39" s="1509">
        <v>0</v>
      </c>
      <c r="BJ39" s="1509">
        <v>0</v>
      </c>
      <c r="BK39" s="1244">
        <v>0</v>
      </c>
      <c r="BL39" s="1411">
        <v>0</v>
      </c>
      <c r="BM39" s="1509">
        <v>0</v>
      </c>
      <c r="BN39" s="1509">
        <v>0</v>
      </c>
      <c r="BO39" s="1244">
        <v>0</v>
      </c>
      <c r="BP39" s="1268">
        <v>0</v>
      </c>
      <c r="BQ39" s="1508">
        <v>0</v>
      </c>
      <c r="BR39" s="1508">
        <v>0</v>
      </c>
      <c r="BS39" s="1244">
        <v>0</v>
      </c>
      <c r="BT39" s="1484">
        <v>0</v>
      </c>
      <c r="BU39" s="1526">
        <v>0</v>
      </c>
      <c r="BV39" s="1526">
        <v>0</v>
      </c>
      <c r="BW39" s="1526">
        <v>0</v>
      </c>
      <c r="BX39" s="1244">
        <v>0</v>
      </c>
      <c r="BY39" s="1484">
        <v>0</v>
      </c>
      <c r="BZ39" s="1526">
        <v>0</v>
      </c>
      <c r="CA39" s="1526">
        <v>0</v>
      </c>
      <c r="CB39" s="1526">
        <v>0</v>
      </c>
      <c r="CC39" s="1244">
        <v>0</v>
      </c>
      <c r="CD39" s="1484">
        <v>0</v>
      </c>
      <c r="CE39" s="1415">
        <v>0</v>
      </c>
      <c r="CF39" s="1415">
        <v>0</v>
      </c>
      <c r="CG39" s="1415">
        <v>0</v>
      </c>
      <c r="CH39" s="1244">
        <v>0</v>
      </c>
      <c r="CI39" s="1484">
        <v>0</v>
      </c>
      <c r="CJ39" s="1526">
        <v>0</v>
      </c>
      <c r="CK39" s="1526">
        <v>0</v>
      </c>
      <c r="CL39" s="1526">
        <v>0</v>
      </c>
      <c r="CM39" s="1244">
        <v>0</v>
      </c>
      <c r="CN39" s="1269">
        <f t="shared" si="4"/>
        <v>34972301.82342333</v>
      </c>
      <c r="CO39" s="1232"/>
      <c r="CP39" s="1270">
        <f>+CN39</f>
        <v>34972301.82342333</v>
      </c>
    </row>
    <row r="40" spans="1:96" ht="13.5">
      <c r="A40" s="1147">
        <f t="shared" si="1"/>
        <v>26</v>
      </c>
      <c r="B40" s="1233" t="str">
        <f t="shared" si="7"/>
        <v>W Increased ROE</v>
      </c>
      <c r="C40" s="1266">
        <f t="shared" si="6"/>
        <v>2010</v>
      </c>
      <c r="D40" s="1267">
        <f>+D39</f>
        <v>0</v>
      </c>
      <c r="E40" s="1267">
        <f>+E39</f>
        <v>0</v>
      </c>
      <c r="F40" s="1267">
        <f t="shared" si="5"/>
        <v>0</v>
      </c>
      <c r="G40" s="1244">
        <f>+D$25*(F40+D40)/2+E40</f>
        <v>0</v>
      </c>
      <c r="H40" s="1267">
        <f>H39</f>
        <v>195470338.322</v>
      </c>
      <c r="I40" s="1267">
        <f>I39</f>
        <v>8478483.091957407</v>
      </c>
      <c r="J40" s="1267">
        <f>+J39</f>
        <v>186991855.23004258</v>
      </c>
      <c r="K40" s="1244">
        <f>+H$25*(J40+H40)/2</f>
        <v>36324632.732246906</v>
      </c>
      <c r="L40" s="1267">
        <f>+L39</f>
        <v>0</v>
      </c>
      <c r="M40" s="1267">
        <f>+M39</f>
        <v>0</v>
      </c>
      <c r="N40" s="1267">
        <f t="shared" si="2"/>
        <v>0</v>
      </c>
      <c r="O40" s="1222">
        <f>+L$25*(N40+L40)/2</f>
        <v>0</v>
      </c>
      <c r="P40" s="1268">
        <f>+P39</f>
        <v>0</v>
      </c>
      <c r="Q40" s="1222">
        <f>+Q39</f>
        <v>0</v>
      </c>
      <c r="R40" s="1267">
        <f t="shared" si="3"/>
        <v>0</v>
      </c>
      <c r="S40" s="1244">
        <f>+P$25*(R40+P40)/2</f>
        <v>0</v>
      </c>
      <c r="T40" s="1267">
        <f>T39</f>
        <v>0</v>
      </c>
      <c r="U40" s="1267">
        <f>U39</f>
        <v>0</v>
      </c>
      <c r="V40" s="1267">
        <f>+V39</f>
        <v>0</v>
      </c>
      <c r="W40" s="1244">
        <f>+T$25*(V40+T40)/2</f>
        <v>0</v>
      </c>
      <c r="X40" s="1268">
        <v>0</v>
      </c>
      <c r="Y40" s="1508">
        <v>0</v>
      </c>
      <c r="Z40" s="1508">
        <v>0</v>
      </c>
      <c r="AA40" s="1244">
        <v>0</v>
      </c>
      <c r="AB40" s="1267">
        <v>0</v>
      </c>
      <c r="AC40" s="1267">
        <v>0</v>
      </c>
      <c r="AD40" s="1267">
        <v>0</v>
      </c>
      <c r="AE40" s="1244">
        <v>0</v>
      </c>
      <c r="AF40" s="1267">
        <v>0</v>
      </c>
      <c r="AG40" s="1267">
        <v>0</v>
      </c>
      <c r="AH40" s="1267">
        <v>0</v>
      </c>
      <c r="AI40" s="1244">
        <v>0</v>
      </c>
      <c r="AJ40" s="1267">
        <v>0</v>
      </c>
      <c r="AK40" s="1267">
        <v>0</v>
      </c>
      <c r="AL40" s="1267">
        <v>0</v>
      </c>
      <c r="AM40" s="1244">
        <v>0</v>
      </c>
      <c r="AN40" s="1267">
        <v>0</v>
      </c>
      <c r="AO40" s="1267">
        <v>0</v>
      </c>
      <c r="AP40" s="1267">
        <v>0</v>
      </c>
      <c r="AQ40" s="1244">
        <v>0</v>
      </c>
      <c r="AR40" s="1267">
        <v>0</v>
      </c>
      <c r="AS40" s="1267">
        <v>0</v>
      </c>
      <c r="AT40" s="1267">
        <v>0</v>
      </c>
      <c r="AU40" s="1244">
        <v>0</v>
      </c>
      <c r="AV40" s="1268">
        <v>0</v>
      </c>
      <c r="AW40" s="1508">
        <v>0</v>
      </c>
      <c r="AX40" s="1508">
        <v>0</v>
      </c>
      <c r="AY40" s="1244">
        <v>0</v>
      </c>
      <c r="AZ40" s="1267">
        <v>0</v>
      </c>
      <c r="BA40" s="1267">
        <v>0</v>
      </c>
      <c r="BB40" s="1267">
        <v>0</v>
      </c>
      <c r="BC40" s="1244">
        <v>0</v>
      </c>
      <c r="BD40" s="1267">
        <v>0</v>
      </c>
      <c r="BE40" s="1267">
        <v>0</v>
      </c>
      <c r="BF40" s="1267">
        <v>0</v>
      </c>
      <c r="BG40" s="1244">
        <v>0</v>
      </c>
      <c r="BH40" s="1411">
        <v>0</v>
      </c>
      <c r="BI40" s="1509">
        <v>0</v>
      </c>
      <c r="BJ40" s="1509">
        <v>0</v>
      </c>
      <c r="BK40" s="1244">
        <v>0</v>
      </c>
      <c r="BL40" s="1411">
        <v>0</v>
      </c>
      <c r="BM40" s="1509">
        <v>0</v>
      </c>
      <c r="BN40" s="1509">
        <v>0</v>
      </c>
      <c r="BO40" s="1244">
        <v>0</v>
      </c>
      <c r="BP40" s="1268">
        <v>0</v>
      </c>
      <c r="BQ40" s="1508">
        <v>0</v>
      </c>
      <c r="BR40" s="1508">
        <v>0</v>
      </c>
      <c r="BS40" s="1244">
        <v>0</v>
      </c>
      <c r="BT40" s="1484">
        <v>0</v>
      </c>
      <c r="BU40" s="1526">
        <v>0</v>
      </c>
      <c r="BV40" s="1526">
        <v>0</v>
      </c>
      <c r="BW40" s="1526">
        <v>0</v>
      </c>
      <c r="BX40" s="1244">
        <v>0</v>
      </c>
      <c r="BY40" s="1484">
        <v>0</v>
      </c>
      <c r="BZ40" s="1526">
        <v>0</v>
      </c>
      <c r="CA40" s="1526">
        <v>0</v>
      </c>
      <c r="CB40" s="1526">
        <v>0</v>
      </c>
      <c r="CC40" s="1244">
        <v>0</v>
      </c>
      <c r="CD40" s="1484">
        <v>0</v>
      </c>
      <c r="CE40" s="1415">
        <v>0</v>
      </c>
      <c r="CF40" s="1415">
        <v>0</v>
      </c>
      <c r="CG40" s="1415">
        <v>0</v>
      </c>
      <c r="CH40" s="1244">
        <v>0</v>
      </c>
      <c r="CI40" s="1484">
        <v>0</v>
      </c>
      <c r="CJ40" s="1526">
        <v>0</v>
      </c>
      <c r="CK40" s="1526">
        <v>0</v>
      </c>
      <c r="CL40" s="1526">
        <v>0</v>
      </c>
      <c r="CM40" s="1244">
        <v>0</v>
      </c>
      <c r="CN40" s="1269">
        <f t="shared" si="4"/>
        <v>36324632.732246906</v>
      </c>
      <c r="CO40" s="1271">
        <f>+CN40</f>
        <v>36324632.732246906</v>
      </c>
      <c r="CP40" s="1237"/>
      <c r="CR40" s="1181"/>
    </row>
    <row r="41" spans="1:94" ht="13.5">
      <c r="A41" s="1147">
        <f t="shared" si="1"/>
        <v>27</v>
      </c>
      <c r="B41" s="1233" t="str">
        <f t="shared" si="7"/>
        <v>FCR W base ROE</v>
      </c>
      <c r="C41" s="1266">
        <f t="shared" si="6"/>
        <v>2011</v>
      </c>
      <c r="D41" s="1267">
        <v>0</v>
      </c>
      <c r="E41" s="1267">
        <f>+D$27</f>
        <v>0</v>
      </c>
      <c r="F41" s="1267">
        <f>+D41-E41</f>
        <v>0</v>
      </c>
      <c r="G41" s="1244">
        <f>+D$24*(D41+F41)/2+E41</f>
        <v>0</v>
      </c>
      <c r="H41" s="1267">
        <v>230878255.0586154</v>
      </c>
      <c r="I41" s="1267">
        <v>13522528.054738857</v>
      </c>
      <c r="J41" s="1267">
        <f>+H41-I41</f>
        <v>217355727.00387654</v>
      </c>
      <c r="K41" s="1244">
        <f>+H$24*(J41+H41)/2</f>
        <v>40986467.08742297</v>
      </c>
      <c r="L41" s="1267">
        <v>0</v>
      </c>
      <c r="M41" s="1267">
        <f>+L$27</f>
        <v>0</v>
      </c>
      <c r="N41" s="1267">
        <f t="shared" si="2"/>
        <v>0</v>
      </c>
      <c r="O41" s="1222">
        <f>+L$24*(L41+N41)/2</f>
        <v>0</v>
      </c>
      <c r="P41" s="1268">
        <v>24663027.30076923</v>
      </c>
      <c r="Q41" s="1222">
        <v>245995.4974447693</v>
      </c>
      <c r="R41" s="1267">
        <f t="shared" si="3"/>
        <v>24417031.80332446</v>
      </c>
      <c r="S41" s="1244">
        <f>+P$24*(R41+P41)/2</f>
        <v>4487875.323201742</v>
      </c>
      <c r="T41" s="1267">
        <v>1942823.746153846</v>
      </c>
      <c r="U41" s="1267">
        <v>16718.537508615384</v>
      </c>
      <c r="V41" s="1267">
        <f>+T41-U41</f>
        <v>1926105.2086452306</v>
      </c>
      <c r="W41" s="1244">
        <f>+T$24*(V41+T41)/2</f>
        <v>353774.4473094011</v>
      </c>
      <c r="X41" s="1268">
        <v>0</v>
      </c>
      <c r="Y41" s="1508">
        <v>0</v>
      </c>
      <c r="Z41" s="1508">
        <v>0</v>
      </c>
      <c r="AA41" s="1244">
        <v>0</v>
      </c>
      <c r="AB41" s="1268">
        <v>0</v>
      </c>
      <c r="AC41" s="1267">
        <v>0</v>
      </c>
      <c r="AD41" s="1267">
        <v>0</v>
      </c>
      <c r="AE41" s="1244">
        <v>0</v>
      </c>
      <c r="AF41" s="1268">
        <v>0</v>
      </c>
      <c r="AG41" s="1267">
        <v>0</v>
      </c>
      <c r="AH41" s="1267">
        <v>0</v>
      </c>
      <c r="AI41" s="1244">
        <v>0</v>
      </c>
      <c r="AJ41" s="1268">
        <v>0</v>
      </c>
      <c r="AK41" s="1267">
        <v>0</v>
      </c>
      <c r="AL41" s="1267">
        <v>0</v>
      </c>
      <c r="AM41" s="1244">
        <v>0</v>
      </c>
      <c r="AN41" s="1268">
        <v>0</v>
      </c>
      <c r="AO41" s="1267">
        <v>0</v>
      </c>
      <c r="AP41" s="1267">
        <v>0</v>
      </c>
      <c r="AQ41" s="1244">
        <v>0</v>
      </c>
      <c r="AR41" s="1268">
        <v>0</v>
      </c>
      <c r="AS41" s="1267">
        <v>0</v>
      </c>
      <c r="AT41" s="1267">
        <v>0</v>
      </c>
      <c r="AU41" s="1244">
        <v>0</v>
      </c>
      <c r="AV41" s="1268">
        <v>0</v>
      </c>
      <c r="AW41" s="1508">
        <v>0</v>
      </c>
      <c r="AX41" s="1508">
        <v>0</v>
      </c>
      <c r="AY41" s="1244">
        <v>0</v>
      </c>
      <c r="AZ41" s="1268">
        <v>0</v>
      </c>
      <c r="BA41" s="1267">
        <v>0</v>
      </c>
      <c r="BB41" s="1267">
        <v>0</v>
      </c>
      <c r="BC41" s="1244">
        <v>0</v>
      </c>
      <c r="BD41" s="1268">
        <v>0</v>
      </c>
      <c r="BE41" s="1267">
        <v>0</v>
      </c>
      <c r="BF41" s="1267">
        <v>0</v>
      </c>
      <c r="BG41" s="1244">
        <v>0</v>
      </c>
      <c r="BH41" s="1411">
        <v>0</v>
      </c>
      <c r="BI41" s="1509">
        <v>0</v>
      </c>
      <c r="BJ41" s="1509">
        <v>0</v>
      </c>
      <c r="BK41" s="1244">
        <v>0</v>
      </c>
      <c r="BL41" s="1411">
        <v>0</v>
      </c>
      <c r="BM41" s="1509">
        <v>0</v>
      </c>
      <c r="BN41" s="1509">
        <v>0</v>
      </c>
      <c r="BO41" s="1244">
        <v>0</v>
      </c>
      <c r="BP41" s="1268">
        <v>0</v>
      </c>
      <c r="BQ41" s="1508">
        <v>0</v>
      </c>
      <c r="BR41" s="1508">
        <v>0</v>
      </c>
      <c r="BS41" s="1244">
        <v>0</v>
      </c>
      <c r="BT41" s="1484">
        <v>0</v>
      </c>
      <c r="BU41" s="1526">
        <v>0</v>
      </c>
      <c r="BV41" s="1526">
        <v>0</v>
      </c>
      <c r="BW41" s="1526">
        <v>0</v>
      </c>
      <c r="BX41" s="1244">
        <v>0</v>
      </c>
      <c r="BY41" s="1484">
        <v>0</v>
      </c>
      <c r="BZ41" s="1526">
        <v>0</v>
      </c>
      <c r="CA41" s="1526">
        <v>0</v>
      </c>
      <c r="CB41" s="1526">
        <v>0</v>
      </c>
      <c r="CC41" s="1244">
        <v>0</v>
      </c>
      <c r="CD41" s="1484">
        <v>0</v>
      </c>
      <c r="CE41" s="1415">
        <v>0</v>
      </c>
      <c r="CF41" s="1415">
        <v>0</v>
      </c>
      <c r="CG41" s="1415">
        <v>0</v>
      </c>
      <c r="CH41" s="1244">
        <v>0</v>
      </c>
      <c r="CI41" s="1484">
        <v>0</v>
      </c>
      <c r="CJ41" s="1526">
        <v>0</v>
      </c>
      <c r="CK41" s="1526">
        <v>0</v>
      </c>
      <c r="CL41" s="1526">
        <v>0</v>
      </c>
      <c r="CM41" s="1244">
        <v>0</v>
      </c>
      <c r="CN41" s="1269">
        <f t="shared" si="4"/>
        <v>45828116.85793412</v>
      </c>
      <c r="CO41" s="1232"/>
      <c r="CP41" s="1270">
        <f>+CN41</f>
        <v>45828116.85793412</v>
      </c>
    </row>
    <row r="42" spans="1:96" ht="13.5">
      <c r="A42" s="1147">
        <f t="shared" si="1"/>
        <v>28</v>
      </c>
      <c r="B42" s="1233" t="str">
        <f t="shared" si="7"/>
        <v>W Increased ROE</v>
      </c>
      <c r="C42" s="1266">
        <f t="shared" si="6"/>
        <v>2011</v>
      </c>
      <c r="D42" s="1267">
        <f>+D41</f>
        <v>0</v>
      </c>
      <c r="E42" s="1267">
        <f>+E41</f>
        <v>0</v>
      </c>
      <c r="F42" s="1267">
        <f t="shared" si="5"/>
        <v>0</v>
      </c>
      <c r="G42" s="1244">
        <f>+D$25*(F42+D42)/2+E42</f>
        <v>0</v>
      </c>
      <c r="H42" s="1267">
        <f>H41</f>
        <v>230878255.0586154</v>
      </c>
      <c r="I42" s="1267">
        <f>I41</f>
        <v>13522528.054738857</v>
      </c>
      <c r="J42" s="1267">
        <f>J41</f>
        <v>217355727.00387654</v>
      </c>
      <c r="K42" s="1244">
        <f>+H$25*(J42+H42)/2</f>
        <v>42571357.5120126</v>
      </c>
      <c r="L42" s="1267">
        <f>+L41</f>
        <v>0</v>
      </c>
      <c r="M42" s="1267">
        <f>+M41</f>
        <v>0</v>
      </c>
      <c r="N42" s="1267">
        <f t="shared" si="2"/>
        <v>0</v>
      </c>
      <c r="O42" s="1222">
        <f>+L$25*(N42+L42)/2</f>
        <v>0</v>
      </c>
      <c r="P42" s="1268">
        <f>+P41</f>
        <v>24663027.30076923</v>
      </c>
      <c r="Q42" s="1222">
        <f>+Q41</f>
        <v>245995.4974447693</v>
      </c>
      <c r="R42" s="1267">
        <f t="shared" si="3"/>
        <v>24417031.80332446</v>
      </c>
      <c r="S42" s="1244">
        <f>+P$25*(R42+P42)/2</f>
        <v>4748185.291294009</v>
      </c>
      <c r="T42" s="1267">
        <f>T41</f>
        <v>1942823.746153846</v>
      </c>
      <c r="U42" s="1267">
        <f>U41</f>
        <v>16718.537508615384</v>
      </c>
      <c r="V42" s="1267">
        <f>+V41</f>
        <v>1926105.2086452306</v>
      </c>
      <c r="W42" s="1244">
        <f>+T$25*(V42+T42)/2</f>
        <v>353774.4473094011</v>
      </c>
      <c r="X42" s="1268">
        <v>0</v>
      </c>
      <c r="Y42" s="1508">
        <v>0</v>
      </c>
      <c r="Z42" s="1508">
        <v>0</v>
      </c>
      <c r="AA42" s="1244">
        <v>0</v>
      </c>
      <c r="AB42" s="1268">
        <v>0</v>
      </c>
      <c r="AC42" s="1267">
        <v>0</v>
      </c>
      <c r="AD42" s="1267">
        <v>0</v>
      </c>
      <c r="AE42" s="1244">
        <v>0</v>
      </c>
      <c r="AF42" s="1268">
        <v>0</v>
      </c>
      <c r="AG42" s="1267">
        <v>0</v>
      </c>
      <c r="AH42" s="1267">
        <v>0</v>
      </c>
      <c r="AI42" s="1244">
        <v>0</v>
      </c>
      <c r="AJ42" s="1268">
        <v>0</v>
      </c>
      <c r="AK42" s="1267">
        <v>0</v>
      </c>
      <c r="AL42" s="1267">
        <v>0</v>
      </c>
      <c r="AM42" s="1244">
        <v>0</v>
      </c>
      <c r="AN42" s="1268">
        <v>0</v>
      </c>
      <c r="AO42" s="1267">
        <v>0</v>
      </c>
      <c r="AP42" s="1267">
        <v>0</v>
      </c>
      <c r="AQ42" s="1244">
        <v>0</v>
      </c>
      <c r="AR42" s="1268">
        <v>0</v>
      </c>
      <c r="AS42" s="1267">
        <v>0</v>
      </c>
      <c r="AT42" s="1267">
        <v>0</v>
      </c>
      <c r="AU42" s="1244">
        <v>0</v>
      </c>
      <c r="AV42" s="1268">
        <v>0</v>
      </c>
      <c r="AW42" s="1508">
        <v>0</v>
      </c>
      <c r="AX42" s="1508">
        <v>0</v>
      </c>
      <c r="AY42" s="1244">
        <v>0</v>
      </c>
      <c r="AZ42" s="1268">
        <v>0</v>
      </c>
      <c r="BA42" s="1267">
        <v>0</v>
      </c>
      <c r="BB42" s="1267">
        <v>0</v>
      </c>
      <c r="BC42" s="1244">
        <v>0</v>
      </c>
      <c r="BD42" s="1268">
        <v>0</v>
      </c>
      <c r="BE42" s="1267">
        <v>0</v>
      </c>
      <c r="BF42" s="1267">
        <v>0</v>
      </c>
      <c r="BG42" s="1244">
        <v>0</v>
      </c>
      <c r="BH42" s="1411">
        <v>0</v>
      </c>
      <c r="BI42" s="1509">
        <v>0</v>
      </c>
      <c r="BJ42" s="1509">
        <v>0</v>
      </c>
      <c r="BK42" s="1244">
        <v>0</v>
      </c>
      <c r="BL42" s="1411">
        <v>0</v>
      </c>
      <c r="BM42" s="1509">
        <v>0</v>
      </c>
      <c r="BN42" s="1509">
        <v>0</v>
      </c>
      <c r="BO42" s="1244">
        <v>0</v>
      </c>
      <c r="BP42" s="1268">
        <v>0</v>
      </c>
      <c r="BQ42" s="1508">
        <v>0</v>
      </c>
      <c r="BR42" s="1508">
        <v>0</v>
      </c>
      <c r="BS42" s="1244">
        <v>0</v>
      </c>
      <c r="BT42" s="1484">
        <v>0</v>
      </c>
      <c r="BU42" s="1526">
        <v>0</v>
      </c>
      <c r="BV42" s="1526">
        <v>0</v>
      </c>
      <c r="BW42" s="1526">
        <v>0</v>
      </c>
      <c r="BX42" s="1244">
        <v>0</v>
      </c>
      <c r="BY42" s="1484">
        <v>0</v>
      </c>
      <c r="BZ42" s="1526">
        <v>0</v>
      </c>
      <c r="CA42" s="1526">
        <v>0</v>
      </c>
      <c r="CB42" s="1526">
        <v>0</v>
      </c>
      <c r="CC42" s="1244">
        <v>0</v>
      </c>
      <c r="CD42" s="1484">
        <v>0</v>
      </c>
      <c r="CE42" s="1415">
        <v>0</v>
      </c>
      <c r="CF42" s="1415">
        <v>0</v>
      </c>
      <c r="CG42" s="1415">
        <v>0</v>
      </c>
      <c r="CH42" s="1244">
        <v>0</v>
      </c>
      <c r="CI42" s="1484">
        <v>0</v>
      </c>
      <c r="CJ42" s="1526">
        <v>0</v>
      </c>
      <c r="CK42" s="1526">
        <v>0</v>
      </c>
      <c r="CL42" s="1526">
        <v>0</v>
      </c>
      <c r="CM42" s="1244">
        <v>0</v>
      </c>
      <c r="CN42" s="1269">
        <f t="shared" si="4"/>
        <v>47673317.250616014</v>
      </c>
      <c r="CO42" s="1271">
        <f>+CN42</f>
        <v>47673317.250616014</v>
      </c>
      <c r="CP42" s="1237"/>
      <c r="CR42" s="1181">
        <f>CO42-CP41</f>
        <v>1845200.3926818967</v>
      </c>
    </row>
    <row r="43" spans="1:94" ht="13.5">
      <c r="A43" s="1147">
        <f t="shared" si="1"/>
        <v>29</v>
      </c>
      <c r="B43" s="1233" t="str">
        <f t="shared" si="7"/>
        <v>FCR W base ROE</v>
      </c>
      <c r="C43" s="1266">
        <f t="shared" si="6"/>
        <v>2012</v>
      </c>
      <c r="D43" s="1267">
        <v>0</v>
      </c>
      <c r="E43" s="1267">
        <f>+D$27</f>
        <v>0</v>
      </c>
      <c r="F43" s="1267">
        <f>+D43-E43</f>
        <v>0</v>
      </c>
      <c r="G43" s="1244">
        <f>+D$24*(D43+F43)/2+E43</f>
        <v>0</v>
      </c>
      <c r="H43" s="1267">
        <v>230204308.15669236</v>
      </c>
      <c r="I43" s="1267">
        <v>18782179.647368785</v>
      </c>
      <c r="J43" s="1267">
        <f>+H43-I43</f>
        <v>211422128.50932357</v>
      </c>
      <c r="K43" s="1244">
        <f>+H$24*(J43+H43)/2</f>
        <v>40382273.84737639</v>
      </c>
      <c r="L43" s="1267">
        <v>0</v>
      </c>
      <c r="M43" s="1267">
        <f>+L$27</f>
        <v>0</v>
      </c>
      <c r="N43" s="1267">
        <f t="shared" si="2"/>
        <v>0</v>
      </c>
      <c r="O43" s="1222">
        <f>+L$24*(L43+N43)/2</f>
        <v>0</v>
      </c>
      <c r="P43" s="1268">
        <v>59983494.66507693</v>
      </c>
      <c r="Q43" s="1267">
        <v>1220207.2058427692</v>
      </c>
      <c r="R43" s="1267">
        <f t="shared" si="3"/>
        <v>58763287.459234156</v>
      </c>
      <c r="S43" s="1244">
        <f>+P$24*(R43+P43)/2</f>
        <v>10858192.97965881</v>
      </c>
      <c r="T43" s="1267">
        <v>3158241.7899999996</v>
      </c>
      <c r="U43" s="1267">
        <v>83991.70293599999</v>
      </c>
      <c r="V43" s="1267">
        <f>+T43-U43</f>
        <v>3074250.0870639994</v>
      </c>
      <c r="W43" s="1244">
        <f>+T$24*(V43+T43)/2</f>
        <v>569898.3865893071</v>
      </c>
      <c r="X43" s="1268">
        <v>0</v>
      </c>
      <c r="Y43" s="1508">
        <v>0</v>
      </c>
      <c r="Z43" s="1508">
        <v>0</v>
      </c>
      <c r="AA43" s="1244">
        <v>0</v>
      </c>
      <c r="AB43" s="1268">
        <v>0</v>
      </c>
      <c r="AC43" s="1267">
        <v>0</v>
      </c>
      <c r="AD43" s="1267">
        <v>0</v>
      </c>
      <c r="AE43" s="1244">
        <v>0</v>
      </c>
      <c r="AF43" s="1268">
        <v>0</v>
      </c>
      <c r="AG43" s="1267">
        <v>0</v>
      </c>
      <c r="AH43" s="1267">
        <v>0</v>
      </c>
      <c r="AI43" s="1244">
        <v>0</v>
      </c>
      <c r="AJ43" s="1268">
        <v>0</v>
      </c>
      <c r="AK43" s="1267">
        <v>0</v>
      </c>
      <c r="AL43" s="1267">
        <v>0</v>
      </c>
      <c r="AM43" s="1244">
        <v>0</v>
      </c>
      <c r="AN43" s="1268">
        <v>0</v>
      </c>
      <c r="AO43" s="1267">
        <v>0</v>
      </c>
      <c r="AP43" s="1267">
        <v>0</v>
      </c>
      <c r="AQ43" s="1244">
        <v>0</v>
      </c>
      <c r="AR43" s="1268">
        <v>0</v>
      </c>
      <c r="AS43" s="1267">
        <v>0</v>
      </c>
      <c r="AT43" s="1267">
        <v>0</v>
      </c>
      <c r="AU43" s="1244">
        <v>0</v>
      </c>
      <c r="AV43" s="1268">
        <v>0</v>
      </c>
      <c r="AW43" s="1508">
        <v>0</v>
      </c>
      <c r="AX43" s="1508">
        <v>0</v>
      </c>
      <c r="AY43" s="1244">
        <v>0</v>
      </c>
      <c r="AZ43" s="1268">
        <v>0</v>
      </c>
      <c r="BA43" s="1267">
        <v>0</v>
      </c>
      <c r="BB43" s="1267">
        <v>0</v>
      </c>
      <c r="BC43" s="1244">
        <v>0</v>
      </c>
      <c r="BD43" s="1268">
        <v>0</v>
      </c>
      <c r="BE43" s="1267">
        <v>0</v>
      </c>
      <c r="BF43" s="1267">
        <v>0</v>
      </c>
      <c r="BG43" s="1244">
        <v>0</v>
      </c>
      <c r="BH43" s="1411">
        <v>0</v>
      </c>
      <c r="BI43" s="1509">
        <v>0</v>
      </c>
      <c r="BJ43" s="1509">
        <v>0</v>
      </c>
      <c r="BK43" s="1244">
        <v>0</v>
      </c>
      <c r="BL43" s="1411">
        <v>0</v>
      </c>
      <c r="BM43" s="1509">
        <v>0</v>
      </c>
      <c r="BN43" s="1509">
        <v>0</v>
      </c>
      <c r="BO43" s="1244">
        <v>0</v>
      </c>
      <c r="BP43" s="1268">
        <v>0</v>
      </c>
      <c r="BQ43" s="1508">
        <v>0</v>
      </c>
      <c r="BR43" s="1508">
        <v>0</v>
      </c>
      <c r="BS43" s="1244">
        <v>0</v>
      </c>
      <c r="BT43" s="1484">
        <v>0</v>
      </c>
      <c r="BU43" s="1526">
        <v>0</v>
      </c>
      <c r="BV43" s="1526">
        <v>0</v>
      </c>
      <c r="BW43" s="1526">
        <v>0</v>
      </c>
      <c r="BX43" s="1244">
        <v>0</v>
      </c>
      <c r="BY43" s="1484">
        <v>0</v>
      </c>
      <c r="BZ43" s="1526">
        <v>0</v>
      </c>
      <c r="CA43" s="1526">
        <v>0</v>
      </c>
      <c r="CB43" s="1526">
        <v>0</v>
      </c>
      <c r="CC43" s="1244">
        <v>0</v>
      </c>
      <c r="CD43" s="1484">
        <v>0</v>
      </c>
      <c r="CE43" s="1415">
        <v>0</v>
      </c>
      <c r="CF43" s="1415">
        <v>0</v>
      </c>
      <c r="CG43" s="1415">
        <v>0</v>
      </c>
      <c r="CH43" s="1244">
        <v>0</v>
      </c>
      <c r="CI43" s="1484">
        <v>0</v>
      </c>
      <c r="CJ43" s="1526">
        <v>0</v>
      </c>
      <c r="CK43" s="1526">
        <v>0</v>
      </c>
      <c r="CL43" s="1526">
        <v>0</v>
      </c>
      <c r="CM43" s="1244">
        <v>0</v>
      </c>
      <c r="CN43" s="1269">
        <f t="shared" si="4"/>
        <v>51810365.21362451</v>
      </c>
      <c r="CO43" s="1232"/>
      <c r="CP43" s="1270">
        <f>+CN43</f>
        <v>51810365.21362451</v>
      </c>
    </row>
    <row r="44" spans="1:96" ht="13.5">
      <c r="A44" s="1147">
        <f t="shared" si="1"/>
        <v>30</v>
      </c>
      <c r="B44" s="1233" t="str">
        <f t="shared" si="7"/>
        <v>W Increased ROE</v>
      </c>
      <c r="C44" s="1266">
        <f t="shared" si="6"/>
        <v>2012</v>
      </c>
      <c r="D44" s="1267">
        <f>+D43</f>
        <v>0</v>
      </c>
      <c r="E44" s="1267">
        <f>+E43</f>
        <v>0</v>
      </c>
      <c r="F44" s="1267">
        <f>+D44-E44</f>
        <v>0</v>
      </c>
      <c r="G44" s="1244">
        <f>+D$25*(F44+D44)/2+E44</f>
        <v>0</v>
      </c>
      <c r="H44" s="1267">
        <f>H43</f>
        <v>230204308.15669236</v>
      </c>
      <c r="I44" s="1267">
        <f>I43</f>
        <v>18782179.647368785</v>
      </c>
      <c r="J44" s="1267">
        <f>J43</f>
        <v>211422128.50932357</v>
      </c>
      <c r="K44" s="1244">
        <f>+H$25*(J44+H44)/2</f>
        <v>41943800.948684</v>
      </c>
      <c r="L44" s="1267">
        <f>+L43</f>
        <v>0</v>
      </c>
      <c r="M44" s="1267">
        <f>+M43</f>
        <v>0</v>
      </c>
      <c r="N44" s="1267">
        <f t="shared" si="2"/>
        <v>0</v>
      </c>
      <c r="O44" s="1222">
        <f>+L$25*(N44+L44)/2</f>
        <v>0</v>
      </c>
      <c r="P44" s="1268">
        <f>+P43</f>
        <v>59983494.66507693</v>
      </c>
      <c r="Q44" s="1222">
        <f>+Q43</f>
        <v>1220207.2058427692</v>
      </c>
      <c r="R44" s="1267">
        <f t="shared" si="3"/>
        <v>58763287.459234156</v>
      </c>
      <c r="S44" s="1244">
        <f>+P$25*(R44+P44)/2</f>
        <v>11488000.107646978</v>
      </c>
      <c r="T44" s="1267">
        <f>T43</f>
        <v>3158241.7899999996</v>
      </c>
      <c r="U44" s="1267">
        <f>U43</f>
        <v>83991.70293599999</v>
      </c>
      <c r="V44" s="1267">
        <f>+V43</f>
        <v>3074250.0870639994</v>
      </c>
      <c r="W44" s="1244">
        <f>+T$25*(V44+T44)/2</f>
        <v>569898.3865893071</v>
      </c>
      <c r="X44" s="1268">
        <v>0</v>
      </c>
      <c r="Y44" s="1508">
        <v>0</v>
      </c>
      <c r="Z44" s="1508">
        <v>0</v>
      </c>
      <c r="AA44" s="1244">
        <v>0</v>
      </c>
      <c r="AB44" s="1268">
        <v>0</v>
      </c>
      <c r="AC44" s="1267">
        <v>0</v>
      </c>
      <c r="AD44" s="1267">
        <v>0</v>
      </c>
      <c r="AE44" s="1244">
        <v>0</v>
      </c>
      <c r="AF44" s="1268">
        <v>0</v>
      </c>
      <c r="AG44" s="1267">
        <v>0</v>
      </c>
      <c r="AH44" s="1267">
        <v>0</v>
      </c>
      <c r="AI44" s="1244">
        <v>0</v>
      </c>
      <c r="AJ44" s="1268">
        <v>0</v>
      </c>
      <c r="AK44" s="1267">
        <v>0</v>
      </c>
      <c r="AL44" s="1267">
        <v>0</v>
      </c>
      <c r="AM44" s="1244">
        <v>0</v>
      </c>
      <c r="AN44" s="1268">
        <v>0</v>
      </c>
      <c r="AO44" s="1267">
        <v>0</v>
      </c>
      <c r="AP44" s="1267">
        <v>0</v>
      </c>
      <c r="AQ44" s="1244">
        <v>0</v>
      </c>
      <c r="AR44" s="1268">
        <v>0</v>
      </c>
      <c r="AS44" s="1267">
        <v>0</v>
      </c>
      <c r="AT44" s="1267">
        <v>0</v>
      </c>
      <c r="AU44" s="1244">
        <v>0</v>
      </c>
      <c r="AV44" s="1268">
        <v>0</v>
      </c>
      <c r="AW44" s="1508">
        <v>0</v>
      </c>
      <c r="AX44" s="1508">
        <v>0</v>
      </c>
      <c r="AY44" s="1244">
        <v>0</v>
      </c>
      <c r="AZ44" s="1268">
        <v>0</v>
      </c>
      <c r="BA44" s="1267">
        <v>0</v>
      </c>
      <c r="BB44" s="1267">
        <v>0</v>
      </c>
      <c r="BC44" s="1244">
        <v>0</v>
      </c>
      <c r="BD44" s="1268">
        <v>0</v>
      </c>
      <c r="BE44" s="1267">
        <v>0</v>
      </c>
      <c r="BF44" s="1267">
        <v>0</v>
      </c>
      <c r="BG44" s="1244">
        <v>0</v>
      </c>
      <c r="BH44" s="1411">
        <v>0</v>
      </c>
      <c r="BI44" s="1509">
        <v>0</v>
      </c>
      <c r="BJ44" s="1509">
        <v>0</v>
      </c>
      <c r="BK44" s="1244">
        <v>0</v>
      </c>
      <c r="BL44" s="1411">
        <v>0</v>
      </c>
      <c r="BM44" s="1509">
        <v>0</v>
      </c>
      <c r="BN44" s="1509">
        <v>0</v>
      </c>
      <c r="BO44" s="1244">
        <v>0</v>
      </c>
      <c r="BP44" s="1268">
        <v>0</v>
      </c>
      <c r="BQ44" s="1508">
        <v>0</v>
      </c>
      <c r="BR44" s="1508">
        <v>0</v>
      </c>
      <c r="BS44" s="1244">
        <v>0</v>
      </c>
      <c r="BT44" s="1484">
        <v>0</v>
      </c>
      <c r="BU44" s="1526">
        <v>0</v>
      </c>
      <c r="BV44" s="1526">
        <v>0</v>
      </c>
      <c r="BW44" s="1526">
        <v>0</v>
      </c>
      <c r="BX44" s="1244">
        <v>0</v>
      </c>
      <c r="BY44" s="1484">
        <v>0</v>
      </c>
      <c r="BZ44" s="1526">
        <v>0</v>
      </c>
      <c r="CA44" s="1526">
        <v>0</v>
      </c>
      <c r="CB44" s="1526">
        <v>0</v>
      </c>
      <c r="CC44" s="1244">
        <v>0</v>
      </c>
      <c r="CD44" s="1484">
        <v>0</v>
      </c>
      <c r="CE44" s="1415">
        <v>0</v>
      </c>
      <c r="CF44" s="1415">
        <v>0</v>
      </c>
      <c r="CG44" s="1415">
        <v>0</v>
      </c>
      <c r="CH44" s="1244">
        <v>0</v>
      </c>
      <c r="CI44" s="1484">
        <v>0</v>
      </c>
      <c r="CJ44" s="1526">
        <v>0</v>
      </c>
      <c r="CK44" s="1526">
        <v>0</v>
      </c>
      <c r="CL44" s="1526">
        <v>0</v>
      </c>
      <c r="CM44" s="1244">
        <v>0</v>
      </c>
      <c r="CN44" s="1269">
        <f t="shared" si="4"/>
        <v>54001699.44292028</v>
      </c>
      <c r="CO44" s="1271">
        <f>+CN44</f>
        <v>54001699.44292028</v>
      </c>
      <c r="CP44" s="1237"/>
      <c r="CR44" s="1181">
        <f>CO44-CP43</f>
        <v>2191334.2292957753</v>
      </c>
    </row>
    <row r="45" spans="1:94" ht="13.5">
      <c r="A45" s="1147">
        <f t="shared" si="1"/>
        <v>31</v>
      </c>
      <c r="B45" s="1233" t="str">
        <f t="shared" si="7"/>
        <v>FCR W base ROE</v>
      </c>
      <c r="C45" s="1266">
        <f t="shared" si="6"/>
        <v>2013</v>
      </c>
      <c r="D45" s="1267">
        <v>0</v>
      </c>
      <c r="E45" s="1267">
        <f>+D$27</f>
        <v>0</v>
      </c>
      <c r="F45" s="1267">
        <f>+D45-E45</f>
        <v>0</v>
      </c>
      <c r="G45" s="1244">
        <f>+D$24*(D45+F45)/2+E45</f>
        <v>0</v>
      </c>
      <c r="H45" s="1267">
        <v>250007863</v>
      </c>
      <c r="I45" s="1267">
        <v>24198376</v>
      </c>
      <c r="J45" s="1267">
        <f>+H45-I45</f>
        <v>225809487</v>
      </c>
      <c r="K45" s="1244">
        <f>+H$24*(J45+H45)/2</f>
        <v>43508687.283510946</v>
      </c>
      <c r="L45" s="1267">
        <v>0</v>
      </c>
      <c r="M45" s="1267">
        <f>+L$27</f>
        <v>0</v>
      </c>
      <c r="N45" s="1267">
        <f t="shared" si="2"/>
        <v>0</v>
      </c>
      <c r="O45" s="1222">
        <f>+L$24*(L45+N45)/2</f>
        <v>0</v>
      </c>
      <c r="P45" s="1268">
        <v>86857916</v>
      </c>
      <c r="Q45" s="1267">
        <v>3021138</v>
      </c>
      <c r="R45" s="1267">
        <f t="shared" si="3"/>
        <v>83836778</v>
      </c>
      <c r="S45" s="1244">
        <f>+P$24*(R45+P45)/2</f>
        <v>15608304.451698938</v>
      </c>
      <c r="T45" s="1267">
        <v>3158242</v>
      </c>
      <c r="U45" s="1267">
        <v>156000</v>
      </c>
      <c r="V45" s="1267">
        <f>+T45-U45</f>
        <v>3002242</v>
      </c>
      <c r="W45" s="1244">
        <f>+T$24*(V45+T45)/2</f>
        <v>563313.9940590074</v>
      </c>
      <c r="X45" s="1268">
        <v>0</v>
      </c>
      <c r="Y45" s="1508">
        <v>0</v>
      </c>
      <c r="Z45" s="1508">
        <v>0</v>
      </c>
      <c r="AA45" s="1244">
        <v>0</v>
      </c>
      <c r="AB45" s="1268">
        <v>0</v>
      </c>
      <c r="AC45" s="1267">
        <v>0</v>
      </c>
      <c r="AD45" s="1267">
        <v>0</v>
      </c>
      <c r="AE45" s="1244">
        <v>0</v>
      </c>
      <c r="AF45" s="1268">
        <v>0</v>
      </c>
      <c r="AG45" s="1267">
        <v>0</v>
      </c>
      <c r="AH45" s="1267">
        <v>0</v>
      </c>
      <c r="AI45" s="1244">
        <v>0</v>
      </c>
      <c r="AJ45" s="1268">
        <v>0</v>
      </c>
      <c r="AK45" s="1267">
        <v>0</v>
      </c>
      <c r="AL45" s="1267">
        <v>0</v>
      </c>
      <c r="AM45" s="1244">
        <v>0</v>
      </c>
      <c r="AN45" s="1268">
        <v>0</v>
      </c>
      <c r="AO45" s="1267">
        <v>0</v>
      </c>
      <c r="AP45" s="1267">
        <v>0</v>
      </c>
      <c r="AQ45" s="1244">
        <v>0</v>
      </c>
      <c r="AR45" s="1268">
        <v>0</v>
      </c>
      <c r="AS45" s="1267">
        <v>0</v>
      </c>
      <c r="AT45" s="1267">
        <v>0</v>
      </c>
      <c r="AU45" s="1244">
        <v>0</v>
      </c>
      <c r="AV45" s="1268">
        <v>0</v>
      </c>
      <c r="AW45" s="1508">
        <v>0</v>
      </c>
      <c r="AX45" s="1508">
        <v>0</v>
      </c>
      <c r="AY45" s="1244">
        <v>0</v>
      </c>
      <c r="AZ45" s="1268">
        <v>0</v>
      </c>
      <c r="BA45" s="1267">
        <v>0</v>
      </c>
      <c r="BB45" s="1267">
        <v>0</v>
      </c>
      <c r="BC45" s="1244">
        <v>0</v>
      </c>
      <c r="BD45" s="1268">
        <v>0</v>
      </c>
      <c r="BE45" s="1267">
        <v>0</v>
      </c>
      <c r="BF45" s="1267">
        <v>0</v>
      </c>
      <c r="BG45" s="1244">
        <v>0</v>
      </c>
      <c r="BH45" s="1411">
        <v>0</v>
      </c>
      <c r="BI45" s="1509">
        <v>0</v>
      </c>
      <c r="BJ45" s="1509">
        <v>0</v>
      </c>
      <c r="BK45" s="1244">
        <v>0</v>
      </c>
      <c r="BL45" s="1411">
        <v>0</v>
      </c>
      <c r="BM45" s="1509">
        <v>0</v>
      </c>
      <c r="BN45" s="1509">
        <v>0</v>
      </c>
      <c r="BO45" s="1244">
        <v>0</v>
      </c>
      <c r="BP45" s="1268">
        <v>0</v>
      </c>
      <c r="BQ45" s="1508">
        <v>0</v>
      </c>
      <c r="BR45" s="1508">
        <v>0</v>
      </c>
      <c r="BS45" s="1244">
        <v>0</v>
      </c>
      <c r="BT45" s="1484">
        <v>0</v>
      </c>
      <c r="BU45" s="1526">
        <v>0</v>
      </c>
      <c r="BV45" s="1526">
        <v>0</v>
      </c>
      <c r="BW45" s="1526">
        <v>0</v>
      </c>
      <c r="BX45" s="1244">
        <v>0</v>
      </c>
      <c r="BY45" s="1484">
        <v>0</v>
      </c>
      <c r="BZ45" s="1526">
        <v>0</v>
      </c>
      <c r="CA45" s="1526">
        <v>0</v>
      </c>
      <c r="CB45" s="1526">
        <v>0</v>
      </c>
      <c r="CC45" s="1244">
        <v>0</v>
      </c>
      <c r="CD45" s="1484">
        <v>0</v>
      </c>
      <c r="CE45" s="1415">
        <v>0</v>
      </c>
      <c r="CF45" s="1415">
        <v>0</v>
      </c>
      <c r="CG45" s="1415">
        <v>0</v>
      </c>
      <c r="CH45" s="1244">
        <v>0</v>
      </c>
      <c r="CI45" s="1484">
        <v>0</v>
      </c>
      <c r="CJ45" s="1526">
        <v>0</v>
      </c>
      <c r="CK45" s="1526">
        <v>0</v>
      </c>
      <c r="CL45" s="1526">
        <v>0</v>
      </c>
      <c r="CM45" s="1244">
        <v>0</v>
      </c>
      <c r="CN45" s="1269">
        <f t="shared" si="4"/>
        <v>59680305.729268886</v>
      </c>
      <c r="CO45" s="1232"/>
      <c r="CP45" s="1270">
        <f>+CN45</f>
        <v>59680305.729268886</v>
      </c>
    </row>
    <row r="46" spans="1:96" ht="13.5">
      <c r="A46" s="1147">
        <f t="shared" si="1"/>
        <v>32</v>
      </c>
      <c r="B46" s="1233" t="str">
        <f t="shared" si="7"/>
        <v>W Increased ROE</v>
      </c>
      <c r="C46" s="1266">
        <f t="shared" si="6"/>
        <v>2013</v>
      </c>
      <c r="D46" s="1267">
        <f>+D45</f>
        <v>0</v>
      </c>
      <c r="E46" s="1267">
        <f>+E45</f>
        <v>0</v>
      </c>
      <c r="F46" s="1267">
        <f t="shared" si="5"/>
        <v>0</v>
      </c>
      <c r="G46" s="1244">
        <f>+D$25*(F46+D46)/2+E46</f>
        <v>0</v>
      </c>
      <c r="H46" s="1267">
        <f>H45</f>
        <v>250007863</v>
      </c>
      <c r="I46" s="1267">
        <f>I45</f>
        <v>24198376</v>
      </c>
      <c r="J46" s="1267">
        <f>J45</f>
        <v>225809487</v>
      </c>
      <c r="K46" s="1244">
        <f>+H$25*(J46+H46)/2</f>
        <v>45191108.50110501</v>
      </c>
      <c r="L46" s="1267">
        <f>+L45</f>
        <v>0</v>
      </c>
      <c r="M46" s="1267">
        <f>+M45</f>
        <v>0</v>
      </c>
      <c r="N46" s="1267">
        <f t="shared" si="2"/>
        <v>0</v>
      </c>
      <c r="O46" s="1222">
        <f>+L$25*(N46+L46)/2</f>
        <v>0</v>
      </c>
      <c r="P46" s="1268">
        <f>+P45</f>
        <v>86857916</v>
      </c>
      <c r="Q46" s="1222">
        <f>+Q45</f>
        <v>3021138</v>
      </c>
      <c r="R46" s="1267">
        <f t="shared" si="3"/>
        <v>83836778</v>
      </c>
      <c r="S46" s="1244">
        <f>+P$25*(R46+P46)/2</f>
        <v>16513632.015678035</v>
      </c>
      <c r="T46" s="1267">
        <f>T45</f>
        <v>3158242</v>
      </c>
      <c r="U46" s="1267">
        <f>U45</f>
        <v>156000</v>
      </c>
      <c r="V46" s="1267">
        <f>+V45</f>
        <v>3002242</v>
      </c>
      <c r="W46" s="1244">
        <f>+T$25*(V46+T46)/2</f>
        <v>563313.9940590074</v>
      </c>
      <c r="X46" s="1268">
        <v>0</v>
      </c>
      <c r="Y46" s="1508">
        <v>0</v>
      </c>
      <c r="Z46" s="1508">
        <v>0</v>
      </c>
      <c r="AA46" s="1244">
        <v>0</v>
      </c>
      <c r="AB46" s="1268">
        <v>0</v>
      </c>
      <c r="AC46" s="1267">
        <v>0</v>
      </c>
      <c r="AD46" s="1267">
        <v>0</v>
      </c>
      <c r="AE46" s="1244">
        <v>0</v>
      </c>
      <c r="AF46" s="1268">
        <v>0</v>
      </c>
      <c r="AG46" s="1267">
        <v>0</v>
      </c>
      <c r="AH46" s="1267">
        <v>0</v>
      </c>
      <c r="AI46" s="1244">
        <v>0</v>
      </c>
      <c r="AJ46" s="1268">
        <v>0</v>
      </c>
      <c r="AK46" s="1267">
        <v>0</v>
      </c>
      <c r="AL46" s="1267">
        <v>0</v>
      </c>
      <c r="AM46" s="1244">
        <v>0</v>
      </c>
      <c r="AN46" s="1268">
        <v>0</v>
      </c>
      <c r="AO46" s="1267">
        <v>0</v>
      </c>
      <c r="AP46" s="1267">
        <v>0</v>
      </c>
      <c r="AQ46" s="1244">
        <v>0</v>
      </c>
      <c r="AR46" s="1268">
        <v>0</v>
      </c>
      <c r="AS46" s="1267">
        <v>0</v>
      </c>
      <c r="AT46" s="1267">
        <v>0</v>
      </c>
      <c r="AU46" s="1244">
        <v>0</v>
      </c>
      <c r="AV46" s="1268">
        <v>0</v>
      </c>
      <c r="AW46" s="1508">
        <v>0</v>
      </c>
      <c r="AX46" s="1508">
        <v>0</v>
      </c>
      <c r="AY46" s="1244">
        <v>0</v>
      </c>
      <c r="AZ46" s="1268">
        <v>0</v>
      </c>
      <c r="BA46" s="1267">
        <v>0</v>
      </c>
      <c r="BB46" s="1267">
        <v>0</v>
      </c>
      <c r="BC46" s="1244">
        <v>0</v>
      </c>
      <c r="BD46" s="1268">
        <v>0</v>
      </c>
      <c r="BE46" s="1267">
        <v>0</v>
      </c>
      <c r="BF46" s="1267">
        <v>0</v>
      </c>
      <c r="BG46" s="1244">
        <v>0</v>
      </c>
      <c r="BH46" s="1411">
        <v>0</v>
      </c>
      <c r="BI46" s="1509">
        <v>0</v>
      </c>
      <c r="BJ46" s="1509">
        <v>0</v>
      </c>
      <c r="BK46" s="1244">
        <v>0</v>
      </c>
      <c r="BL46" s="1411">
        <v>0</v>
      </c>
      <c r="BM46" s="1509">
        <v>0</v>
      </c>
      <c r="BN46" s="1509">
        <v>0</v>
      </c>
      <c r="BO46" s="1244">
        <v>0</v>
      </c>
      <c r="BP46" s="1268">
        <v>0</v>
      </c>
      <c r="BQ46" s="1508">
        <v>0</v>
      </c>
      <c r="BR46" s="1508">
        <v>0</v>
      </c>
      <c r="BS46" s="1244">
        <v>0</v>
      </c>
      <c r="BT46" s="1484">
        <v>0</v>
      </c>
      <c r="BU46" s="1526">
        <v>0</v>
      </c>
      <c r="BV46" s="1526">
        <v>0</v>
      </c>
      <c r="BW46" s="1526">
        <v>0</v>
      </c>
      <c r="BX46" s="1244">
        <v>0</v>
      </c>
      <c r="BY46" s="1484">
        <v>0</v>
      </c>
      <c r="BZ46" s="1526">
        <v>0</v>
      </c>
      <c r="CA46" s="1526">
        <v>0</v>
      </c>
      <c r="CB46" s="1526">
        <v>0</v>
      </c>
      <c r="CC46" s="1244">
        <v>0</v>
      </c>
      <c r="CD46" s="1484">
        <v>0</v>
      </c>
      <c r="CE46" s="1415">
        <v>0</v>
      </c>
      <c r="CF46" s="1415">
        <v>0</v>
      </c>
      <c r="CG46" s="1415">
        <v>0</v>
      </c>
      <c r="CH46" s="1244">
        <v>0</v>
      </c>
      <c r="CI46" s="1484">
        <v>0</v>
      </c>
      <c r="CJ46" s="1526">
        <v>0</v>
      </c>
      <c r="CK46" s="1526">
        <v>0</v>
      </c>
      <c r="CL46" s="1526">
        <v>0</v>
      </c>
      <c r="CM46" s="1244">
        <v>0</v>
      </c>
      <c r="CN46" s="1269">
        <f t="shared" si="4"/>
        <v>62268054.51084205</v>
      </c>
      <c r="CO46" s="1271">
        <f>+CN46</f>
        <v>62268054.51084205</v>
      </c>
      <c r="CP46" s="1237"/>
      <c r="CR46" s="1181">
        <f>CO46-CP45</f>
        <v>2587748.7815731615</v>
      </c>
    </row>
    <row r="47" spans="1:94" ht="13.5">
      <c r="A47" s="1147">
        <f t="shared" si="1"/>
        <v>33</v>
      </c>
      <c r="B47" s="1233" t="str">
        <f t="shared" si="7"/>
        <v>FCR W base ROE</v>
      </c>
      <c r="C47" s="1266">
        <f t="shared" si="6"/>
        <v>2014</v>
      </c>
      <c r="D47" s="1267">
        <v>0</v>
      </c>
      <c r="E47" s="1267">
        <f>+D$27</f>
        <v>0</v>
      </c>
      <c r="F47" s="1267">
        <f>+D47-E47</f>
        <v>0</v>
      </c>
      <c r="G47" s="1244">
        <f>+D$24*(D47+F47)/2+E47</f>
        <v>0</v>
      </c>
      <c r="H47" s="1267">
        <v>262865544.27515393</v>
      </c>
      <c r="I47" s="1267">
        <v>30309924.887097068</v>
      </c>
      <c r="J47" s="1267">
        <f>+H47-I47</f>
        <v>232555619.38805687</v>
      </c>
      <c r="K47" s="1244">
        <f>+H$24*(J47+H47)/2</f>
        <v>45301257.89539985</v>
      </c>
      <c r="L47" s="1267">
        <f>1700213.7846154*0</f>
        <v>0</v>
      </c>
      <c r="M47" s="1267">
        <f>+L$27</f>
        <v>0</v>
      </c>
      <c r="N47" s="1267">
        <f>+L47-M47</f>
        <v>0</v>
      </c>
      <c r="O47" s="1222">
        <f>+L$24*(N47+L47)/2</f>
        <v>0</v>
      </c>
      <c r="P47" s="1268">
        <v>92325263.63438462</v>
      </c>
      <c r="Q47" s="1222">
        <v>5176295.354844246</v>
      </c>
      <c r="R47" s="1267">
        <f t="shared" si="3"/>
        <v>87148968.27954037</v>
      </c>
      <c r="S47" s="1244">
        <f>+P$24*(R47+P47)/2</f>
        <v>16411104.453823052</v>
      </c>
      <c r="T47" s="1267">
        <v>3158242</v>
      </c>
      <c r="U47" s="1267">
        <v>230048.24116938468</v>
      </c>
      <c r="V47" s="1267">
        <f>T47-U47</f>
        <v>2928193.7588306153</v>
      </c>
      <c r="W47" s="1244">
        <f>+T$24*(V47+T47)/2</f>
        <v>556543.0308544652</v>
      </c>
      <c r="X47" s="1268">
        <v>0</v>
      </c>
      <c r="Y47" s="1508">
        <v>0</v>
      </c>
      <c r="Z47" s="1508">
        <v>0</v>
      </c>
      <c r="AA47" s="1244">
        <v>0</v>
      </c>
      <c r="AB47" s="1268">
        <v>0</v>
      </c>
      <c r="AC47" s="1267">
        <v>0</v>
      </c>
      <c r="AD47" s="1267">
        <v>0</v>
      </c>
      <c r="AE47" s="1244">
        <v>0</v>
      </c>
      <c r="AF47" s="1268">
        <v>0</v>
      </c>
      <c r="AG47" s="1267">
        <v>0</v>
      </c>
      <c r="AH47" s="1267">
        <v>0</v>
      </c>
      <c r="AI47" s="1244">
        <v>0</v>
      </c>
      <c r="AJ47" s="1268">
        <v>0</v>
      </c>
      <c r="AK47" s="1267">
        <v>0</v>
      </c>
      <c r="AL47" s="1267">
        <v>0</v>
      </c>
      <c r="AM47" s="1244">
        <v>0</v>
      </c>
      <c r="AN47" s="1268">
        <v>0</v>
      </c>
      <c r="AO47" s="1267">
        <v>0</v>
      </c>
      <c r="AP47" s="1267">
        <v>0</v>
      </c>
      <c r="AQ47" s="1244">
        <v>0</v>
      </c>
      <c r="AR47" s="1268">
        <v>0</v>
      </c>
      <c r="AS47" s="1267">
        <v>0</v>
      </c>
      <c r="AT47" s="1267">
        <v>0</v>
      </c>
      <c r="AU47" s="1244">
        <v>0</v>
      </c>
      <c r="AV47" s="1268">
        <v>0</v>
      </c>
      <c r="AW47" s="1508">
        <v>0</v>
      </c>
      <c r="AX47" s="1508">
        <v>0</v>
      </c>
      <c r="AY47" s="1244">
        <v>0</v>
      </c>
      <c r="AZ47" s="1268">
        <v>0</v>
      </c>
      <c r="BA47" s="1267">
        <v>0</v>
      </c>
      <c r="BB47" s="1267">
        <v>0</v>
      </c>
      <c r="BC47" s="1244">
        <v>0</v>
      </c>
      <c r="BD47" s="1268">
        <v>0</v>
      </c>
      <c r="BE47" s="1267">
        <v>0</v>
      </c>
      <c r="BF47" s="1267">
        <v>0</v>
      </c>
      <c r="BG47" s="1244">
        <v>0</v>
      </c>
      <c r="BH47" s="1411">
        <v>0</v>
      </c>
      <c r="BI47" s="1509">
        <v>0</v>
      </c>
      <c r="BJ47" s="1509">
        <v>0</v>
      </c>
      <c r="BK47" s="1244">
        <v>0</v>
      </c>
      <c r="BL47" s="1411">
        <v>0</v>
      </c>
      <c r="BM47" s="1509">
        <v>0</v>
      </c>
      <c r="BN47" s="1509">
        <v>0</v>
      </c>
      <c r="BO47" s="1244">
        <v>0</v>
      </c>
      <c r="BP47" s="1268">
        <v>0</v>
      </c>
      <c r="BQ47" s="1508">
        <v>0</v>
      </c>
      <c r="BR47" s="1508">
        <v>0</v>
      </c>
      <c r="BS47" s="1244">
        <v>0</v>
      </c>
      <c r="BT47" s="1484">
        <v>0</v>
      </c>
      <c r="BU47" s="1526">
        <v>0</v>
      </c>
      <c r="BV47" s="1526">
        <v>0</v>
      </c>
      <c r="BW47" s="1526">
        <v>0</v>
      </c>
      <c r="BX47" s="1244">
        <v>0</v>
      </c>
      <c r="BY47" s="1484">
        <v>0</v>
      </c>
      <c r="BZ47" s="1526">
        <v>0</v>
      </c>
      <c r="CA47" s="1526">
        <v>0</v>
      </c>
      <c r="CB47" s="1526">
        <v>0</v>
      </c>
      <c r="CC47" s="1244">
        <v>0</v>
      </c>
      <c r="CD47" s="1484">
        <v>0</v>
      </c>
      <c r="CE47" s="1415">
        <v>0</v>
      </c>
      <c r="CF47" s="1415">
        <v>0</v>
      </c>
      <c r="CG47" s="1415">
        <v>0</v>
      </c>
      <c r="CH47" s="1244">
        <v>0</v>
      </c>
      <c r="CI47" s="1484">
        <v>0</v>
      </c>
      <c r="CJ47" s="1526">
        <v>0</v>
      </c>
      <c r="CK47" s="1526">
        <v>0</v>
      </c>
      <c r="CL47" s="1526">
        <v>0</v>
      </c>
      <c r="CM47" s="1244">
        <v>0</v>
      </c>
      <c r="CN47" s="1269">
        <f t="shared" si="4"/>
        <v>62268905.38007737</v>
      </c>
      <c r="CO47" s="1232"/>
      <c r="CP47" s="1270">
        <f>+CN47</f>
        <v>62268905.38007737</v>
      </c>
    </row>
    <row r="48" spans="1:96" ht="13.5">
      <c r="A48" s="1147">
        <f t="shared" si="1"/>
        <v>34</v>
      </c>
      <c r="B48" s="1233" t="str">
        <f t="shared" si="7"/>
        <v>W Increased ROE</v>
      </c>
      <c r="C48" s="1266">
        <f t="shared" si="6"/>
        <v>2014</v>
      </c>
      <c r="D48" s="1267">
        <f>+D47</f>
        <v>0</v>
      </c>
      <c r="E48" s="1267">
        <f>+E47</f>
        <v>0</v>
      </c>
      <c r="F48" s="1267">
        <f t="shared" si="5"/>
        <v>0</v>
      </c>
      <c r="G48" s="1244">
        <f>+D$25*(F48+D48)/2+E48</f>
        <v>0</v>
      </c>
      <c r="H48" s="1267">
        <f>H47</f>
        <v>262865544.27515393</v>
      </c>
      <c r="I48" s="1267">
        <f>I47</f>
        <v>30309924.887097068</v>
      </c>
      <c r="J48" s="1267">
        <f>J47</f>
        <v>232555619.38805687</v>
      </c>
      <c r="K48" s="1244">
        <f>+H$25*(J48+H48)/2</f>
        <v>47052995.35808827</v>
      </c>
      <c r="L48" s="1267">
        <f>+L47</f>
        <v>0</v>
      </c>
      <c r="M48" s="1267">
        <f>+M47</f>
        <v>0</v>
      </c>
      <c r="N48" s="1267">
        <f t="shared" si="2"/>
        <v>0</v>
      </c>
      <c r="O48" s="1222">
        <f>+L$25*(N48+L48)/2</f>
        <v>0</v>
      </c>
      <c r="P48" s="1268">
        <f>+P47</f>
        <v>92325263.63438462</v>
      </c>
      <c r="Q48" s="1222">
        <f>+Q47</f>
        <v>5176295.354844246</v>
      </c>
      <c r="R48" s="1267">
        <f t="shared" si="3"/>
        <v>87148968.27954037</v>
      </c>
      <c r="S48" s="1244">
        <f>+P$25*(R48+P48)/2</f>
        <v>17362996.779050533</v>
      </c>
      <c r="T48" s="1267">
        <f>+T47</f>
        <v>3158242</v>
      </c>
      <c r="U48" s="1267">
        <f>+U47</f>
        <v>230048.24116938468</v>
      </c>
      <c r="V48" s="1267">
        <f>+V47</f>
        <v>2928193.7588306153</v>
      </c>
      <c r="W48" s="1244">
        <f>+T$25*(V48+T48)/2</f>
        <v>556543.0308544652</v>
      </c>
      <c r="X48" s="1268">
        <v>0</v>
      </c>
      <c r="Y48" s="1508">
        <v>0</v>
      </c>
      <c r="Z48" s="1508">
        <v>0</v>
      </c>
      <c r="AA48" s="1244">
        <v>0</v>
      </c>
      <c r="AB48" s="1268">
        <v>0</v>
      </c>
      <c r="AC48" s="1267">
        <v>0</v>
      </c>
      <c r="AD48" s="1267">
        <v>0</v>
      </c>
      <c r="AE48" s="1244">
        <v>0</v>
      </c>
      <c r="AF48" s="1268">
        <v>0</v>
      </c>
      <c r="AG48" s="1267">
        <v>0</v>
      </c>
      <c r="AH48" s="1267">
        <v>0</v>
      </c>
      <c r="AI48" s="1244">
        <v>0</v>
      </c>
      <c r="AJ48" s="1268">
        <v>0</v>
      </c>
      <c r="AK48" s="1267">
        <v>0</v>
      </c>
      <c r="AL48" s="1267">
        <v>0</v>
      </c>
      <c r="AM48" s="1244">
        <v>0</v>
      </c>
      <c r="AN48" s="1268">
        <v>0</v>
      </c>
      <c r="AO48" s="1267">
        <v>0</v>
      </c>
      <c r="AP48" s="1267">
        <v>0</v>
      </c>
      <c r="AQ48" s="1244">
        <v>0</v>
      </c>
      <c r="AR48" s="1268">
        <v>0</v>
      </c>
      <c r="AS48" s="1267">
        <v>0</v>
      </c>
      <c r="AT48" s="1267">
        <v>0</v>
      </c>
      <c r="AU48" s="1244">
        <v>0</v>
      </c>
      <c r="AV48" s="1268">
        <v>0</v>
      </c>
      <c r="AW48" s="1508">
        <v>0</v>
      </c>
      <c r="AX48" s="1508">
        <v>0</v>
      </c>
      <c r="AY48" s="1244">
        <v>0</v>
      </c>
      <c r="AZ48" s="1268">
        <v>0</v>
      </c>
      <c r="BA48" s="1267">
        <v>0</v>
      </c>
      <c r="BB48" s="1267">
        <v>0</v>
      </c>
      <c r="BC48" s="1244">
        <v>0</v>
      </c>
      <c r="BD48" s="1268">
        <v>0</v>
      </c>
      <c r="BE48" s="1267">
        <v>0</v>
      </c>
      <c r="BF48" s="1267">
        <v>0</v>
      </c>
      <c r="BG48" s="1244">
        <v>0</v>
      </c>
      <c r="BH48" s="1411">
        <v>0</v>
      </c>
      <c r="BI48" s="1509">
        <v>0</v>
      </c>
      <c r="BJ48" s="1509">
        <v>0</v>
      </c>
      <c r="BK48" s="1244">
        <v>0</v>
      </c>
      <c r="BL48" s="1411">
        <v>0</v>
      </c>
      <c r="BM48" s="1509">
        <v>0</v>
      </c>
      <c r="BN48" s="1509">
        <v>0</v>
      </c>
      <c r="BO48" s="1244">
        <v>0</v>
      </c>
      <c r="BP48" s="1268">
        <v>0</v>
      </c>
      <c r="BQ48" s="1508">
        <v>0</v>
      </c>
      <c r="BR48" s="1508">
        <v>0</v>
      </c>
      <c r="BS48" s="1244">
        <v>0</v>
      </c>
      <c r="BT48" s="1484">
        <v>0</v>
      </c>
      <c r="BU48" s="1526">
        <v>0</v>
      </c>
      <c r="BV48" s="1526">
        <v>0</v>
      </c>
      <c r="BW48" s="1526">
        <v>0</v>
      </c>
      <c r="BX48" s="1244">
        <v>0</v>
      </c>
      <c r="BY48" s="1484">
        <v>0</v>
      </c>
      <c r="BZ48" s="1526">
        <v>0</v>
      </c>
      <c r="CA48" s="1526">
        <v>0</v>
      </c>
      <c r="CB48" s="1526">
        <v>0</v>
      </c>
      <c r="CC48" s="1244">
        <v>0</v>
      </c>
      <c r="CD48" s="1484">
        <v>0</v>
      </c>
      <c r="CE48" s="1415">
        <v>0</v>
      </c>
      <c r="CF48" s="1415">
        <v>0</v>
      </c>
      <c r="CG48" s="1415">
        <v>0</v>
      </c>
      <c r="CH48" s="1244">
        <v>0</v>
      </c>
      <c r="CI48" s="1484">
        <v>0</v>
      </c>
      <c r="CJ48" s="1526">
        <v>0</v>
      </c>
      <c r="CK48" s="1526">
        <v>0</v>
      </c>
      <c r="CL48" s="1526">
        <v>0</v>
      </c>
      <c r="CM48" s="1244">
        <v>0</v>
      </c>
      <c r="CN48" s="1269">
        <f t="shared" si="4"/>
        <v>64972535.16799326</v>
      </c>
      <c r="CO48" s="1271">
        <f>+CN48</f>
        <v>64972535.16799326</v>
      </c>
      <c r="CP48" s="1237"/>
      <c r="CR48" s="1181">
        <f>CO48-CP47</f>
        <v>2703629.787915893</v>
      </c>
    </row>
    <row r="49" spans="1:94" ht="13.5">
      <c r="A49" s="1147">
        <f t="shared" si="1"/>
        <v>35</v>
      </c>
      <c r="B49" s="1233" t="str">
        <f t="shared" si="7"/>
        <v>FCR W base ROE</v>
      </c>
      <c r="C49" s="1266">
        <f t="shared" si="6"/>
        <v>2015</v>
      </c>
      <c r="D49" s="1267">
        <f>+F48*0</f>
        <v>0</v>
      </c>
      <c r="E49" s="1267">
        <f>+D$27</f>
        <v>0</v>
      </c>
      <c r="F49" s="1267">
        <f t="shared" si="5"/>
        <v>0</v>
      </c>
      <c r="G49" s="1244">
        <f>+D$24*(D49+F49)/2+E49</f>
        <v>0</v>
      </c>
      <c r="H49" s="1267">
        <v>262942889.70538458</v>
      </c>
      <c r="I49" s="1267">
        <v>37160176.01124689</v>
      </c>
      <c r="J49" s="1267">
        <f>+H49-I49</f>
        <v>225782713.6941377</v>
      </c>
      <c r="K49" s="1244">
        <f>+H$24*(J49+H49)/2</f>
        <v>44689016.585366234</v>
      </c>
      <c r="L49" s="1267">
        <f>18103518.0276923*0</f>
        <v>0</v>
      </c>
      <c r="M49" s="1267">
        <f>+L$27</f>
        <v>0</v>
      </c>
      <c r="N49" s="1267">
        <f t="shared" si="2"/>
        <v>0</v>
      </c>
      <c r="O49" s="1222">
        <f>+L$24*(L49+N49)/2</f>
        <v>0</v>
      </c>
      <c r="P49" s="1268">
        <v>92576763.42207694</v>
      </c>
      <c r="Q49" s="1267">
        <v>7582470.1913362695</v>
      </c>
      <c r="R49" s="1267">
        <f t="shared" si="3"/>
        <v>84994293.23074067</v>
      </c>
      <c r="S49" s="1244">
        <f>+P$24*(R49+P49)/2</f>
        <v>16237078.31273922</v>
      </c>
      <c r="T49" s="1267">
        <v>3158242</v>
      </c>
      <c r="U49" s="1267">
        <v>312332.58712500014</v>
      </c>
      <c r="V49" s="1267">
        <f>+T49-U49</f>
        <v>2845909.412875</v>
      </c>
      <c r="W49" s="1244">
        <f>+T$24*(V49+T49)/2</f>
        <v>549018.9591145191</v>
      </c>
      <c r="X49" s="1268">
        <v>0</v>
      </c>
      <c r="Y49" s="1508">
        <v>0</v>
      </c>
      <c r="Z49" s="1508">
        <v>0</v>
      </c>
      <c r="AA49" s="1244">
        <v>0</v>
      </c>
      <c r="AB49" s="1268">
        <v>0</v>
      </c>
      <c r="AC49" s="1267">
        <v>0</v>
      </c>
      <c r="AD49" s="1267">
        <v>0</v>
      </c>
      <c r="AE49" s="1244">
        <v>0</v>
      </c>
      <c r="AF49" s="1268">
        <v>0</v>
      </c>
      <c r="AG49" s="1267">
        <v>0</v>
      </c>
      <c r="AH49" s="1267">
        <v>0</v>
      </c>
      <c r="AI49" s="1244">
        <v>0</v>
      </c>
      <c r="AJ49" s="1268">
        <v>0</v>
      </c>
      <c r="AK49" s="1267">
        <v>0</v>
      </c>
      <c r="AL49" s="1267">
        <v>0</v>
      </c>
      <c r="AM49" s="1244">
        <v>0</v>
      </c>
      <c r="AN49" s="1268">
        <v>0</v>
      </c>
      <c r="AO49" s="1267">
        <v>0</v>
      </c>
      <c r="AP49" s="1267">
        <v>0</v>
      </c>
      <c r="AQ49" s="1244">
        <v>0</v>
      </c>
      <c r="AR49" s="1268">
        <v>0</v>
      </c>
      <c r="AS49" s="1267">
        <v>0</v>
      </c>
      <c r="AT49" s="1267">
        <v>0</v>
      </c>
      <c r="AU49" s="1244">
        <v>0</v>
      </c>
      <c r="AV49" s="1268">
        <v>0</v>
      </c>
      <c r="AW49" s="1508">
        <v>0</v>
      </c>
      <c r="AX49" s="1508">
        <v>0</v>
      </c>
      <c r="AY49" s="1244">
        <v>0</v>
      </c>
      <c r="AZ49" s="1268">
        <v>0</v>
      </c>
      <c r="BA49" s="1267">
        <v>0</v>
      </c>
      <c r="BB49" s="1267">
        <v>0</v>
      </c>
      <c r="BC49" s="1244">
        <v>0</v>
      </c>
      <c r="BD49" s="1268">
        <v>0</v>
      </c>
      <c r="BE49" s="1267">
        <v>0</v>
      </c>
      <c r="BF49" s="1267">
        <v>0</v>
      </c>
      <c r="BG49" s="1244">
        <v>0</v>
      </c>
      <c r="BH49" s="1411">
        <v>0</v>
      </c>
      <c r="BI49" s="1509">
        <v>0</v>
      </c>
      <c r="BJ49" s="1509">
        <v>0</v>
      </c>
      <c r="BK49" s="1244">
        <v>0</v>
      </c>
      <c r="BL49" s="1411">
        <v>0</v>
      </c>
      <c r="BM49" s="1509">
        <v>0</v>
      </c>
      <c r="BN49" s="1509">
        <v>0</v>
      </c>
      <c r="BO49" s="1244">
        <v>0</v>
      </c>
      <c r="BP49" s="1268">
        <v>0</v>
      </c>
      <c r="BQ49" s="1508">
        <v>0</v>
      </c>
      <c r="BR49" s="1508">
        <v>0</v>
      </c>
      <c r="BS49" s="1244">
        <v>0</v>
      </c>
      <c r="BT49" s="1484">
        <v>0</v>
      </c>
      <c r="BU49" s="1526">
        <v>0</v>
      </c>
      <c r="BV49" s="1526">
        <v>0</v>
      </c>
      <c r="BW49" s="1526">
        <v>0</v>
      </c>
      <c r="BX49" s="1244">
        <v>0</v>
      </c>
      <c r="BY49" s="1484">
        <v>0</v>
      </c>
      <c r="BZ49" s="1526">
        <v>0</v>
      </c>
      <c r="CA49" s="1526">
        <v>0</v>
      </c>
      <c r="CB49" s="1526">
        <v>0</v>
      </c>
      <c r="CC49" s="1244">
        <v>0</v>
      </c>
      <c r="CD49" s="1484">
        <v>0</v>
      </c>
      <c r="CE49" s="1415">
        <v>0</v>
      </c>
      <c r="CF49" s="1415">
        <v>0</v>
      </c>
      <c r="CG49" s="1415">
        <v>0</v>
      </c>
      <c r="CH49" s="1244">
        <v>0</v>
      </c>
      <c r="CI49" s="1484">
        <v>0</v>
      </c>
      <c r="CJ49" s="1526">
        <v>0</v>
      </c>
      <c r="CK49" s="1526">
        <v>0</v>
      </c>
      <c r="CL49" s="1526">
        <v>0</v>
      </c>
      <c r="CM49" s="1244">
        <v>0</v>
      </c>
      <c r="CN49" s="1269">
        <f t="shared" si="4"/>
        <v>61475113.85721998</v>
      </c>
      <c r="CO49" s="1232"/>
      <c r="CP49" s="1270">
        <f>+CN49</f>
        <v>61475113.85721998</v>
      </c>
    </row>
    <row r="50" spans="1:96" ht="13.5">
      <c r="A50" s="1147">
        <f t="shared" si="1"/>
        <v>36</v>
      </c>
      <c r="B50" s="1233" t="str">
        <f t="shared" si="7"/>
        <v>W Increased ROE</v>
      </c>
      <c r="C50" s="1266">
        <f t="shared" si="6"/>
        <v>2015</v>
      </c>
      <c r="D50" s="1267">
        <f>+D49</f>
        <v>0</v>
      </c>
      <c r="E50" s="1267">
        <f>+E49</f>
        <v>0</v>
      </c>
      <c r="F50" s="1267">
        <f t="shared" si="5"/>
        <v>0</v>
      </c>
      <c r="G50" s="1244">
        <f>+D$25*(F50+D50)/2+E50</f>
        <v>0</v>
      </c>
      <c r="H50" s="1267">
        <f>+H49</f>
        <v>262942889.70538458</v>
      </c>
      <c r="I50" s="1267">
        <f>I49</f>
        <v>37160176.01124689</v>
      </c>
      <c r="J50" s="1267">
        <f>+J49</f>
        <v>225782713.6941377</v>
      </c>
      <c r="K50" s="1244">
        <f>+H$25*(J50+H50)/2</f>
        <v>46417079.51695294</v>
      </c>
      <c r="L50" s="1267">
        <f>+L49</f>
        <v>0</v>
      </c>
      <c r="M50" s="1267">
        <f>+M49</f>
        <v>0</v>
      </c>
      <c r="N50" s="1267">
        <f t="shared" si="2"/>
        <v>0</v>
      </c>
      <c r="O50" s="1222">
        <f>+L$25*(N50+L50)/2</f>
        <v>0</v>
      </c>
      <c r="P50" s="1268">
        <f>+P49</f>
        <v>92576763.42207694</v>
      </c>
      <c r="Q50" s="1222">
        <f>+Q49</f>
        <v>7582470.1913362695</v>
      </c>
      <c r="R50" s="1267">
        <f t="shared" si="3"/>
        <v>84994293.23074067</v>
      </c>
      <c r="S50" s="1244">
        <f>+P$25*(R50+P50)/2</f>
        <v>17178876.609953366</v>
      </c>
      <c r="T50" s="1267">
        <f>T49</f>
        <v>3158242</v>
      </c>
      <c r="U50" s="1267">
        <f>U49</f>
        <v>312332.58712500014</v>
      </c>
      <c r="V50" s="1267">
        <f>+V49</f>
        <v>2845909.412875</v>
      </c>
      <c r="W50" s="1244">
        <f>+T$25*(V50+T50)/2</f>
        <v>549018.9591145191</v>
      </c>
      <c r="X50" s="1268">
        <v>0</v>
      </c>
      <c r="Y50" s="1508">
        <v>0</v>
      </c>
      <c r="Z50" s="1508">
        <v>0</v>
      </c>
      <c r="AA50" s="1244">
        <v>0</v>
      </c>
      <c r="AB50" s="1268">
        <v>0</v>
      </c>
      <c r="AC50" s="1267">
        <v>0</v>
      </c>
      <c r="AD50" s="1267">
        <v>0</v>
      </c>
      <c r="AE50" s="1244">
        <v>0</v>
      </c>
      <c r="AF50" s="1268">
        <v>0</v>
      </c>
      <c r="AG50" s="1267">
        <v>0</v>
      </c>
      <c r="AH50" s="1267">
        <v>0</v>
      </c>
      <c r="AI50" s="1244">
        <v>0</v>
      </c>
      <c r="AJ50" s="1268">
        <v>0</v>
      </c>
      <c r="AK50" s="1267">
        <v>0</v>
      </c>
      <c r="AL50" s="1267">
        <v>0</v>
      </c>
      <c r="AM50" s="1244">
        <v>0</v>
      </c>
      <c r="AN50" s="1268">
        <v>0</v>
      </c>
      <c r="AO50" s="1267">
        <v>0</v>
      </c>
      <c r="AP50" s="1267">
        <v>0</v>
      </c>
      <c r="AQ50" s="1244">
        <v>0</v>
      </c>
      <c r="AR50" s="1268">
        <v>0</v>
      </c>
      <c r="AS50" s="1267">
        <v>0</v>
      </c>
      <c r="AT50" s="1267">
        <v>0</v>
      </c>
      <c r="AU50" s="1244">
        <v>0</v>
      </c>
      <c r="AV50" s="1268">
        <v>0</v>
      </c>
      <c r="AW50" s="1508">
        <v>0</v>
      </c>
      <c r="AX50" s="1508">
        <v>0</v>
      </c>
      <c r="AY50" s="1244">
        <v>0</v>
      </c>
      <c r="AZ50" s="1268">
        <v>0</v>
      </c>
      <c r="BA50" s="1267">
        <v>0</v>
      </c>
      <c r="BB50" s="1267">
        <v>0</v>
      </c>
      <c r="BC50" s="1244">
        <v>0</v>
      </c>
      <c r="BD50" s="1268">
        <v>0</v>
      </c>
      <c r="BE50" s="1267">
        <v>0</v>
      </c>
      <c r="BF50" s="1267">
        <v>0</v>
      </c>
      <c r="BG50" s="1244">
        <v>0</v>
      </c>
      <c r="BH50" s="1411">
        <v>0</v>
      </c>
      <c r="BI50" s="1509">
        <v>0</v>
      </c>
      <c r="BJ50" s="1509">
        <v>0</v>
      </c>
      <c r="BK50" s="1244">
        <v>0</v>
      </c>
      <c r="BL50" s="1411">
        <v>0</v>
      </c>
      <c r="BM50" s="1509">
        <v>0</v>
      </c>
      <c r="BN50" s="1509">
        <v>0</v>
      </c>
      <c r="BO50" s="1244">
        <v>0</v>
      </c>
      <c r="BP50" s="1268">
        <v>0</v>
      </c>
      <c r="BQ50" s="1508">
        <v>0</v>
      </c>
      <c r="BR50" s="1508">
        <v>0</v>
      </c>
      <c r="BS50" s="1244">
        <v>0</v>
      </c>
      <c r="BT50" s="1484">
        <v>0</v>
      </c>
      <c r="BU50" s="1526">
        <v>0</v>
      </c>
      <c r="BV50" s="1526">
        <v>0</v>
      </c>
      <c r="BW50" s="1526">
        <v>0</v>
      </c>
      <c r="BX50" s="1244">
        <v>0</v>
      </c>
      <c r="BY50" s="1484">
        <v>0</v>
      </c>
      <c r="BZ50" s="1526">
        <v>0</v>
      </c>
      <c r="CA50" s="1526">
        <v>0</v>
      </c>
      <c r="CB50" s="1526">
        <v>0</v>
      </c>
      <c r="CC50" s="1244">
        <v>0</v>
      </c>
      <c r="CD50" s="1484">
        <v>0</v>
      </c>
      <c r="CE50" s="1415">
        <v>0</v>
      </c>
      <c r="CF50" s="1415">
        <v>0</v>
      </c>
      <c r="CG50" s="1415">
        <v>0</v>
      </c>
      <c r="CH50" s="1244">
        <v>0</v>
      </c>
      <c r="CI50" s="1484">
        <v>0</v>
      </c>
      <c r="CJ50" s="1526">
        <v>0</v>
      </c>
      <c r="CK50" s="1526">
        <v>0</v>
      </c>
      <c r="CL50" s="1526">
        <v>0</v>
      </c>
      <c r="CM50" s="1244">
        <v>0</v>
      </c>
      <c r="CN50" s="1269">
        <f t="shared" si="4"/>
        <v>64144975.08602083</v>
      </c>
      <c r="CO50" s="1271">
        <f>+CN50</f>
        <v>64144975.08602083</v>
      </c>
      <c r="CP50" s="1237"/>
      <c r="CR50" s="1181">
        <f>CO50-CP49</f>
        <v>2669861.228800848</v>
      </c>
    </row>
    <row r="51" spans="1:96" ht="13.5">
      <c r="A51" s="1147">
        <f t="shared" si="1"/>
        <v>37</v>
      </c>
      <c r="B51" s="1233" t="str">
        <f>+B49</f>
        <v>FCR W base ROE</v>
      </c>
      <c r="C51" s="1266">
        <f t="shared" si="6"/>
        <v>2016</v>
      </c>
      <c r="D51" s="1267">
        <f>+F50*0</f>
        <v>0</v>
      </c>
      <c r="E51" s="1267">
        <f>+D$27</f>
        <v>0</v>
      </c>
      <c r="F51" s="1267">
        <f>+D51-E51</f>
        <v>0</v>
      </c>
      <c r="G51" s="1244">
        <f>+D$24*(D51+F51)/2+E51</f>
        <v>0</v>
      </c>
      <c r="H51" s="1267">
        <v>262951630.8966924</v>
      </c>
      <c r="I51" s="1267">
        <v>44101979.27459908</v>
      </c>
      <c r="J51" s="1267">
        <f>+H51-I51</f>
        <v>218849651.62209332</v>
      </c>
      <c r="K51" s="1244">
        <f>+H$24*(J51+H51)/2</f>
        <v>44055857.4291256</v>
      </c>
      <c r="L51" s="1267">
        <f>22801062.5715385*0</f>
        <v>0</v>
      </c>
      <c r="M51" s="1267">
        <f>+L$27</f>
        <v>0</v>
      </c>
      <c r="N51" s="1267">
        <f>+L51-M51</f>
        <v>0</v>
      </c>
      <c r="O51" s="1222">
        <f>+L$24*(L51+N51)/2</f>
        <v>0</v>
      </c>
      <c r="P51" s="1268">
        <v>127551725.21976924</v>
      </c>
      <c r="Q51" s="1222">
        <v>10344496.85351141</v>
      </c>
      <c r="R51" s="1267">
        <f>+P51-Q51</f>
        <v>117207228.36625783</v>
      </c>
      <c r="S51" s="1244">
        <f>+P$24*(R51+P51)/2</f>
        <v>22380732.378535215</v>
      </c>
      <c r="T51" s="1267">
        <v>3158242</v>
      </c>
      <c r="U51" s="1267">
        <v>395710.1703809999</v>
      </c>
      <c r="V51" s="1267">
        <f>+T51-U51</f>
        <v>2762531.829619</v>
      </c>
      <c r="W51" s="1244">
        <f>+T$24*(V51+T51)/2</f>
        <v>541394.9218734638</v>
      </c>
      <c r="X51" s="1268">
        <v>0</v>
      </c>
      <c r="Y51" s="1508">
        <v>0</v>
      </c>
      <c r="Z51" s="1508">
        <v>0</v>
      </c>
      <c r="AA51" s="1244">
        <v>0</v>
      </c>
      <c r="AB51" s="1268">
        <v>0</v>
      </c>
      <c r="AC51" s="1267">
        <v>0</v>
      </c>
      <c r="AD51" s="1267">
        <v>0</v>
      </c>
      <c r="AE51" s="1244">
        <v>0</v>
      </c>
      <c r="AF51" s="1268">
        <v>0</v>
      </c>
      <c r="AG51" s="1267">
        <v>0</v>
      </c>
      <c r="AH51" s="1267">
        <v>0</v>
      </c>
      <c r="AI51" s="1244">
        <v>0</v>
      </c>
      <c r="AJ51" s="1268">
        <v>0</v>
      </c>
      <c r="AK51" s="1267">
        <v>0</v>
      </c>
      <c r="AL51" s="1267">
        <v>0</v>
      </c>
      <c r="AM51" s="1244">
        <v>0</v>
      </c>
      <c r="AN51" s="1268">
        <v>0</v>
      </c>
      <c r="AO51" s="1267">
        <v>0</v>
      </c>
      <c r="AP51" s="1267">
        <v>0</v>
      </c>
      <c r="AQ51" s="1244">
        <v>0</v>
      </c>
      <c r="AR51" s="1268">
        <v>0</v>
      </c>
      <c r="AS51" s="1267">
        <v>0</v>
      </c>
      <c r="AT51" s="1267">
        <v>0</v>
      </c>
      <c r="AU51" s="1244">
        <v>0</v>
      </c>
      <c r="AV51" s="1268">
        <v>0</v>
      </c>
      <c r="AW51" s="1508">
        <v>0</v>
      </c>
      <c r="AX51" s="1508">
        <v>0</v>
      </c>
      <c r="AY51" s="1244">
        <v>0</v>
      </c>
      <c r="AZ51" s="1268">
        <v>0</v>
      </c>
      <c r="BA51" s="1267">
        <v>0</v>
      </c>
      <c r="BB51" s="1267">
        <v>0</v>
      </c>
      <c r="BC51" s="1244">
        <v>0</v>
      </c>
      <c r="BD51" s="1268">
        <v>0</v>
      </c>
      <c r="BE51" s="1267">
        <v>0</v>
      </c>
      <c r="BF51" s="1267">
        <v>0</v>
      </c>
      <c r="BG51" s="1244">
        <v>0</v>
      </c>
      <c r="BH51" s="1411">
        <v>0</v>
      </c>
      <c r="BI51" s="1509">
        <v>0</v>
      </c>
      <c r="BJ51" s="1509">
        <v>0</v>
      </c>
      <c r="BK51" s="1244">
        <v>0</v>
      </c>
      <c r="BL51" s="1411">
        <v>0</v>
      </c>
      <c r="BM51" s="1509">
        <v>0</v>
      </c>
      <c r="BN51" s="1509">
        <v>0</v>
      </c>
      <c r="BO51" s="1244">
        <v>0</v>
      </c>
      <c r="BP51" s="1268">
        <v>0</v>
      </c>
      <c r="BQ51" s="1508">
        <v>0</v>
      </c>
      <c r="BR51" s="1508">
        <v>0</v>
      </c>
      <c r="BS51" s="1244">
        <v>0</v>
      </c>
      <c r="BT51" s="1484">
        <v>0</v>
      </c>
      <c r="BU51" s="1526">
        <v>0</v>
      </c>
      <c r="BV51" s="1526">
        <v>0</v>
      </c>
      <c r="BW51" s="1526">
        <v>0</v>
      </c>
      <c r="BX51" s="1244">
        <v>0</v>
      </c>
      <c r="BY51" s="1484">
        <v>0</v>
      </c>
      <c r="BZ51" s="1526">
        <v>0</v>
      </c>
      <c r="CA51" s="1526">
        <v>0</v>
      </c>
      <c r="CB51" s="1526">
        <v>0</v>
      </c>
      <c r="CC51" s="1244">
        <v>0</v>
      </c>
      <c r="CD51" s="1484">
        <v>0</v>
      </c>
      <c r="CE51" s="1415">
        <v>0</v>
      </c>
      <c r="CF51" s="1415">
        <v>0</v>
      </c>
      <c r="CG51" s="1415">
        <v>0</v>
      </c>
      <c r="CH51" s="1244">
        <v>0</v>
      </c>
      <c r="CI51" s="1484">
        <v>0</v>
      </c>
      <c r="CJ51" s="1526">
        <v>0</v>
      </c>
      <c r="CK51" s="1526">
        <v>0</v>
      </c>
      <c r="CL51" s="1526">
        <v>0</v>
      </c>
      <c r="CM51" s="1244">
        <v>0</v>
      </c>
      <c r="CN51" s="1269">
        <f t="shared" si="4"/>
        <v>66977984.72953428</v>
      </c>
      <c r="CO51" s="1232"/>
      <c r="CP51" s="1270">
        <f>+CN51</f>
        <v>66977984.72953428</v>
      </c>
      <c r="CR51" s="1181"/>
    </row>
    <row r="52" spans="1:96" ht="13.5">
      <c r="A52" s="1147">
        <f t="shared" si="1"/>
        <v>38</v>
      </c>
      <c r="B52" s="1233" t="str">
        <f t="shared" si="7"/>
        <v>W Increased ROE</v>
      </c>
      <c r="C52" s="1266">
        <f t="shared" si="6"/>
        <v>2016</v>
      </c>
      <c r="D52" s="1267">
        <f>+D51</f>
        <v>0</v>
      </c>
      <c r="E52" s="1267">
        <f>+E51</f>
        <v>0</v>
      </c>
      <c r="F52" s="1267">
        <f>+D52-E52</f>
        <v>0</v>
      </c>
      <c r="G52" s="1244">
        <f>+D$25*(F52+D52)/2+E52</f>
        <v>0</v>
      </c>
      <c r="H52" s="1267">
        <f>+H51</f>
        <v>262951630.8966924</v>
      </c>
      <c r="I52" s="1267">
        <f>+I51</f>
        <v>44101979.27459908</v>
      </c>
      <c r="J52" s="1267">
        <f>+J51</f>
        <v>218849651.62209332</v>
      </c>
      <c r="K52" s="1244">
        <f>+H$25*(J52+H52)/2</f>
        <v>45759436.96520943</v>
      </c>
      <c r="L52" s="1267">
        <f>+L51</f>
        <v>0</v>
      </c>
      <c r="M52" s="1267">
        <f>+M51</f>
        <v>0</v>
      </c>
      <c r="N52" s="1267">
        <f>+L52-M52</f>
        <v>0</v>
      </c>
      <c r="O52" s="1222">
        <f>+L$25*(N52+L52)/2</f>
        <v>0</v>
      </c>
      <c r="P52" s="1268">
        <f>+P51</f>
        <v>127551725.21976924</v>
      </c>
      <c r="Q52" s="1222">
        <f>+Q51</f>
        <v>10344496.85351141</v>
      </c>
      <c r="R52" s="1267">
        <f>+P52-Q52</f>
        <v>117207228.36625783</v>
      </c>
      <c r="S52" s="1244">
        <f>+P$25*(R52+P52)/2</f>
        <v>23678880.68074378</v>
      </c>
      <c r="T52" s="1267">
        <f>T51</f>
        <v>3158242</v>
      </c>
      <c r="U52" s="1267">
        <f>U51</f>
        <v>395710.1703809999</v>
      </c>
      <c r="V52" s="1267">
        <f>+V51</f>
        <v>2762531.829619</v>
      </c>
      <c r="W52" s="1244">
        <f>+T$25*(V52+T52)/2</f>
        <v>541394.9218734638</v>
      </c>
      <c r="X52" s="1268">
        <v>0</v>
      </c>
      <c r="Y52" s="1508">
        <v>0</v>
      </c>
      <c r="Z52" s="1508">
        <v>0</v>
      </c>
      <c r="AA52" s="1244">
        <v>0</v>
      </c>
      <c r="AB52" s="1268">
        <v>0</v>
      </c>
      <c r="AC52" s="1267">
        <v>0</v>
      </c>
      <c r="AD52" s="1267">
        <v>0</v>
      </c>
      <c r="AE52" s="1244">
        <v>0</v>
      </c>
      <c r="AF52" s="1268">
        <v>0</v>
      </c>
      <c r="AG52" s="1267">
        <v>0</v>
      </c>
      <c r="AH52" s="1267">
        <v>0</v>
      </c>
      <c r="AI52" s="1244">
        <v>0</v>
      </c>
      <c r="AJ52" s="1268">
        <v>0</v>
      </c>
      <c r="AK52" s="1267">
        <v>0</v>
      </c>
      <c r="AL52" s="1267">
        <v>0</v>
      </c>
      <c r="AM52" s="1244">
        <v>0</v>
      </c>
      <c r="AN52" s="1268">
        <v>0</v>
      </c>
      <c r="AO52" s="1267">
        <v>0</v>
      </c>
      <c r="AP52" s="1267">
        <v>0</v>
      </c>
      <c r="AQ52" s="1244">
        <v>0</v>
      </c>
      <c r="AR52" s="1268">
        <v>0</v>
      </c>
      <c r="AS52" s="1267">
        <v>0</v>
      </c>
      <c r="AT52" s="1267">
        <v>0</v>
      </c>
      <c r="AU52" s="1244">
        <v>0</v>
      </c>
      <c r="AV52" s="1268">
        <v>0</v>
      </c>
      <c r="AW52" s="1508">
        <v>0</v>
      </c>
      <c r="AX52" s="1508">
        <v>0</v>
      </c>
      <c r="AY52" s="1244">
        <v>0</v>
      </c>
      <c r="AZ52" s="1268">
        <v>0</v>
      </c>
      <c r="BA52" s="1267">
        <v>0</v>
      </c>
      <c r="BB52" s="1267">
        <v>0</v>
      </c>
      <c r="BC52" s="1244">
        <v>0</v>
      </c>
      <c r="BD52" s="1268">
        <v>0</v>
      </c>
      <c r="BE52" s="1267">
        <v>0</v>
      </c>
      <c r="BF52" s="1267">
        <v>0</v>
      </c>
      <c r="BG52" s="1244">
        <v>0</v>
      </c>
      <c r="BH52" s="1411">
        <v>0</v>
      </c>
      <c r="BI52" s="1509">
        <v>0</v>
      </c>
      <c r="BJ52" s="1509">
        <v>0</v>
      </c>
      <c r="BK52" s="1244">
        <v>0</v>
      </c>
      <c r="BL52" s="1411">
        <v>0</v>
      </c>
      <c r="BM52" s="1509">
        <v>0</v>
      </c>
      <c r="BN52" s="1509">
        <v>0</v>
      </c>
      <c r="BO52" s="1244">
        <v>0</v>
      </c>
      <c r="BP52" s="1268">
        <v>0</v>
      </c>
      <c r="BQ52" s="1508">
        <v>0</v>
      </c>
      <c r="BR52" s="1508">
        <v>0</v>
      </c>
      <c r="BS52" s="1244">
        <v>0</v>
      </c>
      <c r="BT52" s="1484">
        <v>0</v>
      </c>
      <c r="BU52" s="1526">
        <v>0</v>
      </c>
      <c r="BV52" s="1526">
        <v>0</v>
      </c>
      <c r="BW52" s="1526">
        <v>0</v>
      </c>
      <c r="BX52" s="1244">
        <v>0</v>
      </c>
      <c r="BY52" s="1484">
        <v>0</v>
      </c>
      <c r="BZ52" s="1526">
        <v>0</v>
      </c>
      <c r="CA52" s="1526">
        <v>0</v>
      </c>
      <c r="CB52" s="1526">
        <v>0</v>
      </c>
      <c r="CC52" s="1244">
        <v>0</v>
      </c>
      <c r="CD52" s="1484">
        <v>0</v>
      </c>
      <c r="CE52" s="1415">
        <v>0</v>
      </c>
      <c r="CF52" s="1415">
        <v>0</v>
      </c>
      <c r="CG52" s="1415">
        <v>0</v>
      </c>
      <c r="CH52" s="1244">
        <v>0</v>
      </c>
      <c r="CI52" s="1484">
        <v>0</v>
      </c>
      <c r="CJ52" s="1526">
        <v>0</v>
      </c>
      <c r="CK52" s="1526">
        <v>0</v>
      </c>
      <c r="CL52" s="1526">
        <v>0</v>
      </c>
      <c r="CM52" s="1244">
        <v>0</v>
      </c>
      <c r="CN52" s="1269">
        <f t="shared" si="4"/>
        <v>69979712.56782667</v>
      </c>
      <c r="CO52" s="1271">
        <f>+CN52</f>
        <v>69979712.56782667</v>
      </c>
      <c r="CP52" s="1237"/>
      <c r="CR52" s="1181"/>
    </row>
    <row r="53" spans="1:96" ht="13.5">
      <c r="A53" s="1147">
        <f t="shared" si="1"/>
        <v>39</v>
      </c>
      <c r="B53" s="1233" t="str">
        <f>+B49</f>
        <v>FCR W base ROE</v>
      </c>
      <c r="C53" s="1266">
        <f>+C51+1</f>
        <v>2017</v>
      </c>
      <c r="D53" s="1267">
        <f>+F50</f>
        <v>0</v>
      </c>
      <c r="E53" s="1267">
        <f>+D$27</f>
        <v>0</v>
      </c>
      <c r="F53" s="1267">
        <f t="shared" si="5"/>
        <v>0</v>
      </c>
      <c r="G53" s="1244">
        <f>+D$24*(D53+F53)/2+E53</f>
        <v>0</v>
      </c>
      <c r="H53" s="1267">
        <v>262950644.58900008</v>
      </c>
      <c r="I53" s="1267">
        <v>51043886.945200905</v>
      </c>
      <c r="J53" s="1267">
        <f>+H53-I53</f>
        <v>211906757.6437992</v>
      </c>
      <c r="K53" s="1244">
        <f>+H$24*(J53+H53)/2</f>
        <v>43420909.76297362</v>
      </c>
      <c r="L53" s="1267">
        <v>0</v>
      </c>
      <c r="M53" s="1267">
        <f>+L$27</f>
        <v>0</v>
      </c>
      <c r="N53" s="1267">
        <f t="shared" si="2"/>
        <v>0</v>
      </c>
      <c r="O53" s="1222">
        <f>+L$24*(L53+N53)/2</f>
        <v>0</v>
      </c>
      <c r="P53" s="1268">
        <v>156126480.16976923</v>
      </c>
      <c r="Q53" s="1267">
        <v>14310453.816231012</v>
      </c>
      <c r="R53" s="1267">
        <f t="shared" si="3"/>
        <v>141816026.35353822</v>
      </c>
      <c r="S53" s="1244">
        <f>+P$24*(R53+P53)/2</f>
        <v>27243830.736285686</v>
      </c>
      <c r="T53" s="1267">
        <v>3158242</v>
      </c>
      <c r="U53" s="1267">
        <v>479087.75363699964</v>
      </c>
      <c r="V53" s="1267">
        <f>+T53-U53</f>
        <v>2679154.2463630005</v>
      </c>
      <c r="W53" s="1244">
        <f>+T$24*(V53+T53)/2</f>
        <v>533770.8846324087</v>
      </c>
      <c r="X53" s="1268">
        <v>0</v>
      </c>
      <c r="Y53" s="1508">
        <v>0</v>
      </c>
      <c r="Z53" s="1508">
        <v>0</v>
      </c>
      <c r="AA53" s="1244">
        <v>0</v>
      </c>
      <c r="AB53" s="1268">
        <v>0</v>
      </c>
      <c r="AC53" s="1267">
        <v>0</v>
      </c>
      <c r="AD53" s="1267">
        <v>0</v>
      </c>
      <c r="AE53" s="1244">
        <v>0</v>
      </c>
      <c r="AF53" s="1268">
        <v>0</v>
      </c>
      <c r="AG53" s="1267">
        <v>0</v>
      </c>
      <c r="AH53" s="1267">
        <v>0</v>
      </c>
      <c r="AI53" s="1244">
        <v>0</v>
      </c>
      <c r="AJ53" s="1268">
        <v>0</v>
      </c>
      <c r="AK53" s="1267">
        <v>0</v>
      </c>
      <c r="AL53" s="1267">
        <v>0</v>
      </c>
      <c r="AM53" s="1244">
        <v>0</v>
      </c>
      <c r="AN53" s="1268">
        <v>0</v>
      </c>
      <c r="AO53" s="1267">
        <v>0</v>
      </c>
      <c r="AP53" s="1267">
        <v>0</v>
      </c>
      <c r="AQ53" s="1244">
        <v>0</v>
      </c>
      <c r="AR53" s="1268">
        <v>0</v>
      </c>
      <c r="AS53" s="1267">
        <v>0</v>
      </c>
      <c r="AT53" s="1267">
        <v>0</v>
      </c>
      <c r="AU53" s="1244">
        <v>0</v>
      </c>
      <c r="AV53" s="1268">
        <v>0</v>
      </c>
      <c r="AW53" s="1508">
        <v>0</v>
      </c>
      <c r="AX53" s="1508">
        <v>0</v>
      </c>
      <c r="AY53" s="1244">
        <v>0</v>
      </c>
      <c r="AZ53" s="1268">
        <v>0</v>
      </c>
      <c r="BA53" s="1267">
        <v>0</v>
      </c>
      <c r="BB53" s="1267">
        <v>0</v>
      </c>
      <c r="BC53" s="1244">
        <v>0</v>
      </c>
      <c r="BD53" s="1268">
        <v>0</v>
      </c>
      <c r="BE53" s="1267">
        <v>0</v>
      </c>
      <c r="BF53" s="1267">
        <v>0</v>
      </c>
      <c r="BG53" s="1244">
        <v>0</v>
      </c>
      <c r="BH53" s="1411">
        <v>0</v>
      </c>
      <c r="BI53" s="1509">
        <v>0</v>
      </c>
      <c r="BJ53" s="1509">
        <v>0</v>
      </c>
      <c r="BK53" s="1244">
        <v>0</v>
      </c>
      <c r="BL53" s="1411">
        <v>0</v>
      </c>
      <c r="BM53" s="1509">
        <v>0</v>
      </c>
      <c r="BN53" s="1509">
        <v>0</v>
      </c>
      <c r="BO53" s="1244">
        <v>0</v>
      </c>
      <c r="BP53" s="1268">
        <v>0</v>
      </c>
      <c r="BQ53" s="1508">
        <v>0</v>
      </c>
      <c r="BR53" s="1508">
        <v>0</v>
      </c>
      <c r="BS53" s="1244">
        <v>0</v>
      </c>
      <c r="BT53" s="1484">
        <v>0</v>
      </c>
      <c r="BU53" s="1526">
        <v>0</v>
      </c>
      <c r="BV53" s="1526">
        <v>0</v>
      </c>
      <c r="BW53" s="1526">
        <v>0</v>
      </c>
      <c r="BX53" s="1244">
        <v>0</v>
      </c>
      <c r="BY53" s="1484">
        <v>0</v>
      </c>
      <c r="BZ53" s="1526">
        <v>0</v>
      </c>
      <c r="CA53" s="1526">
        <v>0</v>
      </c>
      <c r="CB53" s="1526">
        <v>0</v>
      </c>
      <c r="CC53" s="1244">
        <v>0</v>
      </c>
      <c r="CD53" s="1484">
        <v>0</v>
      </c>
      <c r="CE53" s="1415">
        <v>0</v>
      </c>
      <c r="CF53" s="1415">
        <v>0</v>
      </c>
      <c r="CG53" s="1415">
        <v>0</v>
      </c>
      <c r="CH53" s="1244">
        <v>0</v>
      </c>
      <c r="CI53" s="1484">
        <v>0</v>
      </c>
      <c r="CJ53" s="1526">
        <v>0</v>
      </c>
      <c r="CK53" s="1526">
        <v>0</v>
      </c>
      <c r="CL53" s="1526">
        <v>0</v>
      </c>
      <c r="CM53" s="1244">
        <v>0</v>
      </c>
      <c r="CN53" s="1269">
        <f t="shared" si="4"/>
        <v>71198511.38389172</v>
      </c>
      <c r="CO53" s="1232"/>
      <c r="CP53" s="1270">
        <f>+CN53</f>
        <v>71198511.38389172</v>
      </c>
      <c r="CR53" s="1181"/>
    </row>
    <row r="54" spans="1:96" ht="13.5">
      <c r="A54" s="1147">
        <f t="shared" si="1"/>
        <v>40</v>
      </c>
      <c r="B54" s="1233" t="str">
        <f>+B50</f>
        <v>W Increased ROE</v>
      </c>
      <c r="C54" s="1266">
        <f>+C52+1</f>
        <v>2017</v>
      </c>
      <c r="D54" s="1267">
        <f>+D53</f>
        <v>0</v>
      </c>
      <c r="E54" s="1267">
        <f>+E53</f>
        <v>0</v>
      </c>
      <c r="F54" s="1267">
        <f t="shared" si="5"/>
        <v>0</v>
      </c>
      <c r="G54" s="1244">
        <f>+D$25*(F54+D54)/2+E54</f>
        <v>0</v>
      </c>
      <c r="H54" s="1267">
        <f>+H53</f>
        <v>262950644.58900008</v>
      </c>
      <c r="I54" s="1267">
        <f>I53</f>
        <v>51043886.945200905</v>
      </c>
      <c r="J54" s="1267">
        <f>+J53</f>
        <v>211906757.6437992</v>
      </c>
      <c r="K54" s="1244">
        <f>+H$25*(J54+H54)/2</f>
        <v>45099936.744331196</v>
      </c>
      <c r="L54" s="1267">
        <f>+L53</f>
        <v>0</v>
      </c>
      <c r="M54" s="1267">
        <f>+M53</f>
        <v>0</v>
      </c>
      <c r="N54" s="1267">
        <f t="shared" si="2"/>
        <v>0</v>
      </c>
      <c r="O54" s="1222">
        <f>+L$25*(N54+L54)/2</f>
        <v>0</v>
      </c>
      <c r="P54" s="1268">
        <f>+P53</f>
        <v>156126480.16976923</v>
      </c>
      <c r="Q54" s="1222">
        <f>+Q53</f>
        <v>14310453.816231012</v>
      </c>
      <c r="R54" s="1267">
        <f t="shared" si="3"/>
        <v>141816026.35353822</v>
      </c>
      <c r="S54" s="1244">
        <f>+P$25*(R54+P54)/2</f>
        <v>28824053.04616353</v>
      </c>
      <c r="T54" s="1267">
        <f>T53</f>
        <v>3158242</v>
      </c>
      <c r="U54" s="1267">
        <f>U53</f>
        <v>479087.75363699964</v>
      </c>
      <c r="V54" s="1267">
        <f>+V53</f>
        <v>2679154.2463630005</v>
      </c>
      <c r="W54" s="1244">
        <f>+T$25*(V54+T54)/2</f>
        <v>533770.8846324087</v>
      </c>
      <c r="X54" s="1268">
        <v>0</v>
      </c>
      <c r="Y54" s="1508">
        <v>0</v>
      </c>
      <c r="Z54" s="1508">
        <v>0</v>
      </c>
      <c r="AA54" s="1244">
        <v>0</v>
      </c>
      <c r="AB54" s="1268">
        <v>0</v>
      </c>
      <c r="AC54" s="1267">
        <v>0</v>
      </c>
      <c r="AD54" s="1267">
        <v>0</v>
      </c>
      <c r="AE54" s="1244">
        <v>0</v>
      </c>
      <c r="AF54" s="1268">
        <v>0</v>
      </c>
      <c r="AG54" s="1267">
        <v>0</v>
      </c>
      <c r="AH54" s="1267">
        <v>0</v>
      </c>
      <c r="AI54" s="1244">
        <v>0</v>
      </c>
      <c r="AJ54" s="1268">
        <v>0</v>
      </c>
      <c r="AK54" s="1267">
        <v>0</v>
      </c>
      <c r="AL54" s="1267">
        <v>0</v>
      </c>
      <c r="AM54" s="1244">
        <v>0</v>
      </c>
      <c r="AN54" s="1268">
        <v>0</v>
      </c>
      <c r="AO54" s="1267">
        <v>0</v>
      </c>
      <c r="AP54" s="1267">
        <v>0</v>
      </c>
      <c r="AQ54" s="1244">
        <v>0</v>
      </c>
      <c r="AR54" s="1268">
        <v>0</v>
      </c>
      <c r="AS54" s="1267">
        <v>0</v>
      </c>
      <c r="AT54" s="1267">
        <v>0</v>
      </c>
      <c r="AU54" s="1244">
        <v>0</v>
      </c>
      <c r="AV54" s="1268">
        <v>0</v>
      </c>
      <c r="AW54" s="1508">
        <v>0</v>
      </c>
      <c r="AX54" s="1508">
        <v>0</v>
      </c>
      <c r="AY54" s="1244">
        <v>0</v>
      </c>
      <c r="AZ54" s="1268">
        <v>0</v>
      </c>
      <c r="BA54" s="1267">
        <v>0</v>
      </c>
      <c r="BB54" s="1267">
        <v>0</v>
      </c>
      <c r="BC54" s="1244">
        <v>0</v>
      </c>
      <c r="BD54" s="1268">
        <v>0</v>
      </c>
      <c r="BE54" s="1267">
        <v>0</v>
      </c>
      <c r="BF54" s="1267">
        <v>0</v>
      </c>
      <c r="BG54" s="1244">
        <v>0</v>
      </c>
      <c r="BH54" s="1411">
        <v>0</v>
      </c>
      <c r="BI54" s="1509">
        <v>0</v>
      </c>
      <c r="BJ54" s="1509">
        <v>0</v>
      </c>
      <c r="BK54" s="1244">
        <v>0</v>
      </c>
      <c r="BL54" s="1411">
        <v>0</v>
      </c>
      <c r="BM54" s="1509">
        <v>0</v>
      </c>
      <c r="BN54" s="1509">
        <v>0</v>
      </c>
      <c r="BO54" s="1244">
        <v>0</v>
      </c>
      <c r="BP54" s="1268">
        <v>0</v>
      </c>
      <c r="BQ54" s="1508">
        <v>0</v>
      </c>
      <c r="BR54" s="1508">
        <v>0</v>
      </c>
      <c r="BS54" s="1244">
        <v>0</v>
      </c>
      <c r="BT54" s="1484">
        <v>0</v>
      </c>
      <c r="BU54" s="1526">
        <v>0</v>
      </c>
      <c r="BV54" s="1526">
        <v>0</v>
      </c>
      <c r="BW54" s="1526">
        <v>0</v>
      </c>
      <c r="BX54" s="1244">
        <v>0</v>
      </c>
      <c r="BY54" s="1484">
        <v>0</v>
      </c>
      <c r="BZ54" s="1526">
        <v>0</v>
      </c>
      <c r="CA54" s="1526">
        <v>0</v>
      </c>
      <c r="CB54" s="1526">
        <v>0</v>
      </c>
      <c r="CC54" s="1244">
        <v>0</v>
      </c>
      <c r="CD54" s="1484">
        <v>0</v>
      </c>
      <c r="CE54" s="1415">
        <v>0</v>
      </c>
      <c r="CF54" s="1415">
        <v>0</v>
      </c>
      <c r="CG54" s="1415">
        <v>0</v>
      </c>
      <c r="CH54" s="1244">
        <v>0</v>
      </c>
      <c r="CI54" s="1484">
        <v>0</v>
      </c>
      <c r="CJ54" s="1526">
        <v>0</v>
      </c>
      <c r="CK54" s="1526">
        <v>0</v>
      </c>
      <c r="CL54" s="1526">
        <v>0</v>
      </c>
      <c r="CM54" s="1244">
        <v>0</v>
      </c>
      <c r="CN54" s="1269">
        <f t="shared" si="4"/>
        <v>74457760.67512713</v>
      </c>
      <c r="CO54" s="1271">
        <f>+CN54</f>
        <v>74457760.67512713</v>
      </c>
      <c r="CP54" s="1237"/>
      <c r="CR54" s="1181">
        <f>CO54-CP53</f>
        <v>3259249.291235417</v>
      </c>
    </row>
    <row r="55" spans="1:94" ht="13.5">
      <c r="A55" s="1147">
        <f t="shared" si="1"/>
        <v>41</v>
      </c>
      <c r="B55" s="1233" t="str">
        <f t="shared" si="7"/>
        <v>FCR W base ROE</v>
      </c>
      <c r="C55" s="1266">
        <f t="shared" si="6"/>
        <v>2018</v>
      </c>
      <c r="D55" s="1267">
        <f>+F54</f>
        <v>0</v>
      </c>
      <c r="E55" s="1267">
        <f>+D$27</f>
        <v>0</v>
      </c>
      <c r="F55" s="1267">
        <f t="shared" si="5"/>
        <v>0</v>
      </c>
      <c r="G55" s="1244">
        <f>+D$24*(D55+F55)/2+E55</f>
        <v>0</v>
      </c>
      <c r="H55" s="1267">
        <v>262950644.58900008</v>
      </c>
      <c r="I55" s="1267">
        <v>57985782.8429489</v>
      </c>
      <c r="J55" s="1267">
        <f>+H55-I55</f>
        <v>204964861.7460512</v>
      </c>
      <c r="K55" s="1244">
        <f>+H$24*(J55+H55)/2</f>
        <v>42786143.54906863</v>
      </c>
      <c r="L55" s="1267">
        <v>0</v>
      </c>
      <c r="M55" s="1267">
        <f>+L$27</f>
        <v>0</v>
      </c>
      <c r="N55" s="1267">
        <f t="shared" si="2"/>
        <v>0</v>
      </c>
      <c r="O55" s="1222">
        <f>+L$24*(L55+N55)/2</f>
        <v>0</v>
      </c>
      <c r="P55" s="1268">
        <v>155913692.67899996</v>
      </c>
      <c r="Q55" s="1267">
        <v>18427675.523202304</v>
      </c>
      <c r="R55" s="1267">
        <f t="shared" si="3"/>
        <v>137486017.15579766</v>
      </c>
      <c r="S55" s="1244">
        <f>+P$24*(R55+P55)/2</f>
        <v>26828437.895917542</v>
      </c>
      <c r="T55" s="1267">
        <v>3158242</v>
      </c>
      <c r="U55" s="1267">
        <v>562465.3368929992</v>
      </c>
      <c r="V55" s="1267">
        <f>+T55-U55</f>
        <v>2595776.6631070008</v>
      </c>
      <c r="W55" s="1244">
        <f>+T$24*(V55+T55)/2</f>
        <v>526146.8473913535</v>
      </c>
      <c r="X55" s="1268">
        <v>21554.681538461537</v>
      </c>
      <c r="Y55" s="1508">
        <f>+X$27</f>
        <v>0</v>
      </c>
      <c r="Z55" s="1508">
        <f aca="true" t="shared" si="8" ref="Z55:Z60">+X55-Y55</f>
        <v>21554.681538461537</v>
      </c>
      <c r="AA55" s="1244">
        <f>+X$24*(X55+Z55)/2</f>
        <v>3941.915520956054</v>
      </c>
      <c r="AB55" s="1267">
        <v>0</v>
      </c>
      <c r="AC55" s="1267">
        <v>0</v>
      </c>
      <c r="AD55" s="1267">
        <f>+AB55-AC55</f>
        <v>0</v>
      </c>
      <c r="AE55" s="1244">
        <f>+AB$24*(AD55+AB55)/2</f>
        <v>0</v>
      </c>
      <c r="AF55" s="1267">
        <v>2004.1353846153847</v>
      </c>
      <c r="AG55" s="1267">
        <f>+AF$27</f>
        <v>0</v>
      </c>
      <c r="AH55" s="1267">
        <f aca="true" t="shared" si="9" ref="AH55:AH60">+AF55-AG55</f>
        <v>2004.1353846153847</v>
      </c>
      <c r="AI55" s="1244">
        <f>+AF$24*(AF55+AH55)/2</f>
        <v>366.51584782711143</v>
      </c>
      <c r="AJ55" s="1267">
        <v>0</v>
      </c>
      <c r="AK55" s="1267">
        <v>0</v>
      </c>
      <c r="AL55" s="1267">
        <f>+AJ55-AK55</f>
        <v>0</v>
      </c>
      <c r="AM55" s="1244">
        <f>+AJ$24*(AL55+AJ55)/2</f>
        <v>0</v>
      </c>
      <c r="AN55" s="1268">
        <v>0</v>
      </c>
      <c r="AO55" s="1267">
        <v>0</v>
      </c>
      <c r="AP55" s="1267">
        <v>0</v>
      </c>
      <c r="AQ55" s="1244">
        <v>0</v>
      </c>
      <c r="AR55" s="1268">
        <v>0</v>
      </c>
      <c r="AS55" s="1267">
        <v>0</v>
      </c>
      <c r="AT55" s="1267">
        <v>0</v>
      </c>
      <c r="AU55" s="1244">
        <v>0</v>
      </c>
      <c r="AV55" s="1268">
        <v>0</v>
      </c>
      <c r="AW55" s="1508">
        <v>0</v>
      </c>
      <c r="AX55" s="1508">
        <v>0</v>
      </c>
      <c r="AY55" s="1244">
        <v>0</v>
      </c>
      <c r="AZ55" s="1268">
        <v>0</v>
      </c>
      <c r="BA55" s="1267">
        <v>0</v>
      </c>
      <c r="BB55" s="1267">
        <v>0</v>
      </c>
      <c r="BC55" s="1244">
        <v>0</v>
      </c>
      <c r="BD55" s="1268">
        <v>0</v>
      </c>
      <c r="BE55" s="1267">
        <v>0</v>
      </c>
      <c r="BF55" s="1267">
        <v>0</v>
      </c>
      <c r="BG55" s="1244">
        <v>0</v>
      </c>
      <c r="BH55" s="1411">
        <v>0</v>
      </c>
      <c r="BI55" s="1509">
        <v>0</v>
      </c>
      <c r="BJ55" s="1509">
        <v>0</v>
      </c>
      <c r="BK55" s="1244">
        <v>0</v>
      </c>
      <c r="BL55" s="1411">
        <v>0</v>
      </c>
      <c r="BM55" s="1509">
        <v>0</v>
      </c>
      <c r="BN55" s="1509">
        <f>+BL55-BM55</f>
        <v>0</v>
      </c>
      <c r="BO55" s="1244">
        <f>+BL$24*(BN55+BL55)/2</f>
        <v>0</v>
      </c>
      <c r="BP55" s="1268">
        <v>0</v>
      </c>
      <c r="BQ55" s="1508">
        <v>0</v>
      </c>
      <c r="BR55" s="1508">
        <v>0</v>
      </c>
      <c r="BS55" s="1244">
        <v>0</v>
      </c>
      <c r="BT55" s="1484">
        <v>0</v>
      </c>
      <c r="BU55" s="1526">
        <v>0</v>
      </c>
      <c r="BV55" s="1526">
        <v>0</v>
      </c>
      <c r="BW55" s="1526">
        <v>0</v>
      </c>
      <c r="BX55" s="1244">
        <v>0</v>
      </c>
      <c r="BY55" s="1484">
        <v>0</v>
      </c>
      <c r="BZ55" s="1526">
        <v>0</v>
      </c>
      <c r="CA55" s="1526">
        <v>0</v>
      </c>
      <c r="CB55" s="1526">
        <v>0</v>
      </c>
      <c r="CC55" s="1244">
        <v>0</v>
      </c>
      <c r="CD55" s="1484">
        <v>0</v>
      </c>
      <c r="CE55" s="1415">
        <v>0</v>
      </c>
      <c r="CF55" s="1415">
        <v>0</v>
      </c>
      <c r="CG55" s="1415">
        <v>0</v>
      </c>
      <c r="CH55" s="1244">
        <v>0</v>
      </c>
      <c r="CI55" s="1484">
        <v>0</v>
      </c>
      <c r="CJ55" s="1526">
        <v>0</v>
      </c>
      <c r="CK55" s="1526">
        <v>0</v>
      </c>
      <c r="CL55" s="1526">
        <v>0</v>
      </c>
      <c r="CM55" s="1244">
        <v>0</v>
      </c>
      <c r="CN55" s="1269">
        <f t="shared" si="4"/>
        <v>70145036.7237463</v>
      </c>
      <c r="CO55" s="1232"/>
      <c r="CP55" s="1270">
        <f>+CN55</f>
        <v>70145036.7237463</v>
      </c>
    </row>
    <row r="56" spans="1:94" ht="13.5">
      <c r="A56" s="1147">
        <f t="shared" si="1"/>
        <v>42</v>
      </c>
      <c r="B56" s="1233" t="str">
        <f t="shared" si="7"/>
        <v>W Increased ROE</v>
      </c>
      <c r="C56" s="1266">
        <f t="shared" si="6"/>
        <v>2018</v>
      </c>
      <c r="D56" s="1267">
        <f>+D55</f>
        <v>0</v>
      </c>
      <c r="E56" s="1267">
        <f>+E55</f>
        <v>0</v>
      </c>
      <c r="F56" s="1267">
        <f t="shared" si="5"/>
        <v>0</v>
      </c>
      <c r="G56" s="1244">
        <f>+D$25*(F56+D56)/2+E56</f>
        <v>0</v>
      </c>
      <c r="H56" s="1267">
        <f>+H55</f>
        <v>262950644.58900008</v>
      </c>
      <c r="I56" s="1267">
        <f>I55</f>
        <v>57985782.8429489</v>
      </c>
      <c r="J56" s="1267">
        <f>+J55</f>
        <v>204964861.7460512</v>
      </c>
      <c r="K56" s="1244">
        <f>+H$25*(J56+H56)/2</f>
        <v>44440624.992209285</v>
      </c>
      <c r="L56" s="1267">
        <f>+L55</f>
        <v>0</v>
      </c>
      <c r="M56" s="1267">
        <f>+M55</f>
        <v>0</v>
      </c>
      <c r="N56" s="1267">
        <f t="shared" si="2"/>
        <v>0</v>
      </c>
      <c r="O56" s="1222">
        <f>+L$25*(N56+L56)/2</f>
        <v>0</v>
      </c>
      <c r="P56" s="1268">
        <f>+P55</f>
        <v>155913692.67899996</v>
      </c>
      <c r="Q56" s="1222">
        <f>+Q55</f>
        <v>18427675.523202304</v>
      </c>
      <c r="R56" s="1267">
        <f t="shared" si="3"/>
        <v>137486017.15579766</v>
      </c>
      <c r="S56" s="1244">
        <f>+P$25*(R56+P56)/2</f>
        <v>28384566.199336927</v>
      </c>
      <c r="T56" s="1267">
        <f>T55</f>
        <v>3158242</v>
      </c>
      <c r="U56" s="1267">
        <f>U55</f>
        <v>562465.3368929992</v>
      </c>
      <c r="V56" s="1267">
        <f>+V55</f>
        <v>2595776.6631070008</v>
      </c>
      <c r="W56" s="1244">
        <f>+T$25*(V56+T56)/2</f>
        <v>526146.8473913535</v>
      </c>
      <c r="X56" s="1268">
        <f>+X55</f>
        <v>21554.681538461537</v>
      </c>
      <c r="Y56" s="1508">
        <f>+Y55</f>
        <v>0</v>
      </c>
      <c r="Z56" s="1508">
        <f t="shared" si="8"/>
        <v>21554.681538461537</v>
      </c>
      <c r="AA56" s="1244">
        <f>+X$25*(Z56+X56)/2</f>
        <v>3941.915520956054</v>
      </c>
      <c r="AB56" s="1267">
        <f>+AB55</f>
        <v>0</v>
      </c>
      <c r="AC56" s="1267">
        <f>AC55</f>
        <v>0</v>
      </c>
      <c r="AD56" s="1267">
        <f>+AD55</f>
        <v>0</v>
      </c>
      <c r="AE56" s="1244">
        <f>+AB$25*(AD56+AB56)/2</f>
        <v>0</v>
      </c>
      <c r="AF56" s="1267">
        <f>+AF55</f>
        <v>2004.1353846153847</v>
      </c>
      <c r="AG56" s="1267">
        <f>+AG55</f>
        <v>0</v>
      </c>
      <c r="AH56" s="1267">
        <f t="shared" si="9"/>
        <v>2004.1353846153847</v>
      </c>
      <c r="AI56" s="1244">
        <f>+AF$25*(AH56+AF56)/2</f>
        <v>366.51584782711143</v>
      </c>
      <c r="AJ56" s="1267">
        <f>+AJ55</f>
        <v>0</v>
      </c>
      <c r="AK56" s="1267">
        <f>AK55</f>
        <v>0</v>
      </c>
      <c r="AL56" s="1267">
        <f>+AL55</f>
        <v>0</v>
      </c>
      <c r="AM56" s="1244">
        <f>+AJ$25*(AL56+AJ56)/2</f>
        <v>0</v>
      </c>
      <c r="AN56" s="1268">
        <v>0</v>
      </c>
      <c r="AO56" s="1267">
        <v>0</v>
      </c>
      <c r="AP56" s="1267">
        <v>0</v>
      </c>
      <c r="AQ56" s="1244">
        <v>0</v>
      </c>
      <c r="AR56" s="1268">
        <v>0</v>
      </c>
      <c r="AS56" s="1267">
        <v>0</v>
      </c>
      <c r="AT56" s="1267">
        <v>0</v>
      </c>
      <c r="AU56" s="1244">
        <v>0</v>
      </c>
      <c r="AV56" s="1268">
        <v>0</v>
      </c>
      <c r="AW56" s="1508">
        <v>0</v>
      </c>
      <c r="AX56" s="1508">
        <v>0</v>
      </c>
      <c r="AY56" s="1244">
        <v>0</v>
      </c>
      <c r="AZ56" s="1268">
        <v>0</v>
      </c>
      <c r="BA56" s="1267">
        <v>0</v>
      </c>
      <c r="BB56" s="1267">
        <v>0</v>
      </c>
      <c r="BC56" s="1244">
        <v>0</v>
      </c>
      <c r="BD56" s="1268">
        <v>0</v>
      </c>
      <c r="BE56" s="1267">
        <v>0</v>
      </c>
      <c r="BF56" s="1267">
        <v>0</v>
      </c>
      <c r="BG56" s="1244">
        <v>0</v>
      </c>
      <c r="BH56" s="1411">
        <v>0</v>
      </c>
      <c r="BI56" s="1509">
        <v>0</v>
      </c>
      <c r="BJ56" s="1509">
        <v>0</v>
      </c>
      <c r="BK56" s="1244">
        <v>0</v>
      </c>
      <c r="BL56" s="1411">
        <f>+BL55</f>
        <v>0</v>
      </c>
      <c r="BM56" s="1509">
        <f>BM55</f>
        <v>0</v>
      </c>
      <c r="BN56" s="1509">
        <f>+BN55</f>
        <v>0</v>
      </c>
      <c r="BO56" s="1244">
        <f>+BL$25*(BN56+BL56)/2</f>
        <v>0</v>
      </c>
      <c r="BP56" s="1268">
        <v>0</v>
      </c>
      <c r="BQ56" s="1508">
        <v>0</v>
      </c>
      <c r="BR56" s="1508">
        <v>0</v>
      </c>
      <c r="BS56" s="1244">
        <v>0</v>
      </c>
      <c r="BT56" s="1484">
        <v>0</v>
      </c>
      <c r="BU56" s="1526">
        <v>0</v>
      </c>
      <c r="BV56" s="1526">
        <v>0</v>
      </c>
      <c r="BW56" s="1526">
        <v>0</v>
      </c>
      <c r="BX56" s="1244">
        <v>0</v>
      </c>
      <c r="BY56" s="1484">
        <v>0</v>
      </c>
      <c r="BZ56" s="1526">
        <v>0</v>
      </c>
      <c r="CA56" s="1526">
        <v>0</v>
      </c>
      <c r="CB56" s="1526">
        <v>0</v>
      </c>
      <c r="CC56" s="1244">
        <v>0</v>
      </c>
      <c r="CD56" s="1484">
        <v>0</v>
      </c>
      <c r="CE56" s="1415">
        <v>0</v>
      </c>
      <c r="CF56" s="1415">
        <v>0</v>
      </c>
      <c r="CG56" s="1415">
        <v>0</v>
      </c>
      <c r="CH56" s="1244">
        <v>0</v>
      </c>
      <c r="CI56" s="1484">
        <v>0</v>
      </c>
      <c r="CJ56" s="1526">
        <v>0</v>
      </c>
      <c r="CK56" s="1526">
        <v>0</v>
      </c>
      <c r="CL56" s="1526">
        <v>0</v>
      </c>
      <c r="CM56" s="1244">
        <v>0</v>
      </c>
      <c r="CN56" s="1269">
        <f t="shared" si="4"/>
        <v>73355646.47030635</v>
      </c>
      <c r="CO56" s="1271">
        <f>+CN56</f>
        <v>73355646.47030635</v>
      </c>
      <c r="CP56" s="1237"/>
    </row>
    <row r="57" spans="1:94" ht="13.5">
      <c r="A57" s="1147">
        <f t="shared" si="1"/>
        <v>43</v>
      </c>
      <c r="B57" s="1233" t="str">
        <f t="shared" si="7"/>
        <v>FCR W base ROE</v>
      </c>
      <c r="C57" s="1266">
        <f t="shared" si="6"/>
        <v>2019</v>
      </c>
      <c r="D57" s="1267">
        <f>+F56</f>
        <v>0</v>
      </c>
      <c r="E57" s="1267">
        <f>+D$27</f>
        <v>0</v>
      </c>
      <c r="F57" s="1267">
        <f aca="true" t="shared" si="10" ref="F57:F62">+D57-E57</f>
        <v>0</v>
      </c>
      <c r="G57" s="1244">
        <f>+D$24*(D57+F57)/2+E57</f>
        <v>0</v>
      </c>
      <c r="H57" s="1267">
        <v>262950644.58900008</v>
      </c>
      <c r="I57" s="1267">
        <v>64927680.92569688</v>
      </c>
      <c r="J57" s="1267">
        <f>+H57-I57</f>
        <v>198022963.6633032</v>
      </c>
      <c r="K57" s="1244">
        <f>+H$24*(J57+H57)/2</f>
        <v>42151377.135367475</v>
      </c>
      <c r="L57" s="1267">
        <v>0</v>
      </c>
      <c r="M57" s="1267">
        <v>0</v>
      </c>
      <c r="N57" s="1267">
        <f t="shared" si="2"/>
        <v>0</v>
      </c>
      <c r="O57" s="1222">
        <f>+L$24*(L57+N57)/2</f>
        <v>0</v>
      </c>
      <c r="P57" s="1268">
        <v>155913692.67899996</v>
      </c>
      <c r="Q57" s="1267">
        <v>22543796.725927915</v>
      </c>
      <c r="R57" s="1267">
        <f t="shared" si="3"/>
        <v>133369895.95307204</v>
      </c>
      <c r="S57" s="1244">
        <f>+P$24*(R57+P57)/2</f>
        <v>26452060.216056943</v>
      </c>
      <c r="T57" s="1267">
        <v>3158242</v>
      </c>
      <c r="U57" s="1267">
        <v>645842.9201489991</v>
      </c>
      <c r="V57" s="1267">
        <f>+T57-U57</f>
        <v>2512399.079851001</v>
      </c>
      <c r="W57" s="1244">
        <f>+T$24*(V57+T57)/2</f>
        <v>518522.8101502983</v>
      </c>
      <c r="X57" s="1268">
        <v>2754574.397692308</v>
      </c>
      <c r="Y57" s="1508">
        <v>0</v>
      </c>
      <c r="Z57" s="1508">
        <f t="shared" si="8"/>
        <v>2754574.397692308</v>
      </c>
      <c r="AA57" s="1244">
        <f>+X$24*(X57+Z57)/2</f>
        <v>503755.9730361246</v>
      </c>
      <c r="AB57" s="1267">
        <v>0</v>
      </c>
      <c r="AC57" s="1267">
        <v>0</v>
      </c>
      <c r="AD57" s="1267">
        <f>+AB57-AC57</f>
        <v>0</v>
      </c>
      <c r="AE57" s="1244">
        <f>+AB$24*(AD57+AB57)/2</f>
        <v>0</v>
      </c>
      <c r="AF57" s="1267">
        <v>1188866.1884615384</v>
      </c>
      <c r="AG57" s="1267">
        <v>0</v>
      </c>
      <c r="AH57" s="1267">
        <f t="shared" si="9"/>
        <v>1188866.1884615384</v>
      </c>
      <c r="AI57" s="1244">
        <f>+AF$24*(AF57+AH57)/2</f>
        <v>217419.59268913866</v>
      </c>
      <c r="AJ57" s="1267">
        <v>12737.962307692309</v>
      </c>
      <c r="AK57" s="1267">
        <v>0</v>
      </c>
      <c r="AL57" s="1267">
        <f>+AJ57-AK57</f>
        <v>12737.962307692309</v>
      </c>
      <c r="AM57" s="1244">
        <f>+AJ$24*(AL57+AJ57)/2</f>
        <v>2329.515805485168</v>
      </c>
      <c r="AN57" s="1268">
        <v>0</v>
      </c>
      <c r="AO57" s="1267">
        <v>0</v>
      </c>
      <c r="AP57" s="1267">
        <v>0</v>
      </c>
      <c r="AQ57" s="1244">
        <v>0</v>
      </c>
      <c r="AR57" s="1268">
        <v>0</v>
      </c>
      <c r="AS57" s="1267">
        <v>0</v>
      </c>
      <c r="AT57" s="1267">
        <v>0</v>
      </c>
      <c r="AU57" s="1244">
        <v>0</v>
      </c>
      <c r="AV57" s="1268">
        <v>0</v>
      </c>
      <c r="AW57" s="1508">
        <v>0</v>
      </c>
      <c r="AX57" s="1508">
        <v>0</v>
      </c>
      <c r="AY57" s="1244">
        <v>0</v>
      </c>
      <c r="AZ57" s="1268">
        <v>0</v>
      </c>
      <c r="BA57" s="1267">
        <v>0</v>
      </c>
      <c r="BB57" s="1267">
        <v>0</v>
      </c>
      <c r="BC57" s="1244">
        <v>0</v>
      </c>
      <c r="BD57" s="1268">
        <v>0</v>
      </c>
      <c r="BE57" s="1267">
        <v>0</v>
      </c>
      <c r="BF57" s="1267">
        <v>0</v>
      </c>
      <c r="BG57" s="1244">
        <v>0</v>
      </c>
      <c r="BH57" s="1411">
        <v>0</v>
      </c>
      <c r="BI57" s="1509">
        <v>0</v>
      </c>
      <c r="BJ57" s="1509">
        <v>0</v>
      </c>
      <c r="BK57" s="1244">
        <v>0</v>
      </c>
      <c r="BL57" s="1411">
        <f>+BL56</f>
        <v>0</v>
      </c>
      <c r="BM57" s="1509">
        <f>BM56</f>
        <v>0</v>
      </c>
      <c r="BN57" s="1509">
        <f>+BN56</f>
        <v>0</v>
      </c>
      <c r="BO57" s="1244">
        <f>+BL$25*(BN57+BL57)/2</f>
        <v>0</v>
      </c>
      <c r="BP57" s="1268">
        <v>0</v>
      </c>
      <c r="BQ57" s="1508">
        <v>0</v>
      </c>
      <c r="BR57" s="1508">
        <v>0</v>
      </c>
      <c r="BS57" s="1244">
        <v>0</v>
      </c>
      <c r="BT57" s="1484">
        <v>0</v>
      </c>
      <c r="BU57" s="1526">
        <v>0</v>
      </c>
      <c r="BV57" s="1526">
        <v>0</v>
      </c>
      <c r="BW57" s="1526">
        <v>0</v>
      </c>
      <c r="BX57" s="1244">
        <v>0</v>
      </c>
      <c r="BY57" s="1484">
        <v>0</v>
      </c>
      <c r="BZ57" s="1526">
        <v>0</v>
      </c>
      <c r="CA57" s="1526">
        <v>0</v>
      </c>
      <c r="CB57" s="1526">
        <v>0</v>
      </c>
      <c r="CC57" s="1244">
        <v>0</v>
      </c>
      <c r="CD57" s="1484">
        <v>0</v>
      </c>
      <c r="CE57" s="1415">
        <v>0</v>
      </c>
      <c r="CF57" s="1415">
        <v>0</v>
      </c>
      <c r="CG57" s="1415">
        <v>0</v>
      </c>
      <c r="CH57" s="1244">
        <v>0</v>
      </c>
      <c r="CI57" s="1484">
        <v>0</v>
      </c>
      <c r="CJ57" s="1526">
        <v>0</v>
      </c>
      <c r="CK57" s="1526">
        <v>0</v>
      </c>
      <c r="CL57" s="1526">
        <v>0</v>
      </c>
      <c r="CM57" s="1244">
        <v>0</v>
      </c>
      <c r="CN57" s="1269">
        <f t="shared" si="4"/>
        <v>69845465.24310547</v>
      </c>
      <c r="CO57" s="1232"/>
      <c r="CP57" s="1270">
        <f>+CN57</f>
        <v>69845465.24310547</v>
      </c>
    </row>
    <row r="58" spans="1:94" ht="13.5">
      <c r="A58" s="1147">
        <f t="shared" si="1"/>
        <v>44</v>
      </c>
      <c r="B58" s="1233" t="str">
        <f t="shared" si="7"/>
        <v>W Increased ROE</v>
      </c>
      <c r="C58" s="1266">
        <f t="shared" si="6"/>
        <v>2019</v>
      </c>
      <c r="D58" s="1267">
        <f>+D57</f>
        <v>0</v>
      </c>
      <c r="E58" s="1267">
        <f>+E57</f>
        <v>0</v>
      </c>
      <c r="F58" s="1267">
        <f t="shared" si="10"/>
        <v>0</v>
      </c>
      <c r="G58" s="1244">
        <f>+D$25*(F58+D58)/2+E58</f>
        <v>0</v>
      </c>
      <c r="H58" s="1267">
        <f>+H57</f>
        <v>262950644.58900008</v>
      </c>
      <c r="I58" s="1267">
        <f>I57</f>
        <v>64927680.92569688</v>
      </c>
      <c r="J58" s="1267">
        <f>+J57</f>
        <v>198022963.6633032</v>
      </c>
      <c r="K58" s="1244">
        <f>+H$25*(J58+H58)/2</f>
        <v>43781313.032565355</v>
      </c>
      <c r="L58" s="1267">
        <f>+L57</f>
        <v>0</v>
      </c>
      <c r="M58" s="1267">
        <f>+M57</f>
        <v>0</v>
      </c>
      <c r="N58" s="1267">
        <f t="shared" si="2"/>
        <v>0</v>
      </c>
      <c r="O58" s="1222">
        <f>+L$25*(N58+L58)/2</f>
        <v>0</v>
      </c>
      <c r="P58" s="1268">
        <f>+P57</f>
        <v>155913692.67899996</v>
      </c>
      <c r="Q58" s="1222">
        <f>+Q57</f>
        <v>22543796.725927915</v>
      </c>
      <c r="R58" s="1267">
        <f t="shared" si="3"/>
        <v>133369895.95307204</v>
      </c>
      <c r="S58" s="1244">
        <f>+P$25*(R58+P58)/2</f>
        <v>27986357.507075284</v>
      </c>
      <c r="T58" s="1267">
        <f>T57</f>
        <v>3158242</v>
      </c>
      <c r="U58" s="1267">
        <f>U57</f>
        <v>645842.9201489991</v>
      </c>
      <c r="V58" s="1267">
        <f>+V57</f>
        <v>2512399.079851001</v>
      </c>
      <c r="W58" s="1244">
        <f>+T$25*(V58+T58)/2</f>
        <v>518522.8101502983</v>
      </c>
      <c r="X58" s="1268">
        <f>+X57</f>
        <v>2754574.397692308</v>
      </c>
      <c r="Y58" s="1508">
        <f>+Y57</f>
        <v>0</v>
      </c>
      <c r="Z58" s="1508">
        <f t="shared" si="8"/>
        <v>2754574.397692308</v>
      </c>
      <c r="AA58" s="1244">
        <f>+X$25*(Z58+X58)/2</f>
        <v>503755.9730361246</v>
      </c>
      <c r="AB58" s="1267">
        <f>+AB57</f>
        <v>0</v>
      </c>
      <c r="AC58" s="1267">
        <f>AC57</f>
        <v>0</v>
      </c>
      <c r="AD58" s="1267">
        <f>+AD57</f>
        <v>0</v>
      </c>
      <c r="AE58" s="1244">
        <f>+AB$25*(AD58+AB58)/2</f>
        <v>0</v>
      </c>
      <c r="AF58" s="1267">
        <f>+AF57</f>
        <v>1188866.1884615384</v>
      </c>
      <c r="AG58" s="1267">
        <f>+AG57</f>
        <v>0</v>
      </c>
      <c r="AH58" s="1267">
        <f t="shared" si="9"/>
        <v>1188866.1884615384</v>
      </c>
      <c r="AI58" s="1244">
        <f>+AF$25*(AH58+AF58)/2</f>
        <v>217419.59268913866</v>
      </c>
      <c r="AJ58" s="1267">
        <f>+AJ57</f>
        <v>12737.962307692309</v>
      </c>
      <c r="AK58" s="1267">
        <f>AK57</f>
        <v>0</v>
      </c>
      <c r="AL58" s="1267">
        <f>+AL57</f>
        <v>12737.962307692309</v>
      </c>
      <c r="AM58" s="1244">
        <f>+AJ$25*(AL58+AJ58)/2</f>
        <v>2329.515805485168</v>
      </c>
      <c r="AN58" s="1268">
        <v>0</v>
      </c>
      <c r="AO58" s="1267">
        <v>0</v>
      </c>
      <c r="AP58" s="1267">
        <v>0</v>
      </c>
      <c r="AQ58" s="1244">
        <v>0</v>
      </c>
      <c r="AR58" s="1268">
        <v>0</v>
      </c>
      <c r="AS58" s="1267">
        <v>0</v>
      </c>
      <c r="AT58" s="1267">
        <v>0</v>
      </c>
      <c r="AU58" s="1244">
        <v>0</v>
      </c>
      <c r="AV58" s="1268">
        <v>0</v>
      </c>
      <c r="AW58" s="1508">
        <v>0</v>
      </c>
      <c r="AX58" s="1508">
        <v>0</v>
      </c>
      <c r="AY58" s="1244">
        <v>0</v>
      </c>
      <c r="AZ58" s="1268">
        <v>0</v>
      </c>
      <c r="BA58" s="1267">
        <v>0</v>
      </c>
      <c r="BB58" s="1267">
        <v>0</v>
      </c>
      <c r="BC58" s="1244">
        <v>0</v>
      </c>
      <c r="BD58" s="1268">
        <v>0</v>
      </c>
      <c r="BE58" s="1267">
        <v>0</v>
      </c>
      <c r="BF58" s="1267">
        <v>0</v>
      </c>
      <c r="BG58" s="1244">
        <v>0</v>
      </c>
      <c r="BH58" s="1411">
        <v>0</v>
      </c>
      <c r="BI58" s="1509">
        <v>0</v>
      </c>
      <c r="BJ58" s="1509">
        <v>0</v>
      </c>
      <c r="BK58" s="1244">
        <v>0</v>
      </c>
      <c r="BL58" s="1411">
        <f>+BL57</f>
        <v>0</v>
      </c>
      <c r="BM58" s="1509">
        <f>BM57</f>
        <v>0</v>
      </c>
      <c r="BN58" s="1509">
        <f>+BN57</f>
        <v>0</v>
      </c>
      <c r="BO58" s="1244">
        <f>+BL$25*(BN58+BL58)/2</f>
        <v>0</v>
      </c>
      <c r="BP58" s="1268">
        <v>0</v>
      </c>
      <c r="BQ58" s="1508">
        <v>0</v>
      </c>
      <c r="BR58" s="1508">
        <v>0</v>
      </c>
      <c r="BS58" s="1244">
        <v>0</v>
      </c>
      <c r="BT58" s="1484">
        <v>0</v>
      </c>
      <c r="BU58" s="1526">
        <v>0</v>
      </c>
      <c r="BV58" s="1526">
        <v>0</v>
      </c>
      <c r="BW58" s="1526">
        <v>0</v>
      </c>
      <c r="BX58" s="1244">
        <v>0</v>
      </c>
      <c r="BY58" s="1484">
        <v>0</v>
      </c>
      <c r="BZ58" s="1526">
        <v>0</v>
      </c>
      <c r="CA58" s="1526">
        <v>0</v>
      </c>
      <c r="CB58" s="1526">
        <v>0</v>
      </c>
      <c r="CC58" s="1244">
        <v>0</v>
      </c>
      <c r="CD58" s="1484">
        <v>0</v>
      </c>
      <c r="CE58" s="1415">
        <v>0</v>
      </c>
      <c r="CF58" s="1415">
        <v>0</v>
      </c>
      <c r="CG58" s="1415">
        <v>0</v>
      </c>
      <c r="CH58" s="1244">
        <v>0</v>
      </c>
      <c r="CI58" s="1484">
        <v>0</v>
      </c>
      <c r="CJ58" s="1526">
        <v>0</v>
      </c>
      <c r="CK58" s="1526">
        <v>0</v>
      </c>
      <c r="CL58" s="1526">
        <v>0</v>
      </c>
      <c r="CM58" s="1244">
        <v>0</v>
      </c>
      <c r="CN58" s="1269">
        <f t="shared" si="4"/>
        <v>73009698.43132168</v>
      </c>
      <c r="CO58" s="1271">
        <f>+CN58</f>
        <v>73009698.43132168</v>
      </c>
      <c r="CP58" s="1237"/>
    </row>
    <row r="59" spans="1:94" ht="13.5">
      <c r="A59" s="1147">
        <f t="shared" si="1"/>
        <v>45</v>
      </c>
      <c r="B59" s="1233" t="str">
        <f t="shared" si="7"/>
        <v>FCR W base ROE</v>
      </c>
      <c r="C59" s="1266">
        <f t="shared" si="6"/>
        <v>2020</v>
      </c>
      <c r="D59" s="1267">
        <f>+F58</f>
        <v>0</v>
      </c>
      <c r="E59" s="1267">
        <f>+D$27</f>
        <v>0</v>
      </c>
      <c r="F59" s="1267">
        <f t="shared" si="10"/>
        <v>0</v>
      </c>
      <c r="G59" s="1244">
        <f>+D$24*(D59+F59)/2+E59</f>
        <v>0</v>
      </c>
      <c r="H59" s="1267">
        <v>262950644.58900008</v>
      </c>
      <c r="I59" s="1267">
        <v>71869577.91594489</v>
      </c>
      <c r="J59" s="1267">
        <f>+H59-I59</f>
        <v>191081066.67305517</v>
      </c>
      <c r="K59" s="1244">
        <f>+H$24*(J59+H59)/2</f>
        <v>41516610.821564406</v>
      </c>
      <c r="L59" s="1267">
        <v>0</v>
      </c>
      <c r="M59" s="1267">
        <f>+L$27</f>
        <v>0</v>
      </c>
      <c r="N59" s="1267">
        <f t="shared" si="2"/>
        <v>0</v>
      </c>
      <c r="O59" s="1222">
        <f>+L$24*(L59+N59)/2</f>
        <v>0</v>
      </c>
      <c r="P59" s="1268">
        <v>155913692.67899996</v>
      </c>
      <c r="Q59" s="1267">
        <v>26659918.186253533</v>
      </c>
      <c r="R59" s="1267">
        <f t="shared" si="3"/>
        <v>129253774.49274643</v>
      </c>
      <c r="S59" s="1244">
        <f>+P$24*(R59+P59)/2</f>
        <v>26075682.51264143</v>
      </c>
      <c r="T59" s="1267">
        <v>3158242</v>
      </c>
      <c r="U59" s="1267">
        <v>729220.5034049989</v>
      </c>
      <c r="V59" s="1267">
        <f>+T59-U59</f>
        <v>2429021.496595001</v>
      </c>
      <c r="W59" s="1244">
        <f>+T$24*(V59+T59)/2</f>
        <v>510898.772909243</v>
      </c>
      <c r="X59" s="1268">
        <v>14957741.487692313</v>
      </c>
      <c r="Y59" s="1508">
        <v>0</v>
      </c>
      <c r="Z59" s="1508">
        <f t="shared" si="8"/>
        <v>14957741.487692313</v>
      </c>
      <c r="AA59" s="1244">
        <f>+X$24*(X59+Z59)/2</f>
        <v>2735468.54420337</v>
      </c>
      <c r="AB59" s="1267">
        <v>9118312.539230768</v>
      </c>
      <c r="AC59" s="1267">
        <v>78323.72527861538</v>
      </c>
      <c r="AD59" s="1267">
        <f>+AB59-AC59</f>
        <v>9039988.813952152</v>
      </c>
      <c r="AE59" s="1244">
        <f>+AB$24*(AD59+AB59)/2</f>
        <v>1660393.1218048045</v>
      </c>
      <c r="AF59" s="1267">
        <v>5098624.588461538</v>
      </c>
      <c r="AG59" s="1267">
        <v>0</v>
      </c>
      <c r="AH59" s="1267">
        <f t="shared" si="9"/>
        <v>5098624.588461538</v>
      </c>
      <c r="AI59" s="1244">
        <f>+AF$24*(AF59+AH59)/2</f>
        <v>932435.3674593528</v>
      </c>
      <c r="AJ59" s="1267">
        <v>175747.93846153846</v>
      </c>
      <c r="AK59" s="1267">
        <v>1510.4320473846155</v>
      </c>
      <c r="AL59" s="1267">
        <f>+AJ59-AK59</f>
        <v>174237.50641415385</v>
      </c>
      <c r="AM59" s="1244">
        <f>+AJ$24*(AL59+AJ59)/2</f>
        <v>32002.631419129535</v>
      </c>
      <c r="AN59" s="1268">
        <v>0</v>
      </c>
      <c r="AO59" s="1267">
        <v>0</v>
      </c>
      <c r="AP59" s="1267">
        <v>0</v>
      </c>
      <c r="AQ59" s="1244">
        <v>0</v>
      </c>
      <c r="AR59" s="1268">
        <v>0</v>
      </c>
      <c r="AS59" s="1267">
        <v>0</v>
      </c>
      <c r="AT59" s="1267">
        <v>0</v>
      </c>
      <c r="AU59" s="1244">
        <v>0</v>
      </c>
      <c r="AV59" s="1268">
        <v>0</v>
      </c>
      <c r="AW59" s="1508">
        <v>0</v>
      </c>
      <c r="AX59" s="1508">
        <v>0</v>
      </c>
      <c r="AY59" s="1244">
        <v>0</v>
      </c>
      <c r="AZ59" s="1268">
        <v>0</v>
      </c>
      <c r="BA59" s="1267">
        <v>0</v>
      </c>
      <c r="BB59" s="1267">
        <v>0</v>
      </c>
      <c r="BC59" s="1244">
        <v>0</v>
      </c>
      <c r="BD59" s="1268">
        <v>0</v>
      </c>
      <c r="BE59" s="1267">
        <v>0</v>
      </c>
      <c r="BF59" s="1267">
        <v>0</v>
      </c>
      <c r="BG59" s="1244">
        <v>0</v>
      </c>
      <c r="BH59" s="1411">
        <v>0</v>
      </c>
      <c r="BI59" s="1509">
        <v>0</v>
      </c>
      <c r="BJ59" s="1509">
        <v>0</v>
      </c>
      <c r="BK59" s="1244">
        <v>0</v>
      </c>
      <c r="BL59" s="1411">
        <f>+BL58</f>
        <v>0</v>
      </c>
      <c r="BM59" s="1509">
        <f>BM58</f>
        <v>0</v>
      </c>
      <c r="BN59" s="1509">
        <f>+BN58</f>
        <v>0</v>
      </c>
      <c r="BO59" s="1244">
        <f>+BL$25*(BN59+BL59)/2</f>
        <v>0</v>
      </c>
      <c r="BP59" s="1268">
        <v>0</v>
      </c>
      <c r="BQ59" s="1508">
        <v>0</v>
      </c>
      <c r="BR59" s="1508">
        <v>0</v>
      </c>
      <c r="BS59" s="1244">
        <v>0</v>
      </c>
      <c r="BT59" s="1484">
        <v>0</v>
      </c>
      <c r="BU59" s="1526">
        <v>0</v>
      </c>
      <c r="BV59" s="1526">
        <v>0</v>
      </c>
      <c r="BW59" s="1526">
        <v>0</v>
      </c>
      <c r="BX59" s="1244">
        <v>0</v>
      </c>
      <c r="BY59" s="1484">
        <v>0</v>
      </c>
      <c r="BZ59" s="1526">
        <v>0</v>
      </c>
      <c r="CA59" s="1526">
        <v>0</v>
      </c>
      <c r="CB59" s="1526">
        <v>0</v>
      </c>
      <c r="CC59" s="1244">
        <v>0</v>
      </c>
      <c r="CD59" s="1484">
        <v>0</v>
      </c>
      <c r="CE59" s="1415">
        <v>0</v>
      </c>
      <c r="CF59" s="1415">
        <v>0</v>
      </c>
      <c r="CG59" s="1415">
        <v>0</v>
      </c>
      <c r="CH59" s="1244">
        <v>0</v>
      </c>
      <c r="CI59" s="1484">
        <v>0</v>
      </c>
      <c r="CJ59" s="1526">
        <v>0</v>
      </c>
      <c r="CK59" s="1526">
        <v>0</v>
      </c>
      <c r="CL59" s="1526">
        <v>0</v>
      </c>
      <c r="CM59" s="1244">
        <v>0</v>
      </c>
      <c r="CN59" s="1269">
        <f t="shared" si="4"/>
        <v>73463491.77200173</v>
      </c>
      <c r="CO59" s="1232"/>
      <c r="CP59" s="1270">
        <f>+CN59</f>
        <v>73463491.77200173</v>
      </c>
    </row>
    <row r="60" spans="1:94" ht="13.5">
      <c r="A60" s="1147">
        <f t="shared" si="1"/>
        <v>46</v>
      </c>
      <c r="B60" s="1233" t="str">
        <f t="shared" si="7"/>
        <v>W Increased ROE</v>
      </c>
      <c r="C60" s="1266">
        <f t="shared" si="6"/>
        <v>2020</v>
      </c>
      <c r="D60" s="1267">
        <f>+D59</f>
        <v>0</v>
      </c>
      <c r="E60" s="1267">
        <f>+E59</f>
        <v>0</v>
      </c>
      <c r="F60" s="1267">
        <f t="shared" si="10"/>
        <v>0</v>
      </c>
      <c r="G60" s="1244">
        <f>+D$25*(F60+D60)/2+E60</f>
        <v>0</v>
      </c>
      <c r="H60" s="1267">
        <f>+H59</f>
        <v>262950644.58900008</v>
      </c>
      <c r="I60" s="1267">
        <f>I59</f>
        <v>71869577.91594489</v>
      </c>
      <c r="J60" s="1267">
        <f>+J59</f>
        <v>191081066.67305517</v>
      </c>
      <c r="K60" s="1244">
        <f>+H$25*(J60+H60)/2</f>
        <v>43122001.17668244</v>
      </c>
      <c r="L60" s="1267">
        <f>+L59</f>
        <v>0</v>
      </c>
      <c r="M60" s="1267">
        <f>+M59</f>
        <v>0</v>
      </c>
      <c r="N60" s="1267">
        <f t="shared" si="2"/>
        <v>0</v>
      </c>
      <c r="O60" s="1222">
        <f>+L$25*(N60+L60)/2</f>
        <v>0</v>
      </c>
      <c r="P60" s="1268">
        <f>+P59</f>
        <v>155913692.67899996</v>
      </c>
      <c r="Q60" s="1222">
        <f>+Q59</f>
        <v>26659918.186253533</v>
      </c>
      <c r="R60" s="1267">
        <f t="shared" si="3"/>
        <v>129253774.49274643</v>
      </c>
      <c r="S60" s="1244">
        <f>+P$25*(R60+P60)/2</f>
        <v>27588148.789892472</v>
      </c>
      <c r="T60" s="1267">
        <f>T59</f>
        <v>3158242</v>
      </c>
      <c r="U60" s="1267">
        <f>U59</f>
        <v>729220.5034049989</v>
      </c>
      <c r="V60" s="1267">
        <f>+V59</f>
        <v>2429021.496595001</v>
      </c>
      <c r="W60" s="1244">
        <f>+T$25*(V60+T60)/2</f>
        <v>510898.772909243</v>
      </c>
      <c r="X60" s="1268">
        <f>+X59</f>
        <v>14957741.487692313</v>
      </c>
      <c r="Y60" s="1508">
        <f>+Y59</f>
        <v>0</v>
      </c>
      <c r="Z60" s="1508">
        <f t="shared" si="8"/>
        <v>14957741.487692313</v>
      </c>
      <c r="AA60" s="1244">
        <f>+X$25*(Z60+X60)/2</f>
        <v>2735468.54420337</v>
      </c>
      <c r="AB60" s="1267">
        <f>+AB59</f>
        <v>9118312.539230768</v>
      </c>
      <c r="AC60" s="1267">
        <f>AC59</f>
        <v>78323.72527861538</v>
      </c>
      <c r="AD60" s="1267">
        <f>+AD59</f>
        <v>9039988.813952152</v>
      </c>
      <c r="AE60" s="1244">
        <f>+AB$25*(AD60+AB60)/2</f>
        <v>1660393.1218048045</v>
      </c>
      <c r="AF60" s="1267">
        <f>+AF59</f>
        <v>5098624.588461538</v>
      </c>
      <c r="AG60" s="1267">
        <f>+AG59</f>
        <v>0</v>
      </c>
      <c r="AH60" s="1267">
        <f t="shared" si="9"/>
        <v>5098624.588461538</v>
      </c>
      <c r="AI60" s="1244">
        <f>+AF$25*(AH60+AF60)/2</f>
        <v>932435.3674593528</v>
      </c>
      <c r="AJ60" s="1267">
        <f>+AJ59</f>
        <v>175747.93846153846</v>
      </c>
      <c r="AK60" s="1267">
        <f>AK59</f>
        <v>1510.4320473846155</v>
      </c>
      <c r="AL60" s="1267">
        <f>+AL59</f>
        <v>174237.50641415385</v>
      </c>
      <c r="AM60" s="1244">
        <f>+AJ$25*(AL60+AJ60)/2</f>
        <v>32002.631419129535</v>
      </c>
      <c r="AN60" s="1268">
        <v>0</v>
      </c>
      <c r="AO60" s="1267">
        <v>0</v>
      </c>
      <c r="AP60" s="1267">
        <v>0</v>
      </c>
      <c r="AQ60" s="1244">
        <v>0</v>
      </c>
      <c r="AR60" s="1268">
        <v>0</v>
      </c>
      <c r="AS60" s="1267">
        <v>0</v>
      </c>
      <c r="AT60" s="1267">
        <v>0</v>
      </c>
      <c r="AU60" s="1244">
        <v>0</v>
      </c>
      <c r="AV60" s="1268">
        <v>0</v>
      </c>
      <c r="AW60" s="1508">
        <v>0</v>
      </c>
      <c r="AX60" s="1508">
        <v>0</v>
      </c>
      <c r="AY60" s="1244">
        <v>0</v>
      </c>
      <c r="AZ60" s="1268">
        <v>0</v>
      </c>
      <c r="BA60" s="1267">
        <v>0</v>
      </c>
      <c r="BB60" s="1267">
        <v>0</v>
      </c>
      <c r="BC60" s="1244">
        <v>0</v>
      </c>
      <c r="BD60" s="1268">
        <v>0</v>
      </c>
      <c r="BE60" s="1267">
        <v>0</v>
      </c>
      <c r="BF60" s="1267">
        <v>0</v>
      </c>
      <c r="BG60" s="1244">
        <v>0</v>
      </c>
      <c r="BH60" s="1411">
        <v>0</v>
      </c>
      <c r="BI60" s="1509">
        <v>0</v>
      </c>
      <c r="BJ60" s="1509">
        <v>0</v>
      </c>
      <c r="BK60" s="1244">
        <v>0</v>
      </c>
      <c r="BL60" s="1411">
        <f>+BL59</f>
        <v>0</v>
      </c>
      <c r="BM60" s="1509">
        <f>BM59</f>
        <v>0</v>
      </c>
      <c r="BN60" s="1509">
        <f>+BN59</f>
        <v>0</v>
      </c>
      <c r="BO60" s="1244">
        <f>+BL$25*(BN60+BL60)/2</f>
        <v>0</v>
      </c>
      <c r="BP60" s="1268">
        <v>0</v>
      </c>
      <c r="BQ60" s="1508">
        <v>0</v>
      </c>
      <c r="BR60" s="1508">
        <v>0</v>
      </c>
      <c r="BS60" s="1244">
        <v>0</v>
      </c>
      <c r="BT60" s="1484">
        <v>0</v>
      </c>
      <c r="BU60" s="1526">
        <v>0</v>
      </c>
      <c r="BV60" s="1526">
        <v>0</v>
      </c>
      <c r="BW60" s="1526">
        <v>0</v>
      </c>
      <c r="BX60" s="1244">
        <v>0</v>
      </c>
      <c r="BY60" s="1484">
        <v>0</v>
      </c>
      <c r="BZ60" s="1526">
        <v>0</v>
      </c>
      <c r="CA60" s="1526">
        <v>0</v>
      </c>
      <c r="CB60" s="1526">
        <v>0</v>
      </c>
      <c r="CC60" s="1244">
        <v>0</v>
      </c>
      <c r="CD60" s="1484">
        <v>0</v>
      </c>
      <c r="CE60" s="1415">
        <v>0</v>
      </c>
      <c r="CF60" s="1415">
        <v>0</v>
      </c>
      <c r="CG60" s="1415">
        <v>0</v>
      </c>
      <c r="CH60" s="1244">
        <v>0</v>
      </c>
      <c r="CI60" s="1484">
        <v>0</v>
      </c>
      <c r="CJ60" s="1526">
        <v>0</v>
      </c>
      <c r="CK60" s="1526">
        <v>0</v>
      </c>
      <c r="CL60" s="1526">
        <v>0</v>
      </c>
      <c r="CM60" s="1244">
        <v>0</v>
      </c>
      <c r="CN60" s="1269">
        <f t="shared" si="4"/>
        <v>76581348.4043708</v>
      </c>
      <c r="CO60" s="1271">
        <f>+CN60</f>
        <v>76581348.4043708</v>
      </c>
      <c r="CP60" s="1237"/>
    </row>
    <row r="61" spans="1:94" ht="13.5">
      <c r="A61" s="1147">
        <f t="shared" si="1"/>
        <v>47</v>
      </c>
      <c r="B61" s="1233" t="str">
        <f t="shared" si="7"/>
        <v>FCR W base ROE</v>
      </c>
      <c r="C61" s="1266">
        <f t="shared" si="6"/>
        <v>2021</v>
      </c>
      <c r="D61" s="1410">
        <f>+F60</f>
        <v>0</v>
      </c>
      <c r="E61" s="1410">
        <f>+D$26</f>
        <v>0</v>
      </c>
      <c r="F61" s="1410">
        <f t="shared" si="10"/>
        <v>0</v>
      </c>
      <c r="G61" s="1244">
        <f>+D$24*(D61+F61)/2+E61</f>
        <v>0</v>
      </c>
      <c r="H61" s="1410">
        <v>262950644.58900008</v>
      </c>
      <c r="I61" s="1410">
        <v>78811473.81369297</v>
      </c>
      <c r="J61" s="1415">
        <f>+H61-I61</f>
        <v>184139170.77530712</v>
      </c>
      <c r="K61" s="1416">
        <f>+H$24*(J61+H61)/2</f>
        <v>40881844.60765941</v>
      </c>
      <c r="L61" s="1410">
        <v>0</v>
      </c>
      <c r="M61" s="1410">
        <f>+L$26</f>
        <v>0</v>
      </c>
      <c r="N61" s="1410">
        <f t="shared" si="2"/>
        <v>0</v>
      </c>
      <c r="O61" s="1222">
        <f>+L$24*(L61+N61)/2</f>
        <v>0</v>
      </c>
      <c r="P61" s="1411">
        <v>155913692.67899996</v>
      </c>
      <c r="Q61" s="1410">
        <v>30776040.06257914</v>
      </c>
      <c r="R61" s="1410">
        <f aca="true" t="shared" si="11" ref="R61:R66">+P61-Q61</f>
        <v>125137652.61642082</v>
      </c>
      <c r="S61" s="1244">
        <f>+P$24*(R61+P61)/2</f>
        <v>25699304.77118692</v>
      </c>
      <c r="T61" s="1410">
        <v>3158242</v>
      </c>
      <c r="U61" s="1410">
        <v>812598.0866609985</v>
      </c>
      <c r="V61" s="1410">
        <f>+T61-U61</f>
        <v>2345643.9133390016</v>
      </c>
      <c r="W61" s="1244">
        <f>+T$24*(V61+T61)/2</f>
        <v>503274.73566818796</v>
      </c>
      <c r="X61" s="1411">
        <v>2857080.4930769224</v>
      </c>
      <c r="Y61" s="1509">
        <v>0</v>
      </c>
      <c r="Z61" s="1509">
        <f aca="true" t="shared" si="12" ref="Z61:Z66">+X61-Y61</f>
        <v>2857080.4930769224</v>
      </c>
      <c r="AA61" s="1244">
        <f>+X$24*(X61+Z61)/2</f>
        <v>522502.26569965587</v>
      </c>
      <c r="AB61" s="1410">
        <v>17335940.474615384</v>
      </c>
      <c r="AC61" s="1410">
        <v>399259.93003430765</v>
      </c>
      <c r="AD61" s="1410">
        <f>+AB61-AC61</f>
        <v>16936680.544581078</v>
      </c>
      <c r="AE61" s="1244">
        <f>+AB$24*(AD61+AB61)/2</f>
        <v>3133884.7780781914</v>
      </c>
      <c r="AF61" s="1410">
        <v>4549275.806153845</v>
      </c>
      <c r="AG61" s="1410">
        <v>0</v>
      </c>
      <c r="AH61" s="1410">
        <f aca="true" t="shared" si="13" ref="AH61:AH66">+AF61-AG61</f>
        <v>4549275.806153845</v>
      </c>
      <c r="AI61" s="1244">
        <f>+AF$24*(AF61+AH61)/2</f>
        <v>831970.58037665</v>
      </c>
      <c r="AJ61" s="1410">
        <v>4726975.8823076915</v>
      </c>
      <c r="AK61" s="1410">
        <v>53517.63705369231</v>
      </c>
      <c r="AL61" s="1410">
        <f>+AJ61-AK61</f>
        <v>4673458.245253999</v>
      </c>
      <c r="AM61" s="1244">
        <f>+AJ$24*(AL61+AJ61)/2</f>
        <v>859574.6850873042</v>
      </c>
      <c r="AN61" s="1410">
        <v>674489.4092307679</v>
      </c>
      <c r="AO61" s="1410">
        <v>0</v>
      </c>
      <c r="AP61" s="1410">
        <f aca="true" t="shared" si="14" ref="AP61:AP66">+AN61-AO61</f>
        <v>674489.4092307679</v>
      </c>
      <c r="AQ61" s="1244">
        <f>+AN$24*(AN61+AP61)/2</f>
        <v>123350.47800279464</v>
      </c>
      <c r="AR61" s="1410">
        <v>90672.51000000001</v>
      </c>
      <c r="AS61" s="1410">
        <v>2194.2747420000005</v>
      </c>
      <c r="AT61" s="1410">
        <f>+AR61-AS61</f>
        <v>88478.23525800002</v>
      </c>
      <c r="AU61" s="1244">
        <f>+AR$24*(AT61+AR61)/2</f>
        <v>16381.524868814167</v>
      </c>
      <c r="AV61" s="1411">
        <v>1569.1100000102697</v>
      </c>
      <c r="AW61" s="1509">
        <v>0</v>
      </c>
      <c r="AX61" s="1509">
        <f aca="true" t="shared" si="15" ref="AX61:AX66">+AV61-AW61</f>
        <v>1569.1100000102697</v>
      </c>
      <c r="AY61" s="1244">
        <f>+AV$24*(AV61+AX61)/2</f>
        <v>286.95849911263923</v>
      </c>
      <c r="AZ61" s="1410">
        <v>5363206.846153844</v>
      </c>
      <c r="BA61" s="1410">
        <v>160146.48430507688</v>
      </c>
      <c r="BB61" s="1410">
        <f>+AZ61-BA61</f>
        <v>5203060.361848767</v>
      </c>
      <c r="BC61" s="1244">
        <f>+AZ$24*(BB61+AZ61)/2</f>
        <v>966178.3365129539</v>
      </c>
      <c r="BD61" s="1410">
        <v>10675843.159999998</v>
      </c>
      <c r="BE61" s="1410">
        <v>2077519.078936003</v>
      </c>
      <c r="BF61" s="1410">
        <f>+BD61-BE61</f>
        <v>8598324.081063995</v>
      </c>
      <c r="BG61" s="1244">
        <f>+BD$24*(BF61+BD61)/2</f>
        <v>1762427.7785195184</v>
      </c>
      <c r="BH61" s="1411">
        <v>0</v>
      </c>
      <c r="BI61" s="1509">
        <v>0</v>
      </c>
      <c r="BJ61" s="1509">
        <f aca="true" t="shared" si="16" ref="BJ61:BJ66">+BH61-BI61</f>
        <v>0</v>
      </c>
      <c r="BK61" s="1244">
        <f>+BH$24*(BH61+BJ61)/2</f>
        <v>0</v>
      </c>
      <c r="BL61" s="1411">
        <v>0</v>
      </c>
      <c r="BM61" s="1509">
        <v>0</v>
      </c>
      <c r="BN61" s="1509">
        <f>+BL61-BM61</f>
        <v>0</v>
      </c>
      <c r="BO61" s="1244">
        <f>+BL$24*(BN61+BL61)/2</f>
        <v>0</v>
      </c>
      <c r="BP61" s="1411">
        <v>6736837.040000002</v>
      </c>
      <c r="BQ61" s="1509">
        <v>281599.788272</v>
      </c>
      <c r="BR61" s="1509">
        <f>+BP61-BQ61</f>
        <v>6455237.251728002</v>
      </c>
      <c r="BS61" s="1244">
        <f>+BP$24*(BR61+BP61)/2</f>
        <v>1206281.8536979323</v>
      </c>
      <c r="BT61" s="1485">
        <v>0</v>
      </c>
      <c r="BU61" s="1486">
        <f>BT27</f>
        <v>0</v>
      </c>
      <c r="BV61" s="1527">
        <f>+BT61-BU61</f>
        <v>0</v>
      </c>
      <c r="BW61" s="1527">
        <v>0</v>
      </c>
      <c r="BX61" s="1244">
        <f aca="true" t="shared" si="17" ref="BX61:BX66">+BT$26*(BT61+BV61)/2+BW61</f>
        <v>0</v>
      </c>
      <c r="BY61" s="1485">
        <v>0</v>
      </c>
      <c r="BZ61" s="1486">
        <f>BY27</f>
        <v>0</v>
      </c>
      <c r="CA61" s="1527">
        <f>+BY61-BZ61</f>
        <v>0</v>
      </c>
      <c r="CB61" s="1527">
        <v>0</v>
      </c>
      <c r="CC61" s="1244">
        <f aca="true" t="shared" si="18" ref="CC61:CC66">+BY$26*(BY61+CA61)/2+CB61</f>
        <v>0</v>
      </c>
      <c r="CD61" s="1485">
        <v>0</v>
      </c>
      <c r="CE61" s="1486">
        <f>CD27</f>
        <v>0</v>
      </c>
      <c r="CF61" s="1487">
        <f>+CD61-CE61</f>
        <v>0</v>
      </c>
      <c r="CG61" s="1487">
        <v>0</v>
      </c>
      <c r="CH61" s="1244">
        <f aca="true" t="shared" si="19" ref="CH61:CH66">+CD$26*(CD61+CF61)/2+CG61</f>
        <v>0</v>
      </c>
      <c r="CI61" s="1485">
        <v>0</v>
      </c>
      <c r="CJ61" s="1486">
        <f>CI27</f>
        <v>0</v>
      </c>
      <c r="CK61" s="1527">
        <f>+CI61-CJ61</f>
        <v>0</v>
      </c>
      <c r="CL61" s="1527">
        <v>0</v>
      </c>
      <c r="CM61" s="1244">
        <f aca="true" t="shared" si="20" ref="CM61:CM66">+CI$26*(CI61+CK61)/2+CL61</f>
        <v>0</v>
      </c>
      <c r="CN61" s="1269">
        <f>+G61+K61+O61+S61+W61+AA61+AE61+AI61+AM61+AQ61+AU61+AY61+BC61+BG61+BS61+BX61+CC61+CH61+CM61+BO61+BK61</f>
        <v>76507263.35385747</v>
      </c>
      <c r="CO61" s="1232"/>
      <c r="CP61" s="1270">
        <f>+CN61</f>
        <v>76507263.35385747</v>
      </c>
    </row>
    <row r="62" spans="1:94" ht="13.5">
      <c r="A62" s="1147">
        <f t="shared" si="1"/>
        <v>48</v>
      </c>
      <c r="B62" s="1233" t="str">
        <f t="shared" si="7"/>
        <v>W Increased ROE</v>
      </c>
      <c r="C62" s="1266">
        <f t="shared" si="6"/>
        <v>2021</v>
      </c>
      <c r="D62" s="1410">
        <f>+D61</f>
        <v>0</v>
      </c>
      <c r="E62" s="1410">
        <f>+E61</f>
        <v>0</v>
      </c>
      <c r="F62" s="1410">
        <f t="shared" si="10"/>
        <v>0</v>
      </c>
      <c r="G62" s="1244">
        <f>+D$25*(F62+D62)/2+E62</f>
        <v>0</v>
      </c>
      <c r="H62" s="1410">
        <f>+H61</f>
        <v>262950644.58900008</v>
      </c>
      <c r="I62" s="1410">
        <f>I61</f>
        <v>78811473.81369297</v>
      </c>
      <c r="J62" s="1415">
        <f>+J61</f>
        <v>184139170.77530712</v>
      </c>
      <c r="K62" s="1416">
        <f>+H$25*(J62+H62)/2</f>
        <v>42462689.42456052</v>
      </c>
      <c r="L62" s="1410">
        <f>+L61</f>
        <v>0</v>
      </c>
      <c r="M62" s="1410">
        <f>+M61</f>
        <v>0</v>
      </c>
      <c r="N62" s="1410">
        <f t="shared" si="2"/>
        <v>0</v>
      </c>
      <c r="O62" s="1222">
        <f>+L$25*(N62+L62)/2</f>
        <v>0</v>
      </c>
      <c r="P62" s="1411">
        <f>+P61</f>
        <v>155913692.67899996</v>
      </c>
      <c r="Q62" s="1222">
        <f>+Q61</f>
        <v>30776040.06257914</v>
      </c>
      <c r="R62" s="1410">
        <f t="shared" si="11"/>
        <v>125137652.61642082</v>
      </c>
      <c r="S62" s="1244">
        <f>+P$25*(R62+P62)/2</f>
        <v>27189940.032464296</v>
      </c>
      <c r="T62" s="1410">
        <f>T61</f>
        <v>3158242</v>
      </c>
      <c r="U62" s="1410">
        <f>U61</f>
        <v>812598.0866609985</v>
      </c>
      <c r="V62" s="1410">
        <f>+V61</f>
        <v>2345643.9133390016</v>
      </c>
      <c r="W62" s="1244">
        <f>+T$25*(V62+T62)/2</f>
        <v>503274.73566818796</v>
      </c>
      <c r="X62" s="1411">
        <f>+X61</f>
        <v>2857080.4930769224</v>
      </c>
      <c r="Y62" s="1509">
        <f>+Y61</f>
        <v>0</v>
      </c>
      <c r="Z62" s="1509">
        <f t="shared" si="12"/>
        <v>2857080.4930769224</v>
      </c>
      <c r="AA62" s="1244">
        <f>+X$25*(Z62+X62)/2</f>
        <v>522502.26569965587</v>
      </c>
      <c r="AB62" s="1410">
        <f>+AB61</f>
        <v>17335940.474615384</v>
      </c>
      <c r="AC62" s="1410">
        <f>AC61</f>
        <v>399259.93003430765</v>
      </c>
      <c r="AD62" s="1410">
        <f>+AD61</f>
        <v>16936680.544581078</v>
      </c>
      <c r="AE62" s="1244">
        <f>+AB$25*(AD62+AB62)/2</f>
        <v>3133884.7780781914</v>
      </c>
      <c r="AF62" s="1410">
        <f>+AF61</f>
        <v>4549275.806153845</v>
      </c>
      <c r="AG62" s="1410">
        <f>+AG61</f>
        <v>0</v>
      </c>
      <c r="AH62" s="1410">
        <f t="shared" si="13"/>
        <v>4549275.806153845</v>
      </c>
      <c r="AI62" s="1244">
        <f>+AF$25*(AH62+AF62)/2</f>
        <v>831970.58037665</v>
      </c>
      <c r="AJ62" s="1410">
        <f>+AJ61</f>
        <v>4726975.8823076915</v>
      </c>
      <c r="AK62" s="1410">
        <f>AK61</f>
        <v>53517.63705369231</v>
      </c>
      <c r="AL62" s="1410">
        <f>+AL61</f>
        <v>4673458.245253999</v>
      </c>
      <c r="AM62" s="1244">
        <f>+AJ$25*(AL62+AJ62)/2</f>
        <v>859574.6850873042</v>
      </c>
      <c r="AN62" s="1410">
        <f>+AN61</f>
        <v>674489.4092307679</v>
      </c>
      <c r="AO62" s="1410">
        <f>+AO61</f>
        <v>0</v>
      </c>
      <c r="AP62" s="1410">
        <f t="shared" si="14"/>
        <v>674489.4092307679</v>
      </c>
      <c r="AQ62" s="1244">
        <f>+AN$25*(AP62+AN62)/2</f>
        <v>123350.47800279464</v>
      </c>
      <c r="AR62" s="1410">
        <f>+AR61</f>
        <v>90672.51000000001</v>
      </c>
      <c r="AS62" s="1410">
        <f>AS61</f>
        <v>2194.2747420000005</v>
      </c>
      <c r="AT62" s="1410">
        <f>+AT61</f>
        <v>88478.23525800002</v>
      </c>
      <c r="AU62" s="1244">
        <f>+AR$25*(AT62+AR62)/2</f>
        <v>16381.524868814167</v>
      </c>
      <c r="AV62" s="1411">
        <f>+AV61</f>
        <v>1569.1100000102697</v>
      </c>
      <c r="AW62" s="1509">
        <f>+AW61</f>
        <v>0</v>
      </c>
      <c r="AX62" s="1509">
        <f t="shared" si="15"/>
        <v>1569.1100000102697</v>
      </c>
      <c r="AY62" s="1244">
        <f>+AV$25*(AX62+AV62)/2</f>
        <v>286.95849911263923</v>
      </c>
      <c r="AZ62" s="1410">
        <f>+AZ61</f>
        <v>5363206.846153844</v>
      </c>
      <c r="BA62" s="1410">
        <f>BA61</f>
        <v>160146.48430507688</v>
      </c>
      <c r="BB62" s="1410">
        <f>+BB61</f>
        <v>5203060.361848767</v>
      </c>
      <c r="BC62" s="1244">
        <f>+AZ$25*(BB62+AZ62)/2</f>
        <v>966178.3365129539</v>
      </c>
      <c r="BD62" s="1410">
        <f>+BD61</f>
        <v>10675843.159999998</v>
      </c>
      <c r="BE62" s="1410">
        <f>BE61</f>
        <v>2077519.078936003</v>
      </c>
      <c r="BF62" s="1410">
        <f>+BF61</f>
        <v>8598324.081063995</v>
      </c>
      <c r="BG62" s="1244">
        <f>+BD$25*(BF62+BD62)/2</f>
        <v>1762427.7785195184</v>
      </c>
      <c r="BH62" s="1411">
        <f>+BH61</f>
        <v>0</v>
      </c>
      <c r="BI62" s="1509">
        <f>+BI61</f>
        <v>0</v>
      </c>
      <c r="BJ62" s="1509">
        <f t="shared" si="16"/>
        <v>0</v>
      </c>
      <c r="BK62" s="1244">
        <f>+BH$25*(BJ62+BH62)/2</f>
        <v>0</v>
      </c>
      <c r="BL62" s="1411">
        <f>+BL61</f>
        <v>0</v>
      </c>
      <c r="BM62" s="1509">
        <f>BM61</f>
        <v>0</v>
      </c>
      <c r="BN62" s="1509">
        <f>+BN61</f>
        <v>0</v>
      </c>
      <c r="BO62" s="1244">
        <f>+BL$25*(BN62+BL62)/2</f>
        <v>0</v>
      </c>
      <c r="BP62" s="1411">
        <f>+BP61</f>
        <v>6736837.040000002</v>
      </c>
      <c r="BQ62" s="1509">
        <f>BQ61</f>
        <v>281599.788272</v>
      </c>
      <c r="BR62" s="1509">
        <f>+BR61</f>
        <v>6455237.251728002</v>
      </c>
      <c r="BS62" s="1244">
        <f>+BP$25*(BR62+BP62)/2</f>
        <v>1206281.8536979323</v>
      </c>
      <c r="BT62" s="1485">
        <f>+BT61</f>
        <v>0</v>
      </c>
      <c r="BU62" s="1527">
        <f>BU61</f>
        <v>0</v>
      </c>
      <c r="BV62" s="1527">
        <f>+BV61</f>
        <v>0</v>
      </c>
      <c r="BW62" s="1527">
        <f>BW61</f>
        <v>0</v>
      </c>
      <c r="BX62" s="1244">
        <f t="shared" si="17"/>
        <v>0</v>
      </c>
      <c r="BY62" s="1485">
        <f>+BY61</f>
        <v>0</v>
      </c>
      <c r="BZ62" s="1527">
        <f>BZ61</f>
        <v>0</v>
      </c>
      <c r="CA62" s="1527">
        <f>+CA61</f>
        <v>0</v>
      </c>
      <c r="CB62" s="1527">
        <f>CB61</f>
        <v>0</v>
      </c>
      <c r="CC62" s="1244">
        <f t="shared" si="18"/>
        <v>0</v>
      </c>
      <c r="CD62" s="1485">
        <f>+CD61</f>
        <v>0</v>
      </c>
      <c r="CE62" s="1487">
        <f>CE61</f>
        <v>0</v>
      </c>
      <c r="CF62" s="1487">
        <f>+CF61</f>
        <v>0</v>
      </c>
      <c r="CG62" s="1487">
        <f>CG61</f>
        <v>0</v>
      </c>
      <c r="CH62" s="1244">
        <f t="shared" si="19"/>
        <v>0</v>
      </c>
      <c r="CI62" s="1485">
        <f>+CI61</f>
        <v>0</v>
      </c>
      <c r="CJ62" s="1527">
        <f>CJ61</f>
        <v>0</v>
      </c>
      <c r="CK62" s="1527">
        <f>+CK61</f>
        <v>0</v>
      </c>
      <c r="CL62" s="1527">
        <f>CL61</f>
        <v>0</v>
      </c>
      <c r="CM62" s="1244">
        <f t="shared" si="20"/>
        <v>0</v>
      </c>
      <c r="CN62" s="1269">
        <f aca="true" t="shared" si="21" ref="CN62:CN72">+G62+K62+O62+S62+W62+AA62+AE62+AI62+AM62+AQ62+AU62+AY62+BC62+BG62+BS62+BX62+CC62+CH62+CM62+BO62+BK62</f>
        <v>79578743.43203594</v>
      </c>
      <c r="CO62" s="1271">
        <f>+CN62</f>
        <v>79578743.43203594</v>
      </c>
      <c r="CP62" s="1237"/>
    </row>
    <row r="63" spans="1:94" ht="13.5">
      <c r="A63" s="1147">
        <f t="shared" si="1"/>
        <v>49</v>
      </c>
      <c r="B63" s="1233" t="str">
        <f t="shared" si="7"/>
        <v>FCR W base ROE</v>
      </c>
      <c r="C63" s="1266">
        <f t="shared" si="6"/>
        <v>2022</v>
      </c>
      <c r="D63" s="1410">
        <f>+F62</f>
        <v>0</v>
      </c>
      <c r="E63" s="1410">
        <f>+D$26</f>
        <v>0</v>
      </c>
      <c r="F63" s="1410">
        <f t="shared" si="5"/>
        <v>0</v>
      </c>
      <c r="G63" s="1244">
        <f>+D$24*(D63+F63)/2+E63</f>
        <v>0</v>
      </c>
      <c r="H63" s="1410">
        <f>'6- Est &amp; Reconcile WS'!AI99</f>
        <v>262950644.58900008</v>
      </c>
      <c r="I63" s="1410">
        <f>'6- Est &amp; Reconcile WS'!K124</f>
        <v>85753370.80394104</v>
      </c>
      <c r="J63" s="1410">
        <f>+H63-I63</f>
        <v>177197273.78505903</v>
      </c>
      <c r="K63" s="1244">
        <f>+H$24*(J63+H63)/2</f>
        <v>40247078.29385632</v>
      </c>
      <c r="L63" s="1410">
        <v>0</v>
      </c>
      <c r="M63" s="1410">
        <f>+L$26</f>
        <v>0</v>
      </c>
      <c r="N63" s="1410">
        <f>+L63-M63</f>
        <v>0</v>
      </c>
      <c r="O63" s="1222">
        <f>+L$24*(L63+N63)/2</f>
        <v>0</v>
      </c>
      <c r="P63" s="1411">
        <f>'6- Est &amp; Reconcile WS'!AJ99</f>
        <v>155913692.67899996</v>
      </c>
      <c r="Q63" s="1410">
        <f>'6- Est &amp; Reconcile WS'!O124</f>
        <v>34892161.575704746</v>
      </c>
      <c r="R63" s="1410">
        <f t="shared" si="11"/>
        <v>121021531.1032952</v>
      </c>
      <c r="S63" s="1244">
        <f>+P$24*(R63+P63)/2</f>
        <v>25322927.062943384</v>
      </c>
      <c r="T63" s="1410">
        <f>'6- Est &amp; Reconcile WS'!AL99</f>
        <v>3158242</v>
      </c>
      <c r="U63" s="1410">
        <f>'6- Est &amp; Reconcile WS'!S124</f>
        <v>895975.6699169984</v>
      </c>
      <c r="V63" s="1410">
        <f>+T63-U63</f>
        <v>2262266.3300830014</v>
      </c>
      <c r="W63" s="1244">
        <f>+T$24*(V63+T63)/2</f>
        <v>495650.6984271327</v>
      </c>
      <c r="X63" s="1411">
        <f>+'6- Est &amp; Reconcile WS'!AN99</f>
        <v>0</v>
      </c>
      <c r="Y63" s="1509">
        <f>+X$26</f>
        <v>0</v>
      </c>
      <c r="Z63" s="1509">
        <f t="shared" si="12"/>
        <v>0</v>
      </c>
      <c r="AA63" s="1244">
        <f>+X$24*(X63+Z63)/2</f>
        <v>0</v>
      </c>
      <c r="AB63" s="1410">
        <f>'6- Est &amp; Reconcile WS'!AM99</f>
        <v>17624199.743846152</v>
      </c>
      <c r="AC63" s="1410">
        <f>'6- Est &amp; Reconcile WS'!W124</f>
        <v>861486.6872361538</v>
      </c>
      <c r="AD63" s="1410">
        <f>+AB63-AC63</f>
        <v>16762713.056609998</v>
      </c>
      <c r="AE63" s="1244">
        <f>+AB$24*(AD63+AB63)/2</f>
        <v>3144335.6062581707</v>
      </c>
      <c r="AF63" s="1410">
        <f>+'6- Est &amp; Reconcile WS'!AP99</f>
        <v>0</v>
      </c>
      <c r="AG63" s="1410">
        <f>+AF$26</f>
        <v>0</v>
      </c>
      <c r="AH63" s="1410">
        <f t="shared" si="13"/>
        <v>0</v>
      </c>
      <c r="AI63" s="1244">
        <f>+AF$24*(AF63+AH63)/2</f>
        <v>0</v>
      </c>
      <c r="AJ63" s="1410">
        <f>'6- Est &amp; Reconcile WS'!AO99</f>
        <v>8105805.623076924</v>
      </c>
      <c r="AK63" s="1410">
        <f>'6- Est &amp; Reconcile WS'!AA124</f>
        <v>242887.75791753843</v>
      </c>
      <c r="AL63" s="1410">
        <f>+AJ63-AK63</f>
        <v>7862917.865159386</v>
      </c>
      <c r="AM63" s="1244">
        <f>+AJ$24*(AL63+AJ63)/2</f>
        <v>1460178.3574443632</v>
      </c>
      <c r="AN63" s="1410">
        <f>+'6- Est &amp; Reconcile WS'!AR99</f>
        <v>0</v>
      </c>
      <c r="AO63" s="1410">
        <f>+AN$26</f>
        <v>0</v>
      </c>
      <c r="AP63" s="1410">
        <f t="shared" si="14"/>
        <v>0</v>
      </c>
      <c r="AQ63" s="1244">
        <f>+AN$24*(AN63+AP63)/2</f>
        <v>0</v>
      </c>
      <c r="AR63" s="1410">
        <f>'6- Est &amp; Reconcile WS'!AQ99</f>
        <v>6974.808461538462</v>
      </c>
      <c r="AS63" s="1410">
        <f>'6- Est &amp; Reconcile WS'!AE124</f>
        <v>3391.1518740000024</v>
      </c>
      <c r="AT63" s="1410">
        <f>+AR63-AS63</f>
        <v>3583.65658753846</v>
      </c>
      <c r="AU63" s="1244">
        <f>+AR$24*(AT63+AR63)/2</f>
        <v>965.4649079403428</v>
      </c>
      <c r="AV63" s="1411">
        <f>+'6- Est &amp; Reconcile WS'!AT99</f>
        <v>0</v>
      </c>
      <c r="AW63" s="1509">
        <f>+AV$26</f>
        <v>0</v>
      </c>
      <c r="AX63" s="1509">
        <f t="shared" si="15"/>
        <v>0</v>
      </c>
      <c r="AY63" s="1244">
        <f>+AV$24*(AV63+AX63)/2</f>
        <v>0</v>
      </c>
      <c r="AZ63" s="1410">
        <f>'6- Est &amp; Reconcile WS'!AS99</f>
        <v>5339563.014615385</v>
      </c>
      <c r="BA63" s="1410">
        <f>'6- Est &amp; Reconcile WS'!AI124</f>
        <v>301268.5392318462</v>
      </c>
      <c r="BB63" s="1410">
        <f>+AZ63-BA63</f>
        <v>5038294.475383539</v>
      </c>
      <c r="BC63" s="1244">
        <f>+AZ$24*(BB63+AZ63)/2</f>
        <v>948950.1721725889</v>
      </c>
      <c r="BD63" s="1410">
        <f>'6- Est &amp; Reconcile WS'!AU99</f>
        <v>10675843.159999998</v>
      </c>
      <c r="BE63" s="1410">
        <f>'6- Est &amp; Reconcile WS'!AM124</f>
        <v>2359361.3383600037</v>
      </c>
      <c r="BF63" s="1410">
        <f>+BD63-BE63</f>
        <v>8316481.821639994</v>
      </c>
      <c r="BG63" s="1244">
        <f>+BD$24*(BF63+BD63)/2</f>
        <v>1736656.1526455209</v>
      </c>
      <c r="BH63" s="1411">
        <f>+'6- Est &amp; Reconcile WS'!AV99</f>
        <v>537400.3076923077</v>
      </c>
      <c r="BI63" s="1509">
        <f>+BH$26</f>
        <v>0</v>
      </c>
      <c r="BJ63" s="1509">
        <f t="shared" si="16"/>
        <v>537400.3076923077</v>
      </c>
      <c r="BK63" s="1244">
        <f>+BH$24*(BH63+BJ63)/2</f>
        <v>98279.65261648058</v>
      </c>
      <c r="BL63" s="1411">
        <f>'6- Est &amp; Reconcile WS'!AW99</f>
        <v>0</v>
      </c>
      <c r="BM63" s="1509">
        <f>'6- Est &amp; Reconcile WS'!AQ124</f>
        <v>0</v>
      </c>
      <c r="BN63" s="1509">
        <f>+BL63-BM63</f>
        <v>0</v>
      </c>
      <c r="BO63" s="1244">
        <f>+BL$24*(BN63+BL63)/2</f>
        <v>0</v>
      </c>
      <c r="BP63" s="1411">
        <f>'6- Est &amp; Reconcile WS'!AY99</f>
        <v>6736837.040000002</v>
      </c>
      <c r="BQ63" s="1509">
        <f>'6- Est &amp; Reconcile WS'!AU124</f>
        <v>459452.2861280001</v>
      </c>
      <c r="BR63" s="1509">
        <f>+BP63-BQ63</f>
        <v>6277384.753872002</v>
      </c>
      <c r="BS63" s="1244">
        <f>+BP$24*(BR63+BP63)/2</f>
        <v>1190019.0404318585</v>
      </c>
      <c r="BT63" s="1485">
        <v>0</v>
      </c>
      <c r="BU63" s="1486">
        <f>BT27</f>
        <v>0</v>
      </c>
      <c r="BV63" s="1527">
        <f>+BT63-BU63</f>
        <v>0</v>
      </c>
      <c r="BW63" s="1527">
        <v>0</v>
      </c>
      <c r="BX63" s="1244">
        <f t="shared" si="17"/>
        <v>0</v>
      </c>
      <c r="BY63" s="1485">
        <v>0</v>
      </c>
      <c r="BZ63" s="1486">
        <f>BY27</f>
        <v>0</v>
      </c>
      <c r="CA63" s="1527">
        <f>+BY63-BZ63</f>
        <v>0</v>
      </c>
      <c r="CB63" s="1527">
        <v>0</v>
      </c>
      <c r="CC63" s="1244">
        <f t="shared" si="18"/>
        <v>0</v>
      </c>
      <c r="CD63" s="1485">
        <v>0</v>
      </c>
      <c r="CE63" s="1486">
        <f>CD27</f>
        <v>0</v>
      </c>
      <c r="CF63" s="1487">
        <f>+CD63-CE63</f>
        <v>0</v>
      </c>
      <c r="CG63" s="1487">
        <v>0</v>
      </c>
      <c r="CH63" s="1244">
        <f t="shared" si="19"/>
        <v>0</v>
      </c>
      <c r="CI63" s="1485">
        <v>0</v>
      </c>
      <c r="CJ63" s="1486">
        <f>CI27</f>
        <v>0</v>
      </c>
      <c r="CK63" s="1527">
        <f>+CI63-CJ63</f>
        <v>0</v>
      </c>
      <c r="CL63" s="1527">
        <v>0</v>
      </c>
      <c r="CM63" s="1244">
        <f t="shared" si="20"/>
        <v>0</v>
      </c>
      <c r="CN63" s="1269">
        <f>+G63+K63+O63+S63+W63+AA63+AE63+AI63+AM63+AQ63+AU63+AY63+BC63+BG63+BS63+BX63+CC63+CH63+CM63+BO63+BK63</f>
        <v>74645040.50170378</v>
      </c>
      <c r="CO63" s="1232"/>
      <c r="CP63" s="1270">
        <f>+CN63</f>
        <v>74645040.50170378</v>
      </c>
    </row>
    <row r="64" spans="1:94" ht="13.5">
      <c r="A64" s="1147">
        <f t="shared" si="1"/>
        <v>50</v>
      </c>
      <c r="B64" s="1233" t="str">
        <f t="shared" si="7"/>
        <v>W Increased ROE</v>
      </c>
      <c r="C64" s="1266">
        <f t="shared" si="6"/>
        <v>2022</v>
      </c>
      <c r="D64" s="1410">
        <f>+D63</f>
        <v>0</v>
      </c>
      <c r="E64" s="1410">
        <f>+E63</f>
        <v>0</v>
      </c>
      <c r="F64" s="1410">
        <f t="shared" si="5"/>
        <v>0</v>
      </c>
      <c r="G64" s="1244">
        <f>+D$25*(F64+D64)/2+E64</f>
        <v>0</v>
      </c>
      <c r="H64" s="1410">
        <f>+H63</f>
        <v>262950644.58900008</v>
      </c>
      <c r="I64" s="1410">
        <f>I63</f>
        <v>85753370.80394104</v>
      </c>
      <c r="J64" s="1410">
        <f>+J63</f>
        <v>177197273.78505903</v>
      </c>
      <c r="K64" s="1244">
        <f>+H$25*(J64+H64)/2</f>
        <v>41803377.56867759</v>
      </c>
      <c r="L64" s="1410">
        <f>+L63</f>
        <v>0</v>
      </c>
      <c r="M64" s="1410">
        <f>+M63</f>
        <v>0</v>
      </c>
      <c r="N64" s="1410">
        <f>+L64-M64</f>
        <v>0</v>
      </c>
      <c r="O64" s="1222">
        <f>+L$25*(N64+L64)/2</f>
        <v>0</v>
      </c>
      <c r="P64" s="1411">
        <f>+P63</f>
        <v>155913692.67899996</v>
      </c>
      <c r="Q64" s="1222">
        <f>+Q63</f>
        <v>34892161.575704746</v>
      </c>
      <c r="R64" s="1410">
        <f t="shared" si="11"/>
        <v>121021531.1032952</v>
      </c>
      <c r="S64" s="1244">
        <f>+P$25*(R64+P64)/2</f>
        <v>26791731.31017342</v>
      </c>
      <c r="T64" s="1410">
        <f>T63</f>
        <v>3158242</v>
      </c>
      <c r="U64" s="1410">
        <f>U63</f>
        <v>895975.6699169984</v>
      </c>
      <c r="V64" s="1410">
        <f>+V63</f>
        <v>2262266.3300830014</v>
      </c>
      <c r="W64" s="1244">
        <f>+T$25*(V64+T64)/2</f>
        <v>495650.6984271327</v>
      </c>
      <c r="X64" s="1411">
        <f>+X63</f>
        <v>0</v>
      </c>
      <c r="Y64" s="1509">
        <f>+Y63</f>
        <v>0</v>
      </c>
      <c r="Z64" s="1509">
        <f t="shared" si="12"/>
        <v>0</v>
      </c>
      <c r="AA64" s="1244">
        <f>+X$25*(Z64+X64)/2</f>
        <v>0</v>
      </c>
      <c r="AB64" s="1410">
        <f>+AB63</f>
        <v>17624199.743846152</v>
      </c>
      <c r="AC64" s="1410">
        <f>AC63</f>
        <v>861486.6872361538</v>
      </c>
      <c r="AD64" s="1410">
        <f>+AD63</f>
        <v>16762713.056609998</v>
      </c>
      <c r="AE64" s="1244">
        <f>+AB$25*(AD64+AB64)/2</f>
        <v>3144335.6062581707</v>
      </c>
      <c r="AF64" s="1410">
        <f>+AF63</f>
        <v>0</v>
      </c>
      <c r="AG64" s="1410">
        <f>+AG63</f>
        <v>0</v>
      </c>
      <c r="AH64" s="1410">
        <f t="shared" si="13"/>
        <v>0</v>
      </c>
      <c r="AI64" s="1244">
        <f>+AF$25*(AH64+AF64)/2</f>
        <v>0</v>
      </c>
      <c r="AJ64" s="1410">
        <f>+AJ63</f>
        <v>8105805.623076924</v>
      </c>
      <c r="AK64" s="1410">
        <f>AK63</f>
        <v>242887.75791753843</v>
      </c>
      <c r="AL64" s="1410">
        <f>+AL63</f>
        <v>7862917.865159386</v>
      </c>
      <c r="AM64" s="1244">
        <f>+AJ$25*(AL64+AJ64)/2</f>
        <v>1460178.3574443632</v>
      </c>
      <c r="AN64" s="1410">
        <f>+AN63</f>
        <v>0</v>
      </c>
      <c r="AO64" s="1410">
        <f>+AO63</f>
        <v>0</v>
      </c>
      <c r="AP64" s="1410">
        <f t="shared" si="14"/>
        <v>0</v>
      </c>
      <c r="AQ64" s="1244">
        <f>+AN$25*(AP64+AN64)/2</f>
        <v>0</v>
      </c>
      <c r="AR64" s="1410">
        <f>+AR63</f>
        <v>6974.808461538462</v>
      </c>
      <c r="AS64" s="1410">
        <f>AS63</f>
        <v>3391.1518740000024</v>
      </c>
      <c r="AT64" s="1410">
        <f>+AT63</f>
        <v>3583.65658753846</v>
      </c>
      <c r="AU64" s="1244">
        <f>+AR$25*(AT64+AR64)/2</f>
        <v>965.4649079403428</v>
      </c>
      <c r="AV64" s="1411">
        <f>+AV63</f>
        <v>0</v>
      </c>
      <c r="AW64" s="1509">
        <f>+AW63</f>
        <v>0</v>
      </c>
      <c r="AX64" s="1509">
        <f t="shared" si="15"/>
        <v>0</v>
      </c>
      <c r="AY64" s="1244">
        <f>+AV$25*(AX64+AV64)/2</f>
        <v>0</v>
      </c>
      <c r="AZ64" s="1410">
        <f>+AZ63</f>
        <v>5339563.014615385</v>
      </c>
      <c r="BA64" s="1410">
        <f>BA63</f>
        <v>301268.5392318462</v>
      </c>
      <c r="BB64" s="1410">
        <f>+BB63</f>
        <v>5038294.475383539</v>
      </c>
      <c r="BC64" s="1244">
        <f>+AZ$25*(BB64+AZ64)/2</f>
        <v>948950.1721725889</v>
      </c>
      <c r="BD64" s="1410">
        <f>+BD63</f>
        <v>10675843.159999998</v>
      </c>
      <c r="BE64" s="1410">
        <f>BE63</f>
        <v>2359361.3383600037</v>
      </c>
      <c r="BF64" s="1410">
        <f>+BF63</f>
        <v>8316481.821639994</v>
      </c>
      <c r="BG64" s="1244">
        <f>+BD$25*(BF64+BD64)/2</f>
        <v>1736656.1526455209</v>
      </c>
      <c r="BH64" s="1411">
        <f>+BH63</f>
        <v>537400.3076923077</v>
      </c>
      <c r="BI64" s="1509">
        <f>+BI63</f>
        <v>0</v>
      </c>
      <c r="BJ64" s="1509">
        <f t="shared" si="16"/>
        <v>537400.3076923077</v>
      </c>
      <c r="BK64" s="1244">
        <f>+BH$25*(BJ64+BH64)/2</f>
        <v>98279.65261648058</v>
      </c>
      <c r="BL64" s="1411">
        <f>+BL63</f>
        <v>0</v>
      </c>
      <c r="BM64" s="1509">
        <f>BM63</f>
        <v>0</v>
      </c>
      <c r="BN64" s="1509">
        <f>+BN63</f>
        <v>0</v>
      </c>
      <c r="BO64" s="1244">
        <f>+BL$25*(BN64+BL64)/2</f>
        <v>0</v>
      </c>
      <c r="BP64" s="1411">
        <f>+BP63</f>
        <v>6736837.040000002</v>
      </c>
      <c r="BQ64" s="1509">
        <f>BQ63</f>
        <v>459452.2861280001</v>
      </c>
      <c r="BR64" s="1509">
        <f>+BR63</f>
        <v>6277384.753872002</v>
      </c>
      <c r="BS64" s="1244">
        <f>+BP$25*(BR64+BP64)/2</f>
        <v>1190019.0404318585</v>
      </c>
      <c r="BT64" s="1485">
        <f>+BT63</f>
        <v>0</v>
      </c>
      <c r="BU64" s="1527">
        <f>BU63</f>
        <v>0</v>
      </c>
      <c r="BV64" s="1527">
        <f>+BV63</f>
        <v>0</v>
      </c>
      <c r="BW64" s="1527">
        <f>BW63</f>
        <v>0</v>
      </c>
      <c r="BX64" s="1244">
        <f t="shared" si="17"/>
        <v>0</v>
      </c>
      <c r="BY64" s="1485">
        <f>+BY63</f>
        <v>0</v>
      </c>
      <c r="BZ64" s="1527">
        <f>BZ63</f>
        <v>0</v>
      </c>
      <c r="CA64" s="1527">
        <f>+CA63</f>
        <v>0</v>
      </c>
      <c r="CB64" s="1527">
        <f>CB63</f>
        <v>0</v>
      </c>
      <c r="CC64" s="1244">
        <f t="shared" si="18"/>
        <v>0</v>
      </c>
      <c r="CD64" s="1485">
        <f>+CD63</f>
        <v>0</v>
      </c>
      <c r="CE64" s="1487">
        <f>CE63</f>
        <v>0</v>
      </c>
      <c r="CF64" s="1487">
        <f>+CF63</f>
        <v>0</v>
      </c>
      <c r="CG64" s="1487">
        <f>CG63</f>
        <v>0</v>
      </c>
      <c r="CH64" s="1244">
        <f t="shared" si="19"/>
        <v>0</v>
      </c>
      <c r="CI64" s="1485">
        <f>+CI63</f>
        <v>0</v>
      </c>
      <c r="CJ64" s="1527">
        <f>CJ63</f>
        <v>0</v>
      </c>
      <c r="CK64" s="1527">
        <f>+CK63</f>
        <v>0</v>
      </c>
      <c r="CL64" s="1527">
        <f>CL63</f>
        <v>0</v>
      </c>
      <c r="CM64" s="1244">
        <f t="shared" si="20"/>
        <v>0</v>
      </c>
      <c r="CN64" s="1269">
        <f>+G64+K64+O64+S64+W64+AA64+AE64+AI64+AM64+AQ64+AU64+AY64+BC64+BG64+BS64+BX64+CC64+CH64+CM64+BO64+BK64</f>
        <v>77670144.02375506</v>
      </c>
      <c r="CO64" s="1271">
        <f>+CN64</f>
        <v>77670144.02375506</v>
      </c>
      <c r="CP64" s="1237"/>
    </row>
    <row r="65" spans="1:94" ht="13.5">
      <c r="A65" s="1147">
        <f t="shared" si="1"/>
        <v>51</v>
      </c>
      <c r="B65" s="1233" t="str">
        <f t="shared" si="7"/>
        <v>FCR W base ROE</v>
      </c>
      <c r="C65" s="1266">
        <f t="shared" si="6"/>
        <v>2023</v>
      </c>
      <c r="D65" s="1410">
        <f>+F64</f>
        <v>0</v>
      </c>
      <c r="E65" s="1410">
        <f>+D$26</f>
        <v>0</v>
      </c>
      <c r="F65" s="1410">
        <f t="shared" si="5"/>
        <v>0</v>
      </c>
      <c r="G65" s="1244">
        <f>+D$24*(D65+F65)/2+E65</f>
        <v>0</v>
      </c>
      <c r="H65" s="1410">
        <f>IF('Appendix A'!I1=1,0,'7 - Cap Add WS'!H29)</f>
        <v>262950644</v>
      </c>
      <c r="I65" s="1410">
        <f>IF('Appendix A'!I1=1,0,'7 - Cap Add WS'!H27)</f>
        <v>92695268</v>
      </c>
      <c r="J65" s="1410">
        <f>+H65-I65</f>
        <v>170255376</v>
      </c>
      <c r="K65" s="1244">
        <f>+H$24*(J65+H65)/2</f>
        <v>39612311.85351772</v>
      </c>
      <c r="L65" s="1410">
        <f>IF('Appendix A'!I1=1,0,'7 - Cap Add WS'!L29)</f>
        <v>0</v>
      </c>
      <c r="M65" s="1410">
        <f>+L$26</f>
        <v>0</v>
      </c>
      <c r="N65" s="1410">
        <f>+L65-M65</f>
        <v>0</v>
      </c>
      <c r="O65" s="1222">
        <f>+L$24*(L65+N65)/2</f>
        <v>0</v>
      </c>
      <c r="P65" s="1411">
        <f>IF('Appendix A'!I1=1,0,'7 - Cap Add WS'!P29)</f>
        <v>155913694</v>
      </c>
      <c r="Q65" s="1410">
        <f>IF('Appendix A'!I1=1,0,'7 - Cap Add WS'!P27)</f>
        <v>39008283</v>
      </c>
      <c r="R65" s="1410">
        <f t="shared" si="11"/>
        <v>116905411</v>
      </c>
      <c r="S65" s="1244">
        <f>+P$24*(R65+P65)/2</f>
        <v>24946549.604406685</v>
      </c>
      <c r="T65" s="1410">
        <f>IF('Appendix A'!I1=1,0,'7 - Cap Add WS'!T29)</f>
        <v>3158242</v>
      </c>
      <c r="U65" s="1410">
        <f>IF('Appendix A'!I1=1,0,'7 - Cap Add WS'!T27)</f>
        <v>979353</v>
      </c>
      <c r="V65" s="1410">
        <f>+T65-U65</f>
        <v>2178889</v>
      </c>
      <c r="W65" s="1244">
        <f>+T$24*(V65+T65)/2</f>
        <v>488026.6843361892</v>
      </c>
      <c r="X65" s="1411">
        <f>IF('Appendix A'!I1=1,0,'7 - Cap Add WS'!X29)</f>
        <v>0</v>
      </c>
      <c r="Y65" s="1509">
        <f>+X$26</f>
        <v>0</v>
      </c>
      <c r="Z65" s="1509">
        <f t="shared" si="12"/>
        <v>0</v>
      </c>
      <c r="AA65" s="1244">
        <f>+X$24*(X65+Z65)/2</f>
        <v>0</v>
      </c>
      <c r="AB65" s="1410">
        <f>IF('Appendix A'!I1=1,0,'7 - Cap Add WS'!AB29)</f>
        <v>17700663</v>
      </c>
      <c r="AC65" s="1410">
        <f>IF('Appendix A'!I1=1,0,'7 - Cap Add WS'!AB27)</f>
        <v>1328382</v>
      </c>
      <c r="AD65" s="1410">
        <f>+AB65-AC65</f>
        <v>16372281</v>
      </c>
      <c r="AE65" s="1244">
        <f>+AB$24*(AD65+AB65)/2</f>
        <v>3115626.332929181</v>
      </c>
      <c r="AF65" s="1410">
        <f>IF('Appendix A'!I1=1,0,'7 - Cap Add WS'!AF29)</f>
        <v>0</v>
      </c>
      <c r="AG65" s="1410">
        <f>+AF$26</f>
        <v>0</v>
      </c>
      <c r="AH65" s="1410">
        <f t="shared" si="13"/>
        <v>0</v>
      </c>
      <c r="AI65" s="1244">
        <f>+AF$24*(AF65+AH65)/2</f>
        <v>0</v>
      </c>
      <c r="AJ65" s="1410">
        <f>IF('Appendix A'!I1=1,0,'7 - Cap Add WS'!AJ29)</f>
        <v>8298811</v>
      </c>
      <c r="AK65" s="1410">
        <f>IF('Appendix A'!I1=1,0,'7 - Cap Add WS'!AJ27)</f>
        <v>461081</v>
      </c>
      <c r="AL65" s="1410">
        <f>+AJ65-AK65</f>
        <v>7837730</v>
      </c>
      <c r="AM65" s="1244">
        <f>+AJ$24*(AL65+AJ65)/2</f>
        <v>1475523.5726619742</v>
      </c>
      <c r="AN65" s="1410">
        <f>IF('Appendix A'!I1=1,0,'7 - Cap Add WS'!AQ29)</f>
        <v>0</v>
      </c>
      <c r="AO65" s="1410">
        <f>+AN$26</f>
        <v>0</v>
      </c>
      <c r="AP65" s="1410">
        <f t="shared" si="14"/>
        <v>0</v>
      </c>
      <c r="AQ65" s="1244">
        <f>+AN$24*(AN65+AP65)/2</f>
        <v>0</v>
      </c>
      <c r="AR65" s="1410">
        <f>IF('Appendix A'!I1=1,0,'7 - Cap Add WS'!AR29)</f>
        <v>0</v>
      </c>
      <c r="AS65" s="1410">
        <f>IF('Appendix A'!I1=1,0,'7 - Cap Add WS'!AR27)</f>
        <v>0</v>
      </c>
      <c r="AT65" s="1410">
        <f>+AR65-AS65</f>
        <v>0</v>
      </c>
      <c r="AU65" s="1244">
        <f>+AR$24*(AT65+AR65)/2</f>
        <v>0</v>
      </c>
      <c r="AV65" s="1411">
        <f>IF('Appendix A'!I1=1,0,'7 - Cap Add WS'!AV29)</f>
        <v>0</v>
      </c>
      <c r="AW65" s="1509">
        <f>+AV$26</f>
        <v>0</v>
      </c>
      <c r="AX65" s="1509">
        <f t="shared" si="15"/>
        <v>0</v>
      </c>
      <c r="AY65" s="1244">
        <f>+AV$24*(AV65+AX65)/2</f>
        <v>0</v>
      </c>
      <c r="AZ65" s="1410">
        <f>IF('Appendix A'!I1=1,0,'7 - Cap Add WS'!AZ29)</f>
        <v>5338712</v>
      </c>
      <c r="BA65" s="1410">
        <f>IF('Appendix A'!I1=1,0,'7 - Cap Add WS'!AZ27)</f>
        <v>442213</v>
      </c>
      <c r="BB65" s="1410">
        <f>+AZ65-BA65</f>
        <v>4896499</v>
      </c>
      <c r="BC65" s="1244">
        <f>+AZ$24*(BB65+AZ65)/2</f>
        <v>935906.5924766117</v>
      </c>
      <c r="BD65" s="1410">
        <f>IF('Appendix A'!I1=1,0,'7 - Cap Add WS'!BD29)</f>
        <v>10675843</v>
      </c>
      <c r="BE65" s="1410">
        <f>IF('Appendix A'!I1=1,0,'7 - Cap Add WS'!BD27)</f>
        <v>2641204</v>
      </c>
      <c r="BF65" s="1410">
        <f>+BD65-BE65</f>
        <v>8034639</v>
      </c>
      <c r="BG65" s="1244">
        <f>+BD$24*(BF65+BD65)/2</f>
        <v>1710884.4607321706</v>
      </c>
      <c r="BH65" s="1411">
        <f>IF('Appendix A'!I1=1,0,'7 - Cap Add WS'!BH29)</f>
        <v>9033623.307692308</v>
      </c>
      <c r="BI65" s="1509">
        <f>+BH$26</f>
        <v>0</v>
      </c>
      <c r="BJ65" s="1509">
        <f t="shared" si="16"/>
        <v>9033623.307692308</v>
      </c>
      <c r="BK65" s="1244">
        <f>+BH$24*(BH65+BJ65)/2</f>
        <v>1652067.0863785038</v>
      </c>
      <c r="BL65" s="1411">
        <f>IF('Appendix A'!I1=1,0,'7 - Cap Add WS'!BL29)</f>
        <v>1709641</v>
      </c>
      <c r="BM65" s="1509">
        <f>IF('Appendix A'!I1=1,0,'7 - Cap Add WS'!BL27)</f>
        <v>3761</v>
      </c>
      <c r="BN65" s="1509">
        <f>+BL65-BM65</f>
        <v>1705880</v>
      </c>
      <c r="BO65" s="1244">
        <f>+BL$24*(BN65+BL65)/2</f>
        <v>312314.87271169195</v>
      </c>
      <c r="BP65" s="1411">
        <f>IF('Appendix A'!I1=1,0,'7 - Cap Add WS'!BP29)</f>
        <v>6736837</v>
      </c>
      <c r="BQ65" s="1509">
        <f>IF('Appendix A'!I1=1,0,'7 - Cap Add WS'!BP27)</f>
        <v>637305</v>
      </c>
      <c r="BR65" s="1509">
        <f>+BP65-BQ65</f>
        <v>6099532</v>
      </c>
      <c r="BS65" s="1244">
        <f>+BP$24*(BR65+BP65)/2</f>
        <v>1173756.2000981134</v>
      </c>
      <c r="BT65" s="1485">
        <v>0</v>
      </c>
      <c r="BU65" s="1527">
        <f>BT27</f>
        <v>0</v>
      </c>
      <c r="BV65" s="1527">
        <f>+BT65-BU65</f>
        <v>0</v>
      </c>
      <c r="BW65" s="1527">
        <f>BT28</f>
        <v>3996930</v>
      </c>
      <c r="BX65" s="1244">
        <f t="shared" si="17"/>
        <v>3996930</v>
      </c>
      <c r="BY65" s="1485">
        <v>0</v>
      </c>
      <c r="BZ65" s="1527">
        <f>BY29</f>
        <v>0</v>
      </c>
      <c r="CA65" s="1527">
        <f>+BY65-BZ65</f>
        <v>0</v>
      </c>
      <c r="CB65" s="1527">
        <f>BY28</f>
        <v>2627006.5</v>
      </c>
      <c r="CC65" s="1244">
        <f t="shared" si="18"/>
        <v>2627006.5</v>
      </c>
      <c r="CD65" s="1485">
        <v>0</v>
      </c>
      <c r="CE65" s="1487">
        <f>CD29</f>
        <v>0</v>
      </c>
      <c r="CF65" s="1487">
        <f>+CD65-CE65</f>
        <v>0</v>
      </c>
      <c r="CG65" s="1487">
        <f>CD28</f>
        <v>2993</v>
      </c>
      <c r="CH65" s="1244">
        <f t="shared" si="19"/>
        <v>2993</v>
      </c>
      <c r="CI65" s="1485">
        <v>0</v>
      </c>
      <c r="CJ65" s="1527">
        <f>CI29</f>
        <v>0</v>
      </c>
      <c r="CK65" s="1527">
        <f>+CI65-CJ65</f>
        <v>0</v>
      </c>
      <c r="CL65" s="1527">
        <f>CI28</f>
        <v>968709</v>
      </c>
      <c r="CM65" s="1244">
        <f t="shared" si="20"/>
        <v>968709</v>
      </c>
      <c r="CN65" s="1269">
        <f>+G65+K65+O65+S65+W65+AA65+AE65+AI65+AM65+AQ65+AU65+AY65+BC65+BG65+BS65+BX65+CC65+CH65+CM65+BO65+BK65</f>
        <v>83018605.76024884</v>
      </c>
      <c r="CO65" s="1232"/>
      <c r="CP65" s="1270">
        <f>+CN65</f>
        <v>83018605.76024884</v>
      </c>
    </row>
    <row r="66" spans="1:94" ht="13.5">
      <c r="A66" s="1147">
        <f t="shared" si="1"/>
        <v>52</v>
      </c>
      <c r="B66" s="1233" t="str">
        <f t="shared" si="7"/>
        <v>W Increased ROE</v>
      </c>
      <c r="C66" s="1266">
        <f t="shared" si="6"/>
        <v>2023</v>
      </c>
      <c r="D66" s="1410">
        <f>+D65</f>
        <v>0</v>
      </c>
      <c r="E66" s="1410">
        <f>+E65</f>
        <v>0</v>
      </c>
      <c r="F66" s="1410">
        <f t="shared" si="5"/>
        <v>0</v>
      </c>
      <c r="G66" s="1244">
        <f>+D$25*(F66+D66)/2+E66</f>
        <v>0</v>
      </c>
      <c r="H66" s="1410">
        <f>H65</f>
        <v>262950644</v>
      </c>
      <c r="I66" s="1410">
        <f>I65</f>
        <v>92695268</v>
      </c>
      <c r="J66" s="1410">
        <f>J65</f>
        <v>170255376</v>
      </c>
      <c r="K66" s="1244">
        <f>+H$25*(J66+H66)/2</f>
        <v>41144065.58136618</v>
      </c>
      <c r="L66" s="1410">
        <f>+L65</f>
        <v>0</v>
      </c>
      <c r="M66" s="1410">
        <f>+M65</f>
        <v>0</v>
      </c>
      <c r="N66" s="1410">
        <f>+L66-M66</f>
        <v>0</v>
      </c>
      <c r="O66" s="1222">
        <f>+L$25*(N66+L66)/2</f>
        <v>0</v>
      </c>
      <c r="P66" s="1411">
        <f>+P65</f>
        <v>155913694</v>
      </c>
      <c r="Q66" s="1222">
        <f>+Q65</f>
        <v>39008283</v>
      </c>
      <c r="R66" s="1410">
        <f t="shared" si="11"/>
        <v>116905411</v>
      </c>
      <c r="S66" s="1244">
        <f>+P$25*(R66+P66)/2</f>
        <v>26393522.852073114</v>
      </c>
      <c r="T66" s="1410">
        <f>T65</f>
        <v>3158242</v>
      </c>
      <c r="U66" s="1410">
        <f>U65</f>
        <v>979353</v>
      </c>
      <c r="V66" s="1410">
        <f>+V65</f>
        <v>2178889</v>
      </c>
      <c r="W66" s="1244">
        <f>+T$25*(V66+T66)/2</f>
        <v>488026.6843361892</v>
      </c>
      <c r="X66" s="1411">
        <f>+X65</f>
        <v>0</v>
      </c>
      <c r="Y66" s="1509">
        <f>+Y65</f>
        <v>0</v>
      </c>
      <c r="Z66" s="1509">
        <f t="shared" si="12"/>
        <v>0</v>
      </c>
      <c r="AA66" s="1244">
        <f>+X$25*(Z66+X66)/2</f>
        <v>0</v>
      </c>
      <c r="AB66" s="1410">
        <f>AB65</f>
        <v>17700663</v>
      </c>
      <c r="AC66" s="1410">
        <f>AC65</f>
        <v>1328382</v>
      </c>
      <c r="AD66" s="1410">
        <f>AD65</f>
        <v>16372281</v>
      </c>
      <c r="AE66" s="1244">
        <f>+AB$25*(AD66+AB66)/2</f>
        <v>3115626.332929181</v>
      </c>
      <c r="AF66" s="1410">
        <f>+AF65</f>
        <v>0</v>
      </c>
      <c r="AG66" s="1410">
        <f>+AG65</f>
        <v>0</v>
      </c>
      <c r="AH66" s="1410">
        <f t="shared" si="13"/>
        <v>0</v>
      </c>
      <c r="AI66" s="1244">
        <f>+AF$25*(AH66+AF66)/2</f>
        <v>0</v>
      </c>
      <c r="AJ66" s="1410">
        <f>AJ65</f>
        <v>8298811</v>
      </c>
      <c r="AK66" s="1410">
        <f>AK65</f>
        <v>461081</v>
      </c>
      <c r="AL66" s="1410">
        <f>AL65</f>
        <v>7837730</v>
      </c>
      <c r="AM66" s="1244">
        <f>+AJ$25*(AL66+AJ66)/2</f>
        <v>1475523.5726619742</v>
      </c>
      <c r="AN66" s="1410">
        <f>+AN65</f>
        <v>0</v>
      </c>
      <c r="AO66" s="1410">
        <f>+AO65</f>
        <v>0</v>
      </c>
      <c r="AP66" s="1410">
        <f t="shared" si="14"/>
        <v>0</v>
      </c>
      <c r="AQ66" s="1244">
        <f>+AN$25*(AP66+AN66)/2</f>
        <v>0</v>
      </c>
      <c r="AR66" s="1410">
        <f>AR65</f>
        <v>0</v>
      </c>
      <c r="AS66" s="1410">
        <f>AS65</f>
        <v>0</v>
      </c>
      <c r="AT66" s="1410">
        <f>AT65</f>
        <v>0</v>
      </c>
      <c r="AU66" s="1244">
        <f>+AR$25*(AT66+AR66)/2</f>
        <v>0</v>
      </c>
      <c r="AV66" s="1411">
        <f>+AV65</f>
        <v>0</v>
      </c>
      <c r="AW66" s="1509">
        <f>+AW65</f>
        <v>0</v>
      </c>
      <c r="AX66" s="1509">
        <f t="shared" si="15"/>
        <v>0</v>
      </c>
      <c r="AY66" s="1244">
        <f>+AV$25*(AX66+AV66)/2</f>
        <v>0</v>
      </c>
      <c r="AZ66" s="1410">
        <f>AZ65</f>
        <v>5338712</v>
      </c>
      <c r="BA66" s="1410">
        <f>BA65</f>
        <v>442213</v>
      </c>
      <c r="BB66" s="1410">
        <f>BB65</f>
        <v>4896499</v>
      </c>
      <c r="BC66" s="1244">
        <f>+AZ$25*(BB66+AZ66)/2</f>
        <v>935906.5924766117</v>
      </c>
      <c r="BD66" s="1410">
        <f>BD65</f>
        <v>10675843</v>
      </c>
      <c r="BE66" s="1410">
        <f>BE65</f>
        <v>2641204</v>
      </c>
      <c r="BF66" s="1410">
        <f>BF65</f>
        <v>8034639</v>
      </c>
      <c r="BG66" s="1244">
        <f>+BD$25*(BF66+BD66)/2</f>
        <v>1710884.4607321706</v>
      </c>
      <c r="BH66" s="1411">
        <f>+BH65</f>
        <v>9033623.307692308</v>
      </c>
      <c r="BI66" s="1509">
        <f>+BI65</f>
        <v>0</v>
      </c>
      <c r="BJ66" s="1509">
        <f t="shared" si="16"/>
        <v>9033623.307692308</v>
      </c>
      <c r="BK66" s="1244">
        <f>+BH$25*(BJ66+BH66)/2</f>
        <v>1652067.0863785038</v>
      </c>
      <c r="BL66" s="1411">
        <f>BL65</f>
        <v>1709641</v>
      </c>
      <c r="BM66" s="1509">
        <f>BM65</f>
        <v>3761</v>
      </c>
      <c r="BN66" s="1509">
        <f>BN65</f>
        <v>1705880</v>
      </c>
      <c r="BO66" s="1244">
        <f>+BL$25*(BN66+BL66)/2</f>
        <v>312314.87271169195</v>
      </c>
      <c r="BP66" s="1411">
        <f>BP65</f>
        <v>6736837</v>
      </c>
      <c r="BQ66" s="1509">
        <f>BQ65</f>
        <v>637305</v>
      </c>
      <c r="BR66" s="1509">
        <f>BR65</f>
        <v>6099532</v>
      </c>
      <c r="BS66" s="1244">
        <f>+BP$25*(BR66+BP66)/2</f>
        <v>1173756.2000981134</v>
      </c>
      <c r="BT66" s="1485">
        <f>BT65</f>
        <v>0</v>
      </c>
      <c r="BU66" s="1527">
        <f>BU65</f>
        <v>0</v>
      </c>
      <c r="BV66" s="1527">
        <f>BV65</f>
        <v>0</v>
      </c>
      <c r="BW66" s="1527">
        <f>BW65</f>
        <v>3996930</v>
      </c>
      <c r="BX66" s="1244">
        <f t="shared" si="17"/>
        <v>3996930</v>
      </c>
      <c r="BY66" s="1485">
        <f>BY65</f>
        <v>0</v>
      </c>
      <c r="BZ66" s="1527">
        <f>BZ65</f>
        <v>0</v>
      </c>
      <c r="CA66" s="1527">
        <f>CA65</f>
        <v>0</v>
      </c>
      <c r="CB66" s="1527">
        <f>CB65</f>
        <v>2627006.5</v>
      </c>
      <c r="CC66" s="1244">
        <f t="shared" si="18"/>
        <v>2627006.5</v>
      </c>
      <c r="CD66" s="1485">
        <f>CD65</f>
        <v>0</v>
      </c>
      <c r="CE66" s="1487">
        <f>CE65</f>
        <v>0</v>
      </c>
      <c r="CF66" s="1487">
        <f>CF65</f>
        <v>0</v>
      </c>
      <c r="CG66" s="1487">
        <f>CG65</f>
        <v>2993</v>
      </c>
      <c r="CH66" s="1244">
        <f t="shared" si="19"/>
        <v>2993</v>
      </c>
      <c r="CI66" s="1485">
        <f>CI65</f>
        <v>0</v>
      </c>
      <c r="CJ66" s="1527">
        <f>CJ65</f>
        <v>0</v>
      </c>
      <c r="CK66" s="1527">
        <f>CK65</f>
        <v>0</v>
      </c>
      <c r="CL66" s="1527">
        <f>CL65</f>
        <v>968709</v>
      </c>
      <c r="CM66" s="1244">
        <f t="shared" si="20"/>
        <v>968709</v>
      </c>
      <c r="CN66" s="1269">
        <f t="shared" si="21"/>
        <v>85997332.73576373</v>
      </c>
      <c r="CO66" s="1271">
        <f>+CN66</f>
        <v>85997332.73576373</v>
      </c>
      <c r="CP66" s="1237"/>
    </row>
    <row r="67" spans="1:94" ht="13.5">
      <c r="A67" s="1147">
        <f t="shared" si="1"/>
        <v>53</v>
      </c>
      <c r="B67" s="1233" t="str">
        <f t="shared" si="7"/>
        <v>FCR W base ROE</v>
      </c>
      <c r="C67" s="1266">
        <f t="shared" si="6"/>
        <v>2024</v>
      </c>
      <c r="D67" s="1267">
        <f>+F66</f>
        <v>0</v>
      </c>
      <c r="E67" s="1267">
        <f>+D$27</f>
        <v>0</v>
      </c>
      <c r="F67" s="1267">
        <f t="shared" si="5"/>
        <v>0</v>
      </c>
      <c r="G67" s="1244">
        <f>+D$24*(D67+F67)/2+E67</f>
        <v>0</v>
      </c>
      <c r="H67" s="1267">
        <v>0</v>
      </c>
      <c r="I67" s="1267">
        <v>0</v>
      </c>
      <c r="J67" s="1267">
        <v>0</v>
      </c>
      <c r="K67" s="1244">
        <v>0</v>
      </c>
      <c r="L67" s="1267">
        <v>0</v>
      </c>
      <c r="M67" s="1267">
        <v>0</v>
      </c>
      <c r="N67" s="1267">
        <v>0</v>
      </c>
      <c r="O67" s="1267">
        <v>0</v>
      </c>
      <c r="P67" s="1252">
        <v>0</v>
      </c>
      <c r="Q67" s="1222">
        <v>0</v>
      </c>
      <c r="R67" s="1222">
        <v>0</v>
      </c>
      <c r="S67" s="1244">
        <v>0</v>
      </c>
      <c r="T67" s="1252">
        <v>0</v>
      </c>
      <c r="U67" s="1222">
        <v>0</v>
      </c>
      <c r="V67" s="1222">
        <v>0</v>
      </c>
      <c r="W67" s="1244">
        <v>0</v>
      </c>
      <c r="X67" s="1252">
        <v>0</v>
      </c>
      <c r="Y67" s="1222">
        <v>0</v>
      </c>
      <c r="Z67" s="1222">
        <v>0</v>
      </c>
      <c r="AA67" s="1244">
        <v>0</v>
      </c>
      <c r="AB67" s="1252">
        <v>0</v>
      </c>
      <c r="AC67" s="1222">
        <v>0</v>
      </c>
      <c r="AD67" s="1222">
        <v>0</v>
      </c>
      <c r="AE67" s="1244">
        <v>0</v>
      </c>
      <c r="AF67" s="1252">
        <v>0</v>
      </c>
      <c r="AG67" s="1222">
        <v>0</v>
      </c>
      <c r="AH67" s="1222">
        <v>0</v>
      </c>
      <c r="AI67" s="1244">
        <v>0</v>
      </c>
      <c r="AJ67" s="1252">
        <v>0</v>
      </c>
      <c r="AK67" s="1222">
        <v>0</v>
      </c>
      <c r="AL67" s="1222">
        <v>0</v>
      </c>
      <c r="AM67" s="1244">
        <v>0</v>
      </c>
      <c r="AN67" s="1252">
        <v>0</v>
      </c>
      <c r="AO67" s="1222">
        <v>0</v>
      </c>
      <c r="AP67" s="1222">
        <v>0</v>
      </c>
      <c r="AQ67" s="1244">
        <v>0</v>
      </c>
      <c r="AR67" s="1252">
        <v>0</v>
      </c>
      <c r="AS67" s="1222">
        <v>0</v>
      </c>
      <c r="AT67" s="1222">
        <v>0</v>
      </c>
      <c r="AU67" s="1244">
        <v>0</v>
      </c>
      <c r="AV67" s="1252">
        <v>0</v>
      </c>
      <c r="AW67" s="1222">
        <v>0</v>
      </c>
      <c r="AX67" s="1222">
        <v>0</v>
      </c>
      <c r="AY67" s="1244">
        <v>0</v>
      </c>
      <c r="AZ67" s="1252">
        <v>0</v>
      </c>
      <c r="BA67" s="1222">
        <v>0</v>
      </c>
      <c r="BB67" s="1222">
        <v>0</v>
      </c>
      <c r="BC67" s="1244">
        <v>0</v>
      </c>
      <c r="BD67" s="1252">
        <v>0</v>
      </c>
      <c r="BE67" s="1222">
        <v>0</v>
      </c>
      <c r="BF67" s="1222">
        <v>0</v>
      </c>
      <c r="BG67" s="1244">
        <v>0</v>
      </c>
      <c r="BH67" s="1252">
        <v>0</v>
      </c>
      <c r="BI67" s="1222">
        <v>0</v>
      </c>
      <c r="BJ67" s="1222">
        <v>0</v>
      </c>
      <c r="BK67" s="1244">
        <v>0</v>
      </c>
      <c r="BL67" s="1252">
        <v>0</v>
      </c>
      <c r="BM67" s="1222">
        <v>0</v>
      </c>
      <c r="BN67" s="1222">
        <v>0</v>
      </c>
      <c r="BO67" s="1244">
        <v>0</v>
      </c>
      <c r="BP67" s="1252">
        <v>0</v>
      </c>
      <c r="BQ67" s="1222">
        <v>0</v>
      </c>
      <c r="BR67" s="1222">
        <v>0</v>
      </c>
      <c r="BS67" s="1244">
        <v>0</v>
      </c>
      <c r="BT67" s="1252">
        <v>0</v>
      </c>
      <c r="BU67" s="1222">
        <v>0</v>
      </c>
      <c r="BV67" s="1222">
        <v>0</v>
      </c>
      <c r="BW67" s="1222">
        <v>0</v>
      </c>
      <c r="BX67" s="1244">
        <v>0</v>
      </c>
      <c r="BY67" s="1252">
        <v>0</v>
      </c>
      <c r="BZ67" s="1222">
        <v>0</v>
      </c>
      <c r="CA67" s="1222">
        <v>0</v>
      </c>
      <c r="CB67" s="1222">
        <v>0</v>
      </c>
      <c r="CC67" s="1244">
        <v>0</v>
      </c>
      <c r="CD67" s="1252">
        <v>0</v>
      </c>
      <c r="CE67" s="1222">
        <v>0</v>
      </c>
      <c r="CF67" s="1222">
        <v>0</v>
      </c>
      <c r="CG67" s="1222">
        <v>0</v>
      </c>
      <c r="CH67" s="1244">
        <v>0</v>
      </c>
      <c r="CI67" s="1252">
        <v>0</v>
      </c>
      <c r="CJ67" s="1222">
        <v>0</v>
      </c>
      <c r="CK67" s="1222">
        <v>0</v>
      </c>
      <c r="CL67" s="1222">
        <v>0</v>
      </c>
      <c r="CM67" s="1244">
        <v>0</v>
      </c>
      <c r="CN67" s="1269">
        <f t="shared" si="21"/>
        <v>0</v>
      </c>
      <c r="CO67" s="1232"/>
      <c r="CP67" s="1270">
        <f>+CN67</f>
        <v>0</v>
      </c>
    </row>
    <row r="68" spans="1:94" ht="13.5">
      <c r="A68" s="1147">
        <f t="shared" si="1"/>
        <v>54</v>
      </c>
      <c r="B68" s="1233" t="str">
        <f t="shared" si="7"/>
        <v>W Increased ROE</v>
      </c>
      <c r="C68" s="1266">
        <f t="shared" si="6"/>
        <v>2024</v>
      </c>
      <c r="D68" s="1267">
        <f>+D67</f>
        <v>0</v>
      </c>
      <c r="E68" s="1267">
        <f>+E67</f>
        <v>0</v>
      </c>
      <c r="F68" s="1267">
        <f t="shared" si="5"/>
        <v>0</v>
      </c>
      <c r="G68" s="1244">
        <f>+D$25*(F68+D68)/2+E68</f>
        <v>0</v>
      </c>
      <c r="H68" s="1267">
        <v>0</v>
      </c>
      <c r="I68" s="1267">
        <v>0</v>
      </c>
      <c r="J68" s="1267">
        <v>0</v>
      </c>
      <c r="K68" s="1244">
        <v>0</v>
      </c>
      <c r="L68" s="1267">
        <v>0</v>
      </c>
      <c r="M68" s="1267">
        <v>0</v>
      </c>
      <c r="N68" s="1267">
        <v>0</v>
      </c>
      <c r="O68" s="1267">
        <v>0</v>
      </c>
      <c r="P68" s="1252">
        <v>0</v>
      </c>
      <c r="Q68" s="1222">
        <v>0</v>
      </c>
      <c r="R68" s="1222">
        <v>0</v>
      </c>
      <c r="S68" s="1244">
        <v>0</v>
      </c>
      <c r="T68" s="1252">
        <v>0</v>
      </c>
      <c r="U68" s="1222">
        <v>0</v>
      </c>
      <c r="V68" s="1222">
        <v>0</v>
      </c>
      <c r="W68" s="1244">
        <v>0</v>
      </c>
      <c r="X68" s="1252">
        <v>0</v>
      </c>
      <c r="Y68" s="1222">
        <v>0</v>
      </c>
      <c r="Z68" s="1222">
        <v>0</v>
      </c>
      <c r="AA68" s="1244">
        <v>0</v>
      </c>
      <c r="AB68" s="1252">
        <v>0</v>
      </c>
      <c r="AC68" s="1222">
        <v>0</v>
      </c>
      <c r="AD68" s="1222">
        <v>0</v>
      </c>
      <c r="AE68" s="1244">
        <v>0</v>
      </c>
      <c r="AF68" s="1252">
        <v>0</v>
      </c>
      <c r="AG68" s="1222">
        <v>0</v>
      </c>
      <c r="AH68" s="1222">
        <v>0</v>
      </c>
      <c r="AI68" s="1244">
        <v>0</v>
      </c>
      <c r="AJ68" s="1252">
        <v>0</v>
      </c>
      <c r="AK68" s="1222">
        <v>0</v>
      </c>
      <c r="AL68" s="1222">
        <v>0</v>
      </c>
      <c r="AM68" s="1244">
        <v>0</v>
      </c>
      <c r="AN68" s="1252">
        <v>0</v>
      </c>
      <c r="AO68" s="1222">
        <v>0</v>
      </c>
      <c r="AP68" s="1222">
        <v>0</v>
      </c>
      <c r="AQ68" s="1244">
        <v>0</v>
      </c>
      <c r="AR68" s="1252">
        <v>0</v>
      </c>
      <c r="AS68" s="1222">
        <v>0</v>
      </c>
      <c r="AT68" s="1222">
        <v>0</v>
      </c>
      <c r="AU68" s="1244">
        <v>0</v>
      </c>
      <c r="AV68" s="1252">
        <v>0</v>
      </c>
      <c r="AW68" s="1222">
        <v>0</v>
      </c>
      <c r="AX68" s="1222">
        <v>0</v>
      </c>
      <c r="AY68" s="1244">
        <v>0</v>
      </c>
      <c r="AZ68" s="1252">
        <v>0</v>
      </c>
      <c r="BA68" s="1222">
        <v>0</v>
      </c>
      <c r="BB68" s="1222">
        <v>0</v>
      </c>
      <c r="BC68" s="1244">
        <v>0</v>
      </c>
      <c r="BD68" s="1252">
        <v>0</v>
      </c>
      <c r="BE68" s="1222">
        <v>0</v>
      </c>
      <c r="BF68" s="1222">
        <v>0</v>
      </c>
      <c r="BG68" s="1244">
        <v>0</v>
      </c>
      <c r="BH68" s="1252">
        <v>0</v>
      </c>
      <c r="BI68" s="1222">
        <v>0</v>
      </c>
      <c r="BJ68" s="1222">
        <v>0</v>
      </c>
      <c r="BK68" s="1244">
        <v>0</v>
      </c>
      <c r="BL68" s="1252">
        <v>0</v>
      </c>
      <c r="BM68" s="1222">
        <v>0</v>
      </c>
      <c r="BN68" s="1222">
        <v>0</v>
      </c>
      <c r="BO68" s="1244">
        <v>0</v>
      </c>
      <c r="BP68" s="1252">
        <v>0</v>
      </c>
      <c r="BQ68" s="1222">
        <v>0</v>
      </c>
      <c r="BR68" s="1222">
        <v>0</v>
      </c>
      <c r="BS68" s="1244">
        <v>0</v>
      </c>
      <c r="BT68" s="1252">
        <v>0</v>
      </c>
      <c r="BU68" s="1222">
        <v>0</v>
      </c>
      <c r="BV68" s="1222">
        <v>0</v>
      </c>
      <c r="BW68" s="1222">
        <v>0</v>
      </c>
      <c r="BX68" s="1244">
        <v>0</v>
      </c>
      <c r="BY68" s="1252">
        <v>0</v>
      </c>
      <c r="BZ68" s="1222">
        <v>0</v>
      </c>
      <c r="CA68" s="1222">
        <v>0</v>
      </c>
      <c r="CB68" s="1222">
        <v>0</v>
      </c>
      <c r="CC68" s="1244">
        <v>0</v>
      </c>
      <c r="CD68" s="1252">
        <v>0</v>
      </c>
      <c r="CE68" s="1222">
        <v>0</v>
      </c>
      <c r="CF68" s="1222">
        <v>0</v>
      </c>
      <c r="CG68" s="1222">
        <v>0</v>
      </c>
      <c r="CH68" s="1244">
        <v>0</v>
      </c>
      <c r="CI68" s="1252">
        <v>0</v>
      </c>
      <c r="CJ68" s="1222">
        <v>0</v>
      </c>
      <c r="CK68" s="1222">
        <v>0</v>
      </c>
      <c r="CL68" s="1222">
        <v>0</v>
      </c>
      <c r="CM68" s="1244">
        <v>0</v>
      </c>
      <c r="CN68" s="1269">
        <f t="shared" si="21"/>
        <v>0</v>
      </c>
      <c r="CO68" s="1271">
        <f>+CN68</f>
        <v>0</v>
      </c>
      <c r="CP68" s="1237"/>
    </row>
    <row r="69" spans="1:94" ht="13.5">
      <c r="A69" s="1147">
        <f t="shared" si="1"/>
        <v>55</v>
      </c>
      <c r="B69" s="1233" t="str">
        <f t="shared" si="7"/>
        <v>FCR W base ROE</v>
      </c>
      <c r="C69" s="1266">
        <f t="shared" si="6"/>
        <v>2025</v>
      </c>
      <c r="D69" s="1267">
        <f>+F68</f>
        <v>0</v>
      </c>
      <c r="E69" s="1267">
        <f>+D$27</f>
        <v>0</v>
      </c>
      <c r="F69" s="1267">
        <f t="shared" si="5"/>
        <v>0</v>
      </c>
      <c r="G69" s="1244">
        <f>+D$24*(D69+F69)/2+E69</f>
        <v>0</v>
      </c>
      <c r="H69" s="1267">
        <v>0</v>
      </c>
      <c r="I69" s="1267">
        <v>0</v>
      </c>
      <c r="J69" s="1267">
        <v>0</v>
      </c>
      <c r="K69" s="1244">
        <v>0</v>
      </c>
      <c r="L69" s="1267">
        <v>0</v>
      </c>
      <c r="M69" s="1267">
        <v>0</v>
      </c>
      <c r="N69" s="1267">
        <v>0</v>
      </c>
      <c r="O69" s="1267">
        <v>0</v>
      </c>
      <c r="P69" s="1252">
        <v>0</v>
      </c>
      <c r="Q69" s="1222">
        <v>0</v>
      </c>
      <c r="R69" s="1222">
        <v>0</v>
      </c>
      <c r="S69" s="1244">
        <v>0</v>
      </c>
      <c r="T69" s="1252">
        <v>0</v>
      </c>
      <c r="U69" s="1222">
        <v>0</v>
      </c>
      <c r="V69" s="1222">
        <v>0</v>
      </c>
      <c r="W69" s="1244">
        <v>0</v>
      </c>
      <c r="X69" s="1252">
        <v>0</v>
      </c>
      <c r="Y69" s="1222">
        <v>0</v>
      </c>
      <c r="Z69" s="1222">
        <v>0</v>
      </c>
      <c r="AA69" s="1244">
        <v>0</v>
      </c>
      <c r="AB69" s="1252">
        <v>0</v>
      </c>
      <c r="AC69" s="1222">
        <v>0</v>
      </c>
      <c r="AD69" s="1222">
        <v>0</v>
      </c>
      <c r="AE69" s="1244">
        <v>0</v>
      </c>
      <c r="AF69" s="1252">
        <v>0</v>
      </c>
      <c r="AG69" s="1222">
        <v>0</v>
      </c>
      <c r="AH69" s="1222">
        <v>0</v>
      </c>
      <c r="AI69" s="1244">
        <v>0</v>
      </c>
      <c r="AJ69" s="1252">
        <v>0</v>
      </c>
      <c r="AK69" s="1222">
        <v>0</v>
      </c>
      <c r="AL69" s="1222">
        <v>0</v>
      </c>
      <c r="AM69" s="1244">
        <v>0</v>
      </c>
      <c r="AN69" s="1252">
        <v>0</v>
      </c>
      <c r="AO69" s="1222">
        <v>0</v>
      </c>
      <c r="AP69" s="1222">
        <v>0</v>
      </c>
      <c r="AQ69" s="1244">
        <v>0</v>
      </c>
      <c r="AR69" s="1252">
        <v>0</v>
      </c>
      <c r="AS69" s="1222">
        <v>0</v>
      </c>
      <c r="AT69" s="1222">
        <v>0</v>
      </c>
      <c r="AU69" s="1244">
        <v>0</v>
      </c>
      <c r="AV69" s="1252">
        <v>0</v>
      </c>
      <c r="AW69" s="1222">
        <v>0</v>
      </c>
      <c r="AX69" s="1222">
        <v>0</v>
      </c>
      <c r="AY69" s="1244">
        <v>0</v>
      </c>
      <c r="AZ69" s="1252">
        <v>0</v>
      </c>
      <c r="BA69" s="1222">
        <v>0</v>
      </c>
      <c r="BB69" s="1222">
        <v>0</v>
      </c>
      <c r="BC69" s="1244">
        <v>0</v>
      </c>
      <c r="BD69" s="1252">
        <v>0</v>
      </c>
      <c r="BE69" s="1222">
        <v>0</v>
      </c>
      <c r="BF69" s="1222">
        <v>0</v>
      </c>
      <c r="BG69" s="1244">
        <v>0</v>
      </c>
      <c r="BH69" s="1252">
        <v>0</v>
      </c>
      <c r="BI69" s="1222">
        <v>0</v>
      </c>
      <c r="BJ69" s="1222">
        <v>0</v>
      </c>
      <c r="BK69" s="1244">
        <v>0</v>
      </c>
      <c r="BL69" s="1252">
        <v>0</v>
      </c>
      <c r="BM69" s="1222">
        <v>0</v>
      </c>
      <c r="BN69" s="1222">
        <v>0</v>
      </c>
      <c r="BO69" s="1244">
        <v>0</v>
      </c>
      <c r="BP69" s="1252">
        <v>0</v>
      </c>
      <c r="BQ69" s="1222">
        <v>0</v>
      </c>
      <c r="BR69" s="1222">
        <v>0</v>
      </c>
      <c r="BS69" s="1244">
        <v>0</v>
      </c>
      <c r="BT69" s="1252">
        <v>0</v>
      </c>
      <c r="BU69" s="1222">
        <v>0</v>
      </c>
      <c r="BV69" s="1222">
        <v>0</v>
      </c>
      <c r="BW69" s="1222">
        <v>0</v>
      </c>
      <c r="BX69" s="1244">
        <v>0</v>
      </c>
      <c r="BY69" s="1252">
        <v>0</v>
      </c>
      <c r="BZ69" s="1222">
        <v>0</v>
      </c>
      <c r="CA69" s="1222">
        <v>0</v>
      </c>
      <c r="CB69" s="1222">
        <v>0</v>
      </c>
      <c r="CC69" s="1244">
        <v>0</v>
      </c>
      <c r="CD69" s="1252">
        <v>0</v>
      </c>
      <c r="CE69" s="1222">
        <v>0</v>
      </c>
      <c r="CF69" s="1222">
        <v>0</v>
      </c>
      <c r="CG69" s="1222">
        <v>0</v>
      </c>
      <c r="CH69" s="1244">
        <v>0</v>
      </c>
      <c r="CI69" s="1252">
        <v>0</v>
      </c>
      <c r="CJ69" s="1222">
        <v>0</v>
      </c>
      <c r="CK69" s="1222">
        <v>0</v>
      </c>
      <c r="CL69" s="1222">
        <v>0</v>
      </c>
      <c r="CM69" s="1244">
        <v>0</v>
      </c>
      <c r="CN69" s="1269">
        <f t="shared" si="21"/>
        <v>0</v>
      </c>
      <c r="CO69" s="1232"/>
      <c r="CP69" s="1270">
        <f>+CN69</f>
        <v>0</v>
      </c>
    </row>
    <row r="70" spans="1:94" ht="13.5">
      <c r="A70" s="1147">
        <f t="shared" si="1"/>
        <v>56</v>
      </c>
      <c r="B70" s="1233" t="str">
        <f t="shared" si="7"/>
        <v>W Increased ROE</v>
      </c>
      <c r="C70" s="1266">
        <f t="shared" si="6"/>
        <v>2025</v>
      </c>
      <c r="D70" s="1267">
        <f>+D69</f>
        <v>0</v>
      </c>
      <c r="E70" s="1267">
        <f>+E69</f>
        <v>0</v>
      </c>
      <c r="F70" s="1267">
        <f t="shared" si="5"/>
        <v>0</v>
      </c>
      <c r="G70" s="1244">
        <f>+D$25*(F70+D70)/2+E70</f>
        <v>0</v>
      </c>
      <c r="H70" s="1267">
        <v>0</v>
      </c>
      <c r="I70" s="1267">
        <v>0</v>
      </c>
      <c r="J70" s="1267">
        <v>0</v>
      </c>
      <c r="K70" s="1244">
        <v>0</v>
      </c>
      <c r="L70" s="1267">
        <v>0</v>
      </c>
      <c r="M70" s="1267">
        <v>0</v>
      </c>
      <c r="N70" s="1267">
        <v>0</v>
      </c>
      <c r="O70" s="1267">
        <v>0</v>
      </c>
      <c r="P70" s="1252">
        <v>0</v>
      </c>
      <c r="Q70" s="1222">
        <v>0</v>
      </c>
      <c r="R70" s="1222">
        <v>0</v>
      </c>
      <c r="S70" s="1244">
        <v>0</v>
      </c>
      <c r="T70" s="1252">
        <v>0</v>
      </c>
      <c r="U70" s="1222">
        <v>0</v>
      </c>
      <c r="V70" s="1222">
        <v>0</v>
      </c>
      <c r="W70" s="1244">
        <v>0</v>
      </c>
      <c r="X70" s="1252">
        <v>0</v>
      </c>
      <c r="Y70" s="1222">
        <v>0</v>
      </c>
      <c r="Z70" s="1222">
        <v>0</v>
      </c>
      <c r="AA70" s="1244">
        <v>0</v>
      </c>
      <c r="AB70" s="1252">
        <v>0</v>
      </c>
      <c r="AC70" s="1222">
        <v>0</v>
      </c>
      <c r="AD70" s="1222">
        <v>0</v>
      </c>
      <c r="AE70" s="1244">
        <v>0</v>
      </c>
      <c r="AF70" s="1252">
        <v>0</v>
      </c>
      <c r="AG70" s="1222">
        <v>0</v>
      </c>
      <c r="AH70" s="1222">
        <v>0</v>
      </c>
      <c r="AI70" s="1244">
        <v>0</v>
      </c>
      <c r="AJ70" s="1252">
        <v>0</v>
      </c>
      <c r="AK70" s="1222">
        <v>0</v>
      </c>
      <c r="AL70" s="1222">
        <v>0</v>
      </c>
      <c r="AM70" s="1244">
        <v>0</v>
      </c>
      <c r="AN70" s="1252">
        <v>0</v>
      </c>
      <c r="AO70" s="1222">
        <v>0</v>
      </c>
      <c r="AP70" s="1222">
        <v>0</v>
      </c>
      <c r="AQ70" s="1244">
        <v>0</v>
      </c>
      <c r="AR70" s="1252">
        <v>0</v>
      </c>
      <c r="AS70" s="1222">
        <v>0</v>
      </c>
      <c r="AT70" s="1222">
        <v>0</v>
      </c>
      <c r="AU70" s="1244">
        <v>0</v>
      </c>
      <c r="AV70" s="1252">
        <v>0</v>
      </c>
      <c r="AW70" s="1222">
        <v>0</v>
      </c>
      <c r="AX70" s="1222">
        <v>0</v>
      </c>
      <c r="AY70" s="1244">
        <v>0</v>
      </c>
      <c r="AZ70" s="1252">
        <v>0</v>
      </c>
      <c r="BA70" s="1222">
        <v>0</v>
      </c>
      <c r="BB70" s="1222">
        <v>0</v>
      </c>
      <c r="BC70" s="1244">
        <v>0</v>
      </c>
      <c r="BD70" s="1252">
        <v>0</v>
      </c>
      <c r="BE70" s="1222">
        <v>0</v>
      </c>
      <c r="BF70" s="1222">
        <v>0</v>
      </c>
      <c r="BG70" s="1244">
        <v>0</v>
      </c>
      <c r="BH70" s="1252">
        <v>0</v>
      </c>
      <c r="BI70" s="1222">
        <v>0</v>
      </c>
      <c r="BJ70" s="1222">
        <v>0</v>
      </c>
      <c r="BK70" s="1244">
        <v>0</v>
      </c>
      <c r="BL70" s="1252">
        <v>0</v>
      </c>
      <c r="BM70" s="1222">
        <v>0</v>
      </c>
      <c r="BN70" s="1222">
        <v>0</v>
      </c>
      <c r="BO70" s="1244">
        <v>0</v>
      </c>
      <c r="BP70" s="1252">
        <v>0</v>
      </c>
      <c r="BQ70" s="1222">
        <v>0</v>
      </c>
      <c r="BR70" s="1222">
        <v>0</v>
      </c>
      <c r="BS70" s="1244">
        <v>0</v>
      </c>
      <c r="BT70" s="1252">
        <v>0</v>
      </c>
      <c r="BU70" s="1222">
        <v>0</v>
      </c>
      <c r="BV70" s="1222">
        <v>0</v>
      </c>
      <c r="BW70" s="1222">
        <v>0</v>
      </c>
      <c r="BX70" s="1244">
        <v>0</v>
      </c>
      <c r="BY70" s="1252">
        <v>0</v>
      </c>
      <c r="BZ70" s="1222">
        <v>0</v>
      </c>
      <c r="CA70" s="1222">
        <v>0</v>
      </c>
      <c r="CB70" s="1222">
        <v>0</v>
      </c>
      <c r="CC70" s="1244">
        <v>0</v>
      </c>
      <c r="CD70" s="1252">
        <v>0</v>
      </c>
      <c r="CE70" s="1222">
        <v>0</v>
      </c>
      <c r="CF70" s="1222">
        <v>0</v>
      </c>
      <c r="CG70" s="1222">
        <v>0</v>
      </c>
      <c r="CH70" s="1244">
        <v>0</v>
      </c>
      <c r="CI70" s="1252">
        <v>0</v>
      </c>
      <c r="CJ70" s="1222">
        <v>0</v>
      </c>
      <c r="CK70" s="1222">
        <v>0</v>
      </c>
      <c r="CL70" s="1222">
        <v>0</v>
      </c>
      <c r="CM70" s="1244">
        <v>0</v>
      </c>
      <c r="CN70" s="1269">
        <f t="shared" si="21"/>
        <v>0</v>
      </c>
      <c r="CO70" s="1271">
        <f>+CN70</f>
        <v>0</v>
      </c>
      <c r="CP70" s="1237"/>
    </row>
    <row r="71" spans="1:94" ht="13.5">
      <c r="A71" s="1147">
        <f t="shared" si="1"/>
        <v>57</v>
      </c>
      <c r="B71" s="1233" t="str">
        <f t="shared" si="7"/>
        <v>FCR W base ROE</v>
      </c>
      <c r="C71" s="1266">
        <f t="shared" si="6"/>
        <v>2026</v>
      </c>
      <c r="D71" s="1267">
        <f>+F70</f>
        <v>0</v>
      </c>
      <c r="E71" s="1267">
        <f>+D$27</f>
        <v>0</v>
      </c>
      <c r="F71" s="1267">
        <f t="shared" si="5"/>
        <v>0</v>
      </c>
      <c r="G71" s="1244">
        <f>+D$24*(D71+F71)/2+E71</f>
        <v>0</v>
      </c>
      <c r="H71" s="1267">
        <v>0</v>
      </c>
      <c r="I71" s="1267">
        <v>0</v>
      </c>
      <c r="J71" s="1267">
        <v>0</v>
      </c>
      <c r="K71" s="1244">
        <v>0</v>
      </c>
      <c r="L71" s="1267">
        <v>0</v>
      </c>
      <c r="M71" s="1267">
        <v>0</v>
      </c>
      <c r="N71" s="1267">
        <v>0</v>
      </c>
      <c r="O71" s="1267">
        <v>0</v>
      </c>
      <c r="P71" s="1252">
        <v>0</v>
      </c>
      <c r="Q71" s="1222">
        <v>0</v>
      </c>
      <c r="R71" s="1222">
        <v>0</v>
      </c>
      <c r="S71" s="1244">
        <v>0</v>
      </c>
      <c r="T71" s="1252">
        <v>0</v>
      </c>
      <c r="U71" s="1222">
        <v>0</v>
      </c>
      <c r="V71" s="1222">
        <v>0</v>
      </c>
      <c r="W71" s="1244">
        <v>0</v>
      </c>
      <c r="X71" s="1252">
        <v>0</v>
      </c>
      <c r="Y71" s="1222">
        <v>0</v>
      </c>
      <c r="Z71" s="1222">
        <v>0</v>
      </c>
      <c r="AA71" s="1244">
        <v>0</v>
      </c>
      <c r="AB71" s="1252">
        <v>0</v>
      </c>
      <c r="AC71" s="1222">
        <v>0</v>
      </c>
      <c r="AD71" s="1222">
        <v>0</v>
      </c>
      <c r="AE71" s="1244">
        <v>0</v>
      </c>
      <c r="AF71" s="1252">
        <v>0</v>
      </c>
      <c r="AG71" s="1222">
        <v>0</v>
      </c>
      <c r="AH71" s="1222">
        <v>0</v>
      </c>
      <c r="AI71" s="1244">
        <v>0</v>
      </c>
      <c r="AJ71" s="1252">
        <v>0</v>
      </c>
      <c r="AK71" s="1222">
        <v>0</v>
      </c>
      <c r="AL71" s="1222">
        <v>0</v>
      </c>
      <c r="AM71" s="1244">
        <v>0</v>
      </c>
      <c r="AN71" s="1252">
        <v>0</v>
      </c>
      <c r="AO71" s="1222">
        <v>0</v>
      </c>
      <c r="AP71" s="1222">
        <v>0</v>
      </c>
      <c r="AQ71" s="1244">
        <v>0</v>
      </c>
      <c r="AR71" s="1252">
        <v>0</v>
      </c>
      <c r="AS71" s="1222">
        <v>0</v>
      </c>
      <c r="AT71" s="1222">
        <v>0</v>
      </c>
      <c r="AU71" s="1244">
        <v>0</v>
      </c>
      <c r="AV71" s="1252">
        <v>0</v>
      </c>
      <c r="AW71" s="1222">
        <v>0</v>
      </c>
      <c r="AX71" s="1222">
        <v>0</v>
      </c>
      <c r="AY71" s="1244">
        <v>0</v>
      </c>
      <c r="AZ71" s="1252">
        <v>0</v>
      </c>
      <c r="BA71" s="1222">
        <v>0</v>
      </c>
      <c r="BB71" s="1222">
        <v>0</v>
      </c>
      <c r="BC71" s="1244">
        <v>0</v>
      </c>
      <c r="BD71" s="1252">
        <v>0</v>
      </c>
      <c r="BE71" s="1222">
        <v>0</v>
      </c>
      <c r="BF71" s="1222">
        <v>0</v>
      </c>
      <c r="BG71" s="1244">
        <v>0</v>
      </c>
      <c r="BH71" s="1252">
        <v>0</v>
      </c>
      <c r="BI71" s="1222">
        <v>0</v>
      </c>
      <c r="BJ71" s="1222">
        <v>0</v>
      </c>
      <c r="BK71" s="1244">
        <v>0</v>
      </c>
      <c r="BL71" s="1252">
        <v>0</v>
      </c>
      <c r="BM71" s="1222">
        <v>0</v>
      </c>
      <c r="BN71" s="1222">
        <v>0</v>
      </c>
      <c r="BO71" s="1244">
        <v>0</v>
      </c>
      <c r="BP71" s="1252">
        <v>0</v>
      </c>
      <c r="BQ71" s="1222">
        <v>0</v>
      </c>
      <c r="BR71" s="1222">
        <v>0</v>
      </c>
      <c r="BS71" s="1244">
        <v>0</v>
      </c>
      <c r="BT71" s="1252">
        <v>0</v>
      </c>
      <c r="BU71" s="1222">
        <v>0</v>
      </c>
      <c r="BV71" s="1222">
        <v>0</v>
      </c>
      <c r="BW71" s="1222">
        <v>0</v>
      </c>
      <c r="BX71" s="1244">
        <v>0</v>
      </c>
      <c r="BY71" s="1252">
        <v>0</v>
      </c>
      <c r="BZ71" s="1222">
        <v>0</v>
      </c>
      <c r="CA71" s="1222">
        <v>0</v>
      </c>
      <c r="CB71" s="1222">
        <v>0</v>
      </c>
      <c r="CC71" s="1244">
        <v>0</v>
      </c>
      <c r="CD71" s="1252">
        <v>0</v>
      </c>
      <c r="CE71" s="1222">
        <v>0</v>
      </c>
      <c r="CF71" s="1222">
        <v>0</v>
      </c>
      <c r="CG71" s="1222">
        <v>0</v>
      </c>
      <c r="CH71" s="1244">
        <v>0</v>
      </c>
      <c r="CI71" s="1252">
        <v>0</v>
      </c>
      <c r="CJ71" s="1222">
        <v>0</v>
      </c>
      <c r="CK71" s="1222">
        <v>0</v>
      </c>
      <c r="CL71" s="1222">
        <v>0</v>
      </c>
      <c r="CM71" s="1244">
        <v>0</v>
      </c>
      <c r="CN71" s="1269">
        <f t="shared" si="21"/>
        <v>0</v>
      </c>
      <c r="CO71" s="1232"/>
      <c r="CP71" s="1270">
        <f>+CN71</f>
        <v>0</v>
      </c>
    </row>
    <row r="72" spans="1:94" ht="13.5">
      <c r="A72" s="1147">
        <f t="shared" si="1"/>
        <v>58</v>
      </c>
      <c r="B72" s="1233" t="str">
        <f t="shared" si="7"/>
        <v>W Increased ROE</v>
      </c>
      <c r="C72" s="1266">
        <f t="shared" si="6"/>
        <v>2026</v>
      </c>
      <c r="D72" s="1267"/>
      <c r="E72" s="1267">
        <f>+E71</f>
        <v>0</v>
      </c>
      <c r="F72" s="1267">
        <f t="shared" si="5"/>
        <v>0</v>
      </c>
      <c r="G72" s="1244">
        <f>+D$25*(F72+D72)/2+E72</f>
        <v>0</v>
      </c>
      <c r="H72" s="1267">
        <v>0</v>
      </c>
      <c r="I72" s="1267">
        <v>0</v>
      </c>
      <c r="J72" s="1267">
        <v>0</v>
      </c>
      <c r="K72" s="1244">
        <v>0</v>
      </c>
      <c r="L72" s="1267">
        <v>0</v>
      </c>
      <c r="M72" s="1267">
        <v>0</v>
      </c>
      <c r="N72" s="1267">
        <v>0</v>
      </c>
      <c r="O72" s="1267">
        <v>0</v>
      </c>
      <c r="P72" s="1252">
        <v>0</v>
      </c>
      <c r="Q72" s="1222">
        <v>0</v>
      </c>
      <c r="R72" s="1222">
        <v>0</v>
      </c>
      <c r="S72" s="1244">
        <v>0</v>
      </c>
      <c r="T72" s="1252">
        <v>0</v>
      </c>
      <c r="U72" s="1222">
        <v>0</v>
      </c>
      <c r="V72" s="1222">
        <v>0</v>
      </c>
      <c r="W72" s="1244">
        <v>0</v>
      </c>
      <c r="X72" s="1252">
        <v>0</v>
      </c>
      <c r="Y72" s="1222">
        <v>0</v>
      </c>
      <c r="Z72" s="1222">
        <v>0</v>
      </c>
      <c r="AA72" s="1244">
        <v>0</v>
      </c>
      <c r="AB72" s="1252">
        <v>0</v>
      </c>
      <c r="AC72" s="1222">
        <v>0</v>
      </c>
      <c r="AD72" s="1222">
        <v>0</v>
      </c>
      <c r="AE72" s="1244">
        <v>0</v>
      </c>
      <c r="AF72" s="1252">
        <v>0</v>
      </c>
      <c r="AG72" s="1222">
        <v>0</v>
      </c>
      <c r="AH72" s="1222">
        <v>0</v>
      </c>
      <c r="AI72" s="1244">
        <v>0</v>
      </c>
      <c r="AJ72" s="1252">
        <v>0</v>
      </c>
      <c r="AK72" s="1222">
        <v>0</v>
      </c>
      <c r="AL72" s="1222">
        <v>0</v>
      </c>
      <c r="AM72" s="1244">
        <v>0</v>
      </c>
      <c r="AN72" s="1252">
        <v>0</v>
      </c>
      <c r="AO72" s="1222">
        <v>0</v>
      </c>
      <c r="AP72" s="1222">
        <v>0</v>
      </c>
      <c r="AQ72" s="1244">
        <v>0</v>
      </c>
      <c r="AR72" s="1252">
        <v>0</v>
      </c>
      <c r="AS72" s="1222">
        <v>0</v>
      </c>
      <c r="AT72" s="1222">
        <v>0</v>
      </c>
      <c r="AU72" s="1244">
        <v>0</v>
      </c>
      <c r="AV72" s="1252">
        <v>0</v>
      </c>
      <c r="AW72" s="1222">
        <v>0</v>
      </c>
      <c r="AX72" s="1222">
        <v>0</v>
      </c>
      <c r="AY72" s="1244">
        <v>0</v>
      </c>
      <c r="AZ72" s="1252">
        <v>0</v>
      </c>
      <c r="BA72" s="1222">
        <v>0</v>
      </c>
      <c r="BB72" s="1222">
        <v>0</v>
      </c>
      <c r="BC72" s="1244">
        <v>0</v>
      </c>
      <c r="BD72" s="1252">
        <v>0</v>
      </c>
      <c r="BE72" s="1222">
        <v>0</v>
      </c>
      <c r="BF72" s="1222">
        <v>0</v>
      </c>
      <c r="BG72" s="1244">
        <v>0</v>
      </c>
      <c r="BH72" s="1252">
        <v>0</v>
      </c>
      <c r="BI72" s="1222">
        <v>0</v>
      </c>
      <c r="BJ72" s="1222">
        <v>0</v>
      </c>
      <c r="BK72" s="1244">
        <v>0</v>
      </c>
      <c r="BL72" s="1252">
        <v>0</v>
      </c>
      <c r="BM72" s="1222">
        <v>0</v>
      </c>
      <c r="BN72" s="1222">
        <v>0</v>
      </c>
      <c r="BO72" s="1244">
        <v>0</v>
      </c>
      <c r="BP72" s="1252">
        <v>0</v>
      </c>
      <c r="BQ72" s="1222">
        <v>0</v>
      </c>
      <c r="BR72" s="1222">
        <v>0</v>
      </c>
      <c r="BS72" s="1244">
        <v>0</v>
      </c>
      <c r="BT72" s="1252">
        <v>0</v>
      </c>
      <c r="BU72" s="1222">
        <v>0</v>
      </c>
      <c r="BV72" s="1222">
        <v>0</v>
      </c>
      <c r="BW72" s="1222">
        <v>0</v>
      </c>
      <c r="BX72" s="1244">
        <v>0</v>
      </c>
      <c r="BY72" s="1252">
        <v>0</v>
      </c>
      <c r="BZ72" s="1222">
        <v>0</v>
      </c>
      <c r="CA72" s="1222">
        <v>0</v>
      </c>
      <c r="CB72" s="1222">
        <v>0</v>
      </c>
      <c r="CC72" s="1244">
        <v>0</v>
      </c>
      <c r="CD72" s="1252">
        <v>0</v>
      </c>
      <c r="CE72" s="1222">
        <v>0</v>
      </c>
      <c r="CF72" s="1222">
        <v>0</v>
      </c>
      <c r="CG72" s="1222">
        <v>0</v>
      </c>
      <c r="CH72" s="1244">
        <v>0</v>
      </c>
      <c r="CI72" s="1252">
        <v>0</v>
      </c>
      <c r="CJ72" s="1222">
        <v>0</v>
      </c>
      <c r="CK72" s="1222">
        <v>0</v>
      </c>
      <c r="CL72" s="1222">
        <v>0</v>
      </c>
      <c r="CM72" s="1244">
        <v>0</v>
      </c>
      <c r="CN72" s="1269">
        <f t="shared" si="21"/>
        <v>0</v>
      </c>
      <c r="CO72" s="1271">
        <f>+CN72</f>
        <v>0</v>
      </c>
      <c r="CP72" s="1237"/>
    </row>
    <row r="73" spans="1:94" ht="13.5">
      <c r="A73" s="1147">
        <f t="shared" si="1"/>
        <v>59</v>
      </c>
      <c r="B73" s="1272"/>
      <c r="C73" s="1273" t="s">
        <v>564</v>
      </c>
      <c r="D73" s="1274"/>
      <c r="E73" s="1274" t="s">
        <v>564</v>
      </c>
      <c r="F73" s="1274" t="s">
        <v>565</v>
      </c>
      <c r="G73" s="1275" t="s">
        <v>564</v>
      </c>
      <c r="H73" s="1274">
        <v>0</v>
      </c>
      <c r="I73" s="1274">
        <v>0</v>
      </c>
      <c r="J73" s="1274">
        <v>0</v>
      </c>
      <c r="K73" s="1244">
        <v>0</v>
      </c>
      <c r="L73" s="1274">
        <v>0</v>
      </c>
      <c r="M73" s="1274">
        <v>0</v>
      </c>
      <c r="N73" s="1274">
        <v>0</v>
      </c>
      <c r="O73" s="1274">
        <v>0</v>
      </c>
      <c r="P73" s="1252">
        <v>0</v>
      </c>
      <c r="Q73" s="1222">
        <v>0</v>
      </c>
      <c r="R73" s="1222">
        <v>0</v>
      </c>
      <c r="S73" s="1244">
        <v>0</v>
      </c>
      <c r="T73" s="1252">
        <v>0</v>
      </c>
      <c r="U73" s="1222">
        <v>0</v>
      </c>
      <c r="V73" s="1222">
        <v>0</v>
      </c>
      <c r="W73" s="1244">
        <v>0</v>
      </c>
      <c r="X73" s="1252">
        <v>0</v>
      </c>
      <c r="Y73" s="1222">
        <v>0</v>
      </c>
      <c r="Z73" s="1222">
        <v>0</v>
      </c>
      <c r="AA73" s="1244">
        <v>0</v>
      </c>
      <c r="AB73" s="1252">
        <v>0</v>
      </c>
      <c r="AC73" s="1222">
        <v>0</v>
      </c>
      <c r="AD73" s="1222">
        <v>0</v>
      </c>
      <c r="AE73" s="1244">
        <v>0</v>
      </c>
      <c r="AF73" s="1252">
        <v>0</v>
      </c>
      <c r="AG73" s="1222">
        <v>0</v>
      </c>
      <c r="AH73" s="1222">
        <v>0</v>
      </c>
      <c r="AI73" s="1244">
        <v>0</v>
      </c>
      <c r="AJ73" s="1252">
        <v>0</v>
      </c>
      <c r="AK73" s="1222">
        <v>0</v>
      </c>
      <c r="AL73" s="1222">
        <v>0</v>
      </c>
      <c r="AM73" s="1244">
        <v>0</v>
      </c>
      <c r="AN73" s="1252">
        <v>0</v>
      </c>
      <c r="AO73" s="1222">
        <v>0</v>
      </c>
      <c r="AP73" s="1222">
        <v>0</v>
      </c>
      <c r="AQ73" s="1244">
        <v>0</v>
      </c>
      <c r="AR73" s="1252">
        <v>0</v>
      </c>
      <c r="AS73" s="1222">
        <v>0</v>
      </c>
      <c r="AT73" s="1222">
        <v>0</v>
      </c>
      <c r="AU73" s="1244">
        <v>0</v>
      </c>
      <c r="AV73" s="1252">
        <v>0</v>
      </c>
      <c r="AW73" s="1222">
        <v>0</v>
      </c>
      <c r="AX73" s="1222">
        <v>0</v>
      </c>
      <c r="AY73" s="1244">
        <v>0</v>
      </c>
      <c r="AZ73" s="1252">
        <v>0</v>
      </c>
      <c r="BA73" s="1222">
        <v>0</v>
      </c>
      <c r="BB73" s="1222">
        <v>0</v>
      </c>
      <c r="BC73" s="1244">
        <v>0</v>
      </c>
      <c r="BD73" s="1252">
        <v>0</v>
      </c>
      <c r="BE73" s="1222">
        <v>0</v>
      </c>
      <c r="BF73" s="1222">
        <v>0</v>
      </c>
      <c r="BG73" s="1244">
        <v>0</v>
      </c>
      <c r="BH73" s="1252">
        <v>0</v>
      </c>
      <c r="BI73" s="1222">
        <v>0</v>
      </c>
      <c r="BJ73" s="1222">
        <v>0</v>
      </c>
      <c r="BK73" s="1244">
        <v>0</v>
      </c>
      <c r="BL73" s="1252">
        <v>0</v>
      </c>
      <c r="BM73" s="1222">
        <v>0</v>
      </c>
      <c r="BN73" s="1222">
        <v>0</v>
      </c>
      <c r="BO73" s="1244">
        <v>0</v>
      </c>
      <c r="BP73" s="1252">
        <v>0</v>
      </c>
      <c r="BQ73" s="1222">
        <v>0</v>
      </c>
      <c r="BR73" s="1222">
        <v>0</v>
      </c>
      <c r="BS73" s="1244">
        <v>0</v>
      </c>
      <c r="BT73" s="1252">
        <v>0</v>
      </c>
      <c r="BU73" s="1222">
        <v>0</v>
      </c>
      <c r="BV73" s="1222">
        <v>0</v>
      </c>
      <c r="BW73" s="1222">
        <v>0</v>
      </c>
      <c r="BX73" s="1244">
        <v>0</v>
      </c>
      <c r="BY73" s="1252">
        <v>0</v>
      </c>
      <c r="BZ73" s="1222">
        <v>0</v>
      </c>
      <c r="CA73" s="1222">
        <v>0</v>
      </c>
      <c r="CB73" s="1222">
        <v>0</v>
      </c>
      <c r="CC73" s="1244">
        <v>0</v>
      </c>
      <c r="CD73" s="1252">
        <v>0</v>
      </c>
      <c r="CE73" s="1222">
        <v>0</v>
      </c>
      <c r="CF73" s="1222">
        <v>0</v>
      </c>
      <c r="CG73" s="1222">
        <v>0</v>
      </c>
      <c r="CH73" s="1244">
        <v>0</v>
      </c>
      <c r="CI73" s="1252">
        <v>0</v>
      </c>
      <c r="CJ73" s="1222">
        <v>0</v>
      </c>
      <c r="CK73" s="1222">
        <v>0</v>
      </c>
      <c r="CL73" s="1222">
        <v>0</v>
      </c>
      <c r="CM73" s="1244">
        <v>0</v>
      </c>
      <c r="CN73" s="1269"/>
      <c r="CO73" s="1232"/>
      <c r="CP73" s="1270">
        <f>+CN73</f>
        <v>0</v>
      </c>
    </row>
    <row r="74" spans="1:96" ht="14.25" thickBot="1">
      <c r="A74" s="1147">
        <f t="shared" si="1"/>
        <v>60</v>
      </c>
      <c r="B74" s="1276"/>
      <c r="C74" s="1277" t="s">
        <v>564</v>
      </c>
      <c r="D74" s="1278" t="s">
        <v>564</v>
      </c>
      <c r="E74" s="1278" t="s">
        <v>565</v>
      </c>
      <c r="F74" s="1278" t="s">
        <v>565</v>
      </c>
      <c r="G74" s="1279" t="s">
        <v>564</v>
      </c>
      <c r="H74" s="1278">
        <v>0</v>
      </c>
      <c r="I74" s="1278">
        <v>0</v>
      </c>
      <c r="J74" s="1278">
        <v>0</v>
      </c>
      <c r="K74" s="1279">
        <v>0</v>
      </c>
      <c r="L74" s="1278">
        <v>0</v>
      </c>
      <c r="M74" s="1278">
        <v>0</v>
      </c>
      <c r="N74" s="1278">
        <v>0</v>
      </c>
      <c r="O74" s="1278">
        <v>0</v>
      </c>
      <c r="P74" s="1280">
        <v>0</v>
      </c>
      <c r="Q74" s="1281">
        <v>0</v>
      </c>
      <c r="R74" s="1281">
        <v>0</v>
      </c>
      <c r="S74" s="1279">
        <v>0</v>
      </c>
      <c r="T74" s="1280">
        <v>0</v>
      </c>
      <c r="U74" s="1281">
        <v>0</v>
      </c>
      <c r="V74" s="1281">
        <v>0</v>
      </c>
      <c r="W74" s="1279">
        <v>0</v>
      </c>
      <c r="X74" s="1280">
        <v>0</v>
      </c>
      <c r="Y74" s="1281">
        <v>0</v>
      </c>
      <c r="Z74" s="1281">
        <v>0</v>
      </c>
      <c r="AA74" s="1279">
        <v>0</v>
      </c>
      <c r="AB74" s="1280">
        <v>0</v>
      </c>
      <c r="AC74" s="1281">
        <v>0</v>
      </c>
      <c r="AD74" s="1281">
        <v>0</v>
      </c>
      <c r="AE74" s="1279">
        <v>0</v>
      </c>
      <c r="AF74" s="1280">
        <v>0</v>
      </c>
      <c r="AG74" s="1281">
        <v>0</v>
      </c>
      <c r="AH74" s="1281">
        <v>0</v>
      </c>
      <c r="AI74" s="1279">
        <v>0</v>
      </c>
      <c r="AJ74" s="1280">
        <v>0</v>
      </c>
      <c r="AK74" s="1281">
        <v>0</v>
      </c>
      <c r="AL74" s="1281">
        <v>0</v>
      </c>
      <c r="AM74" s="1279">
        <v>0</v>
      </c>
      <c r="AN74" s="1280">
        <v>0</v>
      </c>
      <c r="AO74" s="1281">
        <v>0</v>
      </c>
      <c r="AP74" s="1281">
        <v>0</v>
      </c>
      <c r="AQ74" s="1279">
        <v>0</v>
      </c>
      <c r="AR74" s="1280">
        <v>0</v>
      </c>
      <c r="AS74" s="1281">
        <v>0</v>
      </c>
      <c r="AT74" s="1281">
        <v>0</v>
      </c>
      <c r="AU74" s="1279">
        <v>0</v>
      </c>
      <c r="AV74" s="1280">
        <v>0</v>
      </c>
      <c r="AW74" s="1281">
        <v>0</v>
      </c>
      <c r="AX74" s="1281">
        <v>0</v>
      </c>
      <c r="AY74" s="1279">
        <v>0</v>
      </c>
      <c r="AZ74" s="1280">
        <v>0</v>
      </c>
      <c r="BA74" s="1281">
        <v>0</v>
      </c>
      <c r="BB74" s="1281">
        <v>0</v>
      </c>
      <c r="BC74" s="1279">
        <v>0</v>
      </c>
      <c r="BD74" s="1280">
        <v>0</v>
      </c>
      <c r="BE74" s="1281">
        <v>0</v>
      </c>
      <c r="BF74" s="1281">
        <v>0</v>
      </c>
      <c r="BG74" s="1279">
        <v>0</v>
      </c>
      <c r="BH74" s="1412">
        <v>0</v>
      </c>
      <c r="BI74" s="1413">
        <v>0</v>
      </c>
      <c r="BJ74" s="1413">
        <v>0</v>
      </c>
      <c r="BK74" s="1414">
        <v>0</v>
      </c>
      <c r="BL74" s="1412">
        <v>0</v>
      </c>
      <c r="BM74" s="1413">
        <v>0</v>
      </c>
      <c r="BN74" s="1413">
        <v>0</v>
      </c>
      <c r="BO74" s="1414">
        <v>0</v>
      </c>
      <c r="BP74" s="1280">
        <v>0</v>
      </c>
      <c r="BQ74" s="1281">
        <v>0</v>
      </c>
      <c r="BR74" s="1281">
        <v>0</v>
      </c>
      <c r="BS74" s="1279">
        <v>0</v>
      </c>
      <c r="BT74" s="1280">
        <v>0</v>
      </c>
      <c r="BU74" s="1281">
        <v>0</v>
      </c>
      <c r="BV74" s="1281">
        <v>0</v>
      </c>
      <c r="BW74" s="1281">
        <v>0</v>
      </c>
      <c r="BX74" s="1279">
        <v>0</v>
      </c>
      <c r="BY74" s="1280">
        <v>0</v>
      </c>
      <c r="BZ74" s="1281">
        <v>0</v>
      </c>
      <c r="CA74" s="1281">
        <v>0</v>
      </c>
      <c r="CB74" s="1281">
        <v>0</v>
      </c>
      <c r="CC74" s="1279">
        <v>0</v>
      </c>
      <c r="CD74" s="1280">
        <v>0</v>
      </c>
      <c r="CE74" s="1281">
        <v>0</v>
      </c>
      <c r="CF74" s="1281">
        <v>0</v>
      </c>
      <c r="CG74" s="1281">
        <v>0</v>
      </c>
      <c r="CH74" s="1279">
        <v>0</v>
      </c>
      <c r="CI74" s="1280">
        <v>0</v>
      </c>
      <c r="CJ74" s="1281">
        <v>0</v>
      </c>
      <c r="CK74" s="1281">
        <v>0</v>
      </c>
      <c r="CL74" s="1281">
        <v>0</v>
      </c>
      <c r="CM74" s="1279">
        <v>0</v>
      </c>
      <c r="CN74" s="1282"/>
      <c r="CO74" s="1391">
        <f>IF('Appendix A'!I1=1,SUM('7 - Cap Add WS'!CO63:CO73),SUM(CO65:CO73))</f>
        <v>85997332.73576373</v>
      </c>
      <c r="CP74" s="1283">
        <f>IF('Appendix A'!I1=1,SUM('7 - Cap Add WS'!CP63:CP73),SUM(CP65:CP73))</f>
        <v>83018605.76024884</v>
      </c>
      <c r="CR74" s="1181">
        <f>CO74-CP74</f>
        <v>2978726.9755148888</v>
      </c>
    </row>
    <row r="75" spans="2:44" ht="13.5">
      <c r="B75" s="1232" t="s">
        <v>224</v>
      </c>
      <c r="C75" s="1234"/>
      <c r="D75" s="1232"/>
      <c r="E75" s="1232"/>
      <c r="F75" s="1232"/>
      <c r="G75" s="1284"/>
      <c r="H75" s="1232"/>
      <c r="I75" s="1232"/>
      <c r="J75" s="1232"/>
      <c r="K75" s="1284"/>
      <c r="L75" s="1284"/>
      <c r="M75" s="1284"/>
      <c r="N75" s="1284"/>
      <c r="O75" s="1284"/>
      <c r="P75" s="1284"/>
      <c r="Q75" s="1284"/>
      <c r="R75" s="1284"/>
      <c r="S75" s="1284"/>
      <c r="T75" s="1284"/>
      <c r="U75" s="1284"/>
      <c r="V75" s="1284"/>
      <c r="W75" s="1284"/>
      <c r="X75" s="1284"/>
      <c r="Y75" s="1284"/>
      <c r="Z75" s="1232"/>
      <c r="AA75" s="1285"/>
      <c r="AB75" s="1285"/>
      <c r="AF75" s="1284"/>
      <c r="AG75" s="1284"/>
      <c r="AH75" s="1232"/>
      <c r="AI75" s="1285"/>
      <c r="AJ75" s="1285"/>
      <c r="AN75" s="1284"/>
      <c r="AO75" s="1284"/>
      <c r="AP75" s="1232"/>
      <c r="AQ75" s="1285"/>
      <c r="AR75" s="1285"/>
    </row>
    <row r="76" spans="2:12" ht="13.5">
      <c r="B76" s="202" t="s">
        <v>1218</v>
      </c>
      <c r="C76" s="202"/>
      <c r="D76" s="202"/>
      <c r="E76" s="202"/>
      <c r="F76" s="202"/>
      <c r="G76" s="202"/>
      <c r="H76" s="202"/>
      <c r="I76" s="202"/>
      <c r="J76" s="202"/>
      <c r="K76" s="202"/>
      <c r="L76" s="202"/>
    </row>
    <row r="77" spans="2:43" ht="13.5">
      <c r="B77" s="202"/>
      <c r="C77" s="202"/>
      <c r="D77" s="202"/>
      <c r="E77" s="202"/>
      <c r="F77" s="202"/>
      <c r="G77" s="202"/>
      <c r="H77" s="202"/>
      <c r="I77" s="202"/>
      <c r="J77" s="202"/>
      <c r="K77" s="202"/>
      <c r="L77" s="202"/>
      <c r="AA77" s="1286"/>
      <c r="AI77" s="1286"/>
      <c r="AQ77" s="1286"/>
    </row>
    <row r="78" spans="1:18" ht="13.5">
      <c r="A78" s="1298"/>
      <c r="M78" s="1298"/>
      <c r="N78" s="1298"/>
      <c r="O78" s="1298"/>
      <c r="P78" s="1298"/>
      <c r="Q78" s="1298"/>
      <c r="R78" s="1298"/>
    </row>
    <row r="283" spans="3:7" ht="15">
      <c r="C283" s="1216"/>
      <c r="D283" s="1217"/>
      <c r="E283" s="1217"/>
      <c r="F283" s="1217"/>
      <c r="G283" s="1287"/>
    </row>
    <row r="284" spans="3:7" ht="99.75" customHeight="1">
      <c r="C284" s="1216"/>
      <c r="D284" s="1217"/>
      <c r="E284" s="1217"/>
      <c r="F284" s="1217"/>
      <c r="G284" s="1287"/>
    </row>
    <row r="285" spans="3:7" ht="15">
      <c r="C285" s="1216"/>
      <c r="D285" s="1217"/>
      <c r="E285" s="1217"/>
      <c r="F285" s="1217"/>
      <c r="G285" s="1287"/>
    </row>
    <row r="286" spans="3:7" ht="15">
      <c r="C286" s="1216"/>
      <c r="D286" s="1217"/>
      <c r="E286" s="1217"/>
      <c r="F286" s="1217"/>
      <c r="G286" s="1287"/>
    </row>
    <row r="287" spans="3:7" ht="15">
      <c r="C287" s="1216"/>
      <c r="D287" s="1217"/>
      <c r="E287" s="1217"/>
      <c r="F287" s="1217"/>
      <c r="G287" s="1287"/>
    </row>
    <row r="288" spans="3:7" ht="15">
      <c r="C288" s="1216"/>
      <c r="D288" s="1217"/>
      <c r="E288" s="1217"/>
      <c r="F288" s="1217"/>
      <c r="G288" s="1287"/>
    </row>
    <row r="289" spans="3:7" ht="15">
      <c r="C289" s="1216"/>
      <c r="D289" s="1217"/>
      <c r="E289" s="1217"/>
      <c r="F289" s="1217"/>
      <c r="G289" s="1287"/>
    </row>
    <row r="290" spans="3:7" ht="15">
      <c r="C290" s="1216"/>
      <c r="D290" s="1217"/>
      <c r="E290" s="1217"/>
      <c r="F290" s="1217"/>
      <c r="G290" s="1287"/>
    </row>
    <row r="291" spans="3:7" ht="15">
      <c r="C291" s="1216"/>
      <c r="D291" s="1217"/>
      <c r="E291" s="1217"/>
      <c r="F291" s="1217"/>
      <c r="G291" s="1287"/>
    </row>
    <row r="292" spans="3:7" ht="15">
      <c r="C292" s="1216"/>
      <c r="D292" s="1217"/>
      <c r="E292" s="1217"/>
      <c r="F292" s="1217"/>
      <c r="G292" s="1287"/>
    </row>
    <row r="293" spans="3:7" ht="15">
      <c r="C293" s="1216"/>
      <c r="D293" s="1217"/>
      <c r="E293" s="1217"/>
      <c r="F293" s="1217"/>
      <c r="G293" s="1287"/>
    </row>
    <row r="294" spans="3:7" ht="15">
      <c r="C294" s="1216"/>
      <c r="D294" s="1217"/>
      <c r="E294" s="1217"/>
      <c r="F294" s="1217"/>
      <c r="G294" s="1287"/>
    </row>
    <row r="295" spans="3:7" ht="15">
      <c r="C295" s="1216"/>
      <c r="D295" s="1217"/>
      <c r="E295" s="1217"/>
      <c r="F295" s="1217"/>
      <c r="G295" s="1287"/>
    </row>
    <row r="296" spans="3:7" ht="15">
      <c r="C296" s="1216"/>
      <c r="D296" s="1217"/>
      <c r="E296" s="1217"/>
      <c r="F296" s="1217"/>
      <c r="G296" s="1287"/>
    </row>
    <row r="297" spans="3:7" ht="15">
      <c r="C297" s="1216"/>
      <c r="D297" s="1217"/>
      <c r="E297" s="1217"/>
      <c r="F297" s="1217"/>
      <c r="G297" s="1287"/>
    </row>
    <row r="298" spans="3:7" ht="15">
      <c r="C298" s="1216"/>
      <c r="D298" s="1217"/>
      <c r="E298" s="1217"/>
      <c r="F298" s="1217"/>
      <c r="G298" s="1287"/>
    </row>
    <row r="299" spans="3:7" ht="15">
      <c r="C299" s="1216"/>
      <c r="D299" s="1217"/>
      <c r="E299" s="1217"/>
      <c r="F299" s="1217"/>
      <c r="G299" s="1287"/>
    </row>
    <row r="300" spans="3:7" ht="15">
      <c r="C300" s="1216"/>
      <c r="D300" s="1217"/>
      <c r="E300" s="1217"/>
      <c r="F300" s="1217"/>
      <c r="G300" s="1287"/>
    </row>
    <row r="301" spans="3:7" ht="15">
      <c r="C301" s="1216"/>
      <c r="D301" s="1217"/>
      <c r="E301" s="1217"/>
      <c r="F301" s="1217"/>
      <c r="G301" s="1287"/>
    </row>
    <row r="302" spans="3:7" ht="15">
      <c r="C302" s="1216"/>
      <c r="D302" s="1217"/>
      <c r="E302" s="1217"/>
      <c r="F302" s="1217"/>
      <c r="G302" s="1287"/>
    </row>
    <row r="303" spans="3:7" ht="15">
      <c r="C303" s="1216"/>
      <c r="D303" s="1217"/>
      <c r="E303" s="1217"/>
      <c r="F303" s="1217"/>
      <c r="G303" s="1287"/>
    </row>
    <row r="304" spans="3:7" ht="15">
      <c r="C304" s="1216"/>
      <c r="D304" s="1217"/>
      <c r="E304" s="1217"/>
      <c r="F304" s="1217"/>
      <c r="G304" s="1287"/>
    </row>
    <row r="305" spans="2:7" ht="40.5" customHeight="1">
      <c r="B305" s="1218"/>
      <c r="C305" s="1216"/>
      <c r="D305" s="1217"/>
      <c r="E305" s="1217"/>
      <c r="F305" s="1217"/>
      <c r="G305" s="1287"/>
    </row>
    <row r="306" spans="2:7" ht="15">
      <c r="B306" s="1218"/>
      <c r="C306" s="1216"/>
      <c r="D306" s="1217"/>
      <c r="E306" s="1217"/>
      <c r="F306" s="1217"/>
      <c r="G306" s="1287"/>
    </row>
    <row r="307" ht="12.75">
      <c r="G307" s="1209"/>
    </row>
    <row r="308" ht="12.75">
      <c r="G308" s="1209"/>
    </row>
    <row r="309" ht="12.75">
      <c r="G309" s="1209"/>
    </row>
    <row r="310" ht="12.75">
      <c r="G310" s="1209"/>
    </row>
    <row r="311" ht="12.75">
      <c r="G311" s="1209"/>
    </row>
    <row r="312" ht="12.75">
      <c r="G312" s="1209"/>
    </row>
    <row r="313" ht="12.75">
      <c r="G313" s="1209"/>
    </row>
    <row r="314" ht="12.75">
      <c r="G314" s="1209"/>
    </row>
    <row r="315" ht="12.75">
      <c r="G315" s="1209"/>
    </row>
  </sheetData>
  <sheetProtection/>
  <mergeCells count="21">
    <mergeCell ref="BT19:BX19"/>
    <mergeCell ref="BY19:CC19"/>
    <mergeCell ref="CD19:CH19"/>
    <mergeCell ref="CI19:CM19"/>
    <mergeCell ref="AZ19:BC19"/>
    <mergeCell ref="BD19:BG19"/>
    <mergeCell ref="BP19:BS19"/>
    <mergeCell ref="BL19:BO19"/>
    <mergeCell ref="BH19:BK19"/>
    <mergeCell ref="AB19:AE19"/>
    <mergeCell ref="AF19:AI19"/>
    <mergeCell ref="AJ19:AM19"/>
    <mergeCell ref="AN19:AQ19"/>
    <mergeCell ref="AR19:AU19"/>
    <mergeCell ref="AV19:AY19"/>
    <mergeCell ref="D19:G19"/>
    <mergeCell ref="H19:K19"/>
    <mergeCell ref="L19:O19"/>
    <mergeCell ref="P19:S19"/>
    <mergeCell ref="T19:W19"/>
    <mergeCell ref="X19:AA19"/>
  </mergeCells>
  <printOptions/>
  <pageMargins left="0.7" right="0.7" top="0.75" bottom="0.75" header="0.3" footer="0.3"/>
  <pageSetup fitToWidth="2" horizontalDpi="600" verticalDpi="600" orientation="landscape" scale="34" r:id="rId1"/>
  <headerFooter alignWithMargins="0">
    <oddHeader>&amp;CDuquesne Light Company
Attachment H -17A
Attachment 7 - Transmission Enhancement Charge Worksheet&amp;RPage &amp;P of &amp;N</oddHeader>
  </headerFooter>
  <colBreaks count="3" manualBreakCount="3">
    <brk id="23" max="75" man="1"/>
    <brk id="47" max="75" man="1"/>
    <brk id="71" max="65535" man="1"/>
  </colBreaks>
  <ignoredErrors>
    <ignoredError sqref="A2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P304"/>
  <sheetViews>
    <sheetView zoomScale="80" zoomScaleNormal="80" zoomScalePageLayoutView="0" workbookViewId="0" topLeftCell="A1">
      <selection activeCell="I2" sqref="I2"/>
    </sheetView>
  </sheetViews>
  <sheetFormatPr defaultColWidth="9.140625" defaultRowHeight="12.75"/>
  <cols>
    <col min="1" max="1" width="23.00390625" style="0" bestFit="1" customWidth="1"/>
    <col min="2" max="2" width="17.421875" style="0" bestFit="1" customWidth="1"/>
    <col min="3" max="3" width="15.421875" style="0" customWidth="1"/>
    <col min="4" max="4" width="16.421875" style="0" bestFit="1" customWidth="1"/>
    <col min="5" max="5" width="2.57421875" style="0" customWidth="1"/>
    <col min="6" max="6" width="9.421875" style="0" bestFit="1" customWidth="1"/>
    <col min="7" max="7" width="73.57421875" style="0" customWidth="1"/>
    <col min="8" max="8" width="17.57421875" style="0" customWidth="1"/>
    <col min="9" max="9" width="14.421875" style="0" bestFit="1" customWidth="1"/>
    <col min="10" max="10" width="11.00390625" style="0" customWidth="1"/>
    <col min="11" max="11" width="13.57421875" style="0" customWidth="1"/>
    <col min="12" max="12" width="31.421875" style="0" customWidth="1"/>
    <col min="13" max="13" width="2.57421875" style="0" customWidth="1"/>
    <col min="14" max="14" width="9.57421875" style="0" customWidth="1"/>
  </cols>
  <sheetData>
    <row r="1" spans="1:14" ht="15">
      <c r="A1" s="46"/>
      <c r="B1" s="46"/>
      <c r="C1" s="46"/>
      <c r="D1" s="46"/>
      <c r="M1" s="2"/>
      <c r="N1" s="2"/>
    </row>
    <row r="2" spans="1:15" ht="15">
      <c r="A2" s="82" t="s">
        <v>515</v>
      </c>
      <c r="B2" s="82" t="s">
        <v>516</v>
      </c>
      <c r="C2" s="82" t="s">
        <v>477</v>
      </c>
      <c r="D2" s="82" t="s">
        <v>517</v>
      </c>
      <c r="E2" s="535"/>
      <c r="F2" s="243"/>
      <c r="O2" s="2"/>
    </row>
    <row r="3" spans="1:16" ht="30">
      <c r="A3" s="132" t="s">
        <v>82</v>
      </c>
      <c r="B3" s="1113" t="s">
        <v>69</v>
      </c>
      <c r="C3" s="1113" t="s">
        <v>70</v>
      </c>
      <c r="D3" s="1113" t="s">
        <v>299</v>
      </c>
      <c r="E3" s="554"/>
      <c r="F3" s="896"/>
      <c r="G3" s="917"/>
      <c r="H3" s="917"/>
      <c r="I3" s="917"/>
      <c r="J3" s="917"/>
      <c r="K3" s="917"/>
      <c r="L3" s="236"/>
      <c r="M3" s="786"/>
      <c r="N3" s="236"/>
      <c r="O3" s="236"/>
      <c r="P3" s="897"/>
    </row>
    <row r="4" spans="1:16" ht="15">
      <c r="A4" s="132" t="s">
        <v>58</v>
      </c>
      <c r="B4" s="132"/>
      <c r="C4" s="52"/>
      <c r="D4" s="46"/>
      <c r="E4" s="32"/>
      <c r="F4" s="236"/>
      <c r="G4" s="917"/>
      <c r="H4" s="917"/>
      <c r="I4" s="917"/>
      <c r="J4" s="917"/>
      <c r="K4" s="917"/>
      <c r="L4" s="917"/>
      <c r="M4" s="917"/>
      <c r="N4" s="236"/>
      <c r="O4" s="236"/>
      <c r="P4" s="236"/>
    </row>
    <row r="5" spans="1:16" ht="15">
      <c r="A5" s="281" t="s">
        <v>59</v>
      </c>
      <c r="B5" s="1114">
        <v>9737058.540000001</v>
      </c>
      <c r="C5" s="52">
        <v>3.01</v>
      </c>
      <c r="D5" s="265">
        <f aca="true" t="shared" si="0" ref="D5:D13">+B5*C5/100</f>
        <v>293085.462054</v>
      </c>
      <c r="E5" s="555"/>
      <c r="F5" s="363"/>
      <c r="G5" s="363"/>
      <c r="H5" s="350"/>
      <c r="I5" s="1467"/>
      <c r="J5" s="1468"/>
      <c r="K5" s="1396"/>
      <c r="N5" s="356"/>
      <c r="O5" s="356"/>
      <c r="P5" s="236"/>
    </row>
    <row r="6" spans="1:16" ht="15">
      <c r="A6" s="281" t="s">
        <v>60</v>
      </c>
      <c r="B6" s="1114">
        <v>24326534.25</v>
      </c>
      <c r="C6" s="52">
        <v>2.53</v>
      </c>
      <c r="D6" s="265">
        <f t="shared" si="0"/>
        <v>615461.3165249999</v>
      </c>
      <c r="E6" s="555"/>
      <c r="F6" s="357"/>
      <c r="N6" s="356"/>
      <c r="O6" s="356"/>
      <c r="P6" s="236"/>
    </row>
    <row r="7" spans="1:16" ht="15">
      <c r="A7" s="281" t="s">
        <v>61</v>
      </c>
      <c r="B7" s="1114">
        <v>474224613</v>
      </c>
      <c r="C7" s="52">
        <v>3.42</v>
      </c>
      <c r="D7" s="265">
        <f t="shared" si="0"/>
        <v>16218481.764600001</v>
      </c>
      <c r="E7" s="555"/>
      <c r="F7" s="938"/>
      <c r="G7" s="1392"/>
      <c r="H7" s="1393"/>
      <c r="I7" s="1393"/>
      <c r="L7" s="236"/>
      <c r="M7" s="236"/>
      <c r="N7" s="57"/>
      <c r="O7" s="57"/>
      <c r="P7" s="236"/>
    </row>
    <row r="8" spans="1:16" ht="15">
      <c r="A8" s="281" t="s">
        <v>62</v>
      </c>
      <c r="B8" s="1114">
        <v>82415477</v>
      </c>
      <c r="C8" s="52">
        <v>1.6</v>
      </c>
      <c r="D8" s="265">
        <f t="shared" si="0"/>
        <v>1318647.632</v>
      </c>
      <c r="E8" s="555"/>
      <c r="F8" s="1432"/>
      <c r="G8" s="46"/>
      <c r="H8" s="938"/>
      <c r="I8" s="939"/>
      <c r="L8" s="236"/>
      <c r="M8" s="236"/>
      <c r="N8" s="57"/>
      <c r="O8" s="57"/>
      <c r="P8" s="236"/>
    </row>
    <row r="9" spans="1:16" ht="15">
      <c r="A9" s="281" t="s">
        <v>63</v>
      </c>
      <c r="B9" s="1114">
        <v>84071644</v>
      </c>
      <c r="C9" s="52">
        <v>2.47</v>
      </c>
      <c r="D9" s="265">
        <f t="shared" si="0"/>
        <v>2076569.6068000002</v>
      </c>
      <c r="E9" s="555"/>
      <c r="F9" s="1432"/>
      <c r="G9" s="907"/>
      <c r="H9" s="938"/>
      <c r="L9" s="236"/>
      <c r="M9" s="236"/>
      <c r="N9" s="57"/>
      <c r="O9" s="57"/>
      <c r="P9" s="236"/>
    </row>
    <row r="10" spans="1:16" ht="15">
      <c r="A10" s="281" t="s">
        <v>64</v>
      </c>
      <c r="B10" s="1114">
        <v>145487610</v>
      </c>
      <c r="C10" s="52">
        <v>2.09</v>
      </c>
      <c r="D10" s="265">
        <f t="shared" si="0"/>
        <v>3040691.0489999996</v>
      </c>
      <c r="E10" s="555"/>
      <c r="F10" s="1432"/>
      <c r="L10" s="236"/>
      <c r="M10" s="236"/>
      <c r="N10" s="57"/>
      <c r="O10" s="57"/>
      <c r="P10" s="236"/>
    </row>
    <row r="11" spans="1:16" ht="15">
      <c r="A11" s="281" t="s">
        <v>65</v>
      </c>
      <c r="B11" s="1114">
        <v>95439284</v>
      </c>
      <c r="C11" s="52">
        <v>1.82</v>
      </c>
      <c r="D11" s="265">
        <f t="shared" si="0"/>
        <v>1736994.9688</v>
      </c>
      <c r="E11" s="555"/>
      <c r="F11" s="1432"/>
      <c r="G11" s="46"/>
      <c r="H11" s="938"/>
      <c r="J11" s="1394"/>
      <c r="K11" s="940"/>
      <c r="L11" s="236"/>
      <c r="M11" s="236"/>
      <c r="N11" s="57"/>
      <c r="O11" s="57"/>
      <c r="P11" s="236"/>
    </row>
    <row r="12" spans="1:16" ht="15">
      <c r="A12" s="281" t="s">
        <v>66</v>
      </c>
      <c r="B12" s="1114">
        <v>162167528</v>
      </c>
      <c r="C12" s="52">
        <v>1.88</v>
      </c>
      <c r="D12" s="265">
        <f t="shared" si="0"/>
        <v>3048749.5264</v>
      </c>
      <c r="E12" s="555"/>
      <c r="F12" s="1432"/>
      <c r="G12" s="46"/>
      <c r="H12" s="938"/>
      <c r="J12" s="1394"/>
      <c r="K12" s="940"/>
      <c r="L12" s="236"/>
      <c r="M12" s="236"/>
      <c r="N12" s="57"/>
      <c r="O12" s="57"/>
      <c r="P12" s="236"/>
    </row>
    <row r="13" spans="1:16" ht="15">
      <c r="A13" s="281" t="s">
        <v>67</v>
      </c>
      <c r="B13" s="1114">
        <v>10406531</v>
      </c>
      <c r="C13" s="52">
        <v>1.87</v>
      </c>
      <c r="D13" s="265">
        <f t="shared" si="0"/>
        <v>194602.12970000002</v>
      </c>
      <c r="E13" s="555"/>
      <c r="F13" s="1432"/>
      <c r="L13" s="898"/>
      <c r="M13" s="236"/>
      <c r="N13" s="57"/>
      <c r="O13" s="57"/>
      <c r="P13" s="236"/>
    </row>
    <row r="14" spans="1:16" ht="15">
      <c r="A14" s="132" t="s">
        <v>68</v>
      </c>
      <c r="B14" s="132">
        <f>SUM(B5:B13)</f>
        <v>1088276279.79</v>
      </c>
      <c r="C14" s="52"/>
      <c r="D14" s="132">
        <f>SUM(D5:D13)</f>
        <v>28543283.455879003</v>
      </c>
      <c r="E14" s="132"/>
      <c r="F14" s="236"/>
      <c r="G14" s="236"/>
      <c r="H14" s="236"/>
      <c r="I14" s="236"/>
      <c r="J14" s="236"/>
      <c r="K14" s="236"/>
      <c r="L14" s="898"/>
      <c r="M14" s="236"/>
      <c r="N14" s="57"/>
      <c r="O14" s="57"/>
      <c r="P14" s="236"/>
    </row>
    <row r="15" spans="1:16" ht="15">
      <c r="A15" s="132"/>
      <c r="B15" s="132"/>
      <c r="C15" s="52"/>
      <c r="D15" s="281"/>
      <c r="E15" s="640"/>
      <c r="F15" s="406"/>
      <c r="G15" s="908"/>
      <c r="H15" s="908"/>
      <c r="I15" s="910"/>
      <c r="J15" s="901"/>
      <c r="K15" s="909"/>
      <c r="L15" s="898"/>
      <c r="M15" s="236"/>
      <c r="N15" s="57"/>
      <c r="O15" s="57"/>
      <c r="P15" s="236"/>
    </row>
    <row r="16" spans="1:16" ht="15">
      <c r="A16" s="46" t="s">
        <v>71</v>
      </c>
      <c r="B16" s="132"/>
      <c r="C16" s="52"/>
      <c r="D16" s="281"/>
      <c r="E16" s="640"/>
      <c r="F16" s="236"/>
      <c r="G16" s="908"/>
      <c r="H16" s="236"/>
      <c r="I16" s="236"/>
      <c r="J16" s="236"/>
      <c r="K16" s="236"/>
      <c r="L16" s="2"/>
      <c r="M16" s="236"/>
      <c r="N16" s="57"/>
      <c r="O16" s="57"/>
      <c r="P16" s="236"/>
    </row>
    <row r="17" spans="1:16" ht="15">
      <c r="A17" s="52" t="s">
        <v>72</v>
      </c>
      <c r="B17" s="1114">
        <v>177083014</v>
      </c>
      <c r="C17" s="52">
        <v>3.33</v>
      </c>
      <c r="D17" s="265">
        <f aca="true" t="shared" si="1" ref="D17:D26">+B17*C17/100</f>
        <v>5896864.3662</v>
      </c>
      <c r="E17" s="555"/>
      <c r="F17" s="350"/>
      <c r="G17" s="350"/>
      <c r="H17" s="363"/>
      <c r="I17" s="363"/>
      <c r="J17" s="363"/>
      <c r="K17" s="349"/>
      <c r="L17" s="918"/>
      <c r="M17" s="919"/>
      <c r="N17" s="57"/>
      <c r="O17" s="57"/>
      <c r="P17" s="236"/>
    </row>
    <row r="18" spans="1:16" ht="15">
      <c r="A18" s="281" t="s">
        <v>73</v>
      </c>
      <c r="B18" s="1114">
        <v>30878353.95</v>
      </c>
      <c r="C18" s="52">
        <v>20</v>
      </c>
      <c r="D18" s="265">
        <f t="shared" si="1"/>
        <v>6175670.79</v>
      </c>
      <c r="E18" s="555"/>
      <c r="F18" s="363"/>
      <c r="G18" s="363"/>
      <c r="H18" s="350"/>
      <c r="I18" s="363"/>
      <c r="J18" s="196"/>
      <c r="K18" s="246"/>
      <c r="L18" s="918"/>
      <c r="M18" s="919"/>
      <c r="N18" s="57"/>
      <c r="O18" s="57"/>
      <c r="P18" s="236"/>
    </row>
    <row r="19" spans="1:16" ht="15">
      <c r="A19" s="281" t="s">
        <v>74</v>
      </c>
      <c r="B19" s="1114">
        <v>3504254.71</v>
      </c>
      <c r="C19" s="52">
        <v>5</v>
      </c>
      <c r="D19" s="265">
        <f t="shared" si="1"/>
        <v>175212.7355</v>
      </c>
      <c r="E19" s="555"/>
      <c r="F19" s="2"/>
      <c r="G19" s="908"/>
      <c r="H19" s="908"/>
      <c r="I19" s="910"/>
      <c r="J19" s="1394"/>
      <c r="K19" s="909"/>
      <c r="L19" s="918"/>
      <c r="M19" s="919"/>
      <c r="N19" s="57"/>
      <c r="O19" s="57"/>
      <c r="P19" s="236"/>
    </row>
    <row r="20" spans="1:16" ht="15">
      <c r="A20" s="52" t="s">
        <v>75</v>
      </c>
      <c r="B20" s="1114">
        <v>69569700</v>
      </c>
      <c r="C20" s="52">
        <v>9.1</v>
      </c>
      <c r="D20" s="265">
        <f t="shared" si="1"/>
        <v>6330842.7</v>
      </c>
      <c r="E20" s="555"/>
      <c r="F20" s="938"/>
      <c r="G20" s="938"/>
      <c r="H20" s="938"/>
      <c r="I20" s="938"/>
      <c r="J20" s="938"/>
      <c r="K20" s="938"/>
      <c r="L20" s="898"/>
      <c r="M20" s="236"/>
      <c r="N20" s="57"/>
      <c r="O20" s="57"/>
      <c r="P20" s="236"/>
    </row>
    <row r="21" spans="1:16" ht="15">
      <c r="A21" s="52" t="s">
        <v>76</v>
      </c>
      <c r="B21" s="1114">
        <v>1433040</v>
      </c>
      <c r="C21" s="52">
        <v>3.33</v>
      </c>
      <c r="D21" s="265">
        <f t="shared" si="1"/>
        <v>47720.232</v>
      </c>
      <c r="E21" s="555"/>
      <c r="F21" s="1432"/>
      <c r="G21" s="52"/>
      <c r="H21" s="939"/>
      <c r="I21" s="938"/>
      <c r="M21" s="236"/>
      <c r="N21" s="236"/>
      <c r="O21" s="236"/>
      <c r="P21" s="236"/>
    </row>
    <row r="22" spans="1:16" ht="15">
      <c r="A22" s="52" t="s">
        <v>77</v>
      </c>
      <c r="B22" s="1114">
        <v>32876359</v>
      </c>
      <c r="C22" s="52">
        <v>4</v>
      </c>
      <c r="D22" s="265">
        <f t="shared" si="1"/>
        <v>1315054.36</v>
      </c>
      <c r="E22" s="555"/>
      <c r="F22" s="1432"/>
      <c r="G22" s="52"/>
      <c r="H22" s="938"/>
      <c r="I22" s="939"/>
      <c r="L22" s="508"/>
      <c r="M22" s="236"/>
      <c r="N22" s="236"/>
      <c r="O22" s="236"/>
      <c r="P22" s="236"/>
    </row>
    <row r="23" spans="1:16" ht="15">
      <c r="A23" s="52" t="s">
        <v>78</v>
      </c>
      <c r="B23" s="1114">
        <v>1773716</v>
      </c>
      <c r="C23" s="52">
        <v>5</v>
      </c>
      <c r="D23" s="265">
        <f t="shared" si="1"/>
        <v>88685.8</v>
      </c>
      <c r="E23" s="555"/>
      <c r="F23" s="1432"/>
      <c r="G23" s="907"/>
      <c r="H23" s="938"/>
      <c r="I23" s="939"/>
      <c r="L23" s="236"/>
      <c r="M23" s="236"/>
      <c r="N23" s="236"/>
      <c r="O23" s="236"/>
      <c r="P23" s="236"/>
    </row>
    <row r="24" spans="1:16" ht="15">
      <c r="A24" s="52" t="s">
        <v>79</v>
      </c>
      <c r="B24" s="1114">
        <v>3582341</v>
      </c>
      <c r="C24" s="52">
        <v>6.1</v>
      </c>
      <c r="D24" s="265">
        <f t="shared" si="1"/>
        <v>218522.80099999998</v>
      </c>
      <c r="E24" s="555"/>
      <c r="F24" s="1432"/>
      <c r="G24" s="938"/>
      <c r="H24" s="938"/>
      <c r="I24" s="939"/>
      <c r="K24" s="1394"/>
      <c r="L24" s="236"/>
      <c r="M24" s="236"/>
      <c r="N24" s="236"/>
      <c r="O24" s="236"/>
      <c r="P24" s="236"/>
    </row>
    <row r="25" spans="1:16" ht="15">
      <c r="A25" s="52" t="s">
        <v>80</v>
      </c>
      <c r="B25" s="1114">
        <v>74742592</v>
      </c>
      <c r="C25" s="52">
        <v>6.67</v>
      </c>
      <c r="D25" s="265">
        <f t="shared" si="1"/>
        <v>4985330.8864</v>
      </c>
      <c r="E25" s="555"/>
      <c r="F25" s="1432"/>
      <c r="G25" s="2"/>
      <c r="H25" s="938"/>
      <c r="J25" s="1394"/>
      <c r="K25" s="940"/>
      <c r="L25" s="236"/>
      <c r="M25" s="236"/>
      <c r="N25" s="236"/>
      <c r="O25" s="236"/>
      <c r="P25" s="236"/>
    </row>
    <row r="26" spans="1:16" ht="15">
      <c r="A26" s="52" t="s">
        <v>81</v>
      </c>
      <c r="B26" s="1114">
        <v>152515</v>
      </c>
      <c r="C26" s="52">
        <v>5</v>
      </c>
      <c r="D26" s="265">
        <f t="shared" si="1"/>
        <v>7625.75</v>
      </c>
      <c r="E26" s="555"/>
      <c r="F26" s="1432"/>
      <c r="G26" s="52"/>
      <c r="H26" s="939"/>
      <c r="I26" s="1395"/>
      <c r="L26" s="898"/>
      <c r="M26" s="236"/>
      <c r="N26" s="236"/>
      <c r="O26" s="236"/>
      <c r="P26" s="236"/>
    </row>
    <row r="27" spans="1:16" ht="15">
      <c r="A27" s="46" t="s">
        <v>68</v>
      </c>
      <c r="B27" s="132">
        <f>SUM(B17:B26)</f>
        <v>395595885.65999997</v>
      </c>
      <c r="C27" s="132"/>
      <c r="D27" s="132">
        <f>SUM(D17:D26)</f>
        <v>25241530.421099998</v>
      </c>
      <c r="E27" s="132"/>
      <c r="F27" s="236"/>
      <c r="G27" s="236"/>
      <c r="H27" s="236"/>
      <c r="I27" s="236"/>
      <c r="J27" s="236"/>
      <c r="L27" s="917"/>
      <c r="M27" s="917"/>
      <c r="N27" s="236"/>
      <c r="O27" s="236"/>
      <c r="P27" s="236"/>
    </row>
    <row r="28" spans="1:16" ht="15">
      <c r="A28" s="553"/>
      <c r="B28" s="553"/>
      <c r="C28" s="553"/>
      <c r="D28" s="553"/>
      <c r="E28" s="553"/>
      <c r="F28" s="236"/>
      <c r="L28" s="917"/>
      <c r="M28" s="917"/>
      <c r="N28" s="236"/>
      <c r="O28" s="236"/>
      <c r="P28" s="236"/>
    </row>
    <row r="29" spans="12:16" ht="12.75">
      <c r="L29" s="902"/>
      <c r="M29" s="236"/>
      <c r="N29" s="236"/>
      <c r="O29" s="236"/>
      <c r="P29" s="236"/>
    </row>
    <row r="30" spans="12:16" ht="12.75">
      <c r="L30" s="236"/>
      <c r="M30" s="236"/>
      <c r="N30" s="236"/>
      <c r="O30" s="236"/>
      <c r="P30" s="236"/>
    </row>
    <row r="31" spans="1:16" ht="15">
      <c r="A31" s="917"/>
      <c r="B31" s="917"/>
      <c r="C31" s="917"/>
      <c r="D31" s="917"/>
      <c r="E31" s="917"/>
      <c r="F31" s="917"/>
      <c r="G31" s="917"/>
      <c r="H31" s="236"/>
      <c r="I31" s="236"/>
      <c r="J31" s="236"/>
      <c r="K31" s="236"/>
      <c r="L31" s="236"/>
      <c r="M31" s="236"/>
      <c r="N31" s="236"/>
      <c r="O31" s="236"/>
      <c r="P31" s="236"/>
    </row>
    <row r="32" spans="1:16" ht="15">
      <c r="A32" s="558"/>
      <c r="B32" s="2"/>
      <c r="C32" s="2"/>
      <c r="D32" s="2"/>
      <c r="E32" s="2"/>
      <c r="F32" s="291"/>
      <c r="I32" s="236"/>
      <c r="J32" s="236"/>
      <c r="K32" s="236"/>
      <c r="L32" s="236"/>
      <c r="M32" s="236"/>
      <c r="N32" s="236"/>
      <c r="O32" s="236"/>
      <c r="P32" s="236"/>
    </row>
    <row r="33" spans="8:16" ht="12.75">
      <c r="H33" s="236"/>
      <c r="I33" s="236"/>
      <c r="J33" s="236"/>
      <c r="K33" s="236"/>
      <c r="L33" s="236"/>
      <c r="M33" s="236"/>
      <c r="N33" s="236"/>
      <c r="O33" s="236"/>
      <c r="P33" s="236"/>
    </row>
    <row r="34" spans="8:16" ht="12.75">
      <c r="H34" s="236"/>
      <c r="I34" s="236"/>
      <c r="J34" s="236"/>
      <c r="K34" s="236"/>
      <c r="L34" s="236"/>
      <c r="M34" s="236"/>
      <c r="N34" s="236"/>
      <c r="O34" s="236"/>
      <c r="P34" s="236"/>
    </row>
    <row r="35" spans="8:16" ht="12.75">
      <c r="H35" s="236"/>
      <c r="I35" s="236"/>
      <c r="J35" s="236"/>
      <c r="K35" s="236"/>
      <c r="L35" s="236"/>
      <c r="M35" s="236"/>
      <c r="N35" s="236"/>
      <c r="O35" s="236"/>
      <c r="P35" s="236"/>
    </row>
    <row r="36" spans="6:16" ht="12.75">
      <c r="F36" s="236"/>
      <c r="G36" s="236"/>
      <c r="H36" s="236"/>
      <c r="I36" s="236"/>
      <c r="J36" s="236"/>
      <c r="K36" s="236"/>
      <c r="L36" s="236"/>
      <c r="M36" s="236"/>
      <c r="N36" s="236"/>
      <c r="O36" s="236"/>
      <c r="P36" s="236"/>
    </row>
    <row r="37" spans="1:16" ht="15">
      <c r="A37" s="196"/>
      <c r="B37" s="2"/>
      <c r="C37" s="555"/>
      <c r="D37" s="555"/>
      <c r="F37" s="236"/>
      <c r="G37" s="236"/>
      <c r="H37" s="236"/>
      <c r="I37" s="236"/>
      <c r="J37" s="236"/>
      <c r="K37" s="236"/>
      <c r="L37" s="236"/>
      <c r="M37" s="236"/>
      <c r="N37" s="236"/>
      <c r="O37" s="236"/>
      <c r="P37" s="236"/>
    </row>
    <row r="38" spans="1:16" ht="15">
      <c r="A38" s="196"/>
      <c r="B38" s="2"/>
      <c r="C38" s="555"/>
      <c r="D38" s="265"/>
      <c r="F38" s="236"/>
      <c r="G38" s="236"/>
      <c r="H38" s="236"/>
      <c r="I38" s="236"/>
      <c r="J38" s="236"/>
      <c r="K38" s="236"/>
      <c r="L38" s="236"/>
      <c r="M38" s="236"/>
      <c r="N38" s="236"/>
      <c r="O38" s="236"/>
      <c r="P38" s="236"/>
    </row>
    <row r="39" spans="1:16" ht="15">
      <c r="A39" s="557"/>
      <c r="B39" s="899"/>
      <c r="C39" s="513"/>
      <c r="D39" s="900"/>
      <c r="E39" s="555"/>
      <c r="F39" s="880"/>
      <c r="I39" s="236"/>
      <c r="J39" s="236"/>
      <c r="K39" s="236"/>
      <c r="L39" s="236"/>
      <c r="M39" s="236"/>
      <c r="N39" s="236"/>
      <c r="O39" s="236"/>
      <c r="P39" s="236"/>
    </row>
    <row r="40" spans="6:16" ht="12.75">
      <c r="F40" s="236"/>
      <c r="G40" s="236"/>
      <c r="H40" s="236"/>
      <c r="I40" s="236"/>
      <c r="J40" s="236"/>
      <c r="K40" s="236"/>
      <c r="L40" s="236"/>
      <c r="M40" s="236"/>
      <c r="N40" s="236"/>
      <c r="O40" s="236"/>
      <c r="P40" s="236"/>
    </row>
    <row r="41" spans="6:16" ht="12.75">
      <c r="F41" s="236"/>
      <c r="G41" s="236"/>
      <c r="H41" s="236"/>
      <c r="I41" s="236"/>
      <c r="J41" s="236"/>
      <c r="K41" s="236"/>
      <c r="L41" s="236"/>
      <c r="M41" s="236"/>
      <c r="N41" s="236"/>
      <c r="O41" s="236"/>
      <c r="P41" s="236"/>
    </row>
    <row r="42" spans="6:16" ht="12.75">
      <c r="F42" s="236"/>
      <c r="G42" s="236"/>
      <c r="H42" s="236"/>
      <c r="I42" s="236"/>
      <c r="J42" s="236"/>
      <c r="K42" s="236"/>
      <c r="L42" s="236"/>
      <c r="M42" s="236"/>
      <c r="N42" s="236"/>
      <c r="O42" s="236"/>
      <c r="P42" s="236"/>
    </row>
    <row r="43" spans="6:16" ht="12.75">
      <c r="F43" s="236"/>
      <c r="G43" s="236"/>
      <c r="H43" s="236"/>
      <c r="I43" s="236"/>
      <c r="J43" s="236"/>
      <c r="K43" s="236"/>
      <c r="L43" s="236"/>
      <c r="M43" s="236"/>
      <c r="N43" s="236"/>
      <c r="O43" s="236"/>
      <c r="P43" s="236"/>
    </row>
    <row r="44" spans="6:16" ht="12.75">
      <c r="F44" s="236"/>
      <c r="G44" s="236"/>
      <c r="H44" s="236"/>
      <c r="I44" s="236"/>
      <c r="J44" s="236"/>
      <c r="K44" s="236"/>
      <c r="L44" s="236"/>
      <c r="M44" s="236"/>
      <c r="N44" s="236"/>
      <c r="O44" s="236"/>
      <c r="P44" s="236"/>
    </row>
    <row r="45" spans="6:16" ht="12.75">
      <c r="F45" s="236"/>
      <c r="G45" s="236"/>
      <c r="H45" s="236"/>
      <c r="I45" s="236"/>
      <c r="J45" s="236"/>
      <c r="K45" s="236"/>
      <c r="L45" s="236"/>
      <c r="M45" s="236"/>
      <c r="N45" s="236"/>
      <c r="O45" s="236"/>
      <c r="P45" s="236"/>
    </row>
    <row r="46" spans="6:16" ht="12.75">
      <c r="F46" s="236"/>
      <c r="G46" s="236"/>
      <c r="H46" s="236"/>
      <c r="I46" s="236"/>
      <c r="J46" s="236"/>
      <c r="K46" s="236"/>
      <c r="L46" s="236"/>
      <c r="M46" s="236"/>
      <c r="N46" s="236"/>
      <c r="O46" s="236"/>
      <c r="P46" s="236"/>
    </row>
    <row r="47" spans="6:16" ht="12.75">
      <c r="F47" s="236"/>
      <c r="G47" s="236"/>
      <c r="H47" s="236"/>
      <c r="I47" s="236"/>
      <c r="J47" s="236"/>
      <c r="K47" s="236"/>
      <c r="L47" s="236"/>
      <c r="M47" s="236"/>
      <c r="N47" s="236"/>
      <c r="O47" s="236"/>
      <c r="P47" s="236"/>
    </row>
    <row r="48" spans="6:16" ht="12.75">
      <c r="F48" s="236"/>
      <c r="G48" s="236"/>
      <c r="H48" s="236"/>
      <c r="I48" s="236"/>
      <c r="J48" s="236"/>
      <c r="K48" s="236"/>
      <c r="L48" s="236"/>
      <c r="M48" s="236"/>
      <c r="N48" s="236"/>
      <c r="O48" s="236"/>
      <c r="P48" s="236"/>
    </row>
    <row r="49" spans="6:16" ht="12.75">
      <c r="F49" s="236"/>
      <c r="G49" s="236"/>
      <c r="H49" s="236"/>
      <c r="I49" s="236"/>
      <c r="J49" s="236"/>
      <c r="K49" s="236"/>
      <c r="L49" s="236"/>
      <c r="M49" s="236"/>
      <c r="N49" s="236"/>
      <c r="O49" s="236"/>
      <c r="P49" s="236"/>
    </row>
    <row r="280" spans="3:8" ht="15">
      <c r="C280" s="514"/>
      <c r="D280" s="514"/>
      <c r="E280" s="514"/>
      <c r="F280" s="514"/>
      <c r="G280" s="514"/>
      <c r="H280" s="514"/>
    </row>
    <row r="281" spans="3:8" ht="99.75" customHeight="1">
      <c r="C281" s="514"/>
      <c r="D281" s="514"/>
      <c r="E281" s="514"/>
      <c r="F281" s="514"/>
      <c r="G281" s="514"/>
      <c r="H281" s="514"/>
    </row>
    <row r="282" spans="3:8" ht="15">
      <c r="C282" s="514"/>
      <c r="D282" s="514"/>
      <c r="E282" s="514"/>
      <c r="F282" s="514"/>
      <c r="G282" s="514"/>
      <c r="H282" s="514"/>
    </row>
    <row r="283" spans="3:8" ht="15">
      <c r="C283" s="514"/>
      <c r="D283" s="514"/>
      <c r="E283" s="514"/>
      <c r="F283" s="514"/>
      <c r="G283" s="514"/>
      <c r="H283" s="514"/>
    </row>
    <row r="284" spans="3:8" ht="15">
      <c r="C284" s="514"/>
      <c r="D284" s="514"/>
      <c r="E284" s="514"/>
      <c r="F284" s="514"/>
      <c r="G284" s="514"/>
      <c r="H284" s="514"/>
    </row>
    <row r="285" spans="3:8" ht="15">
      <c r="C285" s="514"/>
      <c r="D285" s="514"/>
      <c r="E285" s="514"/>
      <c r="F285" s="514"/>
      <c r="G285" s="514"/>
      <c r="H285" s="514"/>
    </row>
    <row r="286" spans="3:8" ht="15">
      <c r="C286" s="514"/>
      <c r="D286" s="514"/>
      <c r="E286" s="514"/>
      <c r="F286" s="514"/>
      <c r="G286" s="514"/>
      <c r="H286" s="514"/>
    </row>
    <row r="287" spans="3:8" ht="15">
      <c r="C287" s="514"/>
      <c r="D287" s="514"/>
      <c r="E287" s="514"/>
      <c r="F287" s="514"/>
      <c r="G287" s="514"/>
      <c r="H287" s="514"/>
    </row>
    <row r="288" spans="3:8" ht="15">
      <c r="C288" s="514"/>
      <c r="D288" s="514"/>
      <c r="E288" s="514"/>
      <c r="F288" s="514"/>
      <c r="G288" s="514"/>
      <c r="H288" s="514"/>
    </row>
    <row r="289" spans="3:8" ht="15">
      <c r="C289" s="514"/>
      <c r="D289" s="514"/>
      <c r="E289" s="514"/>
      <c r="F289" s="514"/>
      <c r="G289" s="514"/>
      <c r="H289" s="514"/>
    </row>
    <row r="290" spans="3:8" ht="15">
      <c r="C290" s="514"/>
      <c r="D290" s="514"/>
      <c r="E290" s="514"/>
      <c r="F290" s="514"/>
      <c r="G290" s="514"/>
      <c r="H290" s="514"/>
    </row>
    <row r="291" spans="3:8" ht="15">
      <c r="C291" s="514"/>
      <c r="D291" s="514"/>
      <c r="E291" s="514"/>
      <c r="F291" s="514"/>
      <c r="G291" s="514"/>
      <c r="H291" s="514"/>
    </row>
    <row r="292" spans="3:8" ht="15">
      <c r="C292" s="514"/>
      <c r="D292" s="514"/>
      <c r="E292" s="514"/>
      <c r="F292" s="514"/>
      <c r="G292" s="514"/>
      <c r="H292" s="514"/>
    </row>
    <row r="293" spans="3:8" ht="15">
      <c r="C293" s="514"/>
      <c r="D293" s="514"/>
      <c r="E293" s="514"/>
      <c r="F293" s="514"/>
      <c r="G293" s="514"/>
      <c r="H293" s="514"/>
    </row>
    <row r="294" spans="3:8" ht="15">
      <c r="C294" s="514"/>
      <c r="D294" s="514"/>
      <c r="E294" s="514"/>
      <c r="F294" s="514"/>
      <c r="G294" s="514"/>
      <c r="H294" s="514"/>
    </row>
    <row r="295" spans="3:8" ht="15">
      <c r="C295" s="514"/>
      <c r="D295" s="514"/>
      <c r="E295" s="514"/>
      <c r="F295" s="514"/>
      <c r="G295" s="514"/>
      <c r="H295" s="514"/>
    </row>
    <row r="296" spans="3:8" ht="15">
      <c r="C296" s="514"/>
      <c r="D296" s="514"/>
      <c r="E296" s="514"/>
      <c r="F296" s="514"/>
      <c r="G296" s="514"/>
      <c r="H296" s="514"/>
    </row>
    <row r="297" spans="3:8" ht="15">
      <c r="C297" s="514"/>
      <c r="D297" s="514"/>
      <c r="E297" s="514"/>
      <c r="F297" s="514"/>
      <c r="G297" s="514"/>
      <c r="H297" s="514"/>
    </row>
    <row r="298" spans="3:8" ht="15">
      <c r="C298" s="514"/>
      <c r="D298" s="514"/>
      <c r="E298" s="514"/>
      <c r="F298" s="514"/>
      <c r="G298" s="514"/>
      <c r="H298" s="514"/>
    </row>
    <row r="299" spans="3:8" ht="15">
      <c r="C299" s="514"/>
      <c r="D299" s="514"/>
      <c r="E299" s="514"/>
      <c r="F299" s="514"/>
      <c r="G299" s="514"/>
      <c r="H299" s="514"/>
    </row>
    <row r="300" spans="3:8" ht="15">
      <c r="C300" s="514"/>
      <c r="D300" s="514"/>
      <c r="E300" s="514"/>
      <c r="F300" s="514"/>
      <c r="G300" s="514"/>
      <c r="H300" s="514"/>
    </row>
    <row r="301" spans="3:8" ht="15">
      <c r="C301" s="514"/>
      <c r="D301" s="514"/>
      <c r="E301" s="514"/>
      <c r="F301" s="514"/>
      <c r="G301" s="514"/>
      <c r="H301" s="514"/>
    </row>
    <row r="302" spans="3:8" ht="40.5" customHeight="1">
      <c r="C302" s="514"/>
      <c r="D302" s="514"/>
      <c r="E302" s="514"/>
      <c r="F302" s="514"/>
      <c r="G302" s="514"/>
      <c r="H302" s="514"/>
    </row>
    <row r="303" spans="2:8" ht="15">
      <c r="B303" s="979"/>
      <c r="C303" s="514"/>
      <c r="D303" s="514"/>
      <c r="E303" s="514"/>
      <c r="F303" s="514"/>
      <c r="G303" s="514"/>
      <c r="H303" s="514"/>
    </row>
    <row r="304" ht="12.75">
      <c r="B304" s="979"/>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Weaver, Abby L.</cp:lastModifiedBy>
  <cp:lastPrinted>2023-05-11T13:43:08Z</cp:lastPrinted>
  <dcterms:created xsi:type="dcterms:W3CDTF">2007-10-03T22:31:41Z</dcterms:created>
  <dcterms:modified xsi:type="dcterms:W3CDTF">2023-05-16T15:37:30Z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