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PECO Formula Updates/2022/"/>
    </mc:Choice>
  </mc:AlternateContent>
  <xr:revisionPtr revIDLastSave="0" documentId="8_{31B38C3B-3ACE-4536-8995-AEE06775E7D8}" xr6:coauthVersionLast="47" xr6:coauthVersionMax="47" xr10:uidLastSave="{00000000-0000-0000-0000-000000000000}"/>
  <bookViews>
    <workbookView xWindow="-110" yWindow="-110" windowWidth="19420" windowHeight="10420" tabRatio="793" activeTab="4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10" i="13" s="1"/>
  <c r="D6" i="16" s="1"/>
  <c r="D63" i="2"/>
  <c r="D65" i="2" s="1"/>
  <c r="D71" i="2" s="1"/>
  <c r="H31" i="17" l="1"/>
  <c r="H33" i="17" l="1"/>
  <c r="H35" i="17" s="1"/>
  <c r="D7" i="16" s="1"/>
  <c r="D8" i="16" l="1"/>
  <c r="D9" i="16" s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<sst xmlns="http://schemas.openxmlformats.org/spreadsheetml/2006/main" count="104" uniqueCount="70">
  <si>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</si>
  <si>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</si>
  <si>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</si>
  <si>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</si>
  <si>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</si>
  <si>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</si>
  <si>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</si>
  <si>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</si>
  <si>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</si>
  <si>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</si>
  <si>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</si>
  <si>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</si>
  <si>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</si>
  <si>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</si>
  <si>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</si>
  <si>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</si>
  <si>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</si>
  <si>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</si>
  <si>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</si>
  <si>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</si>
  <si>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</si>
  <si>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</si>
  <si>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</si>
  <si>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</si>
  <si>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</si>
  <si>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</si>
  <si>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</si>
  <si>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</si>
  <si>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</si>
  <si>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</si>
  <si>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</si>
  <si>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</si>
  <si>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</si>
  <si>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</si>
  <si>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</si>
  <si>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</si>
  <si>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</si>
  <si>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</si>
  <si>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</si>
  <si>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</si>
  <si>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</si>
  <si>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</si>
  <si>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</si>
  <si>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</si>
  <si>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</si>
  <si>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</si>
  <si>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</si>
  <si>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</si>
  <si>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</si>
  <si>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</si>
  <si>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</si>
  <si>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</si>
  <si>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</si>
  <si>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</si>
  <si>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</si>
  <si>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</si>
  <si>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</si>
  <si>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</si>
  <si>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</si>
  <si>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</si>
  <si>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</si>
  <si>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</si>
  <si>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</si>
  <si>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</si>
  <si>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</si>
  <si>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</si>
  <si>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</si>
  <si>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</si>
  <si>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2020 through December 31, 2021</t>
  </si>
  <si>
    <t>For the 12 months ended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</si>
</sst>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76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164" fontId="6" fillId="0" borderId="0" xfId="1" applyNumberFormat="1" applyFont="1"/>
    <xf numFmtId="164" fontId="6" fillId="0" borderId="3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7" fillId="0" borderId="0" xfId="0" applyFont="1"/>
    <xf numFmtId="0" fontId="19" fillId="0" borderId="0" xfId="0" applyFont="1"/>
    <xf numFmtId="164" fontId="18" fillId="2" borderId="0" xfId="1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  <xf numFmtId="170" fontId="18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2014 IS Actual"/>
      <sheetName val="Sheet1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view="pageBreakPreview" zoomScaleNormal="100" zoomScaleSheetLayoutView="100" workbookViewId="0">
      <selection activeCell="G12" sqref="G12"/>
    </sheetView>
  </sheetViews>
  <sheetFormatPr defaultColWidth="8.81640625" defaultRowHeight="15.5"/>
  <cols>
    <col min="1" max="16384" width="8.81640625" style="25"/>
  </cols>
  <sheetData>
    <row r="1" spans="1:8" ht="20">
      <c r="A1" s="24"/>
    </row>
    <row r="2" spans="1:8" ht="20">
      <c r="A2" s="24"/>
    </row>
    <row r="4" spans="1:8">
      <c r="A4" s="68" t="s">
        <v>30</v>
      </c>
      <c r="B4" s="68"/>
      <c r="C4" s="68"/>
      <c r="D4" s="68"/>
      <c r="E4" s="68"/>
      <c r="F4" s="68"/>
      <c r="G4" s="68"/>
      <c r="H4" s="68"/>
    </row>
    <row r="5" spans="1:8">
      <c r="A5" s="68" t="s">
        <v>32</v>
      </c>
      <c r="B5" s="68"/>
      <c r="C5" s="68"/>
      <c r="D5" s="68"/>
      <c r="E5" s="68"/>
      <c r="F5" s="68"/>
      <c r="G5" s="68"/>
      <c r="H5" s="68"/>
    </row>
  </sheetData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D9"/>
  <sheetViews>
    <sheetView view="pageBreakPreview" zoomScale="60" zoomScaleNormal="100" workbookViewId="0">
      <selection activeCell="D9" sqref="D9"/>
    </sheetView>
  </sheetViews>
  <sheetFormatPr defaultColWidth="9.1796875" defaultRowHeight="14"/>
  <cols>
    <col min="1" max="1" width="5.453125" style="26" customWidth="1"/>
    <col min="2" max="2" width="29" style="26" customWidth="1"/>
    <col min="3" max="3" width="30.81640625" style="26" customWidth="1"/>
    <col min="4" max="4" width="20.81640625" style="26" customWidth="1"/>
    <col min="5" max="16384" width="9.1796875" style="26"/>
  </cols>
  <sheetData>
    <row r="4" spans="1:4" ht="2.25" customHeight="1"/>
    <row r="5" spans="1:4" ht="28.5" customHeight="1">
      <c r="A5" s="69" t="s">
        <v>35</v>
      </c>
      <c r="B5" s="70"/>
      <c r="C5" s="70"/>
      <c r="D5" s="71"/>
    </row>
    <row r="6" spans="1:4" ht="28">
      <c r="A6" s="27">
        <v>1</v>
      </c>
      <c r="B6" s="28" t="s">
        <v>36</v>
      </c>
      <c r="C6" s="28" t="s">
        <v>66</v>
      </c>
      <c r="D6" s="29">
        <f>'1 - Revenue Requirement'!D10</f>
        <v>1301064.269908506</v>
      </c>
    </row>
    <row r="7" spans="1:4">
      <c r="A7" s="27">
        <v>2</v>
      </c>
      <c r="B7" s="28" t="s">
        <v>37</v>
      </c>
      <c r="C7" s="28" t="s">
        <v>67</v>
      </c>
      <c r="D7" s="29">
        <f>'2 - True-Up'!H35</f>
        <v>0</v>
      </c>
    </row>
    <row r="8" spans="1:4" ht="42">
      <c r="A8" s="27">
        <v>3</v>
      </c>
      <c r="B8" s="28" t="s">
        <v>38</v>
      </c>
      <c r="C8" s="28" t="s">
        <v>39</v>
      </c>
      <c r="D8" s="29">
        <f>D6+D7</f>
        <v>1301064.269908506</v>
      </c>
    </row>
    <row r="9" spans="1:4" ht="42">
      <c r="A9" s="27">
        <v>4</v>
      </c>
      <c r="B9" s="28" t="s">
        <v>40</v>
      </c>
      <c r="C9" s="28" t="s">
        <v>65</v>
      </c>
      <c r="D9" s="30">
        <f>D8/12</f>
        <v>108422.0224923755</v>
      </c>
    </row>
  </sheetData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view="pageBreakPreview" zoomScale="60" zoomScaleNormal="100" workbookViewId="0">
      <selection activeCell="A6" sqref="A6"/>
    </sheetView>
  </sheetViews>
  <sheetFormatPr defaultColWidth="8.81640625" defaultRowHeight="14"/>
  <cols>
    <col min="1" max="1" width="3" style="1" customWidth="1"/>
    <col min="2" max="2" width="1.54296875" style="2" customWidth="1"/>
    <col min="3" max="3" width="72.54296875" style="2" bestFit="1" customWidth="1"/>
    <col min="4" max="4" width="15.453125" style="2" bestFit="1" customWidth="1"/>
    <col min="5" max="16384" width="8.81640625" style="2"/>
  </cols>
  <sheetData>
    <row r="2" spans="1:12">
      <c r="G2" s="31"/>
    </row>
    <row r="3" spans="1:12">
      <c r="A3" s="72" t="s">
        <v>31</v>
      </c>
      <c r="B3" s="72"/>
      <c r="C3" s="72"/>
      <c r="D3" s="72"/>
      <c r="E3" s="72"/>
      <c r="F3" s="72"/>
      <c r="G3" s="72"/>
      <c r="H3" s="72"/>
      <c r="I3" s="32"/>
      <c r="J3" s="32"/>
      <c r="K3" s="32"/>
      <c r="L3" s="32"/>
    </row>
    <row r="4" spans="1:12">
      <c r="A4" s="72" t="s">
        <v>19</v>
      </c>
      <c r="B4" s="72"/>
      <c r="C4" s="72"/>
      <c r="D4" s="72"/>
      <c r="E4" s="72"/>
      <c r="F4" s="72"/>
      <c r="G4" s="72"/>
      <c r="H4" s="72"/>
      <c r="I4" s="32"/>
      <c r="J4" s="32"/>
      <c r="K4" s="32"/>
    </row>
    <row r="5" spans="1:12">
      <c r="A5" s="73" t="s">
        <v>69</v>
      </c>
      <c r="B5" s="73"/>
      <c r="C5" s="73"/>
      <c r="D5" s="73"/>
      <c r="E5" s="73"/>
      <c r="F5" s="73"/>
      <c r="G5" s="73"/>
      <c r="H5" s="73"/>
      <c r="I5" s="32"/>
      <c r="J5" s="32"/>
      <c r="K5" s="32"/>
    </row>
    <row r="6" spans="1:12">
      <c r="B6" s="1"/>
      <c r="C6" s="1"/>
      <c r="D6" s="1"/>
      <c r="E6" s="1"/>
      <c r="F6" s="1"/>
      <c r="G6" s="1"/>
      <c r="H6" s="1"/>
      <c r="I6" s="32"/>
      <c r="J6" s="32"/>
      <c r="K6" s="32"/>
    </row>
    <row r="7" spans="1:12">
      <c r="D7" s="33"/>
      <c r="E7" s="34"/>
      <c r="F7" s="34"/>
      <c r="I7" s="32"/>
      <c r="J7" s="32"/>
      <c r="K7" s="32"/>
    </row>
    <row r="8" spans="1:12">
      <c r="A8" s="1">
        <v>1</v>
      </c>
      <c r="C8" s="2" t="s">
        <v>26</v>
      </c>
      <c r="D8" s="3">
        <f>-SUM('3 - Support'!D59:D62)*'3 - Support'!C78</f>
        <v>1301064.269908506</v>
      </c>
    </row>
    <row r="9" spans="1:12">
      <c r="A9" s="1">
        <v>2</v>
      </c>
      <c r="C9" s="2" t="s">
        <v>33</v>
      </c>
      <c r="D9" s="3">
        <f>-'3 - Support'!D69</f>
        <v>0</v>
      </c>
      <c r="E9" s="6"/>
      <c r="F9" s="6"/>
    </row>
    <row r="10" spans="1:12">
      <c r="A10" s="1">
        <v>3</v>
      </c>
      <c r="C10" s="4" t="s">
        <v>11</v>
      </c>
      <c r="D10" s="3">
        <f>D8+D9</f>
        <v>1301064.269908506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5.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5"/>
    </row>
  </sheetData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J35"/>
  <sheetViews>
    <sheetView view="pageBreakPreview" zoomScale="60" zoomScaleNormal="80" workbookViewId="0">
      <selection activeCell="P14" sqref="P14"/>
    </sheetView>
  </sheetViews>
  <sheetFormatPr defaultColWidth="8.81640625" defaultRowHeight="14"/>
  <cols>
    <col min="1" max="4" width="8.81640625" style="2"/>
    <col min="5" max="5" width="10.453125" style="2" customWidth="1"/>
    <col min="6" max="6" width="8.81640625" style="2"/>
    <col min="7" max="7" width="10.90625" style="2" customWidth="1"/>
    <col min="8" max="8" width="12" style="2" customWidth="1"/>
    <col min="9" max="9" width="12" style="2" bestFit="1" customWidth="1"/>
    <col min="10" max="10" width="9.54296875" style="2" bestFit="1" customWidth="1"/>
    <col min="11" max="16384" width="8.8164062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5">
      <c r="A5" s="9"/>
      <c r="B5" s="9"/>
      <c r="F5" s="9"/>
      <c r="G5" s="9"/>
      <c r="H5" s="12"/>
    </row>
    <row r="6" spans="1:9" ht="26.5">
      <c r="A6" s="13"/>
      <c r="B6" s="14"/>
      <c r="F6" s="15" t="s">
        <v>42</v>
      </c>
      <c r="G6" s="15"/>
      <c r="H6" s="16" t="s">
        <v>43</v>
      </c>
    </row>
    <row r="7" spans="1:9" ht="15.5">
      <c r="A7" s="13">
        <v>1</v>
      </c>
      <c r="B7" s="17"/>
      <c r="F7" s="9" t="s">
        <v>44</v>
      </c>
      <c r="G7" s="18"/>
      <c r="H7" s="63">
        <v>4.1999999999999997E-3</v>
      </c>
    </row>
    <row r="8" spans="1:9" ht="15.5">
      <c r="A8" s="13">
        <v>2</v>
      </c>
      <c r="B8" s="17"/>
      <c r="F8" s="9" t="s">
        <v>45</v>
      </c>
      <c r="G8" s="18"/>
      <c r="H8" s="63">
        <v>3.8999999999999998E-3</v>
      </c>
    </row>
    <row r="9" spans="1:9" ht="15.5">
      <c r="A9" s="13">
        <v>3</v>
      </c>
      <c r="B9" s="17"/>
      <c r="F9" s="9" t="s">
        <v>46</v>
      </c>
      <c r="G9" s="18"/>
      <c r="H9" s="63">
        <v>4.1999999999999997E-3</v>
      </c>
    </row>
    <row r="10" spans="1:9" ht="15.5">
      <c r="A10" s="13">
        <v>4</v>
      </c>
      <c r="B10" s="17"/>
      <c r="F10" s="9" t="s">
        <v>47</v>
      </c>
      <c r="G10" s="18"/>
      <c r="H10" s="63">
        <v>3.8999999999999998E-3</v>
      </c>
    </row>
    <row r="11" spans="1:9" ht="15.5">
      <c r="A11" s="13">
        <v>5</v>
      </c>
      <c r="B11" s="17"/>
      <c r="F11" s="9" t="s">
        <v>48</v>
      </c>
      <c r="G11" s="18"/>
      <c r="H11" s="63">
        <v>4.0000000000000001E-3</v>
      </c>
    </row>
    <row r="12" spans="1:9" ht="15.5">
      <c r="A12" s="13">
        <v>6</v>
      </c>
      <c r="B12" s="17"/>
      <c r="F12" s="9" t="s">
        <v>49</v>
      </c>
      <c r="G12" s="18"/>
      <c r="H12" s="63">
        <v>3.8999999999999998E-3</v>
      </c>
    </row>
    <row r="13" spans="1:9" ht="15.5">
      <c r="A13" s="13">
        <v>7</v>
      </c>
      <c r="B13" s="17"/>
      <c r="F13" s="9" t="s">
        <v>50</v>
      </c>
      <c r="G13" s="18"/>
      <c r="H13" s="63">
        <v>2.8999999999999998E-3</v>
      </c>
    </row>
    <row r="14" spans="1:9" ht="15.5">
      <c r="A14" s="13">
        <v>8</v>
      </c>
      <c r="B14" s="17"/>
      <c r="F14" s="9" t="s">
        <v>51</v>
      </c>
      <c r="G14" s="18"/>
      <c r="H14" s="63">
        <v>2.8999999999999998E-3</v>
      </c>
    </row>
    <row r="15" spans="1:9" ht="15.5">
      <c r="A15" s="13">
        <v>9</v>
      </c>
      <c r="B15" s="17"/>
      <c r="F15" s="9" t="s">
        <v>52</v>
      </c>
      <c r="G15" s="18"/>
      <c r="H15" s="63">
        <v>2.8E-3</v>
      </c>
    </row>
    <row r="16" spans="1:9" ht="15.5">
      <c r="A16" s="13">
        <v>10</v>
      </c>
      <c r="B16" s="17"/>
      <c r="F16" s="9" t="s">
        <v>53</v>
      </c>
      <c r="G16" s="18"/>
      <c r="H16" s="63">
        <v>2.8E-3</v>
      </c>
    </row>
    <row r="17" spans="1:10" ht="15.5">
      <c r="A17" s="13">
        <v>11</v>
      </c>
      <c r="B17" s="17"/>
      <c r="F17" s="9" t="s">
        <v>54</v>
      </c>
      <c r="G17" s="18"/>
      <c r="H17" s="63">
        <v>2.7000000000000001E-3</v>
      </c>
    </row>
    <row r="18" spans="1:10" ht="15.5">
      <c r="A18" s="13">
        <v>12</v>
      </c>
      <c r="B18" s="17"/>
      <c r="F18" s="9" t="s">
        <v>55</v>
      </c>
      <c r="G18" s="18"/>
      <c r="H18" s="63">
        <v>2.8E-3</v>
      </c>
    </row>
    <row r="19" spans="1:10" ht="15.5">
      <c r="A19" s="13">
        <v>13</v>
      </c>
      <c r="B19" s="17"/>
      <c r="F19" s="9" t="s">
        <v>44</v>
      </c>
      <c r="G19" s="18"/>
      <c r="H19" s="63">
        <v>2.8E-3</v>
      </c>
    </row>
    <row r="20" spans="1:10" ht="15.5">
      <c r="A20" s="13">
        <v>14</v>
      </c>
      <c r="B20" s="17"/>
      <c r="F20" s="9" t="s">
        <v>45</v>
      </c>
      <c r="G20" s="18"/>
      <c r="H20" s="63">
        <v>2.5000000000000001E-3</v>
      </c>
    </row>
    <row r="21" spans="1:10" ht="15.5">
      <c r="A21" s="13">
        <v>15</v>
      </c>
      <c r="B21" s="17"/>
      <c r="F21" s="9" t="s">
        <v>46</v>
      </c>
      <c r="G21" s="18"/>
      <c r="H21" s="63">
        <v>2.8E-3</v>
      </c>
    </row>
    <row r="22" spans="1:10" ht="15.5">
      <c r="A22" s="13">
        <v>16</v>
      </c>
      <c r="B22" s="17"/>
      <c r="F22" s="9" t="s">
        <v>47</v>
      </c>
      <c r="G22" s="18"/>
      <c r="H22" s="63">
        <v>2.7000000000000001E-3</v>
      </c>
    </row>
    <row r="23" spans="1:10" ht="15.5">
      <c r="A23" s="13">
        <v>17</v>
      </c>
      <c r="B23" s="17"/>
      <c r="F23" s="9" t="s">
        <v>48</v>
      </c>
      <c r="G23" s="18"/>
      <c r="H23" s="63">
        <v>2.8E-3</v>
      </c>
    </row>
    <row r="24" spans="1:10" ht="15.5">
      <c r="A24" s="13">
        <v>18</v>
      </c>
      <c r="B24" s="19" t="s">
        <v>56</v>
      </c>
      <c r="G24" s="20"/>
      <c r="H24" s="21">
        <f>AVERAGE(H7:H23)</f>
        <v>3.2117647058823523E-3</v>
      </c>
    </row>
    <row r="26" spans="1:10" ht="15.5">
      <c r="A26" s="17" t="s">
        <v>34</v>
      </c>
      <c r="B26" s="17"/>
    </row>
    <row r="27" spans="1:10">
      <c r="A27" s="22" t="s">
        <v>57</v>
      </c>
      <c r="B27" s="22" t="s">
        <v>58</v>
      </c>
    </row>
    <row r="29" spans="1:10" ht="15.5">
      <c r="A29" s="13">
        <v>19</v>
      </c>
      <c r="B29" s="2" t="s">
        <v>59</v>
      </c>
      <c r="H29" s="61"/>
      <c r="I29" s="23"/>
      <c r="J29" s="23"/>
    </row>
    <row r="30" spans="1:10" ht="15.5">
      <c r="A30" s="13">
        <v>20</v>
      </c>
      <c r="B30" s="2" t="s">
        <v>60</v>
      </c>
      <c r="H30" s="61"/>
      <c r="I30" s="23"/>
      <c r="J30" s="23"/>
    </row>
    <row r="31" spans="1:10" ht="15.5">
      <c r="A31" s="13">
        <v>21</v>
      </c>
      <c r="B31" s="2" t="s">
        <v>61</v>
      </c>
      <c r="H31" s="23">
        <f>-H30+H29</f>
        <v>0</v>
      </c>
      <c r="I31" s="23"/>
      <c r="J31" s="23"/>
    </row>
    <row r="32" spans="1:10" ht="15.5">
      <c r="A32" s="13">
        <v>22</v>
      </c>
      <c r="B32" s="2" t="s">
        <v>62</v>
      </c>
      <c r="H32" s="23">
        <v>17</v>
      </c>
    </row>
    <row r="33" spans="1:8" ht="15.5">
      <c r="A33" s="13">
        <v>23</v>
      </c>
      <c r="B33" s="2" t="s">
        <v>63</v>
      </c>
      <c r="H33" s="23">
        <f>H31*H24*H32</f>
        <v>0</v>
      </c>
    </row>
    <row r="34" spans="1:8">
      <c r="H34" s="23"/>
    </row>
    <row r="35" spans="1:8" ht="15.5">
      <c r="A35" s="13">
        <v>24</v>
      </c>
      <c r="B35" s="2" t="s">
        <v>64</v>
      </c>
      <c r="H35" s="23">
        <f>H31+H33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tabSelected="1" view="pageBreakPreview" topLeftCell="C6" zoomScale="80" zoomScaleNormal="80" zoomScaleSheetLayoutView="80" workbookViewId="0">
      <selection activeCell="O19" sqref="O19"/>
    </sheetView>
  </sheetViews>
  <sheetFormatPr defaultColWidth="8.81640625" defaultRowHeight="14"/>
  <cols>
    <col min="1" max="1" width="11.54296875" style="2" customWidth="1"/>
    <col min="2" max="2" width="46.453125" style="2" customWidth="1"/>
    <col min="3" max="5" width="22.81640625" style="2" customWidth="1"/>
    <col min="6" max="16384" width="8.81640625" style="2"/>
  </cols>
  <sheetData>
    <row r="5" spans="1:19" ht="15.5">
      <c r="A5" s="36"/>
      <c r="D5" s="37"/>
    </row>
    <row r="8" spans="1:19">
      <c r="E8" s="31"/>
    </row>
    <row r="9" spans="1:19">
      <c r="B9" s="72" t="s">
        <v>31</v>
      </c>
      <c r="C9" s="72"/>
      <c r="D9" s="72"/>
      <c r="E9" s="72"/>
      <c r="F9" s="72"/>
      <c r="G9" s="72"/>
      <c r="H9" s="7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B10" s="72" t="s">
        <v>18</v>
      </c>
      <c r="C10" s="72"/>
      <c r="D10" s="72"/>
      <c r="E10" s="72"/>
      <c r="F10" s="72"/>
      <c r="G10" s="72"/>
      <c r="H10" s="72"/>
    </row>
    <row r="11" spans="1:19">
      <c r="B11" s="73" t="s">
        <v>68</v>
      </c>
      <c r="C11" s="73"/>
      <c r="D11" s="73"/>
      <c r="E11" s="73"/>
      <c r="F11" s="73"/>
      <c r="G11" s="73"/>
      <c r="H11" s="73"/>
    </row>
    <row r="12" spans="1:19">
      <c r="B12" s="1"/>
      <c r="C12" s="1"/>
      <c r="D12" s="1"/>
      <c r="E12" s="1"/>
      <c r="F12" s="1"/>
      <c r="G12" s="1"/>
      <c r="H12" s="1"/>
    </row>
    <row r="13" spans="1:19" ht="14.5">
      <c r="C13" s="62">
        <v>44196</v>
      </c>
      <c r="D13" s="56" t="s">
        <v>9</v>
      </c>
      <c r="E13" s="62">
        <v>44561</v>
      </c>
    </row>
    <row r="14" spans="1:19" ht="14.5">
      <c r="B14" s="4" t="s">
        <v>0</v>
      </c>
      <c r="C14"/>
      <c r="D14" s="57"/>
      <c r="E14"/>
    </row>
    <row r="15" spans="1:19" ht="14.5">
      <c r="B15" s="2" t="s">
        <v>2</v>
      </c>
      <c r="C15" s="64">
        <v>7353236.3680802854</v>
      </c>
      <c r="D15" s="54">
        <f t="shared" ref="D15" si="0">E15-C15</f>
        <v>-69779.867779764347</v>
      </c>
      <c r="E15" s="64">
        <v>7283456.500300521</v>
      </c>
    </row>
    <row r="16" spans="1:19" ht="14.5">
      <c r="B16" s="2" t="s">
        <v>20</v>
      </c>
      <c r="C16" s="64">
        <v>20709835.502081234</v>
      </c>
      <c r="D16" s="54">
        <f t="shared" ref="D16" si="1">E16-C16</f>
        <v>-271530.58909719065</v>
      </c>
      <c r="E16" s="64">
        <v>20438304.912984043</v>
      </c>
    </row>
    <row r="17" spans="2:8" ht="14.5">
      <c r="B17" s="2" t="s">
        <v>3</v>
      </c>
      <c r="C17" s="64">
        <v>14814015.280368762</v>
      </c>
      <c r="D17" s="54">
        <f t="shared" ref="D17" si="2">E17-C17</f>
        <v>-571167.82392753102</v>
      </c>
      <c r="E17" s="64">
        <v>14242847.456441231</v>
      </c>
    </row>
    <row r="18" spans="2:8" ht="14.5">
      <c r="B18" s="2" t="s">
        <v>4</v>
      </c>
      <c r="C18" s="64">
        <v>376136.22757805913</v>
      </c>
      <c r="D18" s="55">
        <f t="shared" ref="D18" si="3">E18-C18</f>
        <v>-4349.3181076462497</v>
      </c>
      <c r="E18" s="64">
        <v>371786.90947041288</v>
      </c>
    </row>
    <row r="19" spans="2:8" ht="14.5">
      <c r="B19" s="39" t="s">
        <v>1</v>
      </c>
      <c r="C19" s="58">
        <f>SUM(C15:C18)</f>
        <v>43253223.378108338</v>
      </c>
      <c r="D19" s="54">
        <f>SUM(D15:D18)</f>
        <v>-916827.59891213221</v>
      </c>
      <c r="E19" s="58">
        <f>SUM(E15:E18)</f>
        <v>42336395.779196203</v>
      </c>
    </row>
    <row r="20" spans="2:8" ht="14.5">
      <c r="C20" s="58"/>
      <c r="D20" s="57"/>
      <c r="E20"/>
    </row>
    <row r="21" spans="2:8" ht="14.5">
      <c r="B21" s="4" t="s">
        <v>5</v>
      </c>
      <c r="C21" s="58"/>
      <c r="D21" s="59"/>
      <c r="E21" s="60"/>
    </row>
    <row r="22" spans="2:8" ht="14.5">
      <c r="B22" s="2" t="s">
        <v>2</v>
      </c>
      <c r="C22" s="64">
        <v>0</v>
      </c>
      <c r="D22" s="54">
        <f t="shared" ref="D22" si="4">E22-C22</f>
        <v>0</v>
      </c>
      <c r="E22" s="64">
        <v>0</v>
      </c>
    </row>
    <row r="23" spans="2:8" ht="14.5">
      <c r="B23" s="2" t="s">
        <v>20</v>
      </c>
      <c r="C23" s="64">
        <v>7424647.0646395711</v>
      </c>
      <c r="D23" s="54">
        <f t="shared" ref="D23" si="5">E23-C23</f>
        <v>-19763.902754026465</v>
      </c>
      <c r="E23" s="64">
        <v>7404883.1618855447</v>
      </c>
      <c r="G23" s="53"/>
    </row>
    <row r="24" spans="2:8" ht="14.5">
      <c r="B24" s="2" t="s">
        <v>3</v>
      </c>
      <c r="C24" s="64">
        <v>2508885.599318563</v>
      </c>
      <c r="D24" s="54">
        <f t="shared" ref="D24" si="6">E24-C24</f>
        <v>-71349.780377854127</v>
      </c>
      <c r="E24" s="64">
        <v>2437535.8189407089</v>
      </c>
    </row>
    <row r="25" spans="2:8" ht="14.5">
      <c r="B25" s="2" t="s">
        <v>4</v>
      </c>
      <c r="C25" s="64">
        <v>1247531.119995225</v>
      </c>
      <c r="D25" s="55">
        <f t="shared" ref="D25" si="7">E25-C25</f>
        <v>-26162.171696382808</v>
      </c>
      <c r="E25" s="65">
        <v>1221368.9482988422</v>
      </c>
    </row>
    <row r="26" spans="2:8" ht="14.5">
      <c r="B26" s="39" t="s">
        <v>1</v>
      </c>
      <c r="C26" s="40">
        <f>SUM(C22:C25)</f>
        <v>11181063.783953359</v>
      </c>
      <c r="D26" s="23">
        <f>SUM(D22:D25)</f>
        <v>-117275.8548282634</v>
      </c>
      <c r="E26" s="40">
        <f>SUM(E22:E25)</f>
        <v>11063787.929125095</v>
      </c>
    </row>
    <row r="27" spans="2:8">
      <c r="C27" s="23"/>
      <c r="D27" s="41"/>
      <c r="E27" s="41"/>
    </row>
    <row r="28" spans="2:8" ht="14.5" thickBot="1">
      <c r="C28" s="23"/>
    </row>
    <row r="29" spans="2:8" ht="35.5" customHeight="1" thickBot="1">
      <c r="B29" s="42" t="s">
        <v>6</v>
      </c>
      <c r="C29" s="66">
        <v>7.7531506736541217E-2</v>
      </c>
      <c r="D29" s="74" t="s">
        <v>25</v>
      </c>
      <c r="E29" s="75"/>
      <c r="F29" s="75"/>
      <c r="G29" s="75"/>
      <c r="H29" s="75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575644.07390854391</v>
      </c>
      <c r="D31" s="23">
        <f t="shared" ref="D31" si="9">E31-C31</f>
        <v>-1532.3251595142065</v>
      </c>
      <c r="E31" s="23">
        <f>E23*$C$29</f>
        <v>574111.74874902971</v>
      </c>
    </row>
    <row r="32" spans="2:8">
      <c r="B32" s="2" t="s">
        <v>3</v>
      </c>
      <c r="C32" s="23">
        <f>C24*$C$29</f>
        <v>194517.68074477842</v>
      </c>
      <c r="D32" s="23">
        <f t="shared" ref="D32" si="10">E32-C32</f>
        <v>-5531.8559780163341</v>
      </c>
      <c r="E32" s="23">
        <f>E24*$C$29</f>
        <v>188985.82476676209</v>
      </c>
    </row>
    <row r="33" spans="2:7">
      <c r="B33" s="2" t="s">
        <v>4</v>
      </c>
      <c r="C33" s="38">
        <f>C25*$C$29</f>
        <v>96722.967433954589</v>
      </c>
      <c r="D33" s="38">
        <f t="shared" ref="D33" si="11">E33-C33</f>
        <v>-2028.3925911206461</v>
      </c>
      <c r="E33" s="38">
        <f>E25*$C$29</f>
        <v>94694.574842833943</v>
      </c>
    </row>
    <row r="34" spans="2:7">
      <c r="B34" s="39" t="s">
        <v>1</v>
      </c>
      <c r="C34" s="41">
        <f>SUM(C30:C33)</f>
        <v>866884.72208727687</v>
      </c>
      <c r="D34" s="41">
        <f t="shared" ref="D34" si="12">E34-C34</f>
        <v>-9092.5737286511576</v>
      </c>
      <c r="E34" s="41">
        <f>SUM(E30:E33)</f>
        <v>857792.14835862571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 ht="14.5">
      <c r="B39" s="2" t="s">
        <v>2</v>
      </c>
      <c r="C39" s="64">
        <v>9042.1118351266541</v>
      </c>
      <c r="D39" s="54">
        <f t="shared" ref="D39" si="13">E39-C39</f>
        <v>-79.666800817689364</v>
      </c>
      <c r="E39" s="64">
        <v>8962.4450343089648</v>
      </c>
    </row>
    <row r="40" spans="2:7" ht="14.5">
      <c r="B40" s="2" t="s">
        <v>20</v>
      </c>
      <c r="C40" s="64">
        <v>884418.0922115955</v>
      </c>
      <c r="D40" s="54">
        <f t="shared" ref="D40" si="14">E40-C40</f>
        <v>9125.5145066434052</v>
      </c>
      <c r="E40" s="64">
        <v>893543.60671823891</v>
      </c>
    </row>
    <row r="41" spans="2:7" ht="14.5">
      <c r="B41" s="2" t="s">
        <v>3</v>
      </c>
      <c r="C41" s="64">
        <v>140716.70410412893</v>
      </c>
      <c r="D41" s="54">
        <f t="shared" ref="D41" si="15">E41-C41</f>
        <v>-1331.9794576552522</v>
      </c>
      <c r="E41" s="64">
        <v>139384.72464647368</v>
      </c>
    </row>
    <row r="42" spans="2:7" ht="14.5">
      <c r="B42" s="2" t="s">
        <v>4</v>
      </c>
      <c r="C42" s="65">
        <v>2302.9856657846553</v>
      </c>
      <c r="D42" s="55">
        <f t="shared" ref="D42" si="16">E42-C42</f>
        <v>-70.787313407528927</v>
      </c>
      <c r="E42" s="65">
        <v>2232.1983523771264</v>
      </c>
    </row>
    <row r="43" spans="2:7">
      <c r="B43" s="39" t="s">
        <v>1</v>
      </c>
      <c r="C43" s="23">
        <f>SUM(C39:C42)</f>
        <v>1036479.8938166357</v>
      </c>
      <c r="D43" s="23">
        <f>SUM(D39:D42)</f>
        <v>7643.0809347629347</v>
      </c>
      <c r="E43" s="23">
        <f>SUM(E39:E42)</f>
        <v>1044122.9747513987</v>
      </c>
    </row>
    <row r="44" spans="2:7">
      <c r="C44" s="23"/>
    </row>
    <row r="45" spans="2:7">
      <c r="C45" s="23"/>
    </row>
    <row r="46" spans="2:7">
      <c r="C46" s="23"/>
    </row>
    <row r="47" spans="2:7" ht="14.5" thickBot="1">
      <c r="C47" s="23"/>
    </row>
    <row r="48" spans="2:7" ht="14.5" thickBot="1">
      <c r="B48" s="43" t="s">
        <v>6</v>
      </c>
      <c r="C48" s="66">
        <v>9.9526966285675506E-2</v>
      </c>
      <c r="D48" s="44" t="s">
        <v>17</v>
      </c>
      <c r="E48" s="45"/>
      <c r="G48" s="45"/>
    </row>
    <row r="49" spans="2:5">
      <c r="B49" s="2" t="s">
        <v>2</v>
      </c>
      <c r="C49" s="23">
        <f>C39*$C$48</f>
        <v>899.93395976595798</v>
      </c>
      <c r="D49" s="23">
        <f t="shared" ref="D49" si="17">E49-C49</f>
        <v>-7.9289949990698005</v>
      </c>
      <c r="E49" s="23">
        <f>E39*$C$48</f>
        <v>892.00496476688818</v>
      </c>
    </row>
    <row r="50" spans="2:5">
      <c r="B50" s="2" t="s">
        <v>20</v>
      </c>
      <c r="C50" s="23">
        <f>C40*$C$48</f>
        <v>88023.449645984918</v>
      </c>
      <c r="D50" s="23">
        <f t="shared" ref="D50" si="18">E50-C50</f>
        <v>908.23477464214375</v>
      </c>
      <c r="E50" s="23">
        <f>E40*$C$48</f>
        <v>88931.684420627062</v>
      </c>
    </row>
    <row r="51" spans="2:5">
      <c r="B51" s="2" t="s">
        <v>3</v>
      </c>
      <c r="C51" s="23">
        <f>C41*$C$48</f>
        <v>14005.106665203017</v>
      </c>
      <c r="D51" s="23">
        <f t="shared" ref="D51" si="19">E51-C51</f>
        <v>-132.56787457526661</v>
      </c>
      <c r="E51" s="23">
        <f>E41*$C$48</f>
        <v>13872.53879062775</v>
      </c>
    </row>
    <row r="52" spans="2:5">
      <c r="B52" s="2" t="s">
        <v>4</v>
      </c>
      <c r="C52" s="38">
        <f>C42*$C$48</f>
        <v>229.20917671494334</v>
      </c>
      <c r="D52" s="38">
        <f t="shared" ref="D52" si="20">E52-C52</f>
        <v>-7.0452465549646774</v>
      </c>
      <c r="E52" s="38">
        <f>E42*$C$48</f>
        <v>222.16393015997866</v>
      </c>
    </row>
    <row r="53" spans="2:5">
      <c r="B53" s="39" t="s">
        <v>1</v>
      </c>
      <c r="C53" s="41">
        <f>SUM(C49:C52)</f>
        <v>103157.69944766883</v>
      </c>
      <c r="D53" s="41">
        <f t="shared" ref="D53" si="21">E53-C53</f>
        <v>760.69265851285309</v>
      </c>
      <c r="E53" s="41">
        <f>SUM(E49:E52)</f>
        <v>103918.39210618168</v>
      </c>
    </row>
    <row r="54" spans="2:5">
      <c r="C54" s="23"/>
    </row>
    <row r="58" spans="2:5">
      <c r="B58" s="46" t="s">
        <v>8</v>
      </c>
      <c r="D58" s="46"/>
    </row>
    <row r="59" spans="2:5">
      <c r="B59" s="2" t="s">
        <v>2</v>
      </c>
      <c r="C59" s="47">
        <f t="shared" ref="C59:E62" si="22">C15+C30+C49</f>
        <v>7354136.3020400517</v>
      </c>
      <c r="D59" s="47">
        <f t="shared" si="22"/>
        <v>-69787.79677476341</v>
      </c>
      <c r="E59" s="47">
        <f t="shared" si="22"/>
        <v>7284348.5052652881</v>
      </c>
    </row>
    <row r="60" spans="2:5">
      <c r="B60" s="2" t="s">
        <v>20</v>
      </c>
      <c r="C60" s="47">
        <f t="shared" si="22"/>
        <v>21373503.025635764</v>
      </c>
      <c r="D60" s="47">
        <f t="shared" si="22"/>
        <v>-272154.6794820627</v>
      </c>
      <c r="E60" s="47">
        <f t="shared" si="22"/>
        <v>21101348.346153699</v>
      </c>
    </row>
    <row r="61" spans="2:5">
      <c r="B61" s="2" t="s">
        <v>3</v>
      </c>
      <c r="C61" s="47">
        <f t="shared" si="22"/>
        <v>15022538.067778744</v>
      </c>
      <c r="D61" s="47">
        <f t="shared" si="22"/>
        <v>-576832.24778012256</v>
      </c>
      <c r="E61" s="47">
        <f t="shared" si="22"/>
        <v>14445705.819998622</v>
      </c>
    </row>
    <row r="62" spans="2:5">
      <c r="B62" s="2" t="s">
        <v>4</v>
      </c>
      <c r="C62" s="48">
        <f t="shared" si="22"/>
        <v>473088.40418872866</v>
      </c>
      <c r="D62" s="48">
        <f t="shared" si="22"/>
        <v>-6384.7559453218601</v>
      </c>
      <c r="E62" s="48">
        <f t="shared" si="22"/>
        <v>466703.64824340679</v>
      </c>
    </row>
    <row r="63" spans="2:5">
      <c r="B63" s="4" t="s">
        <v>1</v>
      </c>
      <c r="C63" s="49">
        <f>SUM(C59:C62)</f>
        <v>44223265.799643286</v>
      </c>
      <c r="D63" s="49">
        <f>SUM(D59:D62)</f>
        <v>-925159.47998227051</v>
      </c>
      <c r="E63" s="49">
        <f>SUM(E59:E62)</f>
        <v>43298106.319661014</v>
      </c>
    </row>
    <row r="65" spans="1:5">
      <c r="A65" s="2" t="s">
        <v>10</v>
      </c>
      <c r="B65" s="2" t="s">
        <v>23</v>
      </c>
      <c r="C65" s="23">
        <f>C63*$C$78</f>
        <v>62191775.878127865</v>
      </c>
      <c r="D65" s="23">
        <f>D63*$C$78</f>
        <v>-1301064.269908506</v>
      </c>
      <c r="E65" s="23">
        <f>E63*$C$78</f>
        <v>60890711.608219355</v>
      </c>
    </row>
    <row r="68" spans="1:5">
      <c r="B68" s="2" t="s">
        <v>21</v>
      </c>
      <c r="C68" s="23">
        <f>C69/$C$78</f>
        <v>0</v>
      </c>
      <c r="D68" s="23">
        <f>D69/$C$78</f>
        <v>0</v>
      </c>
      <c r="E68" s="23">
        <f>E69/$C$78</f>
        <v>0</v>
      </c>
    </row>
    <row r="69" spans="1:5" ht="14.5">
      <c r="B69" s="2" t="s">
        <v>22</v>
      </c>
      <c r="C69" s="64">
        <v>0</v>
      </c>
      <c r="D69" s="64">
        <v>0</v>
      </c>
      <c r="E69" s="23">
        <f>SUM(C69:D69)</f>
        <v>0</v>
      </c>
    </row>
    <row r="71" spans="1:5">
      <c r="B71" s="2" t="s">
        <v>24</v>
      </c>
      <c r="C71" s="47">
        <f t="shared" ref="C71:E71" si="23">C65+C69</f>
        <v>62191775.878127865</v>
      </c>
      <c r="D71" s="47">
        <f t="shared" si="23"/>
        <v>-1301064.269908506</v>
      </c>
      <c r="E71" s="47">
        <f t="shared" si="23"/>
        <v>60890711.608219355</v>
      </c>
    </row>
    <row r="73" spans="1:5">
      <c r="A73" s="50"/>
      <c r="B73" s="50"/>
    </row>
    <row r="74" spans="1:5">
      <c r="B74" s="51" t="s">
        <v>12</v>
      </c>
    </row>
    <row r="75" spans="1:5" ht="14.5">
      <c r="B75" s="2" t="s">
        <v>13</v>
      </c>
      <c r="C75" s="67">
        <v>0.21</v>
      </c>
    </row>
    <row r="76" spans="1:5" ht="14.5">
      <c r="B76" s="2" t="s">
        <v>14</v>
      </c>
      <c r="C76" s="67">
        <v>9.9900000000000003E-2</v>
      </c>
    </row>
    <row r="77" spans="1:5">
      <c r="B77" s="2" t="s">
        <v>15</v>
      </c>
      <c r="C77" s="52">
        <f>C75+C76*(1-C75)</f>
        <v>0.28892099999999998</v>
      </c>
    </row>
    <row r="78" spans="1:5">
      <c r="B78" s="2" t="s">
        <v>16</v>
      </c>
      <c r="C78" s="52">
        <f>1/(1-C77)</f>
        <v>1.4063135038441579</v>
      </c>
    </row>
    <row r="81" spans="2:5">
      <c r="C81" s="47"/>
      <c r="D81" s="47"/>
      <c r="E81" s="47"/>
    </row>
    <row r="82" spans="2:5">
      <c r="C82" s="47"/>
      <c r="D82" s="47"/>
      <c r="E82" s="47"/>
    </row>
    <row r="83" spans="2:5">
      <c r="C83" s="47"/>
      <c r="D83" s="47"/>
      <c r="E83" s="47"/>
    </row>
    <row r="86" spans="2:5">
      <c r="B86" s="31"/>
    </row>
    <row r="88" spans="2:5">
      <c r="B88" s="31"/>
    </row>
    <row r="89" spans="2:5">
      <c r="B89" s="31"/>
    </row>
    <row r="91" spans="2:5">
      <c r="B91" s="31"/>
    </row>
  </sheetData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Alvarez, Marianne M:(BSC)</cp:lastModifiedBy>
  <cp:lastPrinted>2022-05-25T14:21:57Z</cp:lastPrinted>
  <dcterms:created xsi:type="dcterms:W3CDTF">2019-02-20T15:33:09Z</dcterms:created>
  <dcterms:modified xsi:type="dcterms:W3CDTF">2022-05-27T12:16:43Z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2022-04-20T19:33:39Z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18f374c3-4372-40d7-b2a4-ca3baed4b417</vt:lpwstr>
  </property>
  <property fmtid="{D5CDD505-2E9C-101B-9397-08002B2CF9AE}" pid="8" name="MSIP_Label_c968b3d1-e05f-4796-9c23-acaf26d588cb_ContentBits">
    <vt:lpwstr>0</vt:lpwstr>
  </property>
</Properties>
</file>