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Program Files (x86)\Mimecast\PATI\temp\36a532ad-eb77-4306-8fce-f114930fee08\"/>
    </mc:Choice>
  </mc:AlternateContent>
  <bookViews>
    <workbookView xWindow="20910" yWindow="-30" windowWidth="17505" windowHeight="20985" tabRatio="789"/>
  </bookViews>
  <sheets>
    <sheet name="Appendix A - TSRR Summary" sheetId="1" r:id="rId1"/>
    <sheet name="ADIT - Att. 1 Reserved" sheetId="12" state="hidden" r:id="rId2"/>
    <sheet name="Other Taxes - Att. 2" sheetId="3" r:id="rId3"/>
    <sheet name="Revenue Credits - Att. 3" sheetId="5" r:id="rId4"/>
    <sheet name="100 bp ROE incr - Att. 4" sheetId="6" r:id="rId5"/>
    <sheet name="Cost Support - Att. 5" sheetId="7" r:id="rId6"/>
    <sheet name="Est &amp; Rec WS - Att. 6 Reserved" sheetId="27" state="hidden" r:id="rId7"/>
    <sheet name="Cap Add WS - Att. 7" sheetId="26" state="hidden" r:id="rId8"/>
    <sheet name="Securitization- Att. 8" sheetId="11" state="hidden" r:id="rId9"/>
    <sheet name="Depr Rates - Att. 9"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'ADIT - Att. 1 Reserved'!$A$1:$I$166</definedName>
    <definedName name="_xlnm.Print_Area" localSheetId="0">'Appendix A - TSRR Summary'!$A$1:$H$324</definedName>
    <definedName name="_xlnm.Print_Area" localSheetId="7">'Cap Add WS - Att. 7'!$A$1:$AQ$79</definedName>
    <definedName name="_xlnm.Print_Area" localSheetId="5">'Cost Support - Att. 5'!$A$1:$R$174</definedName>
    <definedName name="_xlnm.Print_Area" localSheetId="6">'Est &amp; Rec WS - Att. 6 Reserved'!$A$1:$M$171</definedName>
    <definedName name="_xlnm.Print_Area" localSheetId="3">'Revenue Credits - Att. 3'!$A$1:$D$35</definedName>
    <definedName name="_xlnm.Print_Area" localSheetId="8">'Securitization- Att. 8'!$A$1:$F$47</definedName>
    <definedName name="_xlnm.Print_Titles" localSheetId="0">'Appendix A - TSRR Summary'!$1:$6</definedName>
    <definedName name="_xlnm.Print_Titles" localSheetId="7">'Cap Add WS - Att. 7'!$C:$D</definedName>
    <definedName name="_xlnm.Print_Titles" localSheetId="5">'Cost Support - Att. 5'!$1:$3</definedName>
    <definedName name="_xlnm.Print_Titles" localSheetId="6">'Est &amp; Rec WS - Att. 6 Reserved'!$1:$2</definedName>
    <definedName name="solver_adj" localSheetId="0" hidden="1">'Appendix A - TSRR Summary'!#REF!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 - TSRR Summary'!#REF!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tartCell">#REF!</definedName>
    <definedName name="Z_28948E05_8F34_4F1E_96FB_A80A6A844600_.wvu.Cols" localSheetId="1" hidden="1">'ADIT - Att. 1 Reserved'!#REF!</definedName>
    <definedName name="Z_28948E05_8F34_4F1E_96FB_A80A6A844600_.wvu.Cols" localSheetId="7" hidden="1">'Cap Add WS - Att. 7'!$Q:$AN</definedName>
    <definedName name="Z_28948E05_8F34_4F1E_96FB_A80A6A844600_.wvu.PrintArea" localSheetId="1" hidden="1">'ADIT - Att. 1 Reserved'!$A$2:$H$168</definedName>
    <definedName name="Z_28948E05_8F34_4F1E_96FB_A80A6A844600_.wvu.PrintArea" localSheetId="0" hidden="1">'Appendix A - TSRR Summary'!$A$2:$H$319</definedName>
    <definedName name="Z_28948E05_8F34_4F1E_96FB_A80A6A844600_.wvu.PrintArea" localSheetId="3" hidden="1">'Revenue Credits - Att. 3'!$A$1:$D$42</definedName>
    <definedName name="Z_28948E05_8F34_4F1E_96FB_A80A6A844600_.wvu.PrintTitles" localSheetId="7" hidden="1">'Cap Add WS - Att. 7'!$C:$D</definedName>
    <definedName name="Z_28948E05_8F34_4F1E_96FB_A80A6A844600_.wvu.PrintTitles" localSheetId="5" hidden="1">'Cost Support - Att. 5'!$1:$3</definedName>
    <definedName name="Z_28948E05_8F34_4F1E_96FB_A80A6A844600_.wvu.Rows" localSheetId="4" hidden="1">'100 bp ROE incr - Att. 4'!#REF!,'100 bp ROE incr - Att. 4'!#REF!</definedName>
    <definedName name="Z_28948E05_8F34_4F1E_96FB_A80A6A844600_.wvu.Rows" localSheetId="0" hidden="1">'Appendix A - TSRR Summary'!#REF!</definedName>
    <definedName name="Z_28948E05_8F34_4F1E_96FB_A80A6A844600_.wvu.Rows" localSheetId="5" hidden="1">'Cost Support - Att. 5'!#REF!</definedName>
    <definedName name="Z_3A38DF7A_C35E_4DD3_9893_26310A3EF836_.wvu.Cols" localSheetId="7" hidden="1">'Cap Add WS - Att. 7'!$Q:$AN</definedName>
    <definedName name="Z_3A38DF7A_C35E_4DD3_9893_26310A3EF836_.wvu.PrintArea" localSheetId="0" hidden="1">'Appendix A - TSRR Summary'!$A$2:$H$319</definedName>
    <definedName name="Z_3A38DF7A_C35E_4DD3_9893_26310A3EF836_.wvu.PrintArea" localSheetId="3" hidden="1">'Revenue Credits - Att. 3'!$A$1:$D$42</definedName>
    <definedName name="Z_3A38DF7A_C35E_4DD3_9893_26310A3EF836_.wvu.PrintTitles" localSheetId="7" hidden="1">'Cap Add WS - Att. 7'!$C:$D</definedName>
    <definedName name="Z_3A38DF7A_C35E_4DD3_9893_26310A3EF836_.wvu.PrintTitles" localSheetId="5" hidden="1">'Cost Support - Att. 5'!$1:$3</definedName>
    <definedName name="Z_3A38DF7A_C35E_4DD3_9893_26310A3EF836_.wvu.Rows" localSheetId="4" hidden="1">'100 bp ROE incr - Att. 4'!#REF!</definedName>
    <definedName name="Z_3A38DF7A_C35E_4DD3_9893_26310A3EF836_.wvu.Rows" localSheetId="5" hidden="1">'Cost Support - Att. 5'!#REF!</definedName>
    <definedName name="Z_4C7C2344_134C_465A_ADEB_A5E96AAE2308_.wvu.Cols" localSheetId="7" hidden="1">'Cap Add WS - Att. 7'!$Q:$AN</definedName>
    <definedName name="Z_4C7C2344_134C_465A_ADEB_A5E96AAE2308_.wvu.PrintArea" localSheetId="0" hidden="1">'Appendix A - TSRR Summary'!$A$2:$H$319</definedName>
    <definedName name="Z_4C7C2344_134C_465A_ADEB_A5E96AAE2308_.wvu.PrintArea" localSheetId="3" hidden="1">'Revenue Credits - Att. 3'!$A$1:$D$42</definedName>
    <definedName name="Z_4C7C2344_134C_465A_ADEB_A5E96AAE2308_.wvu.PrintTitles" localSheetId="7" hidden="1">'Cap Add WS - Att. 7'!$C:$D</definedName>
    <definedName name="Z_4C7C2344_134C_465A_ADEB_A5E96AAE2308_.wvu.PrintTitles" localSheetId="5" hidden="1">'Cost Support - Att. 5'!$1:$3</definedName>
    <definedName name="Z_4C7C2344_134C_465A_ADEB_A5E96AAE2308_.wvu.Rows" localSheetId="4" hidden="1">'100 bp ROE incr - Att. 4'!#REF!</definedName>
    <definedName name="Z_4C7C2344_134C_465A_ADEB_A5E96AAE2308_.wvu.Rows" localSheetId="5" hidden="1">'Cost Support - Att. 5'!#REF!</definedName>
    <definedName name="Z_63011E91_4609_4523_98FE_FD252E915668_.wvu.Cols" localSheetId="1" hidden="1">'ADIT - Att. 1 Reserved'!#REF!</definedName>
    <definedName name="Z_63011E91_4609_4523_98FE_FD252E915668_.wvu.PrintArea" localSheetId="1" hidden="1">'ADIT - Att. 1 Reserved'!$A$2:$H$168</definedName>
    <definedName name="Z_6928E596_79BD_4CEC_9F0D_07E62D69B2A5_.wvu.Cols" localSheetId="1" hidden="1">'ADIT - Att. 1 Reserved'!#REF!</definedName>
    <definedName name="Z_6928E596_79BD_4CEC_9F0D_07E62D69B2A5_.wvu.PrintArea" localSheetId="1" hidden="1">'ADIT - Att. 1 Reserved'!$A$2:$H$168</definedName>
    <definedName name="Z_71B42B22_A376_44B5_B0C1_23FC1AA3DBA2_.wvu.Cols" localSheetId="1" hidden="1">'ADIT - Att. 1 Reserved'!#REF!</definedName>
    <definedName name="Z_71B42B22_A376_44B5_B0C1_23FC1AA3DBA2_.wvu.Cols" localSheetId="7" hidden="1">'Cap Add WS - Att. 7'!$Q:$AN</definedName>
    <definedName name="Z_71B42B22_A376_44B5_B0C1_23FC1AA3DBA2_.wvu.PrintArea" localSheetId="1" hidden="1">'ADIT - Att. 1 Reserved'!$A$2:$H$168</definedName>
    <definedName name="Z_71B42B22_A376_44B5_B0C1_23FC1AA3DBA2_.wvu.PrintArea" localSheetId="0" hidden="1">'Appendix A - TSRR Summary'!$A$2:$H$319</definedName>
    <definedName name="Z_71B42B22_A376_44B5_B0C1_23FC1AA3DBA2_.wvu.PrintArea" localSheetId="3" hidden="1">'Revenue Credits - Att. 3'!$A$1:$D$42</definedName>
    <definedName name="Z_71B42B22_A376_44B5_B0C1_23FC1AA3DBA2_.wvu.PrintTitles" localSheetId="7" hidden="1">'Cap Add WS - Att. 7'!$C:$D</definedName>
    <definedName name="Z_71B42B22_A376_44B5_B0C1_23FC1AA3DBA2_.wvu.PrintTitles" localSheetId="5" hidden="1">'Cost Support - Att. 5'!$1:$3</definedName>
    <definedName name="Z_71B42B22_A376_44B5_B0C1_23FC1AA3DBA2_.wvu.Rows" localSheetId="4" hidden="1">'100 bp ROE incr - Att. 4'!#REF!,'100 bp ROE incr - Att. 4'!#REF!</definedName>
    <definedName name="Z_71B42B22_A376_44B5_B0C1_23FC1AA3DBA2_.wvu.Rows" localSheetId="0" hidden="1">'Appendix A - TSRR Summary'!#REF!</definedName>
    <definedName name="Z_71B42B22_A376_44B5_B0C1_23FC1AA3DBA2_.wvu.Rows" localSheetId="5" hidden="1">'Cost Support - Att. 5'!#REF!</definedName>
    <definedName name="Z_8FBB4DC9_2D51_4AB9_80D8_F8474B404C29_.wvu.Cols" localSheetId="1" hidden="1">'ADIT - Att. 1 Reserved'!#REF!</definedName>
    <definedName name="Z_8FBB4DC9_2D51_4AB9_80D8_F8474B404C29_.wvu.PrintArea" localSheetId="1" hidden="1">'ADIT - Att. 1 Reserved'!$A$2:$H$168</definedName>
    <definedName name="Z_B647CB7F_C846_4278_B6B1_1EF7F3C004F5_.wvu.Cols" localSheetId="1" hidden="1">'ADIT - Att. 1 Reserved'!#REF!</definedName>
    <definedName name="Z_B647CB7F_C846_4278_B6B1_1EF7F3C004F5_.wvu.PrintArea" localSheetId="1" hidden="1">'ADIT - Att. 1 Reserved'!$A$2:$H$168</definedName>
    <definedName name="Z_DA967730_B71F_4038_B1B7_9D4790729C5D_.wvu.Cols" localSheetId="7" hidden="1">'Cap Add WS - Att. 7'!$Q:$AN</definedName>
    <definedName name="Z_DA967730_B71F_4038_B1B7_9D4790729C5D_.wvu.PrintArea" localSheetId="0" hidden="1">'Appendix A - TSRR Summary'!$A$2:$H$319</definedName>
    <definedName name="Z_DA967730_B71F_4038_B1B7_9D4790729C5D_.wvu.PrintArea" localSheetId="3" hidden="1">'Revenue Credits - Att. 3'!$A$1:$D$42</definedName>
    <definedName name="Z_DA967730_B71F_4038_B1B7_9D4790729C5D_.wvu.PrintTitles" localSheetId="7" hidden="1">'Cap Add WS - Att. 7'!$C:$D</definedName>
    <definedName name="Z_DA967730_B71F_4038_B1B7_9D4790729C5D_.wvu.PrintTitles" localSheetId="5" hidden="1">'Cost Support - Att. 5'!$1:$3</definedName>
    <definedName name="Z_DA967730_B71F_4038_B1B7_9D4790729C5D_.wvu.Rows" localSheetId="4" hidden="1">'100 bp ROE incr - Att. 4'!#REF!</definedName>
    <definedName name="Z_DA967730_B71F_4038_B1B7_9D4790729C5D_.wvu.Rows" localSheetId="5" hidden="1">'Cost Support - Att. 5'!#REF!</definedName>
    <definedName name="Z_DC91DEF3_837B_4BB9_A81E_3B78C5914E6C_.wvu.Cols" localSheetId="1" hidden="1">'ADIT - Att. 1 Reserved'!#REF!</definedName>
    <definedName name="Z_DC91DEF3_837B_4BB9_A81E_3B78C5914E6C_.wvu.Cols" localSheetId="7" hidden="1">'Cap Add WS - Att. 7'!$Q:$AN</definedName>
    <definedName name="Z_DC91DEF3_837B_4BB9_A81E_3B78C5914E6C_.wvu.PrintArea" localSheetId="1" hidden="1">'ADIT - Att. 1 Reserved'!$A$2:$H$168</definedName>
    <definedName name="Z_DC91DEF3_837B_4BB9_A81E_3B78C5914E6C_.wvu.PrintArea" localSheetId="0" hidden="1">'Appendix A - TSRR Summary'!$A$2:$H$319</definedName>
    <definedName name="Z_DC91DEF3_837B_4BB9_A81E_3B78C5914E6C_.wvu.PrintArea" localSheetId="3" hidden="1">'Revenue Credits - Att. 3'!$A$1:$D$42</definedName>
    <definedName name="Z_DC91DEF3_837B_4BB9_A81E_3B78C5914E6C_.wvu.PrintTitles" localSheetId="7" hidden="1">'Cap Add WS - Att. 7'!$C:$D</definedName>
    <definedName name="Z_DC91DEF3_837B_4BB9_A81E_3B78C5914E6C_.wvu.PrintTitles" localSheetId="5" hidden="1">'Cost Support - Att. 5'!$1:$3</definedName>
    <definedName name="Z_DC91DEF3_837B_4BB9_A81E_3B78C5914E6C_.wvu.Rows" localSheetId="4" hidden="1">'100 bp ROE incr - Att. 4'!#REF!</definedName>
    <definedName name="Z_DC91DEF3_837B_4BB9_A81E_3B78C5914E6C_.wvu.Rows" localSheetId="5" hidden="1">'Cost Support - Att. 5'!#REF!</definedName>
    <definedName name="Z_F96D6087_3330_4A81_95EC_26BA83722A49_.wvu.Cols" localSheetId="7" hidden="1">'Cap Add WS - Att. 7'!$Q:$AN</definedName>
    <definedName name="Z_F96D6087_3330_4A81_95EC_26BA83722A49_.wvu.PrintArea" localSheetId="0" hidden="1">'Appendix A - TSRR Summary'!$A$2:$H$319</definedName>
    <definedName name="Z_F96D6087_3330_4A81_95EC_26BA83722A49_.wvu.PrintArea" localSheetId="3" hidden="1">'Revenue Credits - Att. 3'!$A$1:$D$42</definedName>
    <definedName name="Z_F96D6087_3330_4A81_95EC_26BA83722A49_.wvu.PrintTitles" localSheetId="7" hidden="1">'Cap Add WS - Att. 7'!$C:$D</definedName>
    <definedName name="Z_F96D6087_3330_4A81_95EC_26BA83722A49_.wvu.PrintTitles" localSheetId="5" hidden="1">'Cost Support - Att. 5'!$1:$3</definedName>
    <definedName name="Z_F96D6087_3330_4A81_95EC_26BA83722A49_.wvu.Rows" localSheetId="4" hidden="1">'100 bp ROE incr - Att. 4'!#REF!</definedName>
    <definedName name="Z_F96D6087_3330_4A81_95EC_26BA83722A49_.wvu.Rows" localSheetId="5" hidden="1">'Cost Support - Att. 5'!#REF!</definedName>
    <definedName name="Z_FAAD9AAC_1337_43AB_BF1F_CCF9DFCF5B78_.wvu.Cols" localSheetId="1" hidden="1">'ADIT - Att. 1 Reserved'!#REF!</definedName>
    <definedName name="Z_FAAD9AAC_1337_43AB_BF1F_CCF9DFCF5B78_.wvu.Cols" localSheetId="7" hidden="1">'Cap Add WS - Att. 7'!$Q:$AN</definedName>
    <definedName name="Z_FAAD9AAC_1337_43AB_BF1F_CCF9DFCF5B78_.wvu.PrintArea" localSheetId="1" hidden="1">'ADIT - Att. 1 Reserved'!$A$2:$H$168</definedName>
    <definedName name="Z_FAAD9AAC_1337_43AB_BF1F_CCF9DFCF5B78_.wvu.PrintArea" localSheetId="0" hidden="1">'Appendix A - TSRR Summary'!$A$2:$H$319</definedName>
    <definedName name="Z_FAAD9AAC_1337_43AB_BF1F_CCF9DFCF5B78_.wvu.PrintArea" localSheetId="3" hidden="1">'Revenue Credits - Att. 3'!$A$1:$D$42</definedName>
    <definedName name="Z_FAAD9AAC_1337_43AB_BF1F_CCF9DFCF5B78_.wvu.PrintTitles" localSheetId="7" hidden="1">'Cap Add WS - Att. 7'!$C:$D</definedName>
    <definedName name="Z_FAAD9AAC_1337_43AB_BF1F_CCF9DFCF5B78_.wvu.PrintTitles" localSheetId="5" hidden="1">'Cost Support - Att. 5'!$1:$3</definedName>
    <definedName name="Z_FAAD9AAC_1337_43AB_BF1F_CCF9DFCF5B78_.wvu.Rows" localSheetId="4" hidden="1">'100 bp ROE incr - Att. 4'!#REF!</definedName>
    <definedName name="Z_FAAD9AAC_1337_43AB_BF1F_CCF9DFCF5B78_.wvu.Rows" localSheetId="5" hidden="1">'Cost Support - Att. 5'!#REF!</definedName>
  </definedNames>
  <calcPr calcId="191029"/>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3" l="1"/>
  <c r="H85" i="1"/>
  <c r="H44" i="1"/>
  <c r="G23" i="7"/>
  <c r="H131" i="7" l="1"/>
  <c r="C6" i="5"/>
  <c r="H186" i="1"/>
  <c r="H172" i="1"/>
  <c r="H66" i="1"/>
  <c r="H282" i="1" l="1"/>
  <c r="I133" i="7" l="1"/>
  <c r="H107" i="1" l="1"/>
  <c r="H60" i="1" l="1"/>
  <c r="D24" i="5" l="1"/>
  <c r="D32" i="26" l="1"/>
  <c r="D34" i="26" s="1"/>
  <c r="D33" i="26"/>
  <c r="C34" i="26"/>
  <c r="C37" i="26"/>
  <c r="C39" i="26" s="1"/>
  <c r="C41" i="26" s="1"/>
  <c r="C43" i="26" s="1"/>
  <c r="D37" i="26"/>
  <c r="D39" i="26" s="1"/>
  <c r="D41" i="26" s="1"/>
  <c r="D43" i="26" s="1"/>
  <c r="C38" i="26"/>
  <c r="C40" i="26" s="1"/>
  <c r="C42" i="26" s="1"/>
  <c r="C44" i="26" s="1"/>
  <c r="D38" i="26"/>
  <c r="D40" i="26" s="1"/>
  <c r="D42" i="26" s="1"/>
  <c r="D44" i="26" s="1"/>
  <c r="E42" i="26"/>
  <c r="E44" i="26"/>
  <c r="G142" i="7"/>
  <c r="C155" i="12" l="1"/>
  <c r="C101" i="12"/>
  <c r="C103" i="12" s="1"/>
  <c r="D103" i="12"/>
  <c r="E103" i="12"/>
  <c r="F103" i="12"/>
  <c r="G103" i="12"/>
  <c r="C105" i="12"/>
  <c r="C52" i="12"/>
  <c r="I131" i="7" l="1"/>
  <c r="H129" i="27"/>
  <c r="H106" i="1" l="1"/>
  <c r="D124" i="27"/>
  <c r="M45" i="26"/>
  <c r="N45" i="26"/>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E46" i="3"/>
  <c r="AK45" i="26"/>
  <c r="AK46" i="26" s="1"/>
  <c r="AG45" i="26"/>
  <c r="AG46" i="26" s="1"/>
  <c r="AC45" i="26"/>
  <c r="AC46" i="26" s="1"/>
  <c r="Y45" i="26"/>
  <c r="Y46" i="26" s="1"/>
  <c r="U45" i="26"/>
  <c r="U46" i="26" s="1"/>
  <c r="Q45" i="26"/>
  <c r="Q46" i="26" s="1"/>
  <c r="D116" i="7"/>
  <c r="H151" i="1"/>
  <c r="H152" i="1" s="1"/>
  <c r="F7" i="7"/>
  <c r="G106" i="12"/>
  <c r="F11" i="12" s="1"/>
  <c r="C55" i="12"/>
  <c r="G13" i="12" s="1"/>
  <c r="F155" i="12"/>
  <c r="C104" i="12"/>
  <c r="G52" i="12"/>
  <c r="G54" i="12"/>
  <c r="E52" i="12"/>
  <c r="E55" i="12" s="1"/>
  <c r="D13" i="12" s="1"/>
  <c r="A73" i="12"/>
  <c r="H256" i="1"/>
  <c r="H48" i="1"/>
  <c r="H43" i="1"/>
  <c r="H45" i="1" s="1"/>
  <c r="H14" i="1"/>
  <c r="H61" i="1"/>
  <c r="H62" i="1"/>
  <c r="H23" i="1"/>
  <c r="H25" i="1" s="1"/>
  <c r="I28" i="26"/>
  <c r="H190" i="1"/>
  <c r="I35" i="6" s="1"/>
  <c r="H173" i="1"/>
  <c r="I18" i="6" s="1"/>
  <c r="H248" i="1"/>
  <c r="H133" i="1"/>
  <c r="H129" i="1"/>
  <c r="H115" i="1"/>
  <c r="H116" i="1"/>
  <c r="H117" i="1"/>
  <c r="H118" i="1"/>
  <c r="H132" i="1"/>
  <c r="D22" i="12"/>
  <c r="H189" i="1" s="1"/>
  <c r="I34" i="6" s="1"/>
  <c r="I31" i="6"/>
  <c r="F156" i="12"/>
  <c r="E155" i="12"/>
  <c r="E158" i="12" s="1"/>
  <c r="D12" i="12" s="1"/>
  <c r="H93" i="1"/>
  <c r="H181" i="1"/>
  <c r="H183" i="1" s="1"/>
  <c r="H193" i="1" s="1"/>
  <c r="H202" i="1"/>
  <c r="C31" i="26" s="1"/>
  <c r="C33" i="26" s="1"/>
  <c r="H217" i="1"/>
  <c r="I62" i="6" s="1"/>
  <c r="I32" i="6"/>
  <c r="I33" i="6"/>
  <c r="I37" i="6"/>
  <c r="I26" i="6" s="1"/>
  <c r="I24" i="6"/>
  <c r="I25" i="6"/>
  <c r="I27" i="6"/>
  <c r="I67" i="6"/>
  <c r="H271" i="1"/>
  <c r="H262" i="1"/>
  <c r="E28" i="26"/>
  <c r="I142" i="7"/>
  <c r="I17" i="6"/>
  <c r="H34" i="7"/>
  <c r="H51" i="1" s="1"/>
  <c r="D111" i="27"/>
  <c r="J92" i="27" s="1"/>
  <c r="G99" i="27"/>
  <c r="E17" i="3"/>
  <c r="E34" i="3"/>
  <c r="I62" i="7"/>
  <c r="H114" i="1" s="1"/>
  <c r="H98" i="27"/>
  <c r="H99" i="27"/>
  <c r="G124" i="7"/>
  <c r="H97" i="1" s="1"/>
  <c r="H247" i="1"/>
  <c r="H255" i="1"/>
  <c r="H278" i="1"/>
  <c r="F100" i="27"/>
  <c r="F101" i="27" s="1"/>
  <c r="H101" i="27" s="1"/>
  <c r="E111" i="27"/>
  <c r="D44" i="27"/>
  <c r="G45" i="27" s="1"/>
  <c r="C157" i="12"/>
  <c r="A19" i="1"/>
  <c r="A21" i="1" s="1"/>
  <c r="B14" i="11"/>
  <c r="C14" i="11"/>
  <c r="C18" i="11"/>
  <c r="F8" i="26"/>
  <c r="F9" i="26"/>
  <c r="F14" i="26"/>
  <c r="V20" i="26"/>
  <c r="W20" i="26" s="1"/>
  <c r="X20" i="26" s="1"/>
  <c r="Z20" i="26"/>
  <c r="AA20" i="26" s="1"/>
  <c r="AB20" i="26" s="1"/>
  <c r="AD20" i="26"/>
  <c r="AE20" i="26" s="1"/>
  <c r="AF20" i="26" s="1"/>
  <c r="AH20" i="26"/>
  <c r="AI20" i="26" s="1"/>
  <c r="AJ20" i="26" s="1"/>
  <c r="AL20" i="26"/>
  <c r="AM20" i="26" s="1"/>
  <c r="AN20" i="26" s="1"/>
  <c r="A21" i="26"/>
  <c r="A22" i="26" s="1"/>
  <c r="A23" i="26" s="1"/>
  <c r="A24" i="26" s="1"/>
  <c r="A25" i="26" s="1"/>
  <c r="M28" i="26"/>
  <c r="Q28" i="26"/>
  <c r="R45" i="26" s="1"/>
  <c r="R46" i="26" s="1"/>
  <c r="U28" i="26"/>
  <c r="V67" i="26" s="1"/>
  <c r="V68" i="26" s="1"/>
  <c r="Y28" i="26"/>
  <c r="Z45" i="26" s="1"/>
  <c r="Z46" i="26" s="1"/>
  <c r="AC28" i="26"/>
  <c r="AD51" i="26" s="1"/>
  <c r="AD52" i="26" s="1"/>
  <c r="AG28" i="26"/>
  <c r="AH45" i="26" s="1"/>
  <c r="AH46" i="26" s="1"/>
  <c r="AK28" i="26"/>
  <c r="AL45" i="26" s="1"/>
  <c r="C45" i="26"/>
  <c r="C47" i="26" s="1"/>
  <c r="C49" i="26" s="1"/>
  <c r="C51" i="26" s="1"/>
  <c r="C53" i="26" s="1"/>
  <c r="C55" i="26" s="1"/>
  <c r="C57" i="26" s="1"/>
  <c r="C59" i="26" s="1"/>
  <c r="C61" i="26" s="1"/>
  <c r="C63" i="26" s="1"/>
  <c r="C65" i="26" s="1"/>
  <c r="C67" i="26" s="1"/>
  <c r="C69" i="26" s="1"/>
  <c r="D45" i="26"/>
  <c r="D47" i="26" s="1"/>
  <c r="D49" i="26" s="1"/>
  <c r="D51" i="26" s="1"/>
  <c r="D53" i="26" s="1"/>
  <c r="D55" i="26" s="1"/>
  <c r="D57" i="26" s="1"/>
  <c r="D59" i="26" s="1"/>
  <c r="D61" i="26" s="1"/>
  <c r="D63" i="26" s="1"/>
  <c r="D65" i="26" s="1"/>
  <c r="D67" i="26" s="1"/>
  <c r="D69" i="26" s="1"/>
  <c r="C46" i="26"/>
  <c r="C48" i="26" s="1"/>
  <c r="C50" i="26" s="1"/>
  <c r="C52" i="26" s="1"/>
  <c r="C54" i="26" s="1"/>
  <c r="C56" i="26" s="1"/>
  <c r="C58" i="26" s="1"/>
  <c r="C60" i="26" s="1"/>
  <c r="C62" i="26" s="1"/>
  <c r="C64" i="26" s="1"/>
  <c r="C66" i="26" s="1"/>
  <c r="C68" i="26" s="1"/>
  <c r="C70" i="26" s="1"/>
  <c r="D46" i="26"/>
  <c r="D48" i="26" s="1"/>
  <c r="D50" i="26" s="1"/>
  <c r="D52" i="26" s="1"/>
  <c r="D54" i="26" s="1"/>
  <c r="D56" i="26" s="1"/>
  <c r="D58" i="26" s="1"/>
  <c r="D60" i="26" s="1"/>
  <c r="D62" i="26" s="1"/>
  <c r="D64" i="26" s="1"/>
  <c r="D66" i="26" s="1"/>
  <c r="D68" i="26" s="1"/>
  <c r="D70" i="26" s="1"/>
  <c r="E46" i="26"/>
  <c r="E48" i="26"/>
  <c r="E50" i="26"/>
  <c r="E52" i="26"/>
  <c r="E54" i="26"/>
  <c r="E56" i="26"/>
  <c r="E58" i="26"/>
  <c r="E60" i="26"/>
  <c r="E62" i="26"/>
  <c r="E64" i="26"/>
  <c r="E66" i="26"/>
  <c r="E68" i="26"/>
  <c r="E70" i="26"/>
  <c r="B9" i="27"/>
  <c r="C9" i="27"/>
  <c r="C10" i="27" s="1"/>
  <c r="C11" i="27" s="1"/>
  <c r="C12" i="27" s="1"/>
  <c r="C55" i="27" s="1"/>
  <c r="B14" i="27"/>
  <c r="B15" i="27" s="1"/>
  <c r="B64" i="27" s="1"/>
  <c r="C15" i="27"/>
  <c r="B18" i="27"/>
  <c r="B166" i="27" s="1"/>
  <c r="B19" i="27"/>
  <c r="B170" i="27" s="1"/>
  <c r="A23" i="27"/>
  <c r="B23" i="27"/>
  <c r="B26" i="27" s="1"/>
  <c r="B49" i="27" s="1"/>
  <c r="C23" i="27"/>
  <c r="C26" i="27" s="1"/>
  <c r="C49" i="27" s="1"/>
  <c r="C52" i="27" s="1"/>
  <c r="D23" i="27"/>
  <c r="D26" i="27"/>
  <c r="H30" i="27"/>
  <c r="H31" i="27"/>
  <c r="G32" i="27"/>
  <c r="H32" i="27"/>
  <c r="F33" i="27"/>
  <c r="F34" i="27" s="1"/>
  <c r="E44" i="27"/>
  <c r="B52" i="27"/>
  <c r="D52" i="27"/>
  <c r="F167" i="27" s="1"/>
  <c r="A55" i="27"/>
  <c r="B55" i="27"/>
  <c r="D55" i="27"/>
  <c r="A60" i="27"/>
  <c r="C60" i="27"/>
  <c r="D60" i="27"/>
  <c r="E61" i="27"/>
  <c r="H124" i="27" s="1"/>
  <c r="H61" i="27"/>
  <c r="A64" i="27"/>
  <c r="D64" i="27"/>
  <c r="H68" i="27"/>
  <c r="H69" i="27"/>
  <c r="G70" i="27"/>
  <c r="H70" i="27"/>
  <c r="F71" i="27"/>
  <c r="F72" i="27" s="1"/>
  <c r="D82" i="27"/>
  <c r="G83" i="27" s="1"/>
  <c r="E82" i="27"/>
  <c r="A89" i="27"/>
  <c r="D89" i="27"/>
  <c r="H97" i="27"/>
  <c r="A121" i="27"/>
  <c r="D121" i="27"/>
  <c r="F124" i="27"/>
  <c r="I124" i="27"/>
  <c r="I132" i="27"/>
  <c r="I133" i="27" s="1"/>
  <c r="I134" i="27" s="1"/>
  <c r="I135" i="27" s="1"/>
  <c r="I136" i="27" s="1"/>
  <c r="I137" i="27" s="1"/>
  <c r="I138" i="27" s="1"/>
  <c r="I139" i="27" s="1"/>
  <c r="I140" i="27" s="1"/>
  <c r="I141" i="27" s="1"/>
  <c r="I142" i="27" s="1"/>
  <c r="I143" i="27" s="1"/>
  <c r="I147" i="27" s="1"/>
  <c r="I148" i="27" s="1"/>
  <c r="I149" i="27" s="1"/>
  <c r="I150" i="27" s="1"/>
  <c r="I151" i="27" s="1"/>
  <c r="I152" i="27" s="1"/>
  <c r="I153" i="27" s="1"/>
  <c r="I154" i="27" s="1"/>
  <c r="I155" i="27" s="1"/>
  <c r="I156" i="27" s="1"/>
  <c r="I157" i="27" s="1"/>
  <c r="I158" i="27" s="1"/>
  <c r="F133" i="27"/>
  <c r="F134" i="27" s="1"/>
  <c r="F135" i="27" s="1"/>
  <c r="F136" i="27" s="1"/>
  <c r="F137" i="27" s="1"/>
  <c r="F138" i="27" s="1"/>
  <c r="K133" i="27"/>
  <c r="K134" i="27" s="1"/>
  <c r="K135" i="27" s="1"/>
  <c r="K136" i="27" s="1"/>
  <c r="K137" i="27" s="1"/>
  <c r="K138" i="27" s="1"/>
  <c r="K139" i="27" s="1"/>
  <c r="K140" i="27" s="1"/>
  <c r="K141" i="27" s="1"/>
  <c r="K142" i="27" s="1"/>
  <c r="K143" i="27" s="1"/>
  <c r="F140" i="27"/>
  <c r="F141" i="27" s="1"/>
  <c r="F142" i="27" s="1"/>
  <c r="F143" i="27" s="1"/>
  <c r="F147" i="27" s="1"/>
  <c r="F148" i="27" s="1"/>
  <c r="F149" i="27" s="1"/>
  <c r="F150" i="27" s="1"/>
  <c r="F151" i="27" s="1"/>
  <c r="F152" i="27" s="1"/>
  <c r="F153" i="27" s="1"/>
  <c r="D147" i="27"/>
  <c r="D148" i="27"/>
  <c r="D149" i="27"/>
  <c r="D150" i="27"/>
  <c r="D151" i="27"/>
  <c r="D152" i="27"/>
  <c r="D153" i="27"/>
  <c r="D154" i="27"/>
  <c r="D155" i="27"/>
  <c r="F155" i="27"/>
  <c r="F156" i="27" s="1"/>
  <c r="F157" i="27" s="1"/>
  <c r="F158" i="27" s="1"/>
  <c r="D156" i="27"/>
  <c r="D157" i="27"/>
  <c r="D158" i="27"/>
  <c r="A166" i="27"/>
  <c r="D166" i="27"/>
  <c r="A170" i="27"/>
  <c r="D170" i="27"/>
  <c r="D171" i="27"/>
  <c r="C7" i="7"/>
  <c r="E22" i="1"/>
  <c r="E7" i="7" s="1"/>
  <c r="C10" i="7"/>
  <c r="C14" i="7"/>
  <c r="C17" i="7"/>
  <c r="E85" i="1"/>
  <c r="E17" i="7" s="1"/>
  <c r="F17" i="7"/>
  <c r="C20" i="7"/>
  <c r="E110" i="1"/>
  <c r="E20" i="7" s="1"/>
  <c r="F20" i="7"/>
  <c r="C23" i="7"/>
  <c r="C32" i="7"/>
  <c r="E51" i="1"/>
  <c r="E32" i="7" s="1"/>
  <c r="I32" i="7"/>
  <c r="G42" i="7"/>
  <c r="G53" i="7" s="1"/>
  <c r="C44" i="7"/>
  <c r="E19" i="1"/>
  <c r="E44" i="7" s="1"/>
  <c r="F44" i="7"/>
  <c r="C46" i="7"/>
  <c r="E36" i="1"/>
  <c r="E46" i="7" s="1"/>
  <c r="F46" i="7"/>
  <c r="C49" i="7"/>
  <c r="E57" i="1"/>
  <c r="E49" i="7" s="1"/>
  <c r="F49" i="7"/>
  <c r="C55" i="7"/>
  <c r="E122" i="1"/>
  <c r="E55" i="7" s="1"/>
  <c r="F55" i="7"/>
  <c r="H55" i="7"/>
  <c r="H122" i="1" s="1"/>
  <c r="C62" i="7"/>
  <c r="E128" i="1"/>
  <c r="C80" i="7"/>
  <c r="E133" i="1"/>
  <c r="E80" i="7" s="1"/>
  <c r="F80" i="7"/>
  <c r="I93" i="7"/>
  <c r="C87" i="7"/>
  <c r="E214" i="1"/>
  <c r="E87" i="7" s="1"/>
  <c r="G87" i="7"/>
  <c r="C93" i="7"/>
  <c r="E129" i="1"/>
  <c r="E93" i="7" s="1"/>
  <c r="F93" i="7"/>
  <c r="C99" i="7"/>
  <c r="G97" i="7" s="1"/>
  <c r="E248" i="1"/>
  <c r="E99" i="7" s="1"/>
  <c r="C122" i="7"/>
  <c r="G120" i="7" s="1"/>
  <c r="E97" i="1"/>
  <c r="F122" i="7" s="1"/>
  <c r="C131" i="7"/>
  <c r="C133" i="7"/>
  <c r="C142" i="7"/>
  <c r="C150" i="7"/>
  <c r="G148" i="7" s="1"/>
  <c r="B149" i="7"/>
  <c r="E256" i="1"/>
  <c r="E150" i="7" s="1"/>
  <c r="A157" i="7"/>
  <c r="B159" i="7"/>
  <c r="C160" i="7"/>
  <c r="C166" i="7"/>
  <c r="G164" i="7" s="1"/>
  <c r="E282" i="1"/>
  <c r="E166" i="7" s="1"/>
  <c r="F166" i="7"/>
  <c r="G171" i="7"/>
  <c r="G174" i="7" s="1"/>
  <c r="I171" i="7"/>
  <c r="I174" i="7" s="1"/>
  <c r="D9" i="6"/>
  <c r="C14" i="6"/>
  <c r="C16" i="6"/>
  <c r="A17" i="6"/>
  <c r="A18" i="6" s="1"/>
  <c r="D17" i="6"/>
  <c r="G17" i="6"/>
  <c r="D18" i="6"/>
  <c r="G18" i="6"/>
  <c r="D19" i="6"/>
  <c r="C21" i="6"/>
  <c r="F21" i="6"/>
  <c r="G21" i="6"/>
  <c r="I21" i="6"/>
  <c r="C23" i="6"/>
  <c r="A24" i="6"/>
  <c r="D24" i="6"/>
  <c r="G24" i="6"/>
  <c r="D26" i="6"/>
  <c r="D27" i="6"/>
  <c r="G27" i="6"/>
  <c r="D28" i="6"/>
  <c r="C30" i="6"/>
  <c r="A31" i="6"/>
  <c r="A32" i="6" s="1"/>
  <c r="A33" i="6" s="1"/>
  <c r="A34" i="6" s="1"/>
  <c r="A35" i="6" s="1"/>
  <c r="A36" i="6" s="1"/>
  <c r="A37" i="6" s="1"/>
  <c r="A38" i="6" s="1"/>
  <c r="A39" i="6" s="1"/>
  <c r="A41" i="6" s="1"/>
  <c r="A42" i="6" s="1"/>
  <c r="A43" i="6" s="1"/>
  <c r="A45" i="6" s="1"/>
  <c r="A46" i="6" s="1"/>
  <c r="A47" i="6" s="1"/>
  <c r="A49" i="6" s="1"/>
  <c r="A50" i="6" s="1"/>
  <c r="A51" i="6" s="1"/>
  <c r="A52" i="6" s="1"/>
  <c r="A54" i="6" s="1"/>
  <c r="D31" i="6"/>
  <c r="G31" i="6"/>
  <c r="D32" i="6"/>
  <c r="G32" i="6"/>
  <c r="D33" i="6"/>
  <c r="G33" i="6"/>
  <c r="D34" i="6"/>
  <c r="G34" i="6"/>
  <c r="D35" i="6"/>
  <c r="F190" i="1"/>
  <c r="G35" i="6" s="1"/>
  <c r="D36" i="6"/>
  <c r="D37" i="6"/>
  <c r="G37" i="6"/>
  <c r="D38" i="6"/>
  <c r="D39" i="6"/>
  <c r="D41" i="6"/>
  <c r="F41" i="6"/>
  <c r="D42" i="6"/>
  <c r="F42" i="6"/>
  <c r="D43" i="6"/>
  <c r="F43" i="6"/>
  <c r="D45" i="6"/>
  <c r="F45" i="6"/>
  <c r="D46" i="6"/>
  <c r="F46" i="6"/>
  <c r="D47" i="6"/>
  <c r="F47" i="6"/>
  <c r="D49" i="6"/>
  <c r="F49" i="6"/>
  <c r="D50" i="6"/>
  <c r="F50" i="6"/>
  <c r="D51" i="6"/>
  <c r="F51" i="6"/>
  <c r="C52" i="6"/>
  <c r="C54" i="6"/>
  <c r="I59" i="6"/>
  <c r="I60" i="6"/>
  <c r="G61" i="6"/>
  <c r="I61" i="6"/>
  <c r="A67" i="6"/>
  <c r="A68" i="6" s="1"/>
  <c r="A69" i="6" s="1"/>
  <c r="A70" i="6" s="1"/>
  <c r="A74" i="6" s="1"/>
  <c r="G67" i="6"/>
  <c r="A15" i="5"/>
  <c r="A16" i="5" s="1"/>
  <c r="A17" i="5" s="1"/>
  <c r="A18" i="5" s="1"/>
  <c r="A19" i="5" s="1"/>
  <c r="A20" i="5" s="1"/>
  <c r="A21" i="5" s="1"/>
  <c r="A22" i="5" s="1"/>
  <c r="A24" i="5" s="1"/>
  <c r="B166" i="12"/>
  <c r="A12" i="1"/>
  <c r="A13" i="1" s="1"/>
  <c r="E21" i="1"/>
  <c r="E38" i="1"/>
  <c r="F46" i="1"/>
  <c r="F51" i="1"/>
  <c r="E59" i="1"/>
  <c r="E60" i="1"/>
  <c r="C62" i="1"/>
  <c r="C64" i="1"/>
  <c r="F64" i="1"/>
  <c r="E79" i="1"/>
  <c r="E82" i="1"/>
  <c r="F86" i="1"/>
  <c r="F108" i="1"/>
  <c r="F117" i="1" s="1"/>
  <c r="E109" i="1"/>
  <c r="F114" i="1"/>
  <c r="E115" i="1"/>
  <c r="E120" i="1"/>
  <c r="F124" i="1"/>
  <c r="E148" i="1"/>
  <c r="E150" i="1"/>
  <c r="E151" i="1"/>
  <c r="F151" i="1"/>
  <c r="E153" i="1"/>
  <c r="F155" i="1"/>
  <c r="E173" i="1"/>
  <c r="E190" i="1"/>
  <c r="E196" i="1"/>
  <c r="E198" i="1"/>
  <c r="E202" i="1"/>
  <c r="E220" i="1"/>
  <c r="C247" i="1"/>
  <c r="C261" i="1"/>
  <c r="C271" i="1"/>
  <c r="G155" i="12"/>
  <c r="G158" i="12" s="1"/>
  <c r="F12" i="12" s="1"/>
  <c r="E26" i="3"/>
  <c r="G71" i="27"/>
  <c r="H100" i="27"/>
  <c r="H128" i="1"/>
  <c r="I74" i="7"/>
  <c r="E106" i="12"/>
  <c r="D11" i="12" s="1"/>
  <c r="D106" i="12"/>
  <c r="C11" i="12" s="1"/>
  <c r="F106" i="12"/>
  <c r="E11" i="12" s="1"/>
  <c r="F52" i="12"/>
  <c r="F55" i="12" s="1"/>
  <c r="E13" i="12" s="1"/>
  <c r="D52" i="12"/>
  <c r="D55" i="12" s="1"/>
  <c r="C13" i="12" s="1"/>
  <c r="AH49" i="26" l="1"/>
  <c r="AH50" i="26" s="1"/>
  <c r="V69" i="26"/>
  <c r="V70" i="26" s="1"/>
  <c r="C25" i="26"/>
  <c r="G7" i="6"/>
  <c r="H16" i="1"/>
  <c r="H46" i="1" s="1"/>
  <c r="H47" i="1" s="1"/>
  <c r="I47" i="6"/>
  <c r="A44" i="7"/>
  <c r="AH53" i="26"/>
  <c r="AH54" i="26" s="1"/>
  <c r="H134" i="1"/>
  <c r="G100" i="27"/>
  <c r="I134" i="7"/>
  <c r="F41" i="26"/>
  <c r="F43" i="26"/>
  <c r="Z69" i="26"/>
  <c r="Z70" i="26" s="1"/>
  <c r="Z53" i="26"/>
  <c r="Z54" i="26" s="1"/>
  <c r="Z49" i="26"/>
  <c r="Z50" i="26" s="1"/>
  <c r="AD53" i="26"/>
  <c r="AD54" i="26" s="1"/>
  <c r="V51" i="26"/>
  <c r="V52" i="26" s="1"/>
  <c r="AD61" i="26"/>
  <c r="AD62" i="26" s="1"/>
  <c r="AL67" i="26"/>
  <c r="AL68" i="26" s="1"/>
  <c r="R59" i="26"/>
  <c r="R60" i="26" s="1"/>
  <c r="AH67" i="26"/>
  <c r="AH68" i="26" s="1"/>
  <c r="R69" i="26"/>
  <c r="R70" i="26" s="1"/>
  <c r="AD59" i="26"/>
  <c r="AD60" i="26" s="1"/>
  <c r="F65" i="26"/>
  <c r="G65" i="26" s="1"/>
  <c r="C106" i="12"/>
  <c r="G11" i="12" s="1"/>
  <c r="G55" i="12"/>
  <c r="F13" i="12" s="1"/>
  <c r="F14" i="12" s="1"/>
  <c r="H111" i="1"/>
  <c r="F35" i="27"/>
  <c r="F36" i="27" s="1"/>
  <c r="G34" i="27"/>
  <c r="H34" i="27"/>
  <c r="G33" i="27"/>
  <c r="Z65" i="26"/>
  <c r="Z66" i="26" s="1"/>
  <c r="Z63" i="26"/>
  <c r="Z64" i="26" s="1"/>
  <c r="AH61" i="26"/>
  <c r="AH62" i="26" s="1"/>
  <c r="Z57" i="26"/>
  <c r="Z58" i="26" s="1"/>
  <c r="Z51" i="26"/>
  <c r="Z52" i="26" s="1"/>
  <c r="F158" i="12"/>
  <c r="E12" i="12" s="1"/>
  <c r="E14" i="12" s="1"/>
  <c r="C158" i="12"/>
  <c r="G12" i="12" s="1"/>
  <c r="AA46" i="26"/>
  <c r="Y47" i="26" s="1"/>
  <c r="Y48" i="26" s="1"/>
  <c r="H218" i="1"/>
  <c r="B60" i="27"/>
  <c r="H222" i="1"/>
  <c r="I68" i="6" s="1"/>
  <c r="H33" i="27"/>
  <c r="AL69" i="26"/>
  <c r="AL70" i="26" s="1"/>
  <c r="Z67" i="26"/>
  <c r="Z68" i="26" s="1"/>
  <c r="AH65" i="26"/>
  <c r="AH66" i="26" s="1"/>
  <c r="AL61" i="26"/>
  <c r="AL62" i="26" s="1"/>
  <c r="AL55" i="26"/>
  <c r="AL56" i="26" s="1"/>
  <c r="AH51" i="26"/>
  <c r="AH52" i="26" s="1"/>
  <c r="Z47" i="26"/>
  <c r="Z48" i="26" s="1"/>
  <c r="Z61" i="26"/>
  <c r="Z62" i="26" s="1"/>
  <c r="V59" i="26"/>
  <c r="V60" i="26" s="1"/>
  <c r="AL59" i="26"/>
  <c r="AL60" i="26" s="1"/>
  <c r="AH57" i="26"/>
  <c r="AH58" i="26" s="1"/>
  <c r="Z55" i="26"/>
  <c r="Z56" i="26" s="1"/>
  <c r="AH69" i="26"/>
  <c r="AH70" i="26" s="1"/>
  <c r="AD65" i="26"/>
  <c r="AD66" i="26" s="1"/>
  <c r="AL63" i="26"/>
  <c r="AL64" i="26" s="1"/>
  <c r="AH59" i="26"/>
  <c r="AH60" i="26" s="1"/>
  <c r="AH55" i="26"/>
  <c r="AH56" i="26" s="1"/>
  <c r="D14" i="12"/>
  <c r="D17" i="12" s="1"/>
  <c r="H174" i="1"/>
  <c r="I19" i="6" s="1"/>
  <c r="H191" i="1"/>
  <c r="I46" i="6"/>
  <c r="A121" i="12"/>
  <c r="A26" i="26"/>
  <c r="A27" i="26" s="1"/>
  <c r="A28" i="26" s="1"/>
  <c r="A29" i="26" s="1"/>
  <c r="A30" i="26" s="1"/>
  <c r="B26" i="26"/>
  <c r="R49" i="26"/>
  <c r="R50" i="26" s="1"/>
  <c r="R63" i="26"/>
  <c r="R64" i="26" s="1"/>
  <c r="R47" i="26"/>
  <c r="R48" i="26" s="1"/>
  <c r="AL51" i="26"/>
  <c r="AL52" i="26" s="1"/>
  <c r="R57" i="26"/>
  <c r="R58" i="26" s="1"/>
  <c r="AH63" i="26"/>
  <c r="AH64" i="26" s="1"/>
  <c r="Z59" i="26"/>
  <c r="Z60" i="26" s="1"/>
  <c r="AL57" i="26"/>
  <c r="AL58" i="26" s="1"/>
  <c r="R55" i="26"/>
  <c r="R56" i="26" s="1"/>
  <c r="AL49" i="26"/>
  <c r="AL50" i="26" s="1"/>
  <c r="AH47" i="26"/>
  <c r="AH48" i="26" s="1"/>
  <c r="R67" i="26"/>
  <c r="R68" i="26" s="1"/>
  <c r="R61" i="26"/>
  <c r="R62" i="26" s="1"/>
  <c r="R51" i="26"/>
  <c r="R52" i="26" s="1"/>
  <c r="AL65" i="26"/>
  <c r="AL66" i="26" s="1"/>
  <c r="R65" i="26"/>
  <c r="R66" i="26" s="1"/>
  <c r="AL53" i="26"/>
  <c r="AL54" i="26" s="1"/>
  <c r="R53" i="26"/>
  <c r="R54" i="26" s="1"/>
  <c r="AL47" i="26"/>
  <c r="AL48" i="26" s="1"/>
  <c r="F73" i="27"/>
  <c r="H72" i="27"/>
  <c r="G72" i="27"/>
  <c r="A59" i="6"/>
  <c r="A60" i="6" s="1"/>
  <c r="A61" i="6" s="1"/>
  <c r="A62" i="6" s="1"/>
  <c r="AL46" i="26"/>
  <c r="AM46" i="26" s="1"/>
  <c r="AK47" i="26" s="1"/>
  <c r="AM45" i="26"/>
  <c r="E36" i="3"/>
  <c r="B16" i="27"/>
  <c r="H71" i="27"/>
  <c r="C64" i="27"/>
  <c r="C16" i="27"/>
  <c r="AD47" i="26"/>
  <c r="AD48" i="26" s="1"/>
  <c r="AD55" i="26"/>
  <c r="AD56" i="26" s="1"/>
  <c r="AD63" i="26"/>
  <c r="AD64" i="26" s="1"/>
  <c r="AD69" i="26"/>
  <c r="AD70" i="26" s="1"/>
  <c r="AD45" i="26"/>
  <c r="AD46" i="26" s="1"/>
  <c r="AE46" i="26" s="1"/>
  <c r="AC47" i="26" s="1"/>
  <c r="AC48" i="26" s="1"/>
  <c r="AD57" i="26"/>
  <c r="AD58" i="26" s="1"/>
  <c r="AD67" i="26"/>
  <c r="AD68" i="26" s="1"/>
  <c r="AD49" i="26"/>
  <c r="AD50" i="26" s="1"/>
  <c r="V53" i="26"/>
  <c r="V54" i="26" s="1"/>
  <c r="V63" i="26"/>
  <c r="V64" i="26" s="1"/>
  <c r="V65" i="26"/>
  <c r="V66" i="26" s="1"/>
  <c r="V47" i="26"/>
  <c r="V48" i="26" s="1"/>
  <c r="V49" i="26"/>
  <c r="V50" i="26" s="1"/>
  <c r="V57" i="26"/>
  <c r="V58" i="26" s="1"/>
  <c r="V61" i="26"/>
  <c r="V62" i="26" s="1"/>
  <c r="V45" i="26"/>
  <c r="V55" i="26"/>
  <c r="V56" i="26" s="1"/>
  <c r="F102" i="27"/>
  <c r="G101" i="27"/>
  <c r="K171" i="7"/>
  <c r="K174" i="7" s="1"/>
  <c r="D155" i="12"/>
  <c r="D158" i="12" s="1"/>
  <c r="C12" i="12" s="1"/>
  <c r="C14" i="12" s="1"/>
  <c r="K124" i="27"/>
  <c r="H132" i="27" s="1"/>
  <c r="L132" i="27" s="1"/>
  <c r="M132" i="27" s="1"/>
  <c r="H249" i="1"/>
  <c r="H250" i="1" s="1"/>
  <c r="S46" i="26"/>
  <c r="Q47" i="26" s="1"/>
  <c r="Q48" i="26" s="1"/>
  <c r="AI46" i="26"/>
  <c r="AG47" i="26" s="1"/>
  <c r="F49" i="26"/>
  <c r="G49" i="26" s="1"/>
  <c r="F47" i="26"/>
  <c r="F48" i="26" s="1"/>
  <c r="G48" i="26" s="1"/>
  <c r="F55" i="26"/>
  <c r="F56" i="26" s="1"/>
  <c r="G56" i="26" s="1"/>
  <c r="F63" i="26"/>
  <c r="F59" i="26"/>
  <c r="F45" i="26"/>
  <c r="F53" i="26"/>
  <c r="G53" i="26" s="1"/>
  <c r="F61" i="26"/>
  <c r="I80" i="7"/>
  <c r="I36" i="6"/>
  <c r="F51" i="26"/>
  <c r="F57" i="26"/>
  <c r="F67" i="26"/>
  <c r="F69" i="26"/>
  <c r="G69" i="26" s="1"/>
  <c r="I63" i="6"/>
  <c r="I64" i="6"/>
  <c r="S45" i="26"/>
  <c r="F14" i="1"/>
  <c r="A14" i="1"/>
  <c r="F16" i="1" s="1"/>
  <c r="H123" i="1"/>
  <c r="O45" i="26"/>
  <c r="AI45" i="26"/>
  <c r="M46" i="26"/>
  <c r="O46" i="26" s="1"/>
  <c r="M47" i="26" s="1"/>
  <c r="M48" i="26" s="1"/>
  <c r="O48" i="26" s="1"/>
  <c r="M49" i="26" s="1"/>
  <c r="AA45" i="26"/>
  <c r="H157" i="1"/>
  <c r="H67" i="1"/>
  <c r="A22" i="1"/>
  <c r="F23" i="1" s="1"/>
  <c r="I28" i="6"/>
  <c r="I38" i="6" s="1"/>
  <c r="H130" i="1"/>
  <c r="H154" i="1"/>
  <c r="H63" i="1"/>
  <c r="F26" i="3" l="1"/>
  <c r="G26" i="3" s="1"/>
  <c r="H194" i="1"/>
  <c r="G198" i="1" s="1"/>
  <c r="E52" i="3"/>
  <c r="H64" i="1"/>
  <c r="E111" i="7"/>
  <c r="F111" i="7" s="1"/>
  <c r="H82" i="1" s="1"/>
  <c r="F15" i="12"/>
  <c r="H155" i="1"/>
  <c r="H156" i="1" s="1"/>
  <c r="H86" i="1"/>
  <c r="H87" i="1" s="1"/>
  <c r="H89" i="1" s="1"/>
  <c r="H124" i="1"/>
  <c r="H125" i="1" s="1"/>
  <c r="AA48" i="26"/>
  <c r="Y49" i="26" s="1"/>
  <c r="AA49" i="26" s="1"/>
  <c r="A31" i="26"/>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F50" i="26"/>
  <c r="G50" i="26" s="1"/>
  <c r="AI47" i="26"/>
  <c r="G43" i="26"/>
  <c r="F44" i="26"/>
  <c r="G44" i="26" s="1"/>
  <c r="F42" i="26"/>
  <c r="G42" i="26" s="1"/>
  <c r="G41" i="26"/>
  <c r="AG48" i="26"/>
  <c r="AI48" i="26" s="1"/>
  <c r="AG49" i="26" s="1"/>
  <c r="AI49" i="26" s="1"/>
  <c r="F66" i="26"/>
  <c r="G66" i="26" s="1"/>
  <c r="AE48" i="26"/>
  <c r="AC49" i="26" s="1"/>
  <c r="AC50" i="26" s="1"/>
  <c r="AE50" i="26" s="1"/>
  <c r="AC51" i="26" s="1"/>
  <c r="G14" i="12"/>
  <c r="AA47" i="26"/>
  <c r="S47" i="26"/>
  <c r="AE45" i="26"/>
  <c r="H35" i="27"/>
  <c r="G35" i="27"/>
  <c r="F17" i="12"/>
  <c r="I45" i="6"/>
  <c r="H200" i="1"/>
  <c r="H140" i="1" s="1"/>
  <c r="AK48" i="26"/>
  <c r="AM48" i="26" s="1"/>
  <c r="AK49" i="26" s="1"/>
  <c r="AM49" i="26" s="1"/>
  <c r="AM47" i="26"/>
  <c r="F70" i="26"/>
  <c r="G70" i="26" s="1"/>
  <c r="S48" i="26"/>
  <c r="Q49" i="26" s="1"/>
  <c r="S49" i="26" s="1"/>
  <c r="G102" i="27"/>
  <c r="H102" i="27"/>
  <c r="F103" i="27"/>
  <c r="H73" i="27"/>
  <c r="G73" i="27"/>
  <c r="H133" i="27"/>
  <c r="L133" i="27" s="1"/>
  <c r="M133" i="27" s="1"/>
  <c r="AE47" i="26"/>
  <c r="B17" i="27"/>
  <c r="B121" i="27" s="1"/>
  <c r="B89" i="27"/>
  <c r="V46" i="26"/>
  <c r="W46" i="26" s="1"/>
  <c r="U47" i="26" s="1"/>
  <c r="W45" i="26"/>
  <c r="C89" i="27"/>
  <c r="C17" i="27"/>
  <c r="G36" i="27"/>
  <c r="H36" i="27"/>
  <c r="F37" i="27"/>
  <c r="G47" i="26"/>
  <c r="F58" i="26"/>
  <c r="G58" i="26" s="1"/>
  <c r="G57" i="26"/>
  <c r="G45" i="26"/>
  <c r="F46" i="26"/>
  <c r="G46" i="26" s="1"/>
  <c r="F54" i="26"/>
  <c r="G54" i="26" s="1"/>
  <c r="G67" i="26"/>
  <c r="F68" i="26"/>
  <c r="G68" i="26" s="1"/>
  <c r="G63" i="26"/>
  <c r="F64" i="26"/>
  <c r="G64" i="26" s="1"/>
  <c r="G51" i="26"/>
  <c r="F52" i="26"/>
  <c r="G52" i="26" s="1"/>
  <c r="F62" i="26"/>
  <c r="G62" i="26" s="1"/>
  <c r="G61" i="26"/>
  <c r="F60" i="26"/>
  <c r="G60" i="26" s="1"/>
  <c r="G59" i="26"/>
  <c r="G55" i="26"/>
  <c r="I39" i="6"/>
  <c r="I42" i="6" s="1"/>
  <c r="I50" i="6" s="1"/>
  <c r="H49" i="1"/>
  <c r="O47" i="26"/>
  <c r="O49" i="26"/>
  <c r="M50" i="26"/>
  <c r="O50" i="26" s="1"/>
  <c r="M51" i="26" s="1"/>
  <c r="A7" i="7"/>
  <c r="F62" i="1"/>
  <c r="A23" i="1"/>
  <c r="H65" i="1"/>
  <c r="H197" i="1" l="1"/>
  <c r="H205" i="1" s="1"/>
  <c r="G196" i="1"/>
  <c r="H198" i="1"/>
  <c r="H206" i="1" s="1"/>
  <c r="E116" i="7"/>
  <c r="F116" i="7" s="1"/>
  <c r="H139" i="1" s="1"/>
  <c r="Y50" i="26"/>
  <c r="AA50" i="26" s="1"/>
  <c r="Y51" i="26" s="1"/>
  <c r="AG50" i="26"/>
  <c r="AI50" i="26" s="1"/>
  <c r="AG51" i="26" s="1"/>
  <c r="AK50" i="26"/>
  <c r="AM50" i="26" s="1"/>
  <c r="AK51" i="26" s="1"/>
  <c r="H134" i="27"/>
  <c r="H135" i="27" s="1"/>
  <c r="Q50" i="26"/>
  <c r="S50" i="26" s="1"/>
  <c r="Q51" i="26" s="1"/>
  <c r="Q52" i="26" s="1"/>
  <c r="S52" i="26" s="1"/>
  <c r="Q53" i="26" s="1"/>
  <c r="AE49" i="26"/>
  <c r="H141" i="1"/>
  <c r="W47" i="26"/>
  <c r="U48" i="26"/>
  <c r="W48" i="26" s="1"/>
  <c r="U49" i="26" s="1"/>
  <c r="F38" i="27"/>
  <c r="H37" i="27"/>
  <c r="G37" i="27"/>
  <c r="F75" i="27"/>
  <c r="C121" i="27"/>
  <c r="C18" i="27"/>
  <c r="H103" i="27"/>
  <c r="G103" i="27"/>
  <c r="F104" i="27"/>
  <c r="AC52" i="26"/>
  <c r="AE52" i="26" s="1"/>
  <c r="AC53" i="26" s="1"/>
  <c r="AE51" i="26"/>
  <c r="AG52" i="26"/>
  <c r="AI52" i="26" s="1"/>
  <c r="AG53" i="26" s="1"/>
  <c r="AI51" i="26"/>
  <c r="AK52" i="26"/>
  <c r="AM52" i="26" s="1"/>
  <c r="AK53" i="26" s="1"/>
  <c r="AM51" i="26"/>
  <c r="Y52" i="26"/>
  <c r="AA52" i="26" s="1"/>
  <c r="Y53" i="26" s="1"/>
  <c r="AA51" i="26"/>
  <c r="O51" i="26"/>
  <c r="M52" i="26"/>
  <c r="O52" i="26" s="1"/>
  <c r="M53" i="26" s="1"/>
  <c r="A25" i="1"/>
  <c r="A27" i="1" s="1"/>
  <c r="F25" i="1"/>
  <c r="H69" i="1"/>
  <c r="H158" i="1"/>
  <c r="H196" i="1" l="1"/>
  <c r="H204" i="1" s="1"/>
  <c r="I43" i="6"/>
  <c r="I51" i="6" s="1"/>
  <c r="L134" i="27"/>
  <c r="M134" i="27" s="1"/>
  <c r="S51" i="26"/>
  <c r="W49" i="26"/>
  <c r="U50" i="26"/>
  <c r="W50" i="26" s="1"/>
  <c r="U51" i="26" s="1"/>
  <c r="C19" i="27"/>
  <c r="C170" i="27" s="1"/>
  <c r="C166" i="27"/>
  <c r="F105" i="27"/>
  <c r="H104" i="27"/>
  <c r="G104" i="27"/>
  <c r="G75" i="27"/>
  <c r="F76" i="27"/>
  <c r="H75" i="27"/>
  <c r="F39" i="27"/>
  <c r="G38" i="27"/>
  <c r="H38" i="27"/>
  <c r="I41" i="6"/>
  <c r="I49" i="6" s="1"/>
  <c r="Y54" i="26"/>
  <c r="AA54" i="26" s="1"/>
  <c r="Y55" i="26" s="1"/>
  <c r="AA53" i="26"/>
  <c r="Q54" i="26"/>
  <c r="S54" i="26" s="1"/>
  <c r="Q55" i="26" s="1"/>
  <c r="S53" i="26"/>
  <c r="AE53" i="26"/>
  <c r="AC54" i="26"/>
  <c r="AE54" i="26" s="1"/>
  <c r="AC55" i="26" s="1"/>
  <c r="M54" i="26"/>
  <c r="O54" i="26" s="1"/>
  <c r="M55" i="26" s="1"/>
  <c r="O53" i="26"/>
  <c r="AM53" i="26"/>
  <c r="AK54" i="26"/>
  <c r="AM54" i="26" s="1"/>
  <c r="AK55" i="26" s="1"/>
  <c r="AI53" i="26"/>
  <c r="AG54" i="26"/>
  <c r="AI54" i="26" s="1"/>
  <c r="AG55" i="26" s="1"/>
  <c r="L135" i="27"/>
  <c r="M135" i="27" s="1"/>
  <c r="H136" i="27"/>
  <c r="A28" i="1"/>
  <c r="A30" i="1" s="1"/>
  <c r="F28" i="1"/>
  <c r="H207" i="1"/>
  <c r="H161" i="1"/>
  <c r="I52" i="6" l="1"/>
  <c r="G39" i="27"/>
  <c r="H39" i="27"/>
  <c r="F40" i="27"/>
  <c r="G76" i="27"/>
  <c r="H76" i="27"/>
  <c r="F77" i="27"/>
  <c r="H105" i="27"/>
  <c r="F106" i="27"/>
  <c r="G105" i="27"/>
  <c r="U52" i="26"/>
  <c r="W52" i="26" s="1"/>
  <c r="U53" i="26" s="1"/>
  <c r="W51" i="26"/>
  <c r="AG56" i="26"/>
  <c r="AI56" i="26" s="1"/>
  <c r="AG57" i="26" s="1"/>
  <c r="AI55" i="26"/>
  <c r="M56" i="26"/>
  <c r="O56" i="26" s="1"/>
  <c r="M57" i="26" s="1"/>
  <c r="O55" i="26"/>
  <c r="Q56" i="26"/>
  <c r="S56" i="26" s="1"/>
  <c r="Q57" i="26" s="1"/>
  <c r="S55" i="26"/>
  <c r="Y56" i="26"/>
  <c r="AA56" i="26" s="1"/>
  <c r="Y57" i="26" s="1"/>
  <c r="AA55" i="26"/>
  <c r="AK56" i="26"/>
  <c r="AM56" i="26" s="1"/>
  <c r="AK57" i="26" s="1"/>
  <c r="AM55" i="26"/>
  <c r="AC56" i="26"/>
  <c r="AE56" i="26" s="1"/>
  <c r="AC57" i="26" s="1"/>
  <c r="AE55" i="26"/>
  <c r="L136" i="27"/>
  <c r="M136" i="27" s="1"/>
  <c r="H137" i="27"/>
  <c r="A31" i="1"/>
  <c r="F31" i="1"/>
  <c r="H239" i="1"/>
  <c r="U54" i="26" l="1"/>
  <c r="W54" i="26" s="1"/>
  <c r="U55" i="26" s="1"/>
  <c r="W53" i="26"/>
  <c r="G40" i="27"/>
  <c r="H40" i="27"/>
  <c r="F41" i="27"/>
  <c r="H77" i="27"/>
  <c r="F78" i="27"/>
  <c r="G77" i="27"/>
  <c r="F107" i="27"/>
  <c r="H106" i="27"/>
  <c r="G106" i="27"/>
  <c r="AK58" i="26"/>
  <c r="AM58" i="26" s="1"/>
  <c r="AK59" i="26" s="1"/>
  <c r="AM57" i="26"/>
  <c r="AC58" i="26"/>
  <c r="AE58" i="26" s="1"/>
  <c r="AC59" i="26" s="1"/>
  <c r="AE57" i="26"/>
  <c r="Q58" i="26"/>
  <c r="S58" i="26" s="1"/>
  <c r="Q59" i="26" s="1"/>
  <c r="S57" i="26"/>
  <c r="AG58" i="26"/>
  <c r="AI58" i="26" s="1"/>
  <c r="AG59" i="26" s="1"/>
  <c r="AI57" i="26"/>
  <c r="Y58" i="26"/>
  <c r="AA58" i="26" s="1"/>
  <c r="Y59" i="26" s="1"/>
  <c r="AA57" i="26"/>
  <c r="O57" i="26"/>
  <c r="M58" i="26"/>
  <c r="O58" i="26" s="1"/>
  <c r="M59" i="26" s="1"/>
  <c r="L137" i="27"/>
  <c r="M137" i="27" s="1"/>
  <c r="H138" i="27"/>
  <c r="A36" i="1"/>
  <c r="F223" i="1"/>
  <c r="G69" i="6" s="1"/>
  <c r="F135" i="1"/>
  <c r="G78" i="27" l="1"/>
  <c r="F79" i="27"/>
  <c r="H78" i="27"/>
  <c r="H107" i="27"/>
  <c r="G107" i="27"/>
  <c r="F108" i="27"/>
  <c r="H41" i="27"/>
  <c r="F42" i="27"/>
  <c r="G41" i="27"/>
  <c r="U56" i="26"/>
  <c r="W56" i="26" s="1"/>
  <c r="U57" i="26" s="1"/>
  <c r="W55" i="26"/>
  <c r="M60" i="26"/>
  <c r="O60" i="26" s="1"/>
  <c r="M61" i="26" s="1"/>
  <c r="O59" i="26"/>
  <c r="Y60" i="26"/>
  <c r="AA60" i="26" s="1"/>
  <c r="Y61" i="26" s="1"/>
  <c r="AA59" i="26"/>
  <c r="S59" i="26"/>
  <c r="Q60" i="26"/>
  <c r="S60" i="26" s="1"/>
  <c r="Q61" i="26" s="1"/>
  <c r="AG60" i="26"/>
  <c r="AI60" i="26" s="1"/>
  <c r="AG61" i="26" s="1"/>
  <c r="AI59" i="26"/>
  <c r="AK60" i="26"/>
  <c r="AM60" i="26" s="1"/>
  <c r="AK61" i="26" s="1"/>
  <c r="AM59" i="26"/>
  <c r="AC60" i="26"/>
  <c r="AE60" i="26" s="1"/>
  <c r="AC61" i="26" s="1"/>
  <c r="AE59" i="26"/>
  <c r="H139" i="27"/>
  <c r="L138" i="27"/>
  <c r="M138" i="27" s="1"/>
  <c r="A37" i="1"/>
  <c r="A46" i="7"/>
  <c r="F247" i="1"/>
  <c r="W57" i="26" l="1"/>
  <c r="U58" i="26"/>
  <c r="W58" i="26" s="1"/>
  <c r="U59" i="26" s="1"/>
  <c r="F109" i="27"/>
  <c r="H108" i="27"/>
  <c r="G108" i="27"/>
  <c r="H79" i="27"/>
  <c r="G79" i="27"/>
  <c r="F80" i="27"/>
  <c r="F43" i="27"/>
  <c r="G42" i="27"/>
  <c r="H42" i="27"/>
  <c r="AG62" i="26"/>
  <c r="AI62" i="26" s="1"/>
  <c r="AG63" i="26" s="1"/>
  <c r="AI61" i="26"/>
  <c r="AC62" i="26"/>
  <c r="AE62" i="26" s="1"/>
  <c r="AC63" i="26" s="1"/>
  <c r="AE61" i="26"/>
  <c r="M62" i="26"/>
  <c r="O62" i="26" s="1"/>
  <c r="M63" i="26" s="1"/>
  <c r="O61" i="26"/>
  <c r="Q62" i="26"/>
  <c r="S62" i="26" s="1"/>
  <c r="Q63" i="26" s="1"/>
  <c r="S61" i="26"/>
  <c r="AM61" i="26"/>
  <c r="AK62" i="26"/>
  <c r="AM62" i="26" s="1"/>
  <c r="AK63" i="26" s="1"/>
  <c r="Y62" i="26"/>
  <c r="AA62" i="26" s="1"/>
  <c r="Y63" i="26" s="1"/>
  <c r="AA61" i="26"/>
  <c r="H140" i="27"/>
  <c r="L139" i="27"/>
  <c r="M139" i="27" s="1"/>
  <c r="A38" i="1"/>
  <c r="C290" i="1"/>
  <c r="F110" i="27" l="1"/>
  <c r="H109" i="27"/>
  <c r="G109" i="27"/>
  <c r="W59" i="26"/>
  <c r="U60" i="26"/>
  <c r="W60" i="26" s="1"/>
  <c r="U61" i="26" s="1"/>
  <c r="H80" i="27"/>
  <c r="F81" i="27"/>
  <c r="G80" i="27"/>
  <c r="G43" i="27"/>
  <c r="G44" i="27" s="1"/>
  <c r="H43" i="27"/>
  <c r="H44" i="27" s="1"/>
  <c r="H47" i="27" s="1"/>
  <c r="AC64" i="26"/>
  <c r="AE64" i="26" s="1"/>
  <c r="AC65" i="26" s="1"/>
  <c r="AE63" i="26"/>
  <c r="AA63" i="26"/>
  <c r="Y64" i="26"/>
  <c r="AA64" i="26" s="1"/>
  <c r="Y65" i="26" s="1"/>
  <c r="Q64" i="26"/>
  <c r="S64" i="26" s="1"/>
  <c r="Q65" i="26" s="1"/>
  <c r="S63" i="26"/>
  <c r="AG64" i="26"/>
  <c r="AI64" i="26" s="1"/>
  <c r="AG65" i="26" s="1"/>
  <c r="AI63" i="26"/>
  <c r="O63" i="26"/>
  <c r="M64" i="26"/>
  <c r="O64" i="26" s="1"/>
  <c r="M65" i="26" s="1"/>
  <c r="AK64" i="26"/>
  <c r="AM64" i="26" s="1"/>
  <c r="AK65" i="26" s="1"/>
  <c r="AM63" i="26"/>
  <c r="L140" i="27"/>
  <c r="M140" i="27" s="1"/>
  <c r="H141" i="27"/>
  <c r="C291" i="1"/>
  <c r="A39" i="1"/>
  <c r="F39" i="1"/>
  <c r="H81" i="27" l="1"/>
  <c r="H82" i="27" s="1"/>
  <c r="H85" i="27" s="1"/>
  <c r="H79" i="1" s="1"/>
  <c r="G81" i="27"/>
  <c r="G82" i="27" s="1"/>
  <c r="G46" i="27"/>
  <c r="W61" i="26"/>
  <c r="U62" i="26"/>
  <c r="W62" i="26" s="1"/>
  <c r="U63" i="26" s="1"/>
  <c r="G110" i="27"/>
  <c r="G111" i="27" s="1"/>
  <c r="G113" i="27" s="1"/>
  <c r="H110" i="27"/>
  <c r="H111" i="27" s="1"/>
  <c r="H114" i="27" s="1"/>
  <c r="E27" i="26" s="1"/>
  <c r="O65" i="26"/>
  <c r="M66" i="26"/>
  <c r="O66" i="26" s="1"/>
  <c r="M67" i="26" s="1"/>
  <c r="AK66" i="26"/>
  <c r="AM66" i="26" s="1"/>
  <c r="AK67" i="26" s="1"/>
  <c r="AM65" i="26"/>
  <c r="AG66" i="26"/>
  <c r="AI66" i="26" s="1"/>
  <c r="AG67" i="26" s="1"/>
  <c r="AI65" i="26"/>
  <c r="Q66" i="26"/>
  <c r="S66" i="26" s="1"/>
  <c r="Q67" i="26" s="1"/>
  <c r="S65" i="26"/>
  <c r="AC66" i="26"/>
  <c r="AE66" i="26" s="1"/>
  <c r="AC67" i="26" s="1"/>
  <c r="AE65" i="26"/>
  <c r="Y66" i="26"/>
  <c r="AA66" i="26" s="1"/>
  <c r="Y67" i="26" s="1"/>
  <c r="AA65" i="26"/>
  <c r="L141" i="27"/>
  <c r="M141" i="27" s="1"/>
  <c r="H142" i="27"/>
  <c r="A41" i="1"/>
  <c r="W63" i="26" l="1"/>
  <c r="U64" i="26"/>
  <c r="W64" i="26" s="1"/>
  <c r="U65" i="26" s="1"/>
  <c r="G84" i="27"/>
  <c r="H38" i="1" s="1"/>
  <c r="H39" i="1" s="1"/>
  <c r="H53" i="1" s="1"/>
  <c r="AC68" i="26"/>
  <c r="AE68" i="26" s="1"/>
  <c r="AC69" i="26" s="1"/>
  <c r="AE67" i="26"/>
  <c r="Y68" i="26"/>
  <c r="AA68" i="26" s="1"/>
  <c r="Y69" i="26" s="1"/>
  <c r="AA67" i="26"/>
  <c r="S67" i="26"/>
  <c r="Q68" i="26"/>
  <c r="S68" i="26" s="1"/>
  <c r="Q69" i="26" s="1"/>
  <c r="AK68" i="26"/>
  <c r="AM68" i="26" s="1"/>
  <c r="AK69" i="26" s="1"/>
  <c r="AM67" i="26"/>
  <c r="M68" i="26"/>
  <c r="O68" i="26" s="1"/>
  <c r="M69" i="26" s="1"/>
  <c r="O67" i="26"/>
  <c r="AI67" i="26"/>
  <c r="AG68" i="26"/>
  <c r="AI68" i="26" s="1"/>
  <c r="AG69" i="26" s="1"/>
  <c r="L142" i="27"/>
  <c r="M142" i="27" s="1"/>
  <c r="H143" i="27"/>
  <c r="A42" i="1"/>
  <c r="A43" i="1" s="1"/>
  <c r="H27" i="1" l="1"/>
  <c r="H28" i="1" s="1"/>
  <c r="H71" i="1"/>
  <c r="U66" i="26"/>
  <c r="W66" i="26" s="1"/>
  <c r="U67" i="26" s="1"/>
  <c r="W65" i="26"/>
  <c r="F43" i="1"/>
  <c r="M70" i="26"/>
  <c r="O70" i="26" s="1"/>
  <c r="O69" i="26"/>
  <c r="AE69" i="26"/>
  <c r="AC70" i="26"/>
  <c r="AE70" i="26" s="1"/>
  <c r="Q70" i="26"/>
  <c r="S70" i="26" s="1"/>
  <c r="S69" i="26"/>
  <c r="AK70" i="26"/>
  <c r="AM70" i="26" s="1"/>
  <c r="AM69" i="26"/>
  <c r="AA69" i="26"/>
  <c r="Y70" i="26"/>
  <c r="AA70" i="26" s="1"/>
  <c r="AG70" i="26"/>
  <c r="AI70" i="26" s="1"/>
  <c r="AI69" i="26"/>
  <c r="L143" i="27"/>
  <c r="M143" i="27" s="1"/>
  <c r="M144" i="27" s="1"/>
  <c r="H144" i="27"/>
  <c r="A44" i="1"/>
  <c r="A45" i="1" s="1"/>
  <c r="U68" i="26" l="1"/>
  <c r="W68" i="26" s="1"/>
  <c r="U69" i="26" s="1"/>
  <c r="W67" i="26"/>
  <c r="H30" i="1"/>
  <c r="H234" i="1"/>
  <c r="K147" i="27"/>
  <c r="H147" i="27"/>
  <c r="A46" i="1"/>
  <c r="A47" i="1" s="1"/>
  <c r="F45" i="1"/>
  <c r="H31" i="1" l="1"/>
  <c r="F34" i="3" s="1"/>
  <c r="G34" i="3" s="1"/>
  <c r="W69" i="26"/>
  <c r="U70" i="26"/>
  <c r="W70" i="26" s="1"/>
  <c r="F47" i="1"/>
  <c r="K148" i="27"/>
  <c r="K149" i="27" s="1"/>
  <c r="K150" i="27" s="1"/>
  <c r="K151" i="27" s="1"/>
  <c r="K152" i="27" s="1"/>
  <c r="K153" i="27" s="1"/>
  <c r="K154" i="27" s="1"/>
  <c r="K155" i="27" s="1"/>
  <c r="K156" i="27" s="1"/>
  <c r="K157" i="27" s="1"/>
  <c r="K158" i="27" s="1"/>
  <c r="L147" i="27"/>
  <c r="H148" i="27" s="1"/>
  <c r="A48" i="1"/>
  <c r="F49" i="1" s="1"/>
  <c r="L148" i="27" l="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F17" i="3"/>
  <c r="G17" i="3" s="1"/>
  <c r="G36" i="3" s="1"/>
  <c r="H165" i="1" s="1"/>
  <c r="H223" i="1"/>
  <c r="H224" i="1" s="1"/>
  <c r="E16" i="12"/>
  <c r="E17" i="12" s="1"/>
  <c r="G17" i="12" s="1"/>
  <c r="H76" i="1" s="1"/>
  <c r="I69" i="6"/>
  <c r="I70" i="6" s="1"/>
  <c r="H135" i="1"/>
  <c r="H136" i="1" s="1"/>
  <c r="H143" i="1" s="1"/>
  <c r="K159" i="27"/>
  <c r="F66" i="1"/>
  <c r="A10" i="7"/>
  <c r="A49" i="1"/>
  <c r="H238" i="1" l="1"/>
  <c r="H92" i="1"/>
  <c r="H94" i="1" s="1"/>
  <c r="H167" i="1"/>
  <c r="H240" i="1" s="1"/>
  <c r="K161" i="27"/>
  <c r="H276" i="1" s="1"/>
  <c r="A51" i="1"/>
  <c r="F53" i="1" s="1"/>
  <c r="H99" i="1" l="1"/>
  <c r="H235" i="1" s="1"/>
  <c r="H236" i="1" s="1"/>
  <c r="A32" i="7"/>
  <c r="A53" i="1"/>
  <c r="H101" i="1" l="1"/>
  <c r="H209" i="1" s="1"/>
  <c r="F27" i="1"/>
  <c r="A57" i="1"/>
  <c r="I14" i="6" l="1"/>
  <c r="I54" i="6" s="1"/>
  <c r="I74" i="6" s="1"/>
  <c r="I7" i="6" s="1"/>
  <c r="H269" i="1" s="1"/>
  <c r="H227" i="1"/>
  <c r="H229" i="1" s="1"/>
  <c r="H242" i="1" s="1"/>
  <c r="H241" i="1"/>
  <c r="A49" i="7"/>
  <c r="A59" i="1"/>
  <c r="F262" i="1"/>
  <c r="F271" i="1"/>
  <c r="H244" i="1" l="1"/>
  <c r="H251" i="1" s="1"/>
  <c r="H261" i="1" s="1"/>
  <c r="A60" i="1"/>
  <c r="F61" i="1" s="1"/>
  <c r="H252" i="1" l="1"/>
  <c r="H258" i="1" s="1"/>
  <c r="H268" i="1"/>
  <c r="H270" i="1" s="1"/>
  <c r="A14" i="7"/>
  <c r="A61" i="1"/>
  <c r="H263" i="1"/>
  <c r="H264" i="1"/>
  <c r="H265" i="1"/>
  <c r="A62" i="1" l="1"/>
  <c r="A63" i="1" s="1"/>
  <c r="H272" i="1"/>
  <c r="H273" i="1"/>
  <c r="H275" i="1"/>
  <c r="N8" i="26"/>
  <c r="N14" i="26"/>
  <c r="F63" i="1" l="1"/>
  <c r="A64" i="1"/>
  <c r="A65" i="1" s="1"/>
  <c r="I25" i="26"/>
  <c r="E25" i="26"/>
  <c r="M25" i="26"/>
  <c r="U25" i="26"/>
  <c r="Y25" i="26"/>
  <c r="AK25" i="26"/>
  <c r="Q25" i="26"/>
  <c r="AG26" i="26"/>
  <c r="AC25" i="26"/>
  <c r="AG25" i="26"/>
  <c r="AC26" i="26"/>
  <c r="N9" i="26"/>
  <c r="N10" i="26" s="1"/>
  <c r="Y26" i="26" l="1"/>
  <c r="AB48" i="26" s="1"/>
  <c r="E26" i="26"/>
  <c r="H43" i="26"/>
  <c r="H41" i="26"/>
  <c r="U26" i="26"/>
  <c r="X48" i="26" s="1"/>
  <c r="F65" i="1"/>
  <c r="A66" i="1"/>
  <c r="Q26" i="26"/>
  <c r="T70" i="26" s="1"/>
  <c r="AJ51" i="26"/>
  <c r="AJ45" i="26"/>
  <c r="AJ49" i="26"/>
  <c r="AJ59" i="26"/>
  <c r="AJ47" i="26"/>
  <c r="AJ69" i="26"/>
  <c r="AJ55" i="26"/>
  <c r="AJ63" i="26"/>
  <c r="AJ57" i="26"/>
  <c r="AJ67" i="26"/>
  <c r="AJ65" i="26"/>
  <c r="AJ61" i="26"/>
  <c r="AJ53" i="26"/>
  <c r="T57" i="26"/>
  <c r="T45" i="26"/>
  <c r="T55" i="26"/>
  <c r="T47" i="26"/>
  <c r="T59" i="26"/>
  <c r="T69" i="26"/>
  <c r="T49" i="26"/>
  <c r="T61" i="26"/>
  <c r="T63" i="26"/>
  <c r="T67" i="26"/>
  <c r="T65" i="26"/>
  <c r="T51" i="26"/>
  <c r="T53" i="26"/>
  <c r="AF58" i="26"/>
  <c r="AF56" i="26"/>
  <c r="AF62" i="26"/>
  <c r="AF48" i="26"/>
  <c r="AF46" i="26"/>
  <c r="AF52" i="26"/>
  <c r="AF70" i="26"/>
  <c r="AF68" i="26"/>
  <c r="AF50" i="26"/>
  <c r="AF60" i="26"/>
  <c r="AF64" i="26"/>
  <c r="AF66" i="26"/>
  <c r="AF54" i="26"/>
  <c r="I26" i="26"/>
  <c r="M26" i="26"/>
  <c r="AF57" i="26"/>
  <c r="AF47" i="26"/>
  <c r="AF55" i="26"/>
  <c r="AF63" i="26"/>
  <c r="AF51" i="26"/>
  <c r="AF67" i="26"/>
  <c r="AF61" i="26"/>
  <c r="AF65" i="26"/>
  <c r="AF53" i="26"/>
  <c r="AF45" i="26"/>
  <c r="AF69" i="26"/>
  <c r="AF59" i="26"/>
  <c r="AF49" i="26"/>
  <c r="AN61" i="26"/>
  <c r="AN55" i="26"/>
  <c r="AN49" i="26"/>
  <c r="AN47" i="26"/>
  <c r="AN45" i="26"/>
  <c r="AN67" i="26"/>
  <c r="AN65" i="26"/>
  <c r="AN59" i="26"/>
  <c r="AN51" i="26"/>
  <c r="AN69" i="26"/>
  <c r="AN63" i="26"/>
  <c r="AN53" i="26"/>
  <c r="AN57" i="26"/>
  <c r="X49" i="26"/>
  <c r="X51" i="26"/>
  <c r="X57" i="26"/>
  <c r="X45" i="26"/>
  <c r="X53" i="26"/>
  <c r="X61" i="26"/>
  <c r="X55" i="26"/>
  <c r="X69" i="26"/>
  <c r="X47" i="26"/>
  <c r="X59" i="26"/>
  <c r="X63" i="26"/>
  <c r="X67" i="26"/>
  <c r="X65" i="26"/>
  <c r="H55" i="26"/>
  <c r="H59" i="26"/>
  <c r="H69" i="26"/>
  <c r="H67" i="26"/>
  <c r="H53" i="26"/>
  <c r="H51" i="26"/>
  <c r="H65" i="26"/>
  <c r="H47" i="26"/>
  <c r="H45" i="26"/>
  <c r="H57" i="26"/>
  <c r="H63" i="26"/>
  <c r="H61" i="26"/>
  <c r="H49" i="26"/>
  <c r="AK26" i="26"/>
  <c r="AJ46" i="26"/>
  <c r="AJ54" i="26"/>
  <c r="AJ64" i="26"/>
  <c r="AJ48" i="26"/>
  <c r="AJ70" i="26"/>
  <c r="AJ60" i="26"/>
  <c r="AJ56" i="26"/>
  <c r="AJ62" i="26"/>
  <c r="AJ68" i="26"/>
  <c r="AJ66" i="26"/>
  <c r="AJ58" i="26"/>
  <c r="AJ50" i="26"/>
  <c r="AJ52" i="26"/>
  <c r="AB57" i="26"/>
  <c r="AB59" i="26"/>
  <c r="AB55" i="26"/>
  <c r="AB51" i="26"/>
  <c r="AB53" i="26"/>
  <c r="AB69" i="26"/>
  <c r="AB45" i="26"/>
  <c r="AB65" i="26"/>
  <c r="AB63" i="26"/>
  <c r="AB67" i="26"/>
  <c r="AB61" i="26"/>
  <c r="AB49" i="26"/>
  <c r="AB47" i="26"/>
  <c r="P59" i="26"/>
  <c r="P67" i="26"/>
  <c r="P57" i="26"/>
  <c r="P55" i="26"/>
  <c r="P63" i="26"/>
  <c r="P47" i="26"/>
  <c r="P45" i="26"/>
  <c r="P65" i="26"/>
  <c r="P51" i="26"/>
  <c r="P53" i="26"/>
  <c r="P69" i="26"/>
  <c r="P49" i="26"/>
  <c r="P61" i="26"/>
  <c r="AB46" i="26" l="1"/>
  <c r="AB54" i="26"/>
  <c r="AB60" i="26"/>
  <c r="AB56" i="26"/>
  <c r="AB70" i="26"/>
  <c r="AB62" i="26"/>
  <c r="AB50" i="26"/>
  <c r="AB68" i="26"/>
  <c r="AB52" i="26"/>
  <c r="AB64" i="26"/>
  <c r="AB66" i="26"/>
  <c r="AB58" i="26"/>
  <c r="H44" i="26"/>
  <c r="H42" i="26"/>
  <c r="X56" i="26"/>
  <c r="X64" i="26"/>
  <c r="AO45" i="26"/>
  <c r="AQ45" i="26" s="1"/>
  <c r="X52" i="26"/>
  <c r="AO55" i="26"/>
  <c r="AQ55" i="26" s="1"/>
  <c r="AO69" i="26"/>
  <c r="AQ69" i="26" s="1"/>
  <c r="AO53" i="26"/>
  <c r="AQ53" i="26" s="1"/>
  <c r="T50" i="26"/>
  <c r="T54" i="26"/>
  <c r="AO61" i="26"/>
  <c r="AQ61" i="26" s="1"/>
  <c r="T56" i="26"/>
  <c r="T64" i="26"/>
  <c r="T58" i="26"/>
  <c r="T60" i="26"/>
  <c r="T48" i="26"/>
  <c r="T46" i="26"/>
  <c r="T52" i="26"/>
  <c r="T66" i="26"/>
  <c r="T62" i="26"/>
  <c r="T68" i="26"/>
  <c r="AO51" i="26"/>
  <c r="AQ51" i="26" s="1"/>
  <c r="AO59" i="26"/>
  <c r="AQ59" i="26" s="1"/>
  <c r="AO57" i="26"/>
  <c r="AQ57" i="26" s="1"/>
  <c r="AO65" i="26"/>
  <c r="AQ65" i="26" s="1"/>
  <c r="X70" i="26"/>
  <c r="X46" i="26"/>
  <c r="AO63" i="26"/>
  <c r="AQ63" i="26" s="1"/>
  <c r="X62" i="26"/>
  <c r="X58" i="26"/>
  <c r="X60" i="26"/>
  <c r="AO49" i="26"/>
  <c r="AQ49" i="26" s="1"/>
  <c r="X68" i="26"/>
  <c r="X54" i="26"/>
  <c r="AO47" i="26"/>
  <c r="AQ47" i="26" s="1"/>
  <c r="AO67" i="26"/>
  <c r="AQ67" i="26" s="1"/>
  <c r="X66" i="26"/>
  <c r="X50" i="26"/>
  <c r="F67" i="1"/>
  <c r="A67" i="1"/>
  <c r="P68" i="26"/>
  <c r="P70" i="26"/>
  <c r="P62" i="26"/>
  <c r="P56" i="26"/>
  <c r="P48" i="26"/>
  <c r="P58" i="26"/>
  <c r="P50" i="26"/>
  <c r="P64" i="26"/>
  <c r="P54" i="26"/>
  <c r="P52" i="26"/>
  <c r="P46" i="26"/>
  <c r="P60" i="26"/>
  <c r="P66" i="26"/>
  <c r="H58" i="26"/>
  <c r="H68" i="26"/>
  <c r="H50" i="26"/>
  <c r="H48" i="26"/>
  <c r="H54" i="26"/>
  <c r="H62" i="26"/>
  <c r="H56" i="26"/>
  <c r="H70" i="26"/>
  <c r="H52" i="26"/>
  <c r="H46" i="26"/>
  <c r="H64" i="26"/>
  <c r="H60" i="26"/>
  <c r="H66" i="26"/>
  <c r="AN62" i="26"/>
  <c r="AN48" i="26"/>
  <c r="AN56" i="26"/>
  <c r="AN70" i="26"/>
  <c r="AN66" i="26"/>
  <c r="AN68" i="26"/>
  <c r="AN46" i="26"/>
  <c r="AN54" i="26"/>
  <c r="AN52" i="26"/>
  <c r="AN50" i="26"/>
  <c r="AN64" i="26"/>
  <c r="AN58" i="26"/>
  <c r="AN60" i="26"/>
  <c r="AO46" i="26" l="1"/>
  <c r="AP46" i="26" s="1"/>
  <c r="H277" i="1" s="1"/>
  <c r="K162" i="27" s="1"/>
  <c r="K163" i="27" s="1"/>
  <c r="AO50" i="26"/>
  <c r="AP50" i="26" s="1"/>
  <c r="A69" i="1"/>
  <c r="F69" i="1"/>
  <c r="AO66" i="26"/>
  <c r="AP66" i="26" s="1"/>
  <c r="AO54" i="26"/>
  <c r="AP54" i="26" s="1"/>
  <c r="AO48" i="26"/>
  <c r="AP48" i="26" s="1"/>
  <c r="AO68" i="26"/>
  <c r="AP68" i="26" s="1"/>
  <c r="AO52" i="26"/>
  <c r="AP52" i="26" s="1"/>
  <c r="AO58" i="26"/>
  <c r="AP58" i="26" s="1"/>
  <c r="AO70" i="26"/>
  <c r="AP70" i="26" s="1"/>
  <c r="AO62" i="26"/>
  <c r="AP62" i="26" s="1"/>
  <c r="AO60" i="26"/>
  <c r="AP60" i="26" s="1"/>
  <c r="AO64" i="26"/>
  <c r="AP64" i="26" s="1"/>
  <c r="AO56" i="26"/>
  <c r="AP56" i="26" s="1"/>
  <c r="H279" i="1" l="1"/>
  <c r="A71" i="1"/>
  <c r="F71" i="1"/>
  <c r="H283" i="1" l="1"/>
  <c r="A76" i="1"/>
  <c r="F30" i="1"/>
  <c r="F234" i="1"/>
  <c r="H285" i="1" l="1"/>
  <c r="A79" i="1"/>
  <c r="A82" i="1" s="1"/>
  <c r="A110" i="7" l="1"/>
  <c r="A85" i="1"/>
  <c r="A86" i="1" l="1"/>
  <c r="A87" i="1" s="1"/>
  <c r="A17" i="7"/>
  <c r="F87" i="1" l="1"/>
  <c r="A88" i="1"/>
  <c r="A89" i="1" s="1"/>
  <c r="F89" i="1" l="1"/>
  <c r="A92" i="1"/>
  <c r="A93" i="1" l="1"/>
  <c r="A94" i="1" s="1"/>
  <c r="F94" i="1" l="1"/>
  <c r="A97" i="1"/>
  <c r="F99" i="1" s="1"/>
  <c r="A99" i="1" l="1"/>
  <c r="A122" i="7"/>
  <c r="F235" i="1" l="1"/>
  <c r="A101" i="1"/>
  <c r="F101" i="1"/>
  <c r="G14" i="6" s="1"/>
  <c r="F236" i="1" l="1"/>
  <c r="A106" i="1"/>
  <c r="A107" i="1" l="1"/>
  <c r="A131" i="7"/>
  <c r="A133" i="7" l="1"/>
  <c r="A108" i="1"/>
  <c r="A109" i="1" l="1"/>
  <c r="A110" i="1" l="1"/>
  <c r="C313" i="1"/>
  <c r="A111" i="1" l="1"/>
  <c r="A20" i="7"/>
  <c r="F111" i="1"/>
  <c r="A114" i="1" l="1"/>
  <c r="A62" i="7" l="1"/>
  <c r="A115" i="1"/>
  <c r="A64" i="7" l="1"/>
  <c r="A116" i="1"/>
  <c r="A65" i="7" l="1"/>
  <c r="A117" i="1"/>
  <c r="A118" i="1" l="1"/>
  <c r="A67" i="7" l="1"/>
  <c r="A119" i="1"/>
  <c r="A120" i="1" l="1"/>
  <c r="A121" i="1" s="1"/>
  <c r="A122" i="1" s="1"/>
  <c r="F132" i="1"/>
  <c r="A55" i="7" l="1"/>
  <c r="A123" i="1"/>
  <c r="F123" i="1"/>
  <c r="A124" i="1" l="1"/>
  <c r="A125" i="1" s="1"/>
  <c r="F125" i="1" l="1"/>
  <c r="A128" i="1"/>
  <c r="A129" i="1" l="1"/>
  <c r="F130" i="1" s="1"/>
  <c r="A93" i="7" l="1"/>
  <c r="A130" i="1"/>
  <c r="A132" i="1" l="1"/>
  <c r="A133" i="1" l="1"/>
  <c r="F134" i="1" s="1"/>
  <c r="A80" i="7" l="1"/>
  <c r="A134" i="1"/>
  <c r="A135" i="1" l="1"/>
  <c r="A136" i="1" s="1"/>
  <c r="F136" i="1" l="1"/>
  <c r="A139" i="1"/>
  <c r="A140" i="1" l="1"/>
  <c r="A141" i="1" s="1"/>
  <c r="A116" i="7"/>
  <c r="F141" i="1" l="1"/>
  <c r="A143" i="1"/>
  <c r="F143" i="1"/>
  <c r="F238" i="1" l="1"/>
  <c r="F92" i="1"/>
  <c r="A148" i="1"/>
  <c r="A150" i="1" l="1"/>
  <c r="A151" i="1" l="1"/>
  <c r="F152" i="1" s="1"/>
  <c r="A23" i="7" l="1"/>
  <c r="F157" i="1"/>
  <c r="A152" i="1"/>
  <c r="A153" i="1" l="1"/>
  <c r="A154" i="1" s="1"/>
  <c r="F154" i="1" l="1"/>
  <c r="A155" i="1"/>
  <c r="A156" i="1" s="1"/>
  <c r="F156" i="1" l="1"/>
  <c r="A157" i="1"/>
  <c r="A158" i="1" s="1"/>
  <c r="F158" i="1" l="1"/>
  <c r="A161" i="1"/>
  <c r="F161" i="1"/>
  <c r="F239" i="1" l="1"/>
  <c r="A165" i="1"/>
  <c r="F167" i="1" l="1"/>
  <c r="A167" i="1"/>
  <c r="A172" i="1" l="1"/>
  <c r="F240" i="1"/>
  <c r="A142" i="7" l="1"/>
  <c r="A173" i="1"/>
  <c r="F174" i="1" s="1"/>
  <c r="G19" i="6" s="1"/>
  <c r="A14" i="11" l="1"/>
  <c r="A174" i="1"/>
  <c r="A176" i="1" l="1"/>
  <c r="A179" i="1" l="1"/>
  <c r="A180" i="1" l="1"/>
  <c r="A181" i="1" s="1"/>
  <c r="A182" i="1" s="1"/>
  <c r="A183" i="1" s="1"/>
  <c r="F193" i="1" l="1"/>
  <c r="G38" i="6" s="1"/>
  <c r="A186" i="1"/>
  <c r="F183" i="1"/>
  <c r="G28" i="6" s="1"/>
  <c r="A187" i="1" l="1"/>
  <c r="A188" i="1" s="1"/>
  <c r="A189" i="1" s="1"/>
  <c r="A190" i="1" s="1"/>
  <c r="F191" i="1" l="1"/>
  <c r="G36" i="6" s="1"/>
  <c r="A191" i="1"/>
  <c r="A18" i="11"/>
  <c r="A192" i="1" l="1"/>
  <c r="F200" i="1"/>
  <c r="G45" i="6" s="1"/>
  <c r="F181" i="1" l="1"/>
  <c r="G26" i="6" s="1"/>
  <c r="A193" i="1"/>
  <c r="F201" i="1"/>
  <c r="G46" i="6" s="1"/>
  <c r="A194" i="1" l="1"/>
  <c r="F198" i="1" s="1"/>
  <c r="G43" i="6" s="1"/>
  <c r="F194" i="1"/>
  <c r="G39" i="6" s="1"/>
  <c r="A196" i="1" l="1"/>
  <c r="F196" i="1"/>
  <c r="G41" i="6" s="1"/>
  <c r="F197" i="1"/>
  <c r="G42" i="6" s="1"/>
  <c r="A197" i="1" l="1"/>
  <c r="C321" i="1" s="1"/>
  <c r="A198" i="1" l="1"/>
  <c r="C317" i="1"/>
  <c r="C323" i="1"/>
  <c r="C319" i="1"/>
  <c r="C320" i="1" l="1"/>
  <c r="A200" i="1"/>
  <c r="C316" i="1"/>
  <c r="C318" i="1"/>
  <c r="C322" i="1"/>
  <c r="A201" i="1" l="1"/>
  <c r="F140" i="1"/>
  <c r="F204" i="1"/>
  <c r="G49" i="6" s="1"/>
  <c r="A202" i="1" l="1"/>
  <c r="F205" i="1"/>
  <c r="G50" i="6" s="1"/>
  <c r="A204" i="1" l="1"/>
  <c r="G47" i="6"/>
  <c r="F206" i="1"/>
  <c r="G51" i="6" s="1"/>
  <c r="A205" i="1" l="1"/>
  <c r="A206" i="1" s="1"/>
  <c r="A207" i="1" s="1"/>
  <c r="F207" i="1" l="1"/>
  <c r="G52" i="6" s="1"/>
  <c r="A209" i="1"/>
  <c r="F209" i="1"/>
  <c r="G54" i="6" s="1"/>
  <c r="A214" i="1" l="1"/>
  <c r="A215" i="1" s="1"/>
  <c r="F241" i="1"/>
  <c r="A216" i="1" l="1"/>
  <c r="A217" i="1" s="1"/>
  <c r="A87" i="7"/>
  <c r="F222" i="1" l="1"/>
  <c r="G68" i="6" s="1"/>
  <c r="A218" i="1"/>
  <c r="A221" i="1" l="1"/>
  <c r="F227" i="1"/>
  <c r="A222" i="1" l="1"/>
  <c r="A223" i="1" s="1"/>
  <c r="A224" i="1" s="1"/>
  <c r="F224" i="1" l="1"/>
  <c r="G70" i="6" s="1"/>
  <c r="A227" i="1"/>
  <c r="A229" i="1" s="1"/>
  <c r="F229" i="1" l="1"/>
  <c r="F242" i="1"/>
  <c r="A234" i="1"/>
  <c r="A235" i="1" s="1"/>
  <c r="A236" i="1" s="1"/>
  <c r="A238" i="1" s="1"/>
  <c r="A239" i="1" l="1"/>
  <c r="A240" i="1" s="1"/>
  <c r="A241" i="1" s="1"/>
  <c r="A242" i="1" s="1"/>
  <c r="A244" i="1" s="1"/>
  <c r="F244" i="1" l="1"/>
  <c r="A247" i="1"/>
  <c r="F251" i="1"/>
  <c r="A248" i="1" l="1"/>
  <c r="F249" i="1" s="1"/>
  <c r="A249" i="1" l="1"/>
  <c r="A99" i="7"/>
  <c r="F250" i="1" l="1"/>
  <c r="A250" i="1"/>
  <c r="A251" i="1" l="1"/>
  <c r="F252" i="1" s="1"/>
  <c r="A252" i="1" l="1"/>
  <c r="F268" i="1"/>
  <c r="F261" i="1"/>
  <c r="A255" i="1" l="1"/>
  <c r="A256" i="1" s="1"/>
  <c r="F258" i="1" l="1"/>
  <c r="C311" i="1"/>
  <c r="A150" i="7"/>
  <c r="A258" i="1"/>
  <c r="F275" i="1" l="1"/>
  <c r="A261" i="1"/>
  <c r="A262" i="1" l="1"/>
  <c r="A263" i="1" s="1"/>
  <c r="A264" i="1" s="1"/>
  <c r="F265" i="1" l="1"/>
  <c r="F264" i="1"/>
  <c r="F263" i="1"/>
  <c r="A265" i="1"/>
  <c r="D8" i="26"/>
  <c r="D14" i="26" l="1"/>
  <c r="A268" i="1"/>
  <c r="A269" i="1" l="1"/>
  <c r="A270" i="1" s="1"/>
  <c r="F270" i="1" l="1"/>
  <c r="A271" i="1"/>
  <c r="A272" i="1" s="1"/>
  <c r="A273" i="1" s="1"/>
  <c r="F273" i="1" l="1"/>
  <c r="A275" i="1"/>
  <c r="D9" i="26"/>
  <c r="F272" i="1"/>
  <c r="A276" i="1" l="1"/>
  <c r="A277" i="1" s="1"/>
  <c r="A278" i="1" s="1"/>
  <c r="F279" i="1" l="1"/>
  <c r="A160" i="7"/>
  <c r="A279" i="1"/>
  <c r="HE278" i="1"/>
  <c r="A282" i="1" l="1"/>
  <c r="F283" i="1" s="1"/>
  <c r="A166" i="7" l="1"/>
  <c r="A283" i="1"/>
  <c r="F285" i="1" l="1"/>
  <c r="A285" i="1"/>
</calcChain>
</file>

<file path=xl/sharedStrings.xml><?xml version="1.0" encoding="utf-8"?>
<sst xmlns="http://schemas.openxmlformats.org/spreadsheetml/2006/main" count="1136" uniqueCount="676">
  <si>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</si>
  <si>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</si>
  <si>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</si>
  <si>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</si>
  <si>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</si>
  <si>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</si>
  <si>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</si>
  <si>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</si>
  <si>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</si>
  <si>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</si>
  <si>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</si>
  <si>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</si>
  <si>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</si>
  <si>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</si>
  <si>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Revenue Requirement per 100 Basis Point increase in ROE</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</si>
  <si>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</si>
  <si>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</si>
  <si>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</si>
  <si>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</si>
  <si>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</si>
  <si>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</si>
  <si>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</si>
  <si>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</si>
  <si>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</si>
  <si>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</si>
  <si>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</si>
  <si>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</si>
  <si>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</si>
  <si>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</si>
  <si>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</si>
  <si>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</si>
  <si>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</si>
  <si>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</si>
  <si>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</si>
  <si>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</si>
  <si>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</si>
  <si>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</si>
  <si>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</si>
  <si>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</si>
  <si>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</si>
  <si>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</si>
  <si>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</si>
  <si>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</si>
  <si>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</si>
  <si>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</si>
  <si>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</si>
  <si>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</si>
  <si>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</si>
  <si>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</si>
  <si>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</si>
  <si>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</si>
  <si>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</si>
  <si>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</si>
  <si>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</si>
  <si>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</si>
  <si>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</si>
  <si>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</si>
  <si>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</si>
  <si>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</si>
  <si>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</si>
  <si>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</si>
  <si>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</si>
  <si>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</si>
  <si>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</si>
  <si>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</si>
  <si>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</si>
  <si>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</si>
  <si>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</si>
  <si>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</si>
  <si>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</si>
  <si>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</si>
  <si>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</si>
  <si>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</si>
  <si>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</si>
  <si>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Applied</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</si>
  <si>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</si>
  <si>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</si>
  <si>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</si>
  <si>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</si>
  <si>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</si>
  <si>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</si>
  <si>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</si>
  <si>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</si>
  <si>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 xml:space="preserve">Subtotal   </t>
  </si>
  <si>
    <t>ADIT-282</t>
  </si>
  <si>
    <t>row 4 * row 6</t>
  </si>
  <si>
    <t>row 4 * row 5</t>
  </si>
  <si>
    <t>p321.112.b</t>
  </si>
  <si>
    <t>p321.96.b</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</si>
  <si>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</si>
  <si>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</si>
  <si>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</si>
  <si>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</si>
  <si>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</si>
  <si>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</si>
  <si>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</si>
  <si>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</si>
  <si>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</si>
  <si>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</si>
  <si>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</si>
  <si>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</si>
  <si>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</si>
  <si>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</si>
  <si>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</si>
  <si>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</si>
  <si>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</si>
  <si>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</si>
  <si>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</si>
  <si>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</si>
  <si>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</si>
  <si>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</si>
  <si>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</si>
  <si>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</si>
  <si>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</si>
  <si>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</si>
  <si>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</si>
  <si>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</si>
  <si>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</si>
  <si>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</si>
  <si>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</si>
  <si>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</si>
  <si>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</si>
  <si>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</si>
  <si>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</si>
  <si>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</si>
  <si>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</si>
  <si>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</si>
  <si>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</si>
  <si>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</si>
  <si>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</si>
  <si>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</si>
  <si>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</si>
  <si>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</si>
  <si>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</si>
  <si>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</si>
  <si>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</si>
  <si>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</si>
  <si>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</si>
  <si>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</si>
  <si>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</si>
  <si>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</si>
  <si>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</si>
  <si>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</si>
  <si>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</si>
  <si>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</si>
  <si>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</si>
  <si>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</si>
  <si>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</si>
  <si>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</si>
  <si>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</si>
  <si>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</si>
  <si>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</si>
  <si>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 xml:space="preserve">  </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</si>
  <si>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</si>
  <si>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</si>
  <si>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</si>
  <si>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</si>
  <si>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</si>
  <si>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</si>
  <si>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</si>
  <si>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</si>
  <si>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</si>
  <si>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</si>
  <si>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</si>
  <si>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</si>
  <si>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</si>
  <si>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</si>
  <si>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</si>
  <si>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</si>
  <si>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</si>
  <si>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</si>
  <si>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</si>
  <si>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</si>
  <si>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</si>
  <si>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</si>
  <si>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</si>
  <si>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</si>
  <si>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</si>
  <si>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</si>
  <si>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</si>
  <si>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</si>
  <si>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</si>
  <si>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</si>
  <si>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</si>
  <si>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</si>
  <si>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</si>
  <si>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</si>
  <si>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</si>
  <si>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</si>
  <si>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</si>
  <si>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</si>
  <si>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</si>
  <si>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</si>
  <si>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</si>
  <si>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</si>
  <si>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</si>
  <si>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</si>
  <si>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</si>
  <si>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</si>
  <si>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</si>
  <si>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</si>
  <si>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</si>
  <si>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</si>
  <si>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</si>
  <si>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</si>
  <si>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</si>
  <si>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</si>
  <si>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</si>
  <si>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</si>
  <si>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</si>
  <si>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</si>
  <si>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</si>
  <si>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</si>
  <si>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</si>
  <si>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</si>
  <si>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</si>
  <si>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</si>
  <si>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</si>
  <si>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</si>
  <si>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</si>
  <si>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</si>
  <si>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</si>
  <si>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</si>
  <si>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</si>
  <si>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</si>
  <si>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</si>
  <si>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</si>
  <si>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</si>
  <si>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</si>
  <si>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</si>
  <si>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</si>
  <si>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</si>
  <si>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</si>
  <si>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</si>
  <si>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</si>
  <si>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</si>
  <si>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</si>
  <si>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</si>
  <si>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</si>
  <si>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</si>
  <si>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</si>
  <si>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</si>
  <si>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</si>
  <si>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</si>
  <si>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</si>
  <si>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</si>
  <si>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</si>
  <si>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</si>
  <si>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</si>
  <si>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</si>
  <si>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</si>
  <si>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</si>
  <si>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</si>
  <si>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For CWIP:</t>
  </si>
  <si>
    <t xml:space="preserve">Beginning is the line 17 for that year </t>
  </si>
  <si>
    <t>Depreciation is not used</t>
  </si>
  <si>
    <t>"Ending" is "Beginning" less "Depreciation"</t>
  </si>
  <si>
    <t xml:space="preserve">Ending is the same as Beginning </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</si>
  <si>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</si>
  <si>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</si>
  <si>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</si>
  <si>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</si>
  <si>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</si>
  <si>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</si>
  <si>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</si>
  <si>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</si>
  <si>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</si>
  <si>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</si>
  <si>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</si>
  <si>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</si>
  <si>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</si>
  <si>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</si>
  <si>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</si>
  <si>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</si>
  <si>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</si>
  <si>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</si>
  <si>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</si>
  <si>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</si>
  <si>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3 - Revenue Credit Workpaper</t>
  </si>
  <si>
    <t>Attachment 6</t>
  </si>
  <si>
    <t>Attachment 1</t>
  </si>
  <si>
    <t>Attachment 8</t>
  </si>
  <si>
    <t>Attachment 5</t>
  </si>
  <si>
    <t>Attachment 3</t>
  </si>
  <si>
    <t>Attachment 4</t>
  </si>
  <si>
    <t>Fixed Charge Rate (FCR) if not a CIAC</t>
  </si>
  <si>
    <t>Post results of Step 9 on PJM web site</t>
  </si>
  <si>
    <t>Must run Appendix A with cap adds in Appendix A, line 16 &amp; line 17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</si>
  <si>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</si>
  <si>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</si>
  <si>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</si>
  <si>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</si>
  <si>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</si>
  <si>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</si>
  <si>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</si>
  <si>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</si>
  <si>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</si>
  <si>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</si>
  <si>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</si>
  <si>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</si>
  <si>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</si>
  <si>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</si>
  <si>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</si>
  <si>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</si>
  <si>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</si>
  <si>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</si>
  <si>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</si>
  <si>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</si>
  <si>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</si>
  <si>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</si>
  <si>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</si>
  <si>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</si>
  <si>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</si>
  <si>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</si>
  <si>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</si>
  <si>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</si>
  <si>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</si>
  <si>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</si>
  <si>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</si>
  <si>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</si>
  <si>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</si>
  <si>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</si>
  <si>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</si>
  <si>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      Less ADIT associated with Gain or Loss</t>
  </si>
  <si>
    <t xml:space="preserve">Attachment 5 </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</si>
  <si>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</si>
  <si>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</si>
  <si>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</si>
  <si>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</si>
  <si>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</si>
  <si>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</si>
  <si>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</si>
  <si>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</si>
  <si>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</si>
  <si>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</si>
  <si>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</si>
  <si>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</si>
  <si>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</si>
  <si>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</si>
  <si>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</si>
  <si>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</si>
  <si>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</si>
  <si>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</si>
  <si>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</si>
  <si>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</si>
  <si>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</si>
  <si>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</si>
  <si>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</si>
  <si>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</si>
  <si>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</si>
  <si>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</si>
  <si>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</si>
  <si>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</si>
  <si>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</si>
  <si>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</si>
  <si>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</si>
  <si>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</si>
  <si>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</si>
  <si>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</si>
  <si>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</si>
  <si>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</si>
  <si>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</si>
  <si>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</si>
  <si>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</si>
  <si>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</si>
  <si>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</si>
  <si>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</si>
  <si>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</si>
  <si>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</si>
  <si>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</si>
  <si>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</si>
  <si>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</si>
  <si>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</si>
  <si>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</si>
  <si>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</si>
  <si>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Excluded Transmission Facilities</t>
  </si>
  <si>
    <t>Included Transmission Facilities</t>
  </si>
  <si>
    <t>Inclusion Ratio</t>
  </si>
  <si>
    <t>Adjusted Gross Revenue Requirement</t>
  </si>
  <si>
    <t>Subtotal - p234.18.c</t>
  </si>
  <si>
    <t>Subtotal - p275.9.k</t>
  </si>
  <si>
    <t>Subtotal - p277.19.k</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</si>
  <si>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</si>
  <si>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</si>
  <si>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</si>
  <si>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</si>
  <si>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</si>
  <si>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</si>
  <si>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</si>
  <si>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</si>
  <si>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</si>
  <si>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</si>
  <si>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</si>
  <si>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</si>
  <si>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Plant In Service</t>
  </si>
  <si>
    <t>Net Plant Allocation Factor</t>
  </si>
  <si>
    <t>Intangible Amortization</t>
  </si>
  <si>
    <t xml:space="preserve">    Less Account 216.1</t>
  </si>
  <si>
    <t xml:space="preserve">    Less Preferred Stock</t>
  </si>
  <si>
    <t>Capitalization</t>
  </si>
  <si>
    <t>ITC Adjustment</t>
  </si>
  <si>
    <t>p200.4.c</t>
  </si>
  <si>
    <t>p336.1.d&amp;e</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</si>
  <si>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</si>
  <si>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</si>
  <si>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</si>
  <si>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</si>
  <si>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</si>
  <si>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</si>
  <si>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</si>
  <si>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</si>
  <si>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</si>
  <si>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</si>
  <si>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</si>
  <si>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</si>
  <si>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</si>
  <si>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</si>
  <si>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</si>
  <si>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</si>
  <si>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</si>
  <si>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</si>
  <si>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</si>
  <si>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</si>
  <si>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</si>
  <si>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</si>
  <si>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</si>
  <si>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</si>
  <si>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</si>
  <si>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</si>
  <si>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</si>
  <si>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</si>
  <si>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</si>
  <si>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</si>
  <si>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</si>
  <si>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</si>
  <si>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</si>
  <si>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</si>
  <si>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</si>
  <si>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</si>
  <si>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</si>
  <si>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Net Plant</t>
  </si>
  <si>
    <t>Net Plant Allocator</t>
  </si>
  <si>
    <t>Rate Base</t>
  </si>
  <si>
    <t xml:space="preserve">Income Tax Component = </t>
  </si>
  <si>
    <t xml:space="preserve"> enter positive</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</si>
  <si>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</si>
  <si>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</si>
  <si>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</si>
  <si>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</si>
  <si>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</si>
  <si>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</si>
  <si>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</si>
  <si>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</si>
  <si>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</si>
  <si>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</si>
  <si>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</si>
  <si>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</si>
  <si>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</si>
  <si>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</si>
  <si>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Adjusted  PHFU</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</si>
  <si>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</si>
  <si>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</si>
  <si>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</si>
  <si>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</si>
  <si>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</si>
  <si>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</si>
  <si>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</si>
  <si>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</si>
  <si>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</si>
  <si>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</si>
  <si>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</si>
  <si>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</si>
  <si>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</si>
  <si>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</si>
  <si>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</si>
  <si>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</si>
  <si>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</si>
  <si>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</si>
  <si>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</si>
  <si>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</si>
  <si>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</si>
  <si>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</si>
  <si>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</si>
  <si>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</si>
  <si>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</si>
  <si>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</si>
  <si>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</si>
  <si>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</si>
  <si>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</si>
  <si>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</si>
  <si>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</si>
  <si>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</si>
  <si>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</si>
  <si>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</si>
  <si>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</si>
  <si>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</si>
  <si>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</si>
  <si>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</si>
  <si>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</si>
  <si>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are not a result of the RTEP Process</t>
  </si>
  <si>
    <t>Amount of transmission plant excluded from rates per Attachment 5.</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</si>
  <si>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</si>
  <si>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</si>
  <si>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</si>
  <si>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</si>
  <si>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</si>
  <si>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</si>
  <si>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</si>
  <si>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</si>
  <si>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</si>
  <si>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</si>
  <si>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</si>
  <si>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</si>
  <si>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</si>
  <si>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</si>
  <si>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</si>
  <si>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</si>
  <si>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</si>
  <si>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</si>
  <si>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</si>
  <si>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</si>
  <si>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</si>
  <si>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</si>
  <si>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Nothing in 930.1 is Transmission Safety related.</t>
  </si>
  <si>
    <t>Nothing in 930.1 is Transmission Education &amp; Outreach related.</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</si>
  <si>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</si>
  <si>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</si>
  <si>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Rent or Attachment Fees associated with Transmission Facilities</t>
  </si>
  <si>
    <t xml:space="preserve">Rent from Electric Property - Transmission Related </t>
  </si>
  <si>
    <t xml:space="preserve">    Plus:  Fixed PBOP expense</t>
  </si>
  <si>
    <t xml:space="preserve">ROE will be supported in the original filing and no change in ROE will be made absent a filing at FERC.  </t>
  </si>
  <si>
    <t xml:space="preserve">    Fixed PBOP expense</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</si>
  <si>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</si>
  <si>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</si>
  <si>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</si>
  <si>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</si>
  <si>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</si>
  <si>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</si>
  <si>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</si>
  <si>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</si>
  <si>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</si>
  <si>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</si>
  <si>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Note: ADIT associated with Gain or Loss on Reacquired Debt is included in Column A here and included in Cost of Debt on Appendix A, Line 112</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</si>
  <si>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</si>
  <si>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</si>
  <si>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</si>
  <si>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</si>
  <si>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</si>
  <si>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</si>
  <si>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</si>
  <si>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</si>
  <si>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</si>
  <si>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</si>
  <si>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</si>
  <si>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</si>
  <si>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</si>
  <si>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</si>
  <si>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</si>
  <si>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</si>
  <si>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</si>
  <si>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</si>
  <si>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</si>
  <si>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</si>
  <si>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</si>
  <si>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Taxes Other than Income Taxes</t>
  </si>
  <si>
    <t>Total Taxes Other than Income Taxes</t>
  </si>
  <si>
    <t>Return \ Capitalization Calculations</t>
  </si>
  <si>
    <t>Difference  (Line 29 - Line 30)</t>
  </si>
  <si>
    <t>Reconciliation Details</t>
  </si>
  <si>
    <t>H</t>
  </si>
  <si>
    <t xml:space="preserve"> &lt; From Acct 283, below</t>
  </si>
  <si>
    <t xml:space="preserve">     (T/1-T) * Investment Return * (1-(WCLTD/ROR)) =</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</si>
  <si>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</si>
  <si>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</si>
  <si>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</si>
  <si>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</si>
  <si>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</si>
  <si>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</si>
  <si>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</si>
  <si>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None</t>
  </si>
  <si>
    <t>p214.47.d</t>
  </si>
  <si>
    <t>Amortization related to Interest Rate Swaps</t>
  </si>
  <si>
    <t>Balance of General Depreciation Expense</t>
  </si>
  <si>
    <t>Amount of General Depreciation Expense Associated with Acct. 397</t>
  </si>
  <si>
    <t>Q</t>
  </si>
  <si>
    <t>I</t>
  </si>
  <si>
    <t>IL</t>
  </si>
  <si>
    <t>1 / (1-T)</t>
  </si>
  <si>
    <t>CIT = T / (1-T)</t>
  </si>
  <si>
    <t xml:space="preserve"> ~ None ~</t>
  </si>
  <si>
    <r>
      <rPr>
        <sz val="10"/>
        <rFont val="Arial"/>
        <family val="2"/>
      </rPr>
      <t xml:space="preserve">12 months </t>
    </r>
    <r>
      <rPr>
        <sz val="10"/>
        <color rgb="FF0000FF"/>
        <rFont val="Arial"/>
        <family val="2"/>
      </rPr>
      <t>June12 - May13</t>
    </r>
  </si>
  <si>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</si>
  <si>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</si>
  <si>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</si>
  <si>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</si>
  <si>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</si>
  <si>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</si>
  <si>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</si>
  <si>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</si>
  <si>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</si>
  <si>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</si>
  <si>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</si>
  <si>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</si>
  <si>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</si>
  <si>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</si>
  <si>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</si>
  <si>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</si>
  <si>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</si>
  <si>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</si>
  <si>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Account 392.06: Transportation Equipment - Trucks &gt; 13,000 pounds</t>
  </si>
  <si>
    <t>FERC Account No.</t>
  </si>
  <si>
    <t>101+102p-102s+103+106</t>
  </si>
  <si>
    <t>Electric Plant In Rate Base</t>
  </si>
  <si>
    <t>Formula Rate -- Itemized Costs</t>
  </si>
  <si>
    <t xml:space="preserve">ATTACHMENT H-25B                </t>
  </si>
  <si>
    <t xml:space="preserve">RMU does not currently pay annual EPRI dues.  </t>
  </si>
  <si>
    <t>ComEd Zone NSPL per PJM data</t>
  </si>
  <si>
    <t xml:space="preserve">  None </t>
  </si>
  <si>
    <t xml:space="preserve">     Plus (Reserved)</t>
  </si>
  <si>
    <t xml:space="preserve">Remove all investment in generator step up transformers included in transmission plant in service that </t>
  </si>
  <si>
    <t>For Reconciliation only - remove New Transmission Plant Additions for Current Calendar Year</t>
  </si>
  <si>
    <t>New Transmission Plant Additions for Current Calendar Year (weighted by months in service)</t>
  </si>
  <si>
    <t>Attachment 6 - Enter negative</t>
  </si>
  <si>
    <t>Real property (state Municipal or Local)</t>
  </si>
  <si>
    <t>Personal Property</t>
  </si>
  <si>
    <t>Federal/State Excise</t>
  </si>
  <si>
    <t>Miscelaneous</t>
  </si>
  <si>
    <t xml:space="preserve">Professional Services </t>
  </si>
  <si>
    <t>The amortization of Rate Swaps, if any, included in Long Term Debt FERC Acct 427.</t>
  </si>
  <si>
    <t xml:space="preserve">Note:  Company to provide for each parcel of land held for future use included a description of its intended use. </t>
  </si>
  <si>
    <t xml:space="preserve">    Less:  Reserved</t>
  </si>
  <si>
    <t xml:space="preserve">    Reserved</t>
  </si>
  <si>
    <t xml:space="preserve">     None</t>
  </si>
  <si>
    <t>Note:  RMU does not have billing determinants of other wholesale customers in the ComEd Zone.  
This is confidential information in the possession of PJM Interconnection, LLC and the individual customers.</t>
  </si>
  <si>
    <t>"Project Name" CWIP EOY Balance and Increments</t>
  </si>
  <si>
    <t>"Project Name" EOY Balance and Increments</t>
  </si>
  <si>
    <t>&lt; Input to Summary page, Line16)</t>
  </si>
  <si>
    <t>Project Name</t>
  </si>
  <si>
    <t>Account 350 Land Rights</t>
  </si>
  <si>
    <t>Account 352 Strutures and Equipment</t>
  </si>
  <si>
    <t>Account 353 Station Equipment</t>
  </si>
  <si>
    <t>Account 354 Towers and Fixtures</t>
  </si>
  <si>
    <t>Account 355 Poles and Fixtures</t>
  </si>
  <si>
    <t>Account 356 Overhead Conductors and Devices</t>
  </si>
  <si>
    <t>Account 357 Underground Conduits</t>
  </si>
  <si>
    <t>Account 358 Underground Conductors and Devices</t>
  </si>
  <si>
    <t>Account 359 Roads and Trails</t>
  </si>
  <si>
    <t>General Advertising Exp Account 930.1 - Edu. &amp; Outreach</t>
  </si>
  <si>
    <t>General Advertising Exp Account 930.1 - Safety</t>
  </si>
  <si>
    <t>Net Plant Carrying Charge with 100 Basis Point increase in ROE</t>
  </si>
  <si>
    <t>Net Plant Carrying Charge with 100 Basis Point increase in ROE without Depreciation</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</si>
  <si>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</si>
  <si>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Prepayments (Excluding Pre-paid Pension assets)</t>
  </si>
  <si>
    <t>of Appendix A - Transmission Service Revenue Requirement - RMU</t>
  </si>
  <si>
    <t>Appendix A - Transmission Service Revenue Requirement -  RMU</t>
  </si>
  <si>
    <t>Rochelle Municipal Utilities (RMU) Transmission Cost of Service Formula Rate</t>
  </si>
  <si>
    <t>Payments in Lieu of Taxes</t>
  </si>
  <si>
    <t>To remove PJM LSE expenses in Accts. 561.4 and 561.8</t>
  </si>
  <si>
    <t>Payroll taxes - FICA, MC, Unemployment</t>
  </si>
  <si>
    <t>Net Plant Carrying Charge Calculation with 100 Basis Point increase in ROE</t>
  </si>
  <si>
    <r>
      <t xml:space="preserve">Attachment 6 - Estimate and Reconciliation Worksheet: </t>
    </r>
    <r>
      <rPr>
        <b/>
        <sz val="14"/>
        <color rgb="FFFF0000"/>
        <rFont val="Arial"/>
        <family val="2"/>
      </rPr>
      <t>RESERVED</t>
    </r>
  </si>
  <si>
    <r>
      <t xml:space="preserve">Attachment 1 - Accumulated Deferred Income Tax (ADIT) Worksheet: </t>
    </r>
    <r>
      <rPr>
        <b/>
        <sz val="14"/>
        <color rgb="FFFF0000"/>
        <rFont val="Arial"/>
        <family val="2"/>
      </rPr>
      <t>RESERVED</t>
    </r>
  </si>
  <si>
    <t>Attachment 2 -Taxes Other Than Income Taxes Worksheet</t>
  </si>
  <si>
    <t xml:space="preserve">     of Appendix A -  RMU Transmission Service Formula Rate</t>
  </si>
  <si>
    <t>Attachment 7 - Transmisssion Enhancement Charge Worksheet</t>
  </si>
  <si>
    <t>Attachment 8 - Securitization Worksheet</t>
  </si>
  <si>
    <t xml:space="preserve">No direct assignmment.  </t>
  </si>
  <si>
    <r>
      <t>p337.</t>
    </r>
    <r>
      <rPr>
        <sz val="10"/>
        <color rgb="FF0000FF"/>
        <rFont val="Arial"/>
        <family val="2"/>
      </rPr>
      <t>37</t>
    </r>
    <r>
      <rPr>
        <sz val="10"/>
        <rFont val="Arial"/>
        <family val="2"/>
      </rPr>
      <t>.b*e</t>
    </r>
  </si>
  <si>
    <t xml:space="preserve">p336.7.b&amp;c&amp;d  </t>
  </si>
  <si>
    <t xml:space="preserve">p200.21.c   </t>
  </si>
  <si>
    <r>
      <t xml:space="preserve">   Less:  </t>
    </r>
    <r>
      <rPr>
        <sz val="12"/>
        <rFont val="Arial"/>
        <family val="2"/>
      </rPr>
      <t>General Plant Account 397 -- Communications</t>
    </r>
  </si>
  <si>
    <t>No Direct Assignment</t>
  </si>
  <si>
    <t>2019 Actual</t>
  </si>
  <si>
    <t xml:space="preserve">Transmission for Others (Note 3)   </t>
  </si>
  <si>
    <t>FERC Form 1 -- p111.57.c</t>
  </si>
  <si>
    <r>
      <t xml:space="preserve">Account 456 - Other Electric Revenues (Note 1)  </t>
    </r>
    <r>
      <rPr>
        <b/>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</si>
</sst>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General_)"/>
    <numFmt numFmtId="170" formatCode="0.0000"/>
    <numFmt numFmtId="171" formatCode="_(&quot;$&quot;* #,##0_);_(&quot;$&quot;* \(#,##0\);_(&quot;$&quot;* &quot;-&quot;??_);_(@_)"/>
    <numFmt numFmtId="172" formatCode="0.000%"/>
    <numFmt numFmtId="173" formatCode="0.00000"/>
    <numFmt numFmtId="174" formatCode="&quot;$&quot;#,##0.00"/>
    <numFmt numFmtId="175" formatCode="0.0%"/>
    <numFmt numFmtId="176" formatCode="0.0000%"/>
    <numFmt numFmtId="177" formatCode="0.00000%"/>
    <numFmt numFmtId="178" formatCode="0.000000%"/>
    <numFmt numFmtId="179" formatCode="&quot;$&quot;#,##0"/>
    <numFmt numFmtId="180" formatCode="0_)"/>
    <numFmt numFmtId="181" formatCode="0_);\(0\)"/>
    <numFmt numFmtId="182" formatCode="#,##0.00000000"/>
    <numFmt numFmtId="183" formatCode="_(* #,##0.0_);_(* \(#,##0.0\);_(* &quot;-&quot;??_);_(@_)"/>
  </numFmts>
  <fonts count="109">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sz val="11"/>
      <name val="Arial"/>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sz val="14"/>
      <color indexed="10"/>
      <name val="Arial"/>
      <family val="2"/>
    </font>
    <font>
      <sz val="10"/>
      <name val="MS Sans Serif"/>
      <family val="2"/>
    </font>
    <font>
      <b/>
      <sz val="10"/>
      <name val="MS Sans Serif"/>
      <family val="2"/>
    </font>
    <font>
      <b/>
      <sz val="16"/>
      <name val="Arial Narrow"/>
      <family val="2"/>
    </font>
    <font>
      <sz val="16"/>
      <name val="Arial Narrow"/>
      <family val="2"/>
    </font>
    <font>
      <b/>
      <sz val="16"/>
      <color indexed="13"/>
      <name val="Arial Narrow"/>
      <family val="2"/>
    </font>
    <font>
      <sz val="16"/>
      <name val="Arial"/>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sz val="12"/>
      <name val="Arial"/>
      <family val="2"/>
    </font>
    <font>
      <b/>
      <sz val="10"/>
      <color indexed="12"/>
      <name val="Arial"/>
      <family val="2"/>
    </font>
    <font>
      <b/>
      <sz val="10"/>
      <name val="Helv"/>
    </font>
    <font>
      <sz val="10"/>
      <name val="Arial"/>
      <family val="2"/>
    </font>
    <font>
      <b/>
      <sz val="8"/>
      <color indexed="10"/>
      <name val="Arial"/>
      <family val="2"/>
    </font>
    <font>
      <b/>
      <i/>
      <u/>
      <sz val="10"/>
      <name val="Arial"/>
      <family val="2"/>
    </font>
    <font>
      <b/>
      <i/>
      <u/>
      <sz val="12"/>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9389629810485"/>
      <name val="Arial"/>
      <family val="2"/>
    </font>
    <font>
      <b/>
      <sz val="10"/>
      <color theme="3" tint="0.59999389629810485"/>
      <name val="Arial"/>
      <family val="2"/>
    </font>
    <font>
      <b/>
      <u/>
      <sz val="10"/>
      <color theme="3" tint="0.59999389629810485"/>
      <name val="Arial"/>
      <family val="2"/>
    </font>
    <font>
      <sz val="11"/>
      <color indexed="8"/>
      <name val="Calibri"/>
      <family val="2"/>
    </font>
    <font>
      <b/>
      <sz val="18"/>
      <color rgb="FFFF0000"/>
      <name val="Arial"/>
      <family val="2"/>
    </font>
    <font>
      <sz val="12"/>
      <color rgb="FFFF0000"/>
      <name val="Arial"/>
      <family val="2"/>
    </font>
    <font>
      <sz val="18"/>
      <name val="Arial"/>
      <family val="2"/>
    </font>
    <font>
      <b/>
      <sz val="14"/>
      <name val="Helv"/>
    </font>
    <font>
      <b/>
      <sz val="14"/>
      <color rgb="FF002060"/>
      <name val="Arial"/>
      <family val="2"/>
    </font>
    <font>
      <b/>
      <sz val="16"/>
      <color theme="1"/>
      <name val="Arial"/>
      <family val="2"/>
    </font>
    <font>
      <sz val="10"/>
      <color rgb="FFFF0000"/>
      <name val="Arial"/>
      <family val="2"/>
    </font>
    <font>
      <b/>
      <sz val="12"/>
      <name val="Helvetica"/>
      <family val="2"/>
    </font>
    <font>
      <b/>
      <sz val="14"/>
      <color rgb="FFFF0000"/>
      <name val="Arial"/>
      <family val="2"/>
    </font>
    <font>
      <sz val="9"/>
      <name val="Arial"/>
      <family val="2"/>
    </font>
    <font>
      <sz val="10"/>
      <color theme="1"/>
      <name val="Arial"/>
      <family val="2"/>
    </font>
    <font>
      <b/>
      <sz val="20"/>
      <name val="Arial"/>
      <family val="2"/>
    </font>
    <font>
      <b/>
      <sz val="12"/>
      <color theme="1"/>
      <name val="Arial"/>
      <family val="2"/>
    </font>
    <font>
      <b/>
      <sz val="12"/>
      <color rgb="FFFF0000"/>
      <name val="Arial"/>
      <family val="2"/>
    </font>
    <font>
      <sz val="12"/>
      <color theme="0"/>
      <name val="Arial"/>
      <family val="2"/>
    </font>
    <font>
      <sz val="12"/>
      <color rgb="FF0000FF"/>
      <name val="Arial"/>
      <family val="2"/>
    </font>
    <font>
      <sz val="10"/>
      <name val="Calibri"/>
      <family val="2"/>
    </font>
    <font>
      <b/>
      <sz val="10"/>
      <name val="Calibri"/>
      <family val="2"/>
    </font>
  </fonts>
  <fills count="19">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A7"/>
        <bgColor indexed="64"/>
      </patternFill>
    </fill>
    <fill>
      <patternFill patternType="solid">
        <fgColor theme="6" tint="0.59999389629810485"/>
        <bgColor indexed="64"/>
      </patternFill>
    </fill>
    <fill>
      <patternFill patternType="solid">
        <fgColor rgb="FFFFEA93"/>
        <bgColor indexed="64"/>
      </patternFill>
    </fill>
    <fill>
      <patternFill patternType="solid">
        <fgColor rgb="FFD5CDE1"/>
        <bgColor indexed="64"/>
      </patternFill>
    </fill>
    <fill>
      <patternFill patternType="solid">
        <fgColor rgb="FFFFE07D"/>
        <bgColor indexed="64"/>
      </patternFill>
    </fill>
    <fill>
      <patternFill patternType="solid">
        <fgColor rgb="FFFFFF81"/>
        <bgColor indexed="64"/>
      </patternFill>
    </fill>
    <fill>
      <patternFill patternType="solid">
        <fgColor rgb="FFE1FFF6"/>
        <bgColor indexed="64"/>
      </patternFill>
    </fill>
  </fills>
  <borders count="49">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55"/>
      </right>
      <top style="thin">
        <color indexed="55"/>
      </top>
      <bottom style="thin">
        <color indexed="55"/>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double">
        <color indexed="64"/>
      </bottom>
      <diagonal/>
    </border>
    <border>
      <left/>
      <right style="thin">
        <color indexed="55"/>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167" fontId="1" fillId="0" borderId="0" applyFont="0" applyFill="0" applyBorder="0" applyAlignment="0" applyProtection="0"/>
    <xf numFmtId="166" fontId="1" fillId="0" borderId="0" applyFont="0" applyFill="0" applyBorder="0" applyAlignment="0" applyProtection="0"/>
    <xf numFmtId="169" fontId="6" fillId="0" borderId="0"/>
    <xf numFmtId="0" fontId="1" fillId="0" borderId="0"/>
    <xf numFmtId="9" fontId="1" fillId="0" borderId="0" applyFont="0" applyFill="0" applyBorder="0" applyAlignment="0" applyProtection="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54" fillId="0" borderId="1">
      <alignment horizontal="center"/>
    </xf>
    <xf numFmtId="3" fontId="53" fillId="0" borderId="0" applyFont="0" applyFill="0" applyBorder="0" applyAlignment="0" applyProtection="0"/>
    <xf numFmtId="0" fontId="53" fillId="2" borderId="0" applyNumberFormat="0" applyFont="0" applyBorder="0" applyAlignment="0" applyProtection="0"/>
    <xf numFmtId="167" fontId="90" fillId="0" borderId="0" applyFont="0" applyFill="0" applyBorder="0" applyAlignment="0" applyProtection="0"/>
  </cellStyleXfs>
  <cellXfs count="1384">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73" fontId="7" fillId="0" borderId="0" xfId="0" applyNumberFormat="1" applyFont="1" applyAlignment="1"/>
    <xf numFmtId="0" fontId="7" fillId="0" borderId="0" xfId="0" applyFont="1" applyAlignment="1"/>
    <xf numFmtId="3" fontId="7" fillId="0" borderId="0" xfId="0" applyNumberFormat="1" applyFont="1" applyFill="1" applyAlignment="1"/>
    <xf numFmtId="172" fontId="7" fillId="0" borderId="0" xfId="0" applyNumberFormat="1" applyFont="1" applyAlignment="1">
      <alignment horizontal="center"/>
    </xf>
    <xf numFmtId="172" fontId="7" fillId="0" borderId="0" xfId="0" applyNumberFormat="1" applyFont="1" applyAlignment="1">
      <alignment horizontal="left"/>
    </xf>
    <xf numFmtId="173"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170" fontId="7" fillId="0" borderId="0" xfId="0" applyNumberFormat="1" applyFont="1" applyAlignment="1"/>
    <xf numFmtId="174" fontId="7" fillId="0" borderId="0" xfId="0" applyNumberFormat="1" applyFont="1" applyAlignment="1"/>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6" fontId="3" fillId="0" borderId="0" xfId="5" applyNumberFormat="1" applyFont="1" applyAlignment="1"/>
    <xf numFmtId="3" fontId="3" fillId="0" borderId="3" xfId="0" applyNumberFormat="1" applyFont="1" applyBorder="1" applyAlignment="1"/>
    <xf numFmtId="3" fontId="7" fillId="0" borderId="0" xfId="0" applyNumberFormat="1" applyFont="1" applyFill="1" applyBorder="1" applyAlignment="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7" fillId="0" borderId="2" xfId="0" applyNumberFormat="1" applyFont="1" applyFill="1" applyBorder="1" applyAlignment="1"/>
    <xf numFmtId="0" fontId="5" fillId="0" borderId="2" xfId="0" applyFont="1" applyBorder="1" applyAlignment="1"/>
    <xf numFmtId="3" fontId="17" fillId="0" borderId="0" xfId="0" applyNumberFormat="1" applyFont="1" applyAlignment="1">
      <alignment horizontal="right"/>
    </xf>
    <xf numFmtId="0" fontId="5" fillId="0" borderId="0" xfId="0" applyFont="1" applyBorder="1" applyAlignment="1"/>
    <xf numFmtId="176"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1" fillId="0" borderId="2" xfId="0" applyFont="1" applyBorder="1"/>
    <xf numFmtId="3" fontId="21" fillId="0" borderId="2" xfId="0" applyNumberFormat="1" applyFont="1" applyBorder="1" applyAlignment="1">
      <alignment horizontal="right"/>
    </xf>
    <xf numFmtId="3" fontId="11" fillId="0" borderId="2" xfId="0" applyNumberFormat="1" applyFont="1" applyBorder="1"/>
    <xf numFmtId="0" fontId="11" fillId="0" borderId="2" xfId="0" applyFont="1" applyBorder="1" applyAlignment="1">
      <alignment horizontal="left"/>
    </xf>
    <xf numFmtId="0" fontId="11"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70"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2"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2"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18"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Border="1" applyAlignment="1">
      <alignment horizontal="left"/>
    </xf>
    <xf numFmtId="0" fontId="5" fillId="0" borderId="0" xfId="0" applyFont="1" applyFill="1" applyBorder="1" applyAlignment="1">
      <alignment horizontal="left"/>
    </xf>
    <xf numFmtId="0" fontId="5" fillId="0" borderId="4" xfId="0" applyFont="1" applyBorder="1" applyAlignment="1"/>
    <xf numFmtId="0" fontId="11" fillId="0" borderId="3" xfId="0"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0" fontId="5"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72" fontId="3" fillId="0" borderId="3" xfId="0" applyNumberFormat="1" applyFont="1" applyBorder="1" applyAlignment="1">
      <alignment horizontal="left"/>
    </xf>
    <xf numFmtId="173"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0" borderId="3" xfId="0" applyFont="1" applyFill="1" applyBorder="1" applyAlignment="1"/>
    <xf numFmtId="0" fontId="5" fillId="0" borderId="3" xfId="0" applyFont="1" applyBorder="1" applyAlignment="1"/>
    <xf numFmtId="0" fontId="22" fillId="0" borderId="0" xfId="0" applyFont="1" applyFill="1" applyBorder="1" applyAlignment="1">
      <alignment horizontal="center"/>
    </xf>
    <xf numFmtId="0" fontId="23" fillId="0" borderId="0" xfId="0" applyFont="1" applyFill="1" applyBorder="1" applyAlignment="1"/>
    <xf numFmtId="0" fontId="5" fillId="0" borderId="0" xfId="0" applyNumberFormat="1" applyFont="1" applyBorder="1"/>
    <xf numFmtId="0" fontId="3" fillId="0" borderId="0" xfId="0" applyFont="1" applyBorder="1" applyAlignment="1"/>
    <xf numFmtId="176" fontId="5" fillId="0" borderId="0" xfId="0" applyNumberFormat="1" applyFont="1" applyBorder="1" applyAlignment="1">
      <alignment horizontal="right"/>
    </xf>
    <xf numFmtId="0" fontId="18" fillId="0" borderId="0" xfId="0" applyFont="1" applyAlignment="1"/>
    <xf numFmtId="173" fontId="3" fillId="0" borderId="3" xfId="0" applyNumberFormat="1" applyFont="1" applyBorder="1" applyAlignment="1"/>
    <xf numFmtId="172" fontId="3" fillId="0" borderId="0" xfId="0" applyNumberFormat="1" applyFont="1" applyBorder="1" applyAlignment="1">
      <alignment horizontal="left"/>
    </xf>
    <xf numFmtId="177" fontId="7" fillId="0" borderId="0" xfId="5" applyNumberFormat="1" applyFont="1" applyFill="1" applyAlignment="1">
      <alignment horizontal="right"/>
    </xf>
    <xf numFmtId="0" fontId="3" fillId="0" borderId="2" xfId="0" applyNumberFormat="1" applyFont="1" applyBorder="1" applyAlignment="1">
      <alignment horizontal="left"/>
    </xf>
    <xf numFmtId="3" fontId="3" fillId="0" borderId="2" xfId="0" applyNumberFormat="1" applyFont="1" applyBorder="1"/>
    <xf numFmtId="37" fontId="18" fillId="0" borderId="0" xfId="0" applyNumberFormat="1" applyFont="1" applyBorder="1" applyAlignment="1">
      <alignment horizontal="left"/>
    </xf>
    <xf numFmtId="0" fontId="11" fillId="0" borderId="0" xfId="0" applyFont="1" applyFill="1" applyBorder="1"/>
    <xf numFmtId="0" fontId="4" fillId="0" borderId="0" xfId="0" applyFont="1"/>
    <xf numFmtId="3" fontId="17"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0" fontId="5"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8" fillId="0" borderId="0" xfId="0" applyFont="1" applyFill="1" applyAlignment="1">
      <alignment horizontal="center"/>
    </xf>
    <xf numFmtId="0" fontId="3" fillId="0" borderId="3" xfId="0" applyFont="1" applyBorder="1" applyAlignment="1">
      <alignment horizontal="center"/>
    </xf>
    <xf numFmtId="0" fontId="5" fillId="0" borderId="0" xfId="0" applyNumberFormat="1" applyFont="1" applyFill="1" applyBorder="1" applyAlignment="1">
      <alignment horizontal="center"/>
    </xf>
    <xf numFmtId="0" fontId="20" fillId="0" borderId="0" xfId="0" applyFont="1" applyBorder="1" applyAlignment="1">
      <alignment horizontal="center"/>
    </xf>
    <xf numFmtId="0" fontId="5"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2" xfId="0" applyNumberFormat="1" applyFont="1" applyFill="1" applyBorder="1" applyAlignment="1">
      <alignment horizontal="center"/>
    </xf>
    <xf numFmtId="0" fontId="8" fillId="0" borderId="0" xfId="0" applyFont="1" applyFill="1" applyAlignment="1">
      <alignment horizontal="left"/>
    </xf>
    <xf numFmtId="10" fontId="7" fillId="0" borderId="0" xfId="5" applyNumberFormat="1" applyFont="1" applyFill="1" applyAlignment="1"/>
    <xf numFmtId="3" fontId="10" fillId="0" borderId="0" xfId="0" applyNumberFormat="1" applyFont="1" applyBorder="1" applyAlignment="1"/>
    <xf numFmtId="3" fontId="29" fillId="0" borderId="0" xfId="0" applyNumberFormat="1" applyFont="1" applyBorder="1" applyAlignment="1">
      <alignment horizontal="right"/>
    </xf>
    <xf numFmtId="3" fontId="20"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4" borderId="0" xfId="0" applyFill="1"/>
    <xf numFmtId="0" fontId="30" fillId="0" borderId="0" xfId="0" applyFont="1"/>
    <xf numFmtId="0" fontId="0" fillId="0" borderId="0" xfId="0" applyAlignment="1">
      <alignment horizontal="center"/>
    </xf>
    <xf numFmtId="0" fontId="0" fillId="0" borderId="0" xfId="0" applyAlignment="1">
      <alignment horizontal="left" wrapText="1"/>
    </xf>
    <xf numFmtId="0" fontId="13" fillId="0" borderId="0" xfId="0" applyFont="1" applyFill="1"/>
    <xf numFmtId="0" fontId="33" fillId="0" borderId="0" xfId="0" applyFont="1" applyAlignment="1">
      <alignment horizontal="left"/>
    </xf>
    <xf numFmtId="0" fontId="33" fillId="0" borderId="0" xfId="0" applyFont="1"/>
    <xf numFmtId="0" fontId="34" fillId="0" borderId="0" xfId="0" applyFont="1"/>
    <xf numFmtId="0" fontId="34" fillId="0" borderId="0" xfId="0" applyFont="1" applyBorder="1"/>
    <xf numFmtId="0" fontId="34" fillId="0" borderId="0" xfId="0" applyFont="1" applyFill="1" applyBorder="1"/>
    <xf numFmtId="0" fontId="12" fillId="0" borderId="0" xfId="0" applyFont="1"/>
    <xf numFmtId="0" fontId="7" fillId="0" borderId="0" xfId="0" applyFont="1" applyAlignment="1">
      <alignment horizontal="left"/>
    </xf>
    <xf numFmtId="0" fontId="35" fillId="0" borderId="0" xfId="0" applyFont="1" applyAlignment="1">
      <alignment horizontal="center"/>
    </xf>
    <xf numFmtId="0" fontId="12" fillId="0" borderId="0" xfId="0" applyFont="1" applyFill="1"/>
    <xf numFmtId="3" fontId="5" fillId="0" borderId="0" xfId="0" applyNumberFormat="1" applyFont="1" applyFill="1" applyBorder="1" applyAlignment="1">
      <alignment horizontal="right"/>
    </xf>
    <xf numFmtId="0" fontId="7" fillId="0" borderId="4" xfId="0" applyFont="1" applyBorder="1" applyAlignment="1"/>
    <xf numFmtId="0" fontId="11" fillId="0" borderId="0" xfId="0" applyFont="1" applyFill="1" applyBorder="1" applyAlignment="1"/>
    <xf numFmtId="0" fontId="11" fillId="0" borderId="0" xfId="0" applyFont="1" applyFill="1"/>
    <xf numFmtId="0" fontId="5" fillId="0" borderId="0" xfId="0" applyFont="1" applyAlignment="1">
      <alignment wrapText="1"/>
    </xf>
    <xf numFmtId="0" fontId="5" fillId="0" borderId="4" xfId="0" applyFont="1" applyBorder="1"/>
    <xf numFmtId="10" fontId="5" fillId="0" borderId="0" xfId="5" applyNumberFormat="1" applyFont="1" applyFill="1"/>
    <xf numFmtId="167" fontId="0" fillId="0" borderId="0" xfId="0" applyNumberFormat="1"/>
    <xf numFmtId="0" fontId="0" fillId="0" borderId="0" xfId="0" applyBorder="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168" fontId="3" fillId="0" borderId="0" xfId="1" applyNumberFormat="1" applyFont="1" applyFill="1" applyAlignment="1"/>
    <xf numFmtId="10" fontId="14" fillId="0" borderId="0" xfId="0" applyNumberFormat="1" applyFont="1" applyFill="1"/>
    <xf numFmtId="0" fontId="13" fillId="0" borderId="0" xfId="0" applyNumberFormat="1" applyFont="1" applyFill="1" applyBorder="1" applyAlignment="1">
      <alignment horizontal="left"/>
    </xf>
    <xf numFmtId="0" fontId="34" fillId="0" borderId="7" xfId="0" applyFont="1" applyBorder="1"/>
    <xf numFmtId="0" fontId="34" fillId="0" borderId="8" xfId="0" applyFont="1" applyBorder="1"/>
    <xf numFmtId="0" fontId="34" fillId="0" borderId="0" xfId="0" applyFont="1" applyFill="1" applyBorder="1" applyAlignment="1">
      <alignment horizontal="center"/>
    </xf>
    <xf numFmtId="0" fontId="34" fillId="0" borderId="7" xfId="0" applyFont="1" applyFill="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34" fillId="0" borderId="9" xfId="0" applyFont="1" applyBorder="1"/>
    <xf numFmtId="0" fontId="34" fillId="0" borderId="10" xfId="0"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34" fillId="0" borderId="0" xfId="0" applyFont="1" applyBorder="1" applyAlignment="1">
      <alignment horizontal="center"/>
    </xf>
    <xf numFmtId="168" fontId="34" fillId="0" borderId="7" xfId="1" applyNumberFormat="1" applyFont="1" applyBorder="1" applyAlignment="1">
      <alignment horizontal="center"/>
    </xf>
    <xf numFmtId="0" fontId="34" fillId="0" borderId="7" xfId="0" applyFont="1" applyBorder="1" applyAlignment="1">
      <alignment horizontal="center"/>
    </xf>
    <xf numFmtId="168" fontId="34" fillId="0" borderId="7" xfId="1" applyNumberFormat="1" applyFont="1" applyBorder="1"/>
    <xf numFmtId="168" fontId="34" fillId="0" borderId="8" xfId="1" applyNumberFormat="1" applyFont="1" applyBorder="1"/>
    <xf numFmtId="168" fontId="34" fillId="0" borderId="0" xfId="1" applyNumberFormat="1" applyFont="1" applyBorder="1"/>
    <xf numFmtId="0" fontId="37" fillId="0" borderId="12" xfId="0" applyFont="1" applyBorder="1" applyAlignment="1">
      <alignment horizontal="center"/>
    </xf>
    <xf numFmtId="0" fontId="34" fillId="0" borderId="13" xfId="0" applyFont="1" applyBorder="1" applyAlignment="1">
      <alignment horizontal="center"/>
    </xf>
    <xf numFmtId="168" fontId="34" fillId="0" borderId="0" xfId="0" applyNumberFormat="1" applyFont="1" applyBorder="1"/>
    <xf numFmtId="171" fontId="34" fillId="0" borderId="7" xfId="0" applyNumberFormat="1" applyFont="1" applyBorder="1"/>
    <xf numFmtId="168" fontId="34" fillId="0" borderId="8" xfId="0" applyNumberFormat="1" applyFont="1" applyBorder="1"/>
    <xf numFmtId="168" fontId="37" fillId="0" borderId="13" xfId="0" applyNumberFormat="1" applyFont="1" applyBorder="1"/>
    <xf numFmtId="168" fontId="37" fillId="0" borderId="0" xfId="0" applyNumberFormat="1" applyFont="1" applyBorder="1"/>
    <xf numFmtId="168" fontId="37" fillId="0" borderId="7" xfId="1" applyNumberFormat="1" applyFont="1" applyBorder="1"/>
    <xf numFmtId="168" fontId="37" fillId="0" borderId="14" xfId="0" applyNumberFormat="1" applyFont="1" applyBorder="1"/>
    <xf numFmtId="168" fontId="37" fillId="0" borderId="1" xfId="0" applyNumberFormat="1" applyFont="1" applyBorder="1"/>
    <xf numFmtId="168" fontId="37" fillId="0" borderId="15" xfId="1" applyNumberFormat="1" applyFont="1" applyBorder="1"/>
    <xf numFmtId="0" fontId="34" fillId="0" borderId="0" xfId="0" applyFont="1" applyAlignment="1">
      <alignment horizontal="center"/>
    </xf>
    <xf numFmtId="168" fontId="34" fillId="0" borderId="0" xfId="1" applyNumberFormat="1" applyFont="1"/>
    <xf numFmtId="171" fontId="34" fillId="0" borderId="0" xfId="2" applyNumberFormat="1" applyFont="1"/>
    <xf numFmtId="0" fontId="37" fillId="0" borderId="12" xfId="0" applyFont="1" applyFill="1" applyBorder="1" applyAlignment="1">
      <alignment horizontal="center"/>
    </xf>
    <xf numFmtId="171" fontId="34" fillId="0" borderId="13" xfId="2" applyNumberFormat="1" applyFont="1" applyBorder="1"/>
    <xf numFmtId="0" fontId="34" fillId="0" borderId="8" xfId="0" applyFont="1" applyFill="1" applyBorder="1"/>
    <xf numFmtId="168" fontId="34" fillId="0" borderId="0" xfId="1" applyNumberFormat="1" applyFont="1" applyFill="1" applyBorder="1"/>
    <xf numFmtId="168" fontId="34" fillId="0" borderId="7" xfId="1" applyNumberFormat="1" applyFont="1" applyFill="1" applyBorder="1"/>
    <xf numFmtId="37" fontId="1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4" fillId="0" borderId="11" xfId="0" applyFont="1" applyBorder="1"/>
    <xf numFmtId="0" fontId="39" fillId="0" borderId="0" xfId="0" applyNumberFormat="1" applyFont="1" applyFill="1" applyBorder="1" applyAlignment="1">
      <alignment horizontal="center"/>
    </xf>
    <xf numFmtId="3" fontId="5" fillId="0" borderId="0" xfId="0" applyNumberFormat="1" applyFont="1" applyAlignment="1">
      <alignment horizontal="center"/>
    </xf>
    <xf numFmtId="0" fontId="7" fillId="0" borderId="0" xfId="0" applyFont="1" applyFill="1"/>
    <xf numFmtId="0" fontId="0" fillId="0" borderId="0" xfId="0" applyFill="1" applyAlignment="1">
      <alignment wrapText="1"/>
    </xf>
    <xf numFmtId="0" fontId="4" fillId="0" borderId="0" xfId="0" applyFont="1" applyFill="1"/>
    <xf numFmtId="0" fontId="2" fillId="0" borderId="0" xfId="0" applyFont="1" applyAlignment="1"/>
    <xf numFmtId="0" fontId="0" fillId="0" borderId="0" xfId="0" applyAlignment="1">
      <alignment horizontal="left"/>
    </xf>
    <xf numFmtId="0" fontId="13" fillId="0" borderId="0" xfId="0" applyFont="1" applyFill="1" applyAlignment="1"/>
    <xf numFmtId="0" fontId="13" fillId="0" borderId="0" xfId="0" applyFont="1"/>
    <xf numFmtId="0" fontId="7" fillId="0" borderId="4" xfId="0" applyNumberFormat="1" applyFont="1" applyFill="1" applyBorder="1" applyAlignment="1">
      <alignment horizontal="left"/>
    </xf>
    <xf numFmtId="168" fontId="1" fillId="0" borderId="0" xfId="1" applyNumberFormat="1"/>
    <xf numFmtId="176" fontId="1" fillId="0" borderId="0" xfId="5" applyNumberFormat="1"/>
    <xf numFmtId="3" fontId="36" fillId="0" borderId="0" xfId="0" applyNumberFormat="1" applyFont="1"/>
    <xf numFmtId="0" fontId="34" fillId="4" borderId="8" xfId="0" applyFont="1" applyFill="1" applyBorder="1" applyAlignment="1">
      <alignment horizontal="center"/>
    </xf>
    <xf numFmtId="168" fontId="34" fillId="4" borderId="8" xfId="1" applyNumberFormat="1" applyFont="1" applyFill="1" applyBorder="1"/>
    <xf numFmtId="168" fontId="13" fillId="0" borderId="0" xfId="1" applyNumberFormat="1" applyFont="1" applyFill="1" applyBorder="1" applyAlignment="1"/>
    <xf numFmtId="0" fontId="2" fillId="0" borderId="0" xfId="0" applyFont="1" applyFill="1" applyAlignment="1">
      <alignment horizontal="center"/>
    </xf>
    <xf numFmtId="0" fontId="34" fillId="0" borderId="10" xfId="0" applyFont="1" applyBorder="1"/>
    <xf numFmtId="0" fontId="30" fillId="0" borderId="0" xfId="0" applyFont="1" applyBorder="1"/>
    <xf numFmtId="0" fontId="0" fillId="0" borderId="0" xfId="0" applyFill="1" applyAlignment="1"/>
    <xf numFmtId="0" fontId="40"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8" fontId="45" fillId="0" borderId="0" xfId="1" applyNumberFormat="1" applyFont="1" applyFill="1" applyAlignment="1"/>
    <xf numFmtId="0" fontId="45" fillId="0" borderId="0" xfId="0" applyFont="1" applyFill="1"/>
    <xf numFmtId="0" fontId="7" fillId="0" borderId="2" xfId="0" applyFont="1" applyFill="1" applyBorder="1" applyAlignment="1">
      <alignment horizontal="left"/>
    </xf>
    <xf numFmtId="168" fontId="5" fillId="0" borderId="0" xfId="1" applyNumberFormat="1" applyFont="1" applyFill="1"/>
    <xf numFmtId="168" fontId="14" fillId="0" borderId="0" xfId="0" applyNumberFormat="1" applyFont="1" applyFill="1"/>
    <xf numFmtId="9" fontId="14" fillId="0" borderId="0" xfId="0" applyNumberFormat="1" applyFont="1" applyFill="1"/>
    <xf numFmtId="0" fontId="27" fillId="0" borderId="0" xfId="0" applyNumberFormat="1" applyFont="1" applyFill="1"/>
    <xf numFmtId="0" fontId="12" fillId="0" borderId="0" xfId="0" applyFont="1" applyFill="1" applyAlignment="1"/>
    <xf numFmtId="0" fontId="34" fillId="0" borderId="9" xfId="0" applyFont="1" applyFill="1" applyBorder="1"/>
    <xf numFmtId="0" fontId="2" fillId="0" borderId="0" xfId="0" applyFont="1" applyFill="1"/>
    <xf numFmtId="0" fontId="13" fillId="0" borderId="0" xfId="0" applyFont="1" applyFill="1" applyBorder="1"/>
    <xf numFmtId="0" fontId="10" fillId="0" borderId="0" xfId="0" applyFont="1" applyFill="1" applyAlignment="1"/>
    <xf numFmtId="0" fontId="10" fillId="0" borderId="0" xfId="0" applyFont="1" applyFill="1" applyBorder="1" applyAlignment="1"/>
    <xf numFmtId="0" fontId="5" fillId="0" borderId="0" xfId="0" applyFont="1" applyFill="1" applyAlignment="1">
      <alignment wrapText="1"/>
    </xf>
    <xf numFmtId="0" fontId="38" fillId="0" borderId="0" xfId="0" applyFont="1" applyFill="1"/>
    <xf numFmtId="0" fontId="3" fillId="0" borderId="0" xfId="0" applyFont="1" applyFill="1" applyAlignment="1">
      <alignment horizontal="center"/>
    </xf>
    <xf numFmtId="3" fontId="7" fillId="0" borderId="4" xfId="0" applyNumberFormat="1" applyFont="1" applyBorder="1"/>
    <xf numFmtId="0" fontId="16" fillId="0" borderId="0" xfId="0" applyNumberFormat="1" applyFont="1" applyFill="1" applyBorder="1" applyAlignment="1">
      <alignment horizontal="center"/>
    </xf>
    <xf numFmtId="0" fontId="46" fillId="0" borderId="0" xfId="0" applyFont="1" applyBorder="1"/>
    <xf numFmtId="167" fontId="34" fillId="4" borderId="8" xfId="1" applyNumberFormat="1" applyFont="1" applyFill="1" applyBorder="1"/>
    <xf numFmtId="168" fontId="37" fillId="0" borderId="10" xfId="1" applyNumberFormat="1" applyFont="1" applyBorder="1" applyAlignment="1">
      <alignment horizontal="center"/>
    </xf>
    <xf numFmtId="168" fontId="37" fillId="0" borderId="8" xfId="0" applyNumberFormat="1" applyFont="1" applyBorder="1"/>
    <xf numFmtId="168" fontId="37" fillId="0" borderId="16" xfId="0" applyNumberFormat="1" applyFont="1" applyBorder="1"/>
    <xf numFmtId="171" fontId="0" fillId="0" borderId="0" xfId="0" applyNumberFormat="1"/>
    <xf numFmtId="0" fontId="48" fillId="0" borderId="0" xfId="0" applyFont="1" applyFill="1" applyBorder="1" applyAlignment="1">
      <alignment horizontal="left"/>
    </xf>
    <xf numFmtId="0" fontId="48" fillId="0" borderId="0" xfId="0" applyFont="1" applyFill="1" applyBorder="1" applyAlignment="1">
      <alignment horizontal="center"/>
    </xf>
    <xf numFmtId="0" fontId="48" fillId="0" borderId="7" xfId="0" applyFont="1" applyFill="1" applyBorder="1" applyAlignment="1">
      <alignment horizontal="center"/>
    </xf>
    <xf numFmtId="0" fontId="3" fillId="0" borderId="0" xfId="0" applyNumberFormat="1" applyFont="1" applyFill="1" applyAlignment="1">
      <alignment horizontal="left"/>
    </xf>
    <xf numFmtId="0" fontId="49" fillId="0" borderId="0" xfId="0" applyNumberFormat="1" applyFont="1" applyFill="1" applyAlignment="1">
      <alignment horizontal="left"/>
    </xf>
    <xf numFmtId="0" fontId="50" fillId="0" borderId="8"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left"/>
    </xf>
    <xf numFmtId="0" fontId="13" fillId="0" borderId="0" xfId="0" applyFont="1" applyFill="1" applyAlignment="1">
      <alignment wrapText="1"/>
    </xf>
    <xf numFmtId="168" fontId="13" fillId="0" borderId="0" xfId="0" applyNumberFormat="1" applyFont="1" applyFill="1"/>
    <xf numFmtId="0" fontId="45" fillId="0" borderId="0" xfId="0" applyFont="1" applyFill="1" applyAlignment="1">
      <alignment horizontal="center"/>
    </xf>
    <xf numFmtId="0" fontId="13" fillId="0" borderId="0" xfId="0" applyFont="1" applyFill="1" applyAlignment="1">
      <alignment horizontal="center"/>
    </xf>
    <xf numFmtId="0" fontId="45" fillId="0" borderId="0" xfId="0" applyFont="1"/>
    <xf numFmtId="0" fontId="42" fillId="0" borderId="0" xfId="0" applyFont="1" applyFill="1" applyAlignment="1"/>
    <xf numFmtId="168" fontId="45" fillId="0" borderId="0" xfId="1" applyNumberFormat="1" applyFont="1" applyFill="1" applyBorder="1" applyAlignment="1"/>
    <xf numFmtId="0" fontId="13" fillId="0" borderId="0" xfId="0" applyFont="1" applyFill="1" applyAlignment="1">
      <alignment horizontal="center" vertical="top"/>
    </xf>
    <xf numFmtId="0" fontId="34" fillId="0" borderId="0" xfId="0" applyFont="1" applyFill="1" applyAlignment="1">
      <alignment vertical="center" wrapText="1"/>
    </xf>
    <xf numFmtId="0" fontId="7" fillId="0" borderId="0" xfId="0" applyNumberFormat="1" applyFont="1" applyFill="1"/>
    <xf numFmtId="0" fontId="11"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0" fontId="8" fillId="0" borderId="0" xfId="0" applyNumberFormat="1" applyFont="1" applyFill="1" applyAlignment="1"/>
    <xf numFmtId="0" fontId="2"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4" fillId="0" borderId="12" xfId="0" applyFont="1" applyBorder="1"/>
    <xf numFmtId="0" fontId="34" fillId="0" borderId="13" xfId="0" applyFont="1" applyBorder="1"/>
    <xf numFmtId="0" fontId="34" fillId="0" borderId="13" xfId="0" applyFont="1" applyFill="1" applyBorder="1" applyAlignment="1">
      <alignment horizontal="center"/>
    </xf>
    <xf numFmtId="0" fontId="34" fillId="0" borderId="14" xfId="0" applyFont="1" applyBorder="1"/>
    <xf numFmtId="2" fontId="34" fillId="4" borderId="8" xfId="0" applyNumberFormat="1" applyFont="1" applyFill="1" applyBorder="1" applyAlignment="1">
      <alignment horizontal="center"/>
    </xf>
    <xf numFmtId="3" fontId="17" fillId="0" borderId="4" xfId="0" applyNumberFormat="1" applyFont="1" applyFill="1" applyBorder="1" applyAlignment="1">
      <alignment horizontal="right"/>
    </xf>
    <xf numFmtId="10" fontId="7" fillId="0" borderId="0" xfId="0" applyNumberFormat="1" applyFont="1" applyFill="1"/>
    <xf numFmtId="0" fontId="34" fillId="0" borderId="15" xfId="0" applyFont="1" applyFill="1" applyBorder="1"/>
    <xf numFmtId="0" fontId="55" fillId="0" borderId="0" xfId="0" applyNumberFormat="1" applyFont="1" applyFill="1" applyBorder="1" applyAlignment="1">
      <alignment horizontal="center"/>
    </xf>
    <xf numFmtId="0" fontId="56" fillId="0" borderId="0" xfId="0" applyNumberFormat="1" applyFont="1" applyFill="1" applyAlignment="1">
      <alignment horizontal="center"/>
    </xf>
    <xf numFmtId="0" fontId="57" fillId="0" borderId="0" xfId="0" applyNumberFormat="1" applyFont="1" applyFill="1" applyBorder="1" applyAlignment="1">
      <alignment horizontal="left"/>
    </xf>
    <xf numFmtId="0" fontId="58" fillId="0" borderId="0" xfId="0" applyNumberFormat="1" applyFont="1" applyFill="1" applyBorder="1" applyAlignment="1">
      <alignment horizontal="center"/>
    </xf>
    <xf numFmtId="0" fontId="58" fillId="0" borderId="0" xfId="0" applyNumberFormat="1" applyFont="1" applyFill="1" applyAlignment="1">
      <alignment horizontal="left"/>
    </xf>
    <xf numFmtId="0" fontId="58" fillId="0" borderId="0" xfId="0" applyFont="1" applyFill="1" applyAlignment="1"/>
    <xf numFmtId="0" fontId="59" fillId="0" borderId="0" xfId="0" applyNumberFormat="1" applyFont="1" applyFill="1" applyAlignment="1">
      <alignment horizontal="left"/>
    </xf>
    <xf numFmtId="0" fontId="58" fillId="0" borderId="0" xfId="0" applyFont="1" applyFill="1"/>
    <xf numFmtId="0" fontId="58" fillId="0" borderId="0" xfId="0" applyFont="1" applyFill="1" applyAlignment="1">
      <alignment horizontal="left"/>
    </xf>
    <xf numFmtId="0" fontId="58" fillId="0" borderId="0" xfId="0" applyFont="1" applyFill="1" applyAlignment="1">
      <alignment horizontal="center"/>
    </xf>
    <xf numFmtId="0" fontId="58" fillId="0" borderId="0" xfId="0" applyFont="1" applyAlignment="1">
      <alignment horizontal="left"/>
    </xf>
    <xf numFmtId="0" fontId="58" fillId="0" borderId="0" xfId="0" applyFont="1" applyAlignment="1"/>
    <xf numFmtId="0" fontId="58" fillId="0" borderId="0" xfId="0" applyFont="1" applyAlignment="1">
      <alignment horizontal="center"/>
    </xf>
    <xf numFmtId="0" fontId="58" fillId="0" borderId="0" xfId="0" applyFont="1"/>
    <xf numFmtId="37" fontId="16" fillId="0" borderId="0" xfId="0" applyNumberFormat="1" applyFont="1" applyFill="1" applyBorder="1" applyAlignment="1">
      <alignment horizontal="right"/>
    </xf>
    <xf numFmtId="0" fontId="39" fillId="0" borderId="0" xfId="0" applyFont="1" applyFill="1" applyAlignment="1"/>
    <xf numFmtId="0" fontId="39" fillId="0" borderId="0" xfId="0" applyFont="1" applyFill="1"/>
    <xf numFmtId="0" fontId="39" fillId="0" borderId="0" xfId="0" applyFont="1"/>
    <xf numFmtId="37" fontId="39" fillId="0" borderId="0" xfId="0" applyNumberFormat="1" applyFont="1" applyFill="1" applyBorder="1" applyAlignment="1">
      <alignment horizontal="left"/>
    </xf>
    <xf numFmtId="0" fontId="39" fillId="0" borderId="0" xfId="0" applyFont="1" applyFill="1" applyBorder="1" applyAlignment="1">
      <alignment horizontal="left"/>
    </xf>
    <xf numFmtId="179" fontId="39" fillId="0" borderId="0" xfId="0" applyNumberFormat="1" applyFont="1" applyFill="1" applyBorder="1" applyAlignment="1">
      <alignment horizontal="left"/>
    </xf>
    <xf numFmtId="0" fontId="39" fillId="0" borderId="0" xfId="0" applyFont="1" applyFill="1" applyAlignment="1">
      <alignment horizontal="center"/>
    </xf>
    <xf numFmtId="0" fontId="13" fillId="0" borderId="0" xfId="0" applyFont="1" applyFill="1" applyAlignment="1">
      <alignment horizontal="left"/>
    </xf>
    <xf numFmtId="0" fontId="34" fillId="0" borderId="16" xfId="0" applyFont="1" applyFill="1" applyBorder="1"/>
    <xf numFmtId="0" fontId="37" fillId="0" borderId="9" xfId="0" applyFont="1" applyFill="1" applyBorder="1" applyAlignment="1">
      <alignment horizontal="center" wrapText="1"/>
    </xf>
    <xf numFmtId="0" fontId="37" fillId="0" borderId="11" xfId="0" applyFont="1" applyFill="1" applyBorder="1" applyAlignment="1">
      <alignment horizontal="center" wrapText="1"/>
    </xf>
    <xf numFmtId="171" fontId="34" fillId="0" borderId="8" xfId="0" applyNumberFormat="1" applyFont="1" applyBorder="1"/>
    <xf numFmtId="0" fontId="5" fillId="0" borderId="0" xfId="0" applyNumberFormat="1" applyFont="1" applyFill="1" applyBorder="1" applyAlignment="1">
      <alignment horizontal="left"/>
    </xf>
    <xf numFmtId="168" fontId="5" fillId="0" borderId="4" xfId="1" applyNumberFormat="1" applyFont="1" applyFill="1" applyBorder="1"/>
    <xf numFmtId="3" fontId="3" fillId="0" borderId="4" xfId="0" applyNumberFormat="1" applyFont="1" applyBorder="1" applyAlignment="1"/>
    <xf numFmtId="174" fontId="7" fillId="0" borderId="0" xfId="0" applyNumberFormat="1" applyFont="1" applyFill="1" applyAlignment="1"/>
    <xf numFmtId="3" fontId="7" fillId="0" borderId="4" xfId="0" applyNumberFormat="1" applyFont="1" applyFill="1" applyBorder="1" applyAlignment="1">
      <alignment horizontal="left"/>
    </xf>
    <xf numFmtId="0" fontId="3" fillId="0" borderId="0" xfId="0" applyFont="1" applyAlignment="1">
      <alignment horizontal="left"/>
    </xf>
    <xf numFmtId="10" fontId="5" fillId="0" borderId="0" xfId="5" applyNumberFormat="1" applyFont="1" applyFill="1" applyBorder="1"/>
    <xf numFmtId="0" fontId="46" fillId="0" borderId="0" xfId="0" applyFont="1" applyFill="1" applyBorder="1"/>
    <xf numFmtId="0" fontId="47" fillId="0" borderId="0" xfId="0" applyFont="1" applyFill="1" applyBorder="1" applyAlignment="1">
      <alignment horizontal="left"/>
    </xf>
    <xf numFmtId="168" fontId="34" fillId="0" borderId="7" xfId="1" applyNumberFormat="1" applyFont="1" applyFill="1" applyBorder="1" applyAlignment="1">
      <alignment horizontal="center"/>
    </xf>
    <xf numFmtId="0" fontId="13" fillId="0" borderId="0" xfId="0" applyFont="1" applyAlignment="1">
      <alignment horizontal="left"/>
    </xf>
    <xf numFmtId="0" fontId="9" fillId="0" borderId="0" xfId="0" applyFont="1" applyFill="1"/>
    <xf numFmtId="0" fontId="61" fillId="0" borderId="0" xfId="0" applyFont="1" applyFill="1"/>
    <xf numFmtId="176" fontId="34" fillId="0" borderId="8" xfId="0" applyNumberFormat="1" applyFont="1" applyBorder="1"/>
    <xf numFmtId="0" fontId="26" fillId="0" borderId="0" xfId="0" applyFont="1" applyFill="1" applyAlignment="1">
      <alignment vertical="center" wrapText="1"/>
    </xf>
    <xf numFmtId="0" fontId="0" fillId="0" borderId="4" xfId="0" applyBorder="1" applyAlignment="1">
      <alignment horizontal="center"/>
    </xf>
    <xf numFmtId="2" fontId="0" fillId="0" borderId="0" xfId="0" applyNumberFormat="1"/>
    <xf numFmtId="49" fontId="0" fillId="0" borderId="0" xfId="0" applyNumberFormat="1" applyAlignment="1">
      <alignment horizontal="left" indent="1"/>
    </xf>
    <xf numFmtId="0" fontId="44" fillId="0" borderId="0" xfId="0" applyFont="1" applyFill="1" applyBorder="1"/>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horizontal="center"/>
    </xf>
    <xf numFmtId="0" fontId="62" fillId="0" borderId="0" xfId="0" applyFont="1" applyFill="1" applyBorder="1" applyAlignment="1"/>
    <xf numFmtId="0" fontId="63" fillId="0" borderId="0" xfId="0" applyFont="1" applyFill="1" applyBorder="1" applyAlignment="1">
      <alignment horizontal="center"/>
    </xf>
    <xf numFmtId="0" fontId="62" fillId="0" borderId="0" xfId="0" applyFont="1" applyFill="1" applyAlignment="1"/>
    <xf numFmtId="0" fontId="62" fillId="0" borderId="0" xfId="0" applyNumberFormat="1" applyFont="1" applyFill="1" applyBorder="1" applyAlignment="1">
      <alignment horizontal="center"/>
    </xf>
    <xf numFmtId="0" fontId="24" fillId="0" borderId="0" xfId="0" applyFont="1" applyFill="1" applyBorder="1" applyAlignment="1"/>
    <xf numFmtId="0" fontId="25" fillId="0" borderId="0" xfId="0" applyFont="1" applyFill="1" applyBorder="1" applyAlignment="1">
      <alignment horizontal="center"/>
    </xf>
    <xf numFmtId="176" fontId="11" fillId="0" borderId="0" xfId="5" applyNumberFormat="1" applyFont="1" applyAlignment="1"/>
    <xf numFmtId="3" fontId="11" fillId="0" borderId="0" xfId="0" applyNumberFormat="1" applyFont="1" applyFill="1" applyBorder="1"/>
    <xf numFmtId="0" fontId="11" fillId="0" borderId="0" xfId="0" applyNumberFormat="1" applyFont="1" applyAlignment="1">
      <alignment horizontal="left"/>
    </xf>
    <xf numFmtId="0" fontId="20" fillId="0" borderId="0" xfId="0" applyFont="1" applyFill="1" applyAlignment="1"/>
    <xf numFmtId="3" fontId="5" fillId="0" borderId="0" xfId="0" applyNumberFormat="1" applyFont="1" applyFill="1" applyBorder="1" applyAlignment="1"/>
    <xf numFmtId="0" fontId="3" fillId="0" borderId="0" xfId="0" applyNumberFormat="1" applyFont="1" applyBorder="1" applyAlignment="1">
      <alignment horizontal="center"/>
    </xf>
    <xf numFmtId="0" fontId="11" fillId="0" borderId="0" xfId="0" applyNumberFormat="1" applyFont="1" applyFill="1" applyBorder="1" applyAlignment="1"/>
    <xf numFmtId="3" fontId="11" fillId="0" borderId="0" xfId="0" applyNumberFormat="1" applyFont="1" applyBorder="1" applyAlignment="1"/>
    <xf numFmtId="0" fontId="11" fillId="0" borderId="0" xfId="0" applyNumberFormat="1" applyFont="1" applyBorder="1" applyAlignment="1">
      <alignment horizontal="center"/>
    </xf>
    <xf numFmtId="0" fontId="11" fillId="0" borderId="0" xfId="0" applyNumberFormat="1" applyFont="1" applyBorder="1" applyAlignment="1">
      <alignment horizontal="left"/>
    </xf>
    <xf numFmtId="0" fontId="5" fillId="0" borderId="0" xfId="0" applyNumberFormat="1" applyFont="1" applyFill="1" applyBorder="1" applyAlignment="1"/>
    <xf numFmtId="3" fontId="5" fillId="0" borderId="0" xfId="0" applyNumberFormat="1" applyFont="1" applyFill="1" applyBorder="1"/>
    <xf numFmtId="0" fontId="5" fillId="0" borderId="4" xfId="0" applyNumberFormat="1" applyFont="1" applyFill="1" applyBorder="1" applyAlignment="1"/>
    <xf numFmtId="0" fontId="11" fillId="0" borderId="4" xfId="0" applyFont="1" applyFill="1" applyBorder="1" applyAlignment="1"/>
    <xf numFmtId="3" fontId="5" fillId="0" borderId="4" xfId="0" applyNumberFormat="1" applyFont="1" applyFill="1" applyBorder="1" applyAlignment="1"/>
    <xf numFmtId="3" fontId="5" fillId="0" borderId="4" xfId="0" applyNumberFormat="1" applyFont="1" applyFill="1" applyBorder="1"/>
    <xf numFmtId="0" fontId="11" fillId="0" borderId="2" xfId="0" applyFont="1" applyFill="1" applyBorder="1"/>
    <xf numFmtId="0" fontId="11" fillId="0" borderId="2" xfId="0" applyFont="1" applyBorder="1" applyAlignment="1"/>
    <xf numFmtId="172" fontId="5" fillId="0" borderId="0" xfId="0" applyNumberFormat="1" applyFont="1" applyBorder="1" applyAlignment="1">
      <alignment horizontal="left"/>
    </xf>
    <xf numFmtId="0" fontId="11" fillId="0" borderId="0" xfId="0" applyNumberFormat="1" applyFont="1" applyFill="1" applyAlignment="1">
      <alignment horizontal="center"/>
    </xf>
    <xf numFmtId="0" fontId="11" fillId="0" borderId="0" xfId="0" applyNumberFormat="1" applyFont="1" applyFill="1" applyAlignment="1"/>
    <xf numFmtId="3" fontId="5" fillId="0" borderId="0" xfId="0" applyNumberFormat="1" applyFont="1" applyFill="1" applyAlignment="1"/>
    <xf numFmtId="3" fontId="5" fillId="0" borderId="0" xfId="0" applyNumberFormat="1" applyFont="1" applyAlignment="1"/>
    <xf numFmtId="0" fontId="5" fillId="0" borderId="2" xfId="0" applyNumberFormat="1" applyFont="1" applyFill="1" applyBorder="1" applyAlignment="1"/>
    <xf numFmtId="3" fontId="5" fillId="0" borderId="2" xfId="0" applyNumberFormat="1" applyFont="1" applyBorder="1" applyAlignment="1"/>
    <xf numFmtId="3" fontId="5" fillId="0" borderId="2" xfId="0" applyNumberFormat="1" applyFont="1" applyFill="1" applyBorder="1" applyAlignment="1"/>
    <xf numFmtId="0" fontId="5" fillId="0" borderId="0" xfId="0" applyNumberFormat="1" applyFont="1" applyAlignment="1"/>
    <xf numFmtId="0" fontId="11" fillId="0" borderId="3" xfId="0" applyNumberFormat="1" applyFont="1" applyFill="1" applyBorder="1" applyAlignment="1"/>
    <xf numFmtId="3" fontId="5" fillId="0" borderId="3" xfId="0" applyNumberFormat="1" applyFont="1" applyFill="1" applyBorder="1" applyAlignment="1"/>
    <xf numFmtId="0" fontId="11" fillId="0" borderId="3" xfId="0" applyFont="1" applyBorder="1"/>
    <xf numFmtId="0" fontId="5" fillId="0" borderId="0" xfId="0" applyNumberFormat="1" applyFont="1" applyFill="1" applyAlignment="1"/>
    <xf numFmtId="3" fontId="11" fillId="0" borderId="0" xfId="0" applyNumberFormat="1" applyFont="1" applyFill="1" applyAlignment="1"/>
    <xf numFmtId="3" fontId="5" fillId="0" borderId="0" xfId="0" applyNumberFormat="1" applyFont="1" applyBorder="1" applyAlignment="1"/>
    <xf numFmtId="0" fontId="11" fillId="0" borderId="0" xfId="0" applyNumberFormat="1" applyFont="1" applyFill="1" applyAlignment="1">
      <alignment horizontal="right"/>
    </xf>
    <xf numFmtId="3" fontId="11" fillId="0" borderId="0" xfId="0" applyNumberFormat="1" applyFont="1" applyFill="1" applyBorder="1" applyAlignment="1"/>
    <xf numFmtId="0" fontId="11" fillId="0" borderId="2" xfId="0" applyNumberFormat="1" applyFont="1" applyFill="1" applyBorder="1" applyAlignment="1"/>
    <xf numFmtId="0" fontId="11" fillId="0" borderId="3" xfId="0" applyFont="1" applyFill="1" applyBorder="1"/>
    <xf numFmtId="3" fontId="11" fillId="0" borderId="3" xfId="0" applyNumberFormat="1" applyFont="1" applyFill="1" applyBorder="1" applyAlignment="1"/>
    <xf numFmtId="3" fontId="11" fillId="0" borderId="3" xfId="0" applyNumberFormat="1" applyFont="1" applyBorder="1"/>
    <xf numFmtId="172" fontId="5" fillId="0" borderId="0" xfId="0" applyNumberFormat="1" applyFont="1" applyAlignment="1">
      <alignment horizontal="center"/>
    </xf>
    <xf numFmtId="0" fontId="11" fillId="0" borderId="3" xfId="0" applyFont="1" applyBorder="1" applyAlignment="1">
      <alignment horizontal="left"/>
    </xf>
    <xf numFmtId="0" fontId="11" fillId="0" borderId="0" xfId="0" applyFont="1" applyFill="1" applyAlignment="1"/>
    <xf numFmtId="0" fontId="5" fillId="0" borderId="0" xfId="0" applyFont="1" applyFill="1" applyBorder="1" applyAlignment="1">
      <alignment horizontal="right"/>
    </xf>
    <xf numFmtId="0" fontId="11" fillId="0" borderId="0" xfId="0" applyNumberFormat="1" applyFont="1" applyFill="1" applyAlignment="1">
      <alignment horizontal="left"/>
    </xf>
    <xf numFmtId="3" fontId="5" fillId="0" borderId="0" xfId="0" applyNumberFormat="1" applyFont="1" applyFill="1" applyAlignment="1">
      <alignment horizontal="right"/>
    </xf>
    <xf numFmtId="10" fontId="5" fillId="0" borderId="0" xfId="0" applyNumberFormat="1" applyFont="1" applyFill="1" applyAlignment="1">
      <alignment horizontal="right"/>
    </xf>
    <xf numFmtId="0" fontId="11" fillId="0" borderId="2" xfId="0" applyNumberFormat="1" applyFont="1" applyFill="1" applyBorder="1" applyAlignment="1">
      <alignment horizontal="left"/>
    </xf>
    <xf numFmtId="3" fontId="11" fillId="0" borderId="2" xfId="0" applyNumberFormat="1" applyFont="1" applyBorder="1" applyAlignment="1">
      <alignment horizontal="right"/>
    </xf>
    <xf numFmtId="3" fontId="11" fillId="0" borderId="3" xfId="0" applyNumberFormat="1" applyFont="1" applyFill="1" applyBorder="1"/>
    <xf numFmtId="3" fontId="11" fillId="0" borderId="2" xfId="0" applyNumberFormat="1" applyFont="1" applyFill="1" applyBorder="1" applyAlignme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3" fontId="5" fillId="0" borderId="0" xfId="0" applyNumberFormat="1" applyFont="1" applyBorder="1" applyAlignment="1">
      <alignment horizontal="right"/>
    </xf>
    <xf numFmtId="0" fontId="11" fillId="0" borderId="3" xfId="0" applyNumberFormat="1" applyFont="1" applyBorder="1" applyAlignment="1">
      <alignment horizontal="left"/>
    </xf>
    <xf numFmtId="0" fontId="11" fillId="0" borderId="3" xfId="0" applyFont="1" applyBorder="1" applyAlignment="1"/>
    <xf numFmtId="3" fontId="11" fillId="0" borderId="3" xfId="0" applyNumberFormat="1" applyFont="1" applyBorder="1" applyAlignment="1"/>
    <xf numFmtId="3" fontId="11" fillId="0" borderId="3" xfId="0" applyNumberFormat="1" applyFont="1" applyBorder="1" applyAlignment="1">
      <alignment horizontal="right"/>
    </xf>
    <xf numFmtId="169" fontId="5" fillId="0" borderId="4" xfId="3" applyFont="1" applyFill="1" applyBorder="1" applyAlignment="1">
      <alignment vertical="center"/>
    </xf>
    <xf numFmtId="3" fontId="5" fillId="0" borderId="4" xfId="0" applyNumberFormat="1" applyFont="1" applyBorder="1" applyAlignment="1"/>
    <xf numFmtId="3" fontId="11" fillId="0" borderId="0" xfId="0" applyNumberFormat="1" applyFont="1" applyAlignment="1"/>
    <xf numFmtId="0" fontId="11" fillId="0" borderId="0" xfId="0" applyNumberFormat="1" applyFont="1" applyAlignment="1"/>
    <xf numFmtId="175" fontId="5" fillId="0" borderId="0" xfId="0" applyNumberFormat="1" applyFont="1" applyAlignment="1"/>
    <xf numFmtId="3" fontId="5" fillId="0" borderId="0" xfId="0" applyNumberFormat="1" applyFont="1" applyAlignment="1">
      <alignment horizontal="left"/>
    </xf>
    <xf numFmtId="3" fontId="5" fillId="0" borderId="0" xfId="0" quotePrefix="1" applyNumberFormat="1" applyFont="1" applyAlignment="1">
      <alignment horizontal="right"/>
    </xf>
    <xf numFmtId="0" fontId="5" fillId="0" borderId="4" xfId="0" applyNumberFormat="1" applyFont="1" applyBorder="1" applyAlignment="1"/>
    <xf numFmtId="3" fontId="5" fillId="0" borderId="4" xfId="0" applyNumberFormat="1" applyFont="1" applyBorder="1" applyAlignment="1">
      <alignment horizontal="right"/>
    </xf>
    <xf numFmtId="0" fontId="11" fillId="0" borderId="0" xfId="0" applyNumberFormat="1" applyFont="1" applyBorder="1" applyAlignment="1"/>
    <xf numFmtId="0" fontId="11" fillId="0" borderId="0" xfId="0" applyFont="1" applyBorder="1" applyAlignment="1"/>
    <xf numFmtId="3" fontId="11" fillId="0" borderId="0" xfId="0" quotePrefix="1" applyNumberFormat="1" applyFont="1" applyBorder="1" applyAlignment="1">
      <alignment horizontal="right"/>
    </xf>
    <xf numFmtId="170" fontId="11" fillId="0" borderId="0" xfId="0" applyNumberFormat="1" applyFont="1" applyAlignment="1"/>
    <xf numFmtId="0" fontId="11" fillId="0" borderId="0" xfId="0" applyNumberFormat="1" applyFont="1" applyAlignment="1">
      <alignment horizontal="center"/>
    </xf>
    <xf numFmtId="172" fontId="11" fillId="0" borderId="3" xfId="0" applyNumberFormat="1" applyFont="1" applyBorder="1" applyAlignment="1">
      <alignment horizontal="left"/>
    </xf>
    <xf numFmtId="173" fontId="11" fillId="0" borderId="3" xfId="0" applyNumberFormat="1" applyFont="1" applyBorder="1" applyAlignment="1">
      <alignment horizontal="center"/>
    </xf>
    <xf numFmtId="172" fontId="11" fillId="0" borderId="0" xfId="0" applyNumberFormat="1" applyFont="1" applyBorder="1" applyAlignment="1">
      <alignment horizontal="left"/>
    </xf>
    <xf numFmtId="173" fontId="5" fillId="0" borderId="0" xfId="0" applyNumberFormat="1" applyFont="1" applyAlignment="1">
      <alignment horizontal="center"/>
    </xf>
    <xf numFmtId="0" fontId="5" fillId="0" borderId="0" xfId="0" applyNumberFormat="1" applyFont="1" applyFill="1"/>
    <xf numFmtId="174" fontId="5" fillId="0" borderId="0" xfId="0" applyNumberFormat="1" applyFont="1" applyAlignment="1"/>
    <xf numFmtId="172" fontId="5" fillId="0" borderId="0" xfId="0" applyNumberFormat="1" applyFont="1" applyFill="1" applyAlignment="1">
      <alignment horizontal="left"/>
    </xf>
    <xf numFmtId="0" fontId="64" fillId="0" borderId="0" xfId="0" applyFont="1" applyFill="1" applyAlignment="1">
      <alignment horizontal="center"/>
    </xf>
    <xf numFmtId="0" fontId="64" fillId="0" borderId="0" xfId="0" applyFont="1" applyFill="1"/>
    <xf numFmtId="10" fontId="5" fillId="0" borderId="0" xfId="0" applyNumberFormat="1" applyFont="1" applyFill="1"/>
    <xf numFmtId="0" fontId="64" fillId="0" borderId="0" xfId="0" applyFont="1"/>
    <xf numFmtId="10" fontId="5" fillId="0" borderId="0" xfId="5" applyNumberFormat="1" applyFont="1" applyAlignment="1"/>
    <xf numFmtId="173" fontId="5" fillId="0" borderId="0" xfId="0" applyNumberFormat="1" applyFont="1" applyFill="1" applyAlignment="1">
      <alignment horizontal="center"/>
    </xf>
    <xf numFmtId="0" fontId="11" fillId="0" borderId="2" xfId="0" applyNumberFormat="1" applyFont="1" applyBorder="1" applyAlignment="1">
      <alignment horizontal="left"/>
    </xf>
    <xf numFmtId="173" fontId="11" fillId="0" borderId="3" xfId="0" applyNumberFormat="1" applyFont="1" applyBorder="1" applyAlignment="1"/>
    <xf numFmtId="168" fontId="11" fillId="0" borderId="3" xfId="1" applyNumberFormat="1" applyFont="1" applyFill="1" applyBorder="1" applyAlignment="1">
      <alignment horizontal="right"/>
    </xf>
    <xf numFmtId="172" fontId="5" fillId="0" borderId="0" xfId="0" applyNumberFormat="1" applyFont="1" applyAlignment="1">
      <alignment horizontal="left"/>
    </xf>
    <xf numFmtId="173" fontId="5" fillId="0" borderId="0" xfId="0" applyNumberFormat="1" applyFont="1" applyAlignment="1"/>
    <xf numFmtId="0" fontId="65" fillId="0" borderId="4" xfId="0" applyFont="1" applyFill="1" applyBorder="1" applyAlignment="1">
      <alignment horizontal="center"/>
    </xf>
    <xf numFmtId="0" fontId="66" fillId="0" borderId="0" xfId="0" applyNumberFormat="1" applyFont="1" applyFill="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Alignment="1">
      <alignment horizontal="center"/>
    </xf>
    <xf numFmtId="0" fontId="15" fillId="0" borderId="0" xfId="0" applyFont="1" applyFill="1" applyBorder="1" applyAlignment="1">
      <alignment horizontal="center"/>
    </xf>
    <xf numFmtId="0" fontId="45" fillId="0" borderId="0" xfId="0" applyFont="1" applyAlignment="1">
      <alignment horizontal="center"/>
    </xf>
    <xf numFmtId="0" fontId="45" fillId="0" borderId="2" xfId="0" applyFont="1" applyBorder="1" applyAlignment="1">
      <alignment horizontal="center"/>
    </xf>
    <xf numFmtId="0" fontId="45" fillId="0" borderId="3" xfId="0" applyFont="1" applyBorder="1" applyAlignment="1">
      <alignment horizontal="center"/>
    </xf>
    <xf numFmtId="3" fontId="45" fillId="0" borderId="0" xfId="0" applyNumberFormat="1" applyFont="1" applyFill="1" applyAlignment="1">
      <alignment horizontal="center"/>
    </xf>
    <xf numFmtId="0" fontId="45" fillId="0" borderId="2" xfId="0" applyFont="1" applyFill="1" applyBorder="1" applyAlignment="1">
      <alignment horizontal="center"/>
    </xf>
    <xf numFmtId="0" fontId="45" fillId="0" borderId="4" xfId="0" applyFont="1" applyFill="1" applyBorder="1" applyAlignment="1">
      <alignment horizontal="center"/>
    </xf>
    <xf numFmtId="0" fontId="45" fillId="0" borderId="0" xfId="0" applyFont="1" applyFill="1" applyBorder="1" applyAlignment="1">
      <alignment horizontal="center"/>
    </xf>
    <xf numFmtId="3" fontId="45" fillId="0" borderId="2" xfId="0" applyNumberFormat="1" applyFont="1" applyFill="1" applyBorder="1" applyAlignment="1">
      <alignment horizontal="center"/>
    </xf>
    <xf numFmtId="3" fontId="45" fillId="0" borderId="4" xfId="0" applyNumberFormat="1" applyFont="1" applyFill="1" applyBorder="1" applyAlignment="1">
      <alignment horizontal="center"/>
    </xf>
    <xf numFmtId="3" fontId="45" fillId="0" borderId="0" xfId="0" applyNumberFormat="1"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3" fillId="0" borderId="0" xfId="0" applyFont="1" applyFill="1" applyAlignment="1">
      <alignment horizontal="right"/>
    </xf>
    <xf numFmtId="0" fontId="13"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NumberFormat="1" applyFont="1" applyAlignment="1">
      <alignment horizontal="center"/>
    </xf>
    <xf numFmtId="0" fontId="4" fillId="0" borderId="0" xfId="0" applyFont="1" applyFill="1" applyAlignment="1">
      <alignment horizontal="center"/>
    </xf>
    <xf numFmtId="0" fontId="45" fillId="0" borderId="4" xfId="0" applyNumberFormat="1" applyFont="1" applyFill="1" applyBorder="1" applyAlignment="1">
      <alignment horizontal="center"/>
    </xf>
    <xf numFmtId="0" fontId="45" fillId="0" borderId="0" xfId="0" applyNumberFormat="1" applyFont="1" applyFill="1" applyAlignment="1">
      <alignment horizontal="center"/>
    </xf>
    <xf numFmtId="0" fontId="2" fillId="0" borderId="2" xfId="0" applyNumberFormat="1" applyFont="1" applyBorder="1" applyAlignment="1">
      <alignment horizontal="center"/>
    </xf>
    <xf numFmtId="0" fontId="13" fillId="0" borderId="0" xfId="0" applyNumberFormat="1"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66" fillId="0" borderId="0" xfId="0" applyNumberFormat="1" applyFont="1" applyFill="1" applyAlignment="1">
      <alignment horizontal="center"/>
    </xf>
    <xf numFmtId="3" fontId="45" fillId="0" borderId="2" xfId="0" applyNumberFormat="1" applyFont="1" applyBorder="1" applyAlignment="1">
      <alignment horizontal="center"/>
    </xf>
    <xf numFmtId="3" fontId="45" fillId="0" borderId="0" xfId="0" applyNumberFormat="1" applyFont="1" applyBorder="1" applyAlignment="1">
      <alignment horizontal="center"/>
    </xf>
    <xf numFmtId="0" fontId="41" fillId="0" borderId="0" xfId="0" applyFont="1" applyFill="1" applyAlignment="1">
      <alignment horizontal="center"/>
    </xf>
    <xf numFmtId="3" fontId="45" fillId="0" borderId="3" xfId="0" applyNumberFormat="1" applyFont="1" applyFill="1" applyBorder="1" applyAlignment="1">
      <alignment horizontal="center"/>
    </xf>
    <xf numFmtId="3" fontId="45" fillId="0" borderId="0" xfId="0" applyNumberFormat="1" applyFont="1" applyAlignment="1">
      <alignment horizontal="center"/>
    </xf>
    <xf numFmtId="0" fontId="45" fillId="0" borderId="0" xfId="0" applyNumberFormat="1" applyFont="1" applyFill="1" applyBorder="1" applyAlignment="1">
      <alignment horizontal="center"/>
    </xf>
    <xf numFmtId="0" fontId="2" fillId="0" borderId="3" xfId="0" applyNumberFormat="1" applyFont="1" applyBorder="1" applyAlignment="1">
      <alignment horizontal="center"/>
    </xf>
    <xf numFmtId="3" fontId="13" fillId="0" borderId="0" xfId="0" applyNumberFormat="1" applyFont="1" applyBorder="1" applyAlignment="1">
      <alignment horizontal="center"/>
    </xf>
    <xf numFmtId="0" fontId="45" fillId="0" borderId="0" xfId="0" applyFont="1" applyBorder="1" applyAlignment="1">
      <alignment horizontal="center"/>
    </xf>
    <xf numFmtId="3" fontId="2" fillId="0" borderId="3" xfId="0" applyNumberFormat="1" applyFont="1" applyBorder="1" applyAlignment="1">
      <alignment horizontal="center"/>
    </xf>
    <xf numFmtId="0" fontId="67" fillId="0" borderId="0" xfId="0" applyFont="1" applyFill="1"/>
    <xf numFmtId="172" fontId="13" fillId="0" borderId="0" xfId="0" applyNumberFormat="1" applyFont="1" applyAlignment="1">
      <alignment horizontal="center"/>
    </xf>
    <xf numFmtId="0" fontId="45" fillId="0" borderId="4" xfId="0" applyNumberFormat="1" applyFont="1" applyBorder="1" applyAlignment="1">
      <alignment horizontal="center"/>
    </xf>
    <xf numFmtId="0" fontId="41" fillId="0" borderId="0" xfId="0" applyNumberFormat="1" applyFont="1" applyFill="1" applyBorder="1" applyAlignment="1">
      <alignment horizontal="center"/>
    </xf>
    <xf numFmtId="172" fontId="45" fillId="0" borderId="0" xfId="0" applyNumberFormat="1" applyFont="1" applyAlignment="1">
      <alignment horizontal="center"/>
    </xf>
    <xf numFmtId="3" fontId="2" fillId="0" borderId="2"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3" fontId="2" fillId="0" borderId="4" xfId="0" applyNumberFormat="1" applyFont="1" applyBorder="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2"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5" xfId="0" applyNumberFormat="1" applyFont="1" applyBorder="1" applyAlignment="1">
      <alignment horizontal="left"/>
    </xf>
    <xf numFmtId="0" fontId="11" fillId="0" borderId="5" xfId="0" applyNumberFormat="1" applyFont="1" applyBorder="1" applyAlignment="1">
      <alignment horizontal="center"/>
    </xf>
    <xf numFmtId="0" fontId="13" fillId="0" borderId="4" xfId="0" applyFont="1" applyBorder="1" applyAlignment="1">
      <alignment horizontal="center"/>
    </xf>
    <xf numFmtId="0" fontId="13" fillId="0" borderId="0" xfId="0" applyFont="1" applyBorder="1"/>
    <xf numFmtId="0" fontId="13" fillId="0" borderId="8" xfId="0" applyFont="1" applyBorder="1"/>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center"/>
    </xf>
    <xf numFmtId="0" fontId="13" fillId="0" borderId="8" xfId="0" applyFont="1" applyFill="1" applyBorder="1"/>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16" xfId="0" applyFont="1" applyBorder="1"/>
    <xf numFmtId="0" fontId="13" fillId="0" borderId="1" xfId="0" applyFont="1" applyBorder="1"/>
    <xf numFmtId="0" fontId="13" fillId="0" borderId="1" xfId="0" applyFont="1" applyFill="1" applyBorder="1"/>
    <xf numFmtId="0" fontId="13" fillId="0" borderId="0" xfId="0" applyFont="1" applyFill="1" applyBorder="1" applyAlignment="1">
      <alignment horizontal="left"/>
    </xf>
    <xf numFmtId="0" fontId="45" fillId="0" borderId="1" xfId="0" applyNumberFormat="1" applyFont="1" applyFill="1" applyBorder="1" applyAlignment="1">
      <alignment horizontal="left"/>
    </xf>
    <xf numFmtId="0" fontId="13" fillId="0" borderId="1" xfId="0" applyFont="1" applyFill="1" applyBorder="1" applyAlignment="1">
      <alignment horizontal="center"/>
    </xf>
    <xf numFmtId="0" fontId="2" fillId="0" borderId="8" xfId="0" applyFont="1" applyBorder="1"/>
    <xf numFmtId="0" fontId="2" fillId="0" borderId="8" xfId="0" applyFont="1" applyBorder="1" applyAlignment="1">
      <alignment horizontal="center"/>
    </xf>
    <xf numFmtId="0" fontId="13" fillId="0" borderId="0" xfId="0" applyFont="1" applyFill="1" applyBorder="1" applyAlignment="1">
      <alignment horizontal="right"/>
    </xf>
    <xf numFmtId="168" fontId="13" fillId="0" borderId="0" xfId="1" applyNumberFormat="1" applyFont="1" applyFill="1" applyBorder="1"/>
    <xf numFmtId="0" fontId="13" fillId="0" borderId="0" xfId="0" applyFont="1" applyBorder="1" applyAlignment="1">
      <alignment horizontal="left"/>
    </xf>
    <xf numFmtId="0" fontId="13" fillId="0" borderId="7" xfId="0" applyFont="1" applyBorder="1" applyAlignment="1">
      <alignment horizontal="left"/>
    </xf>
    <xf numFmtId="0" fontId="13" fillId="0" borderId="7" xfId="0" applyFont="1" applyFill="1" applyBorder="1" applyAlignment="1">
      <alignment horizontal="left"/>
    </xf>
    <xf numFmtId="0" fontId="2" fillId="0" borderId="0" xfId="0" applyFont="1" applyBorder="1"/>
    <xf numFmtId="0" fontId="45" fillId="0" borderId="1" xfId="0" applyFont="1" applyBorder="1"/>
    <xf numFmtId="0" fontId="13" fillId="0" borderId="8" xfId="0" applyFont="1" applyBorder="1" applyAlignment="1">
      <alignment horizontal="center"/>
    </xf>
    <xf numFmtId="0" fontId="13" fillId="0" borderId="0" xfId="0" applyFont="1" applyBorder="1" applyAlignment="1"/>
    <xf numFmtId="2" fontId="13" fillId="0" borderId="0" xfId="0" applyNumberFormat="1" applyFont="1" applyFill="1" applyBorder="1" applyAlignment="1">
      <alignment horizontal="center"/>
    </xf>
    <xf numFmtId="0" fontId="45" fillId="0" borderId="0" xfId="0" applyNumberFormat="1" applyFont="1" applyFill="1" applyBorder="1" applyAlignment="1">
      <alignment horizontal="left"/>
    </xf>
    <xf numFmtId="0" fontId="63" fillId="0" borderId="0" xfId="0" applyNumberFormat="1" applyFont="1" applyFill="1" applyBorder="1" applyAlignment="1">
      <alignment horizontal="center"/>
    </xf>
    <xf numFmtId="0" fontId="13" fillId="5" borderId="0" xfId="0" applyFont="1" applyFill="1"/>
    <xf numFmtId="0" fontId="45" fillId="5" borderId="0" xfId="0" applyFont="1" applyFill="1"/>
    <xf numFmtId="0" fontId="2" fillId="5" borderId="0" xfId="0" applyFont="1" applyFill="1" applyBorder="1" applyAlignment="1">
      <alignment horizontal="center"/>
    </xf>
    <xf numFmtId="0" fontId="2" fillId="5" borderId="0" xfId="0" applyNumberFormat="1" applyFont="1" applyFill="1" applyBorder="1" applyAlignment="1">
      <alignment horizontal="center"/>
    </xf>
    <xf numFmtId="0" fontId="13" fillId="5" borderId="0" xfId="0" applyNumberFormat="1" applyFont="1" applyFill="1" applyBorder="1" applyAlignment="1">
      <alignment horizontal="center"/>
    </xf>
    <xf numFmtId="0" fontId="13" fillId="5" borderId="0" xfId="0" applyFont="1" applyFill="1" applyBorder="1" applyAlignment="1"/>
    <xf numFmtId="0" fontId="12" fillId="5" borderId="0" xfId="0" applyFont="1" applyFill="1" applyBorder="1" applyAlignment="1">
      <alignment horizontal="center"/>
    </xf>
    <xf numFmtId="37" fontId="13" fillId="5" borderId="0" xfId="0" applyNumberFormat="1" applyFont="1" applyFill="1" applyBorder="1" applyAlignment="1">
      <alignment horizontal="left"/>
    </xf>
    <xf numFmtId="0" fontId="12" fillId="5" borderId="0" xfId="0" applyFont="1" applyFill="1"/>
    <xf numFmtId="0" fontId="2" fillId="0" borderId="0" xfId="0" applyNumberFormat="1" applyFont="1" applyFill="1" applyBorder="1" applyAlignment="1"/>
    <xf numFmtId="0" fontId="13"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3" fontId="45" fillId="0" borderId="8" xfId="0" applyNumberFormat="1" applyFont="1" applyFill="1" applyBorder="1" applyAlignment="1">
      <alignment horizontal="center"/>
    </xf>
    <xf numFmtId="0" fontId="45" fillId="0" borderId="8" xfId="0" applyNumberFormat="1" applyFont="1" applyFill="1" applyBorder="1" applyAlignment="1">
      <alignment horizontal="center"/>
    </xf>
    <xf numFmtId="0" fontId="45" fillId="0" borderId="0" xfId="0" applyNumberFormat="1" applyFont="1" applyBorder="1" applyAlignment="1">
      <alignment horizontal="center"/>
    </xf>
    <xf numFmtId="0" fontId="45" fillId="0" borderId="0" xfId="0" applyFont="1" applyBorder="1" applyAlignment="1"/>
    <xf numFmtId="3" fontId="45" fillId="0" borderId="8" xfId="0" applyNumberFormat="1" applyFont="1" applyBorder="1" applyAlignment="1">
      <alignment horizontal="center"/>
    </xf>
    <xf numFmtId="0" fontId="2"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3" fontId="45" fillId="0" borderId="0" xfId="0" applyNumberFormat="1" applyFont="1" applyFill="1" applyBorder="1" applyAlignment="1">
      <alignment horizontal="right"/>
    </xf>
    <xf numFmtId="0" fontId="45" fillId="0" borderId="0" xfId="0" applyFont="1" applyFill="1" applyBorder="1"/>
    <xf numFmtId="0" fontId="45" fillId="0" borderId="0" xfId="0" applyFont="1" applyBorder="1"/>
    <xf numFmtId="0" fontId="45" fillId="0" borderId="8" xfId="0" applyFont="1" applyFill="1" applyBorder="1" applyAlignment="1">
      <alignment horizontal="center"/>
    </xf>
    <xf numFmtId="0" fontId="45" fillId="0" borderId="0" xfId="0" applyFont="1" applyFill="1" applyBorder="1" applyAlignment="1"/>
    <xf numFmtId="0" fontId="13" fillId="0" borderId="0" xfId="0" applyFont="1" applyFill="1" applyBorder="1" applyAlignment="1"/>
    <xf numFmtId="3" fontId="15" fillId="0" borderId="0" xfId="0" applyNumberFormat="1" applyFont="1" applyFill="1" applyBorder="1" applyAlignment="1">
      <alignment horizontal="center"/>
    </xf>
    <xf numFmtId="0" fontId="45" fillId="0" borderId="8" xfId="0" applyFont="1" applyBorder="1" applyAlignment="1">
      <alignment horizontal="center"/>
    </xf>
    <xf numFmtId="0" fontId="2" fillId="0" borderId="0" xfId="0" applyNumberFormat="1" applyFont="1" applyBorder="1" applyAlignment="1">
      <alignment horizontal="left"/>
    </xf>
    <xf numFmtId="0" fontId="15" fillId="0" borderId="0" xfId="0" applyFont="1" applyBorder="1" applyAlignment="1">
      <alignment horizontal="center"/>
    </xf>
    <xf numFmtId="0" fontId="45" fillId="0" borderId="8" xfId="0" applyFont="1" applyBorder="1"/>
    <xf numFmtId="0" fontId="13" fillId="0" borderId="0" xfId="0" applyNumberFormat="1" applyFont="1" applyFill="1" applyBorder="1" applyAlignment="1">
      <alignment horizontal="right"/>
    </xf>
    <xf numFmtId="0" fontId="45" fillId="0" borderId="8" xfId="0" applyNumberFormat="1" applyFont="1" applyBorder="1" applyAlignment="1">
      <alignment horizontal="center"/>
    </xf>
    <xf numFmtId="0" fontId="45" fillId="0" borderId="0" xfId="0" applyNumberFormat="1" applyFont="1" applyFill="1" applyBorder="1" applyAlignment="1">
      <alignment horizontal="right"/>
    </xf>
    <xf numFmtId="0" fontId="45" fillId="0" borderId="0" xfId="0" applyNumberFormat="1" applyFont="1" applyBorder="1" applyAlignment="1">
      <alignment horizontal="left"/>
    </xf>
    <xf numFmtId="0" fontId="15" fillId="0" borderId="0" xfId="0" applyNumberFormat="1" applyFont="1" applyBorder="1" applyAlignment="1">
      <alignment horizontal="center"/>
    </xf>
    <xf numFmtId="0" fontId="45" fillId="0" borderId="16" xfId="0" applyNumberFormat="1" applyFont="1" applyFill="1" applyBorder="1" applyAlignment="1">
      <alignment horizontal="center"/>
    </xf>
    <xf numFmtId="0" fontId="45" fillId="0" borderId="1" xfId="0" applyNumberFormat="1" applyFont="1" applyFill="1" applyBorder="1" applyAlignment="1">
      <alignment horizontal="right"/>
    </xf>
    <xf numFmtId="0" fontId="45" fillId="0" borderId="1" xfId="0" applyFont="1" applyFill="1" applyBorder="1" applyAlignment="1"/>
    <xf numFmtId="0" fontId="15" fillId="0" borderId="1" xfId="0" applyNumberFormat="1" applyFont="1" applyFill="1" applyBorder="1" applyAlignment="1">
      <alignment horizontal="center"/>
    </xf>
    <xf numFmtId="3" fontId="45" fillId="0" borderId="16" xfId="0" applyNumberFormat="1" applyFont="1" applyBorder="1" applyAlignment="1">
      <alignment horizontal="center"/>
    </xf>
    <xf numFmtId="3" fontId="45" fillId="0" borderId="1" xfId="0" applyNumberFormat="1" applyFont="1" applyFill="1" applyBorder="1" applyAlignment="1">
      <alignment horizontal="center"/>
    </xf>
    <xf numFmtId="3" fontId="45" fillId="0" borderId="1" xfId="0" applyNumberFormat="1" applyFont="1" applyBorder="1" applyAlignment="1">
      <alignment horizontal="center"/>
    </xf>
    <xf numFmtId="0" fontId="45" fillId="0" borderId="0" xfId="0" applyFont="1" applyBorder="1" applyAlignment="1">
      <alignment horizontal="left"/>
    </xf>
    <xf numFmtId="3" fontId="13" fillId="0" borderId="0" xfId="0" applyNumberFormat="1" applyFont="1" applyFill="1" applyBorder="1" applyAlignment="1"/>
    <xf numFmtId="3" fontId="15" fillId="0" borderId="0" xfId="0" applyNumberFormat="1" applyFont="1" applyBorder="1" applyAlignment="1">
      <alignment horizontal="center"/>
    </xf>
    <xf numFmtId="0" fontId="45" fillId="0" borderId="1" xfId="0" applyNumberFormat="1" applyFont="1" applyBorder="1" applyAlignment="1">
      <alignment horizontal="center"/>
    </xf>
    <xf numFmtId="0" fontId="45" fillId="0" borderId="1" xfId="0" applyFont="1" applyBorder="1" applyAlignment="1"/>
    <xf numFmtId="0" fontId="45" fillId="0" borderId="1" xfId="0" applyFont="1" applyBorder="1" applyAlignment="1">
      <alignment horizontal="center"/>
    </xf>
    <xf numFmtId="0" fontId="13" fillId="0" borderId="16"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1" xfId="0" applyNumberFormat="1" applyFont="1" applyFill="1" applyBorder="1" applyAlignment="1">
      <alignment horizontal="left"/>
    </xf>
    <xf numFmtId="0" fontId="13" fillId="0" borderId="8" xfId="0" applyFont="1" applyFill="1" applyBorder="1" applyAlignment="1">
      <alignment horizontal="center"/>
    </xf>
    <xf numFmtId="0" fontId="13" fillId="0" borderId="0" xfId="0" applyNumberFormat="1" applyFont="1" applyFill="1" applyBorder="1" applyAlignment="1"/>
    <xf numFmtId="0" fontId="4" fillId="0" borderId="16" xfId="0" applyFont="1" applyFill="1" applyBorder="1" applyAlignment="1">
      <alignment horizontal="left"/>
    </xf>
    <xf numFmtId="0" fontId="13" fillId="0" borderId="1" xfId="0" applyFont="1" applyFill="1" applyBorder="1" applyAlignment="1">
      <alignment horizontal="left"/>
    </xf>
    <xf numFmtId="0" fontId="13" fillId="0" borderId="1" xfId="0" applyNumberFormat="1" applyFont="1" applyFill="1" applyBorder="1" applyAlignment="1">
      <alignment horizontal="right"/>
    </xf>
    <xf numFmtId="0" fontId="13" fillId="0" borderId="16" xfId="0" applyNumberFormat="1" applyFont="1" applyBorder="1" applyAlignment="1">
      <alignment horizontal="center"/>
    </xf>
    <xf numFmtId="0" fontId="13" fillId="0" borderId="1" xfId="0" applyNumberFormat="1" applyFont="1" applyBorder="1" applyAlignment="1">
      <alignment horizontal="left"/>
    </xf>
    <xf numFmtId="0" fontId="13" fillId="0" borderId="1" xfId="0" applyFont="1" applyFill="1" applyBorder="1" applyAlignment="1"/>
    <xf numFmtId="168" fontId="45" fillId="0" borderId="1" xfId="1" applyNumberFormat="1" applyFont="1" applyFill="1" applyBorder="1" applyAlignment="1">
      <alignment horizontal="center"/>
    </xf>
    <xf numFmtId="0" fontId="45" fillId="5" borderId="0" xfId="0" applyNumberFormat="1" applyFont="1" applyFill="1" applyBorder="1" applyAlignment="1">
      <alignment horizontal="center"/>
    </xf>
    <xf numFmtId="0" fontId="13" fillId="0" borderId="8" xfId="0" applyNumberFormat="1" applyFont="1" applyBorder="1" applyAlignment="1">
      <alignment horizontal="center"/>
    </xf>
    <xf numFmtId="172" fontId="2" fillId="0" borderId="0" xfId="0" applyNumberFormat="1" applyFont="1" applyBorder="1" applyAlignment="1">
      <alignment horizontal="left"/>
    </xf>
    <xf numFmtId="0" fontId="13" fillId="0" borderId="1" xfId="0" applyNumberFormat="1" applyFont="1" applyBorder="1" applyAlignment="1">
      <alignment horizontal="center"/>
    </xf>
    <xf numFmtId="174" fontId="13" fillId="0" borderId="1" xfId="0" applyNumberFormat="1" applyFont="1" applyBorder="1" applyAlignment="1"/>
    <xf numFmtId="172" fontId="45" fillId="0" borderId="1" xfId="5" applyNumberFormat="1" applyFont="1" applyBorder="1" applyAlignment="1">
      <alignment horizontal="center"/>
    </xf>
    <xf numFmtId="0" fontId="15" fillId="0" borderId="1" xfId="0" applyFont="1" applyFill="1" applyBorder="1" applyAlignment="1"/>
    <xf numFmtId="168" fontId="45" fillId="0" borderId="1" xfId="0" applyNumberFormat="1" applyFont="1" applyFill="1" applyBorder="1" applyAlignment="1">
      <alignment horizontal="center"/>
    </xf>
    <xf numFmtId="0" fontId="2" fillId="0" borderId="8" xfId="0" applyNumberFormat="1" applyFont="1" applyBorder="1" applyAlignment="1">
      <alignment horizontal="center"/>
    </xf>
    <xf numFmtId="0" fontId="2" fillId="0" borderId="0" xfId="0" applyFont="1" applyFill="1" applyBorder="1" applyAlignment="1"/>
    <xf numFmtId="3" fontId="2" fillId="0" borderId="0" xfId="0" applyNumberFormat="1" applyFont="1" applyBorder="1" applyAlignment="1"/>
    <xf numFmtId="3" fontId="45" fillId="0" borderId="0" xfId="0" applyNumberFormat="1" applyFont="1" applyFill="1" applyBorder="1" applyAlignment="1"/>
    <xf numFmtId="0" fontId="2" fillId="0" borderId="0" xfId="0" applyFont="1" applyBorder="1" applyAlignment="1">
      <alignment horizontal="left"/>
    </xf>
    <xf numFmtId="3" fontId="2" fillId="0" borderId="7" xfId="0" applyNumberFormat="1" applyFont="1" applyBorder="1" applyAlignment="1">
      <alignment horizontal="center"/>
    </xf>
    <xf numFmtId="168" fontId="13" fillId="0" borderId="7" xfId="1" applyNumberFormat="1" applyFont="1" applyFill="1" applyBorder="1" applyAlignment="1">
      <alignment horizontal="left"/>
    </xf>
    <xf numFmtId="172" fontId="13" fillId="0" borderId="0" xfId="5" applyNumberFormat="1" applyFont="1" applyFill="1" applyBorder="1"/>
    <xf numFmtId="0" fontId="13" fillId="0" borderId="0" xfId="0" applyFont="1" applyFill="1" applyBorder="1" applyAlignment="1">
      <alignment vertical="top" wrapText="1"/>
    </xf>
    <xf numFmtId="168" fontId="2" fillId="0" borderId="0" xfId="1" applyNumberFormat="1" applyFont="1" applyFill="1" applyBorder="1"/>
    <xf numFmtId="168" fontId="2" fillId="0" borderId="7" xfId="1" applyNumberFormat="1" applyFont="1" applyFill="1" applyBorder="1"/>
    <xf numFmtId="168" fontId="13" fillId="0" borderId="15" xfId="1" applyNumberFormat="1" applyFont="1" applyFill="1" applyBorder="1" applyAlignment="1">
      <alignment horizontal="left"/>
    </xf>
    <xf numFmtId="0" fontId="45" fillId="0" borderId="16" xfId="0" applyFont="1" applyBorder="1"/>
    <xf numFmtId="3" fontId="45" fillId="0" borderId="0" xfId="0" applyNumberFormat="1" applyFont="1" applyFill="1" applyBorder="1" applyAlignment="1">
      <alignment horizontal="left"/>
    </xf>
    <xf numFmtId="0" fontId="45" fillId="0" borderId="1" xfId="0" applyNumberFormat="1" applyFont="1" applyFill="1" applyBorder="1" applyAlignment="1">
      <alignment horizontal="center"/>
    </xf>
    <xf numFmtId="0" fontId="45" fillId="0" borderId="1" xfId="0" applyFont="1" applyFill="1" applyBorder="1"/>
    <xf numFmtId="2" fontId="2" fillId="0" borderId="8" xfId="0" applyNumberFormat="1" applyFont="1" applyFill="1" applyBorder="1" applyAlignment="1">
      <alignment horizontal="center"/>
    </xf>
    <xf numFmtId="0" fontId="13" fillId="5" borderId="0" xfId="0" applyFont="1" applyFill="1" applyAlignment="1">
      <alignment horizontal="left"/>
    </xf>
    <xf numFmtId="0" fontId="45" fillId="5" borderId="0" xfId="0" applyFont="1" applyFill="1" applyAlignment="1">
      <alignment horizontal="left"/>
    </xf>
    <xf numFmtId="0" fontId="13" fillId="0" borderId="1" xfId="0" applyFont="1" applyBorder="1" applyAlignment="1">
      <alignment horizontal="left"/>
    </xf>
    <xf numFmtId="0" fontId="13" fillId="0" borderId="15" xfId="0" applyFont="1" applyBorder="1" applyAlignment="1">
      <alignment horizontal="left"/>
    </xf>
    <xf numFmtId="0" fontId="45" fillId="0" borderId="7" xfId="0" applyFont="1" applyFill="1" applyBorder="1" applyAlignment="1">
      <alignment horizontal="left"/>
    </xf>
    <xf numFmtId="0" fontId="45" fillId="0" borderId="1" xfId="0" applyFont="1" applyBorder="1" applyAlignment="1">
      <alignment horizontal="left"/>
    </xf>
    <xf numFmtId="0" fontId="2" fillId="0" borderId="0" xfId="0" applyFont="1" applyFill="1" applyBorder="1" applyAlignment="1">
      <alignment horizontal="left"/>
    </xf>
    <xf numFmtId="3" fontId="13" fillId="0" borderId="0" xfId="0" applyNumberFormat="1" applyFont="1" applyBorder="1" applyAlignment="1"/>
    <xf numFmtId="0" fontId="45" fillId="0" borderId="1" xfId="0" applyNumberFormat="1" applyFont="1" applyBorder="1" applyAlignment="1">
      <alignment horizontal="left"/>
    </xf>
    <xf numFmtId="3" fontId="45" fillId="0" borderId="0" xfId="0" applyNumberFormat="1" applyFont="1" applyBorder="1" applyAlignment="1"/>
    <xf numFmtId="0" fontId="45" fillId="0" borderId="16" xfId="0" applyFont="1" applyFill="1" applyBorder="1"/>
    <xf numFmtId="0" fontId="4" fillId="0" borderId="16" xfId="0" applyFont="1" applyFill="1" applyBorder="1"/>
    <xf numFmtId="0" fontId="45" fillId="0" borderId="0" xfId="0" applyNumberFormat="1" applyFont="1" applyFill="1" applyBorder="1" applyAlignment="1"/>
    <xf numFmtId="3" fontId="15" fillId="0" borderId="0" xfId="0" applyNumberFormat="1" applyFont="1" applyFill="1" applyBorder="1" applyAlignment="1"/>
    <xf numFmtId="0" fontId="45" fillId="0" borderId="0" xfId="0" applyNumberFormat="1" applyFont="1" applyBorder="1" applyAlignment="1"/>
    <xf numFmtId="0" fontId="45" fillId="0" borderId="1" xfId="0" applyNumberFormat="1" applyFont="1" applyFill="1" applyBorder="1" applyAlignment="1"/>
    <xf numFmtId="3" fontId="45" fillId="0" borderId="0" xfId="0" applyNumberFormat="1" applyFont="1" applyBorder="1" applyAlignment="1">
      <alignment horizontal="left"/>
    </xf>
    <xf numFmtId="3" fontId="45" fillId="0" borderId="8" xfId="0" applyNumberFormat="1" applyFont="1" applyBorder="1" applyAlignment="1">
      <alignment horizontal="right"/>
    </xf>
    <xf numFmtId="0" fontId="45" fillId="0" borderId="8" xfId="0" applyFont="1" applyBorder="1" applyAlignment="1">
      <alignment horizontal="right"/>
    </xf>
    <xf numFmtId="168" fontId="45" fillId="0" borderId="16" xfId="1" applyNumberFormat="1" applyFont="1" applyFill="1" applyBorder="1" applyAlignment="1">
      <alignment horizontal="right"/>
    </xf>
    <xf numFmtId="9" fontId="45" fillId="0" borderId="0" xfId="5" applyFont="1" applyBorder="1" applyAlignment="1">
      <alignment horizontal="center"/>
    </xf>
    <xf numFmtId="0" fontId="65" fillId="0" borderId="0" xfId="0" applyFont="1" applyFill="1" applyBorder="1" applyAlignment="1">
      <alignment horizontal="center"/>
    </xf>
    <xf numFmtId="0" fontId="12" fillId="5" borderId="0" xfId="0" applyFont="1" applyFill="1" applyAlignment="1">
      <alignment horizontal="left"/>
    </xf>
    <xf numFmtId="0" fontId="13" fillId="0" borderId="0" xfId="0" applyFont="1" applyAlignment="1">
      <alignment vertical="top"/>
    </xf>
    <xf numFmtId="37" fontId="45" fillId="0" borderId="0" xfId="0" applyNumberFormat="1" applyFont="1" applyFill="1"/>
    <xf numFmtId="0" fontId="13" fillId="0" borderId="0" xfId="0" applyFont="1" applyFill="1" applyBorder="1" applyAlignment="1">
      <alignment wrapText="1"/>
    </xf>
    <xf numFmtId="0" fontId="45" fillId="0" borderId="0" xfId="0" applyFont="1" applyAlignment="1">
      <alignment horizontal="right"/>
    </xf>
    <xf numFmtId="37" fontId="45" fillId="0" borderId="0" xfId="0" applyNumberFormat="1" applyFont="1" applyFill="1" applyAlignment="1">
      <alignment horizontal="right" wrapText="1"/>
    </xf>
    <xf numFmtId="37" fontId="13" fillId="0" borderId="0" xfId="0" applyNumberFormat="1" applyFont="1" applyFill="1" applyAlignment="1">
      <alignment horizontal="right"/>
    </xf>
    <xf numFmtId="165" fontId="45" fillId="0" borderId="0" xfId="0" applyNumberFormat="1" applyFont="1" applyFill="1" applyBorder="1" applyAlignment="1">
      <alignment horizontal="right"/>
    </xf>
    <xf numFmtId="168" fontId="45" fillId="0" borderId="0" xfId="1" applyNumberFormat="1" applyFont="1" applyFill="1" applyAlignment="1">
      <alignment horizontal="right"/>
    </xf>
    <xf numFmtId="0" fontId="13" fillId="0" borderId="0" xfId="0" applyFont="1" applyAlignment="1">
      <alignment horizontal="right"/>
    </xf>
    <xf numFmtId="0" fontId="13" fillId="0" borderId="0" xfId="0" applyFont="1" applyAlignment="1">
      <alignment horizontal="right" wrapText="1"/>
    </xf>
    <xf numFmtId="165" fontId="45" fillId="0" borderId="0" xfId="0" applyNumberFormat="1" applyFont="1" applyFill="1" applyAlignment="1">
      <alignment horizontal="right"/>
    </xf>
    <xf numFmtId="0" fontId="36" fillId="0" borderId="0" xfId="0" applyFont="1"/>
    <xf numFmtId="0" fontId="36" fillId="0" borderId="0" xfId="0" applyFont="1" applyAlignment="1">
      <alignment horizontal="right"/>
    </xf>
    <xf numFmtId="0" fontId="36" fillId="0" borderId="0" xfId="0" applyFont="1" applyAlignment="1">
      <alignment horizontal="center"/>
    </xf>
    <xf numFmtId="0" fontId="44" fillId="0" borderId="0" xfId="0" applyFont="1"/>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Border="1" applyAlignment="1">
      <alignment horizontal="center"/>
    </xf>
    <xf numFmtId="0" fontId="36" fillId="0" borderId="0" xfId="0" applyFont="1" applyAlignment="1">
      <alignment horizontal="left" wrapText="1"/>
    </xf>
    <xf numFmtId="0" fontId="36" fillId="0" borderId="0" xfId="0" applyFont="1" applyAlignment="1">
      <alignment horizontal="right" wrapText="1"/>
    </xf>
    <xf numFmtId="0" fontId="44" fillId="0" borderId="0" xfId="0" applyNumberFormat="1" applyFont="1" applyFill="1" applyBorder="1" applyAlignment="1">
      <alignment horizontal="center"/>
    </xf>
    <xf numFmtId="37" fontId="36" fillId="0" borderId="0" xfId="0" applyNumberFormat="1" applyFont="1" applyAlignment="1">
      <alignment horizontal="right" wrapText="1"/>
    </xf>
    <xf numFmtId="37" fontId="36" fillId="0" borderId="0" xfId="0" applyNumberFormat="1" applyFont="1" applyAlignment="1">
      <alignment horizontal="right"/>
    </xf>
    <xf numFmtId="0" fontId="44" fillId="0" borderId="0" xfId="0" applyFont="1" applyFill="1"/>
    <xf numFmtId="0" fontId="36" fillId="0" borderId="0" xfId="0" applyFont="1" applyFill="1"/>
    <xf numFmtId="37" fontId="36" fillId="0" borderId="0" xfId="0" applyNumberFormat="1" applyFont="1" applyFill="1" applyAlignment="1">
      <alignment horizontal="right" wrapText="1"/>
    </xf>
    <xf numFmtId="165" fontId="36" fillId="0" borderId="0" xfId="0" applyNumberFormat="1" applyFont="1" applyFill="1" applyBorder="1" applyAlignment="1">
      <alignment horizontal="right"/>
    </xf>
    <xf numFmtId="0" fontId="13" fillId="5" borderId="0" xfId="0" applyFont="1" applyFill="1" applyBorder="1" applyAlignment="1">
      <alignment horizontal="center"/>
    </xf>
    <xf numFmtId="37" fontId="13" fillId="5" borderId="0" xfId="0" applyNumberFormat="1" applyFont="1" applyFill="1" applyBorder="1"/>
    <xf numFmtId="0" fontId="13" fillId="5" borderId="0" xfId="0" applyFont="1" applyFill="1" applyBorder="1" applyAlignment="1">
      <alignment wrapText="1"/>
    </xf>
    <xf numFmtId="0" fontId="2" fillId="5" borderId="0" xfId="0" applyFont="1" applyFill="1" applyAlignment="1">
      <alignment horizontal="center"/>
    </xf>
    <xf numFmtId="0" fontId="30" fillId="5" borderId="0" xfId="0" applyFont="1" applyFill="1" applyAlignment="1">
      <alignment horizontal="center"/>
    </xf>
    <xf numFmtId="0" fontId="69" fillId="5" borderId="0" xfId="0" applyFont="1" applyFill="1" applyAlignment="1">
      <alignment horizontal="center"/>
    </xf>
    <xf numFmtId="0" fontId="69" fillId="5" borderId="0" xfId="0" applyFont="1" applyFill="1" applyAlignment="1">
      <alignment horizontal="left"/>
    </xf>
    <xf numFmtId="0" fontId="69" fillId="5" borderId="0" xfId="0" applyFont="1" applyFill="1" applyBorder="1"/>
    <xf numFmtId="0" fontId="45" fillId="5" borderId="0" xfId="0" applyFont="1" applyFill="1" applyBorder="1"/>
    <xf numFmtId="0" fontId="45" fillId="5" borderId="0" xfId="0" applyFont="1" applyFill="1" applyBorder="1" applyAlignment="1">
      <alignment horizontal="left"/>
    </xf>
    <xf numFmtId="0" fontId="16" fillId="5" borderId="0" xfId="0" applyFont="1" applyFill="1" applyBorder="1" applyAlignment="1">
      <alignment horizontal="centerContinuous"/>
    </xf>
    <xf numFmtId="0" fontId="52" fillId="5" borderId="0" xfId="0" applyFont="1" applyFill="1" applyBorder="1" applyAlignment="1">
      <alignment horizontal="centerContinuous"/>
    </xf>
    <xf numFmtId="0" fontId="24" fillId="5" borderId="0" xfId="0" applyFont="1" applyFill="1" applyBorder="1" applyAlignment="1">
      <alignment horizontal="centerContinuous"/>
    </xf>
    <xf numFmtId="0" fontId="13" fillId="5" borderId="0" xfId="0" applyFont="1" applyFill="1" applyBorder="1" applyAlignment="1">
      <alignment horizontal="left"/>
    </xf>
    <xf numFmtId="168" fontId="13" fillId="5" borderId="0" xfId="0" applyNumberFormat="1" applyFont="1" applyFill="1" applyBorder="1" applyAlignment="1">
      <alignment wrapText="1"/>
    </xf>
    <xf numFmtId="0" fontId="13" fillId="5" borderId="0" xfId="0" applyFont="1" applyFill="1" applyBorder="1"/>
    <xf numFmtId="0" fontId="15" fillId="5" borderId="0" xfId="0" applyFont="1" applyFill="1" applyBorder="1" applyAlignment="1">
      <alignment wrapText="1"/>
    </xf>
    <xf numFmtId="37" fontId="13" fillId="5" borderId="0" xfId="0" applyNumberFormat="1" applyFont="1" applyFill="1" applyBorder="1" applyAlignment="1">
      <alignment wrapText="1"/>
    </xf>
    <xf numFmtId="0" fontId="12" fillId="5" borderId="0" xfId="0" applyFont="1" applyFill="1" applyBorder="1"/>
    <xf numFmtId="168" fontId="68" fillId="5" borderId="0" xfId="1" applyNumberFormat="1" applyFont="1" applyFill="1" applyBorder="1"/>
    <xf numFmtId="37" fontId="13" fillId="5" borderId="0" xfId="0" applyNumberFormat="1" applyFont="1" applyFill="1" applyBorder="1" applyAlignment="1">
      <alignment horizontal="center"/>
    </xf>
    <xf numFmtId="37" fontId="13" fillId="5" borderId="17" xfId="0" applyNumberFormat="1" applyFont="1" applyFill="1" applyBorder="1"/>
    <xf numFmtId="0" fontId="13" fillId="5" borderId="0" xfId="0" applyFont="1" applyFill="1" applyAlignment="1">
      <alignment vertical="top"/>
    </xf>
    <xf numFmtId="168" fontId="13" fillId="0" borderId="17" xfId="1" applyNumberFormat="1" applyFont="1" applyFill="1" applyBorder="1" applyAlignment="1">
      <alignment horizontal="right"/>
    </xf>
    <xf numFmtId="37" fontId="13" fillId="0" borderId="17" xfId="0" applyNumberFormat="1" applyFont="1" applyFill="1" applyBorder="1"/>
    <xf numFmtId="0" fontId="42" fillId="5" borderId="0" xfId="0" applyFont="1" applyFill="1" applyAlignment="1">
      <alignment horizontal="center"/>
    </xf>
    <xf numFmtId="0" fontId="36" fillId="5" borderId="18" xfId="0" applyFont="1" applyFill="1" applyBorder="1" applyAlignment="1">
      <alignment horizontal="center"/>
    </xf>
    <xf numFmtId="0" fontId="44" fillId="5" borderId="19" xfId="0" applyFont="1" applyFill="1" applyBorder="1" applyAlignment="1">
      <alignment horizontal="right"/>
    </xf>
    <xf numFmtId="37" fontId="36" fillId="5" borderId="19" xfId="0" applyNumberFormat="1" applyFont="1" applyFill="1" applyBorder="1"/>
    <xf numFmtId="0" fontId="36" fillId="5" borderId="19" xfId="0" applyFont="1" applyFill="1" applyBorder="1"/>
    <xf numFmtId="0" fontId="36" fillId="5" borderId="0" xfId="0" applyFont="1" applyFill="1"/>
    <xf numFmtId="0" fontId="44" fillId="5" borderId="20" xfId="0" applyFont="1" applyFill="1" applyBorder="1" applyAlignment="1">
      <alignment horizontal="right"/>
    </xf>
    <xf numFmtId="37" fontId="36" fillId="5" borderId="20" xfId="0" applyNumberFormat="1" applyFont="1" applyFill="1" applyBorder="1"/>
    <xf numFmtId="0" fontId="36" fillId="5" borderId="20" xfId="0" applyFont="1" applyFill="1" applyBorder="1"/>
    <xf numFmtId="0" fontId="44" fillId="5" borderId="21" xfId="0" applyFont="1" applyFill="1" applyBorder="1" applyAlignment="1">
      <alignment horizontal="right"/>
    </xf>
    <xf numFmtId="37" fontId="36" fillId="5" borderId="21" xfId="0" applyNumberFormat="1" applyFont="1" applyFill="1" applyBorder="1"/>
    <xf numFmtId="176" fontId="36" fillId="5" borderId="19" xfId="0" applyNumberFormat="1" applyFont="1" applyFill="1" applyBorder="1"/>
    <xf numFmtId="0" fontId="44" fillId="5" borderId="22" xfId="0" applyFont="1" applyFill="1" applyBorder="1" applyAlignment="1">
      <alignment horizontal="right"/>
    </xf>
    <xf numFmtId="0" fontId="36" fillId="5" borderId="22" xfId="0" applyFont="1" applyFill="1" applyBorder="1"/>
    <xf numFmtId="0" fontId="44" fillId="5" borderId="17" xfId="0" applyFont="1" applyFill="1" applyBorder="1" applyAlignment="1">
      <alignment horizontal="right"/>
    </xf>
    <xf numFmtId="37" fontId="36" fillId="5" borderId="17" xfId="0" applyNumberFormat="1" applyFont="1" applyFill="1" applyBorder="1"/>
    <xf numFmtId="37" fontId="44" fillId="5" borderId="17" xfId="0" applyNumberFormat="1" applyFont="1" applyFill="1" applyBorder="1"/>
    <xf numFmtId="37" fontId="36" fillId="5" borderId="17" xfId="0" applyNumberFormat="1" applyFont="1" applyFill="1" applyBorder="1" applyAlignment="1">
      <alignment horizontal="left"/>
    </xf>
    <xf numFmtId="0" fontId="36" fillId="5" borderId="0" xfId="0" applyFont="1" applyFill="1" applyAlignment="1">
      <alignment horizontal="left"/>
    </xf>
    <xf numFmtId="0" fontId="36" fillId="5" borderId="0" xfId="0" applyFont="1" applyFill="1" applyBorder="1"/>
    <xf numFmtId="37" fontId="36" fillId="5" borderId="0" xfId="0" applyNumberFormat="1" applyFont="1" applyFill="1" applyBorder="1" applyAlignment="1">
      <alignment horizontal="center"/>
    </xf>
    <xf numFmtId="0" fontId="44" fillId="5" borderId="0" xfId="0" applyFont="1" applyFill="1"/>
    <xf numFmtId="0" fontId="44" fillId="5" borderId="0" xfId="0" applyFont="1" applyFill="1" applyAlignment="1">
      <alignment horizontal="left"/>
    </xf>
    <xf numFmtId="0" fontId="2" fillId="0" borderId="8" xfId="0" applyFont="1" applyFill="1" applyBorder="1" applyAlignment="1">
      <alignment horizontal="center"/>
    </xf>
    <xf numFmtId="16" fontId="13" fillId="0" borderId="0" xfId="0" applyNumberFormat="1" applyFont="1" applyAlignment="1">
      <alignment horizontal="center"/>
    </xf>
    <xf numFmtId="0" fontId="13" fillId="0" borderId="0" xfId="0" applyFont="1" applyAlignment="1">
      <alignment horizontal="center" vertical="top"/>
    </xf>
    <xf numFmtId="0" fontId="13" fillId="0" borderId="0" xfId="0" applyFont="1" applyAlignment="1"/>
    <xf numFmtId="168" fontId="13" fillId="0" borderId="0" xfId="1" applyNumberFormat="1" applyFont="1"/>
    <xf numFmtId="171" fontId="13" fillId="4" borderId="0" xfId="2" applyNumberFormat="1" applyFont="1" applyFill="1"/>
    <xf numFmtId="167" fontId="43" fillId="0" borderId="0" xfId="0" applyNumberFormat="1" applyFont="1" applyFill="1" applyBorder="1"/>
    <xf numFmtId="171" fontId="13" fillId="0" borderId="0" xfId="2" applyNumberFormat="1" applyFont="1"/>
    <xf numFmtId="171" fontId="13" fillId="0" borderId="0" xfId="0" applyNumberFormat="1" applyFont="1"/>
    <xf numFmtId="168" fontId="13" fillId="0" borderId="0" xfId="0" applyNumberFormat="1" applyFont="1" applyFill="1" applyBorder="1"/>
    <xf numFmtId="171" fontId="13" fillId="0" borderId="0" xfId="2" applyNumberFormat="1" applyFont="1" applyFill="1" applyAlignment="1">
      <alignment horizontal="left"/>
    </xf>
    <xf numFmtId="171" fontId="13" fillId="0" borderId="0" xfId="2" applyNumberFormat="1" applyFont="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0" borderId="0" xfId="0" applyFont="1" applyAlignment="1">
      <alignment wrapText="1"/>
    </xf>
    <xf numFmtId="0" fontId="13" fillId="0" borderId="0" xfId="0" applyFont="1" applyAlignment="1">
      <alignment horizontal="center" wrapText="1"/>
    </xf>
    <xf numFmtId="167" fontId="13" fillId="0" borderId="0" xfId="1" applyFont="1" applyAlignment="1">
      <alignment horizontal="center" wrapText="1"/>
    </xf>
    <xf numFmtId="168" fontId="13" fillId="0" borderId="0" xfId="1" applyNumberFormat="1" applyFont="1" applyFill="1" applyBorder="1" applyAlignment="1">
      <alignment horizontal="center" wrapText="1"/>
    </xf>
    <xf numFmtId="168" fontId="13" fillId="0" borderId="0" xfId="0" applyNumberFormat="1" applyFont="1"/>
    <xf numFmtId="168" fontId="13" fillId="0" borderId="4" xfId="0" applyNumberFormat="1" applyFont="1" applyBorder="1"/>
    <xf numFmtId="167" fontId="13" fillId="0" borderId="0" xfId="0" applyNumberFormat="1" applyFont="1" applyFill="1" applyBorder="1"/>
    <xf numFmtId="0" fontId="43" fillId="0" borderId="0" xfId="0" applyFont="1" applyFill="1" applyBorder="1"/>
    <xf numFmtId="168" fontId="43" fillId="0" borderId="0" xfId="0" applyNumberFormat="1" applyFont="1" applyFill="1" applyBorder="1"/>
    <xf numFmtId="167" fontId="43" fillId="0" borderId="0" xfId="0" applyNumberFormat="1" applyFont="1"/>
    <xf numFmtId="0" fontId="4" fillId="0" borderId="0" xfId="0" applyFont="1" applyFill="1" applyAlignment="1">
      <alignment horizontal="left"/>
    </xf>
    <xf numFmtId="0" fontId="13" fillId="0" borderId="0" xfId="0" applyNumberFormat="1" applyFont="1" applyAlignment="1">
      <alignment horizontal="left"/>
    </xf>
    <xf numFmtId="171" fontId="13" fillId="0" borderId="0" xfId="0" applyNumberFormat="1" applyFont="1" applyAlignment="1">
      <alignment horizontal="center"/>
    </xf>
    <xf numFmtId="166" fontId="13" fillId="0" borderId="0" xfId="2" applyFont="1" applyBorder="1" applyAlignment="1">
      <alignment horizontal="center"/>
    </xf>
    <xf numFmtId="167" fontId="13" fillId="0" borderId="0" xfId="1" applyFont="1" applyBorder="1" applyAlignment="1">
      <alignment horizontal="center"/>
    </xf>
    <xf numFmtId="167" fontId="13" fillId="0" borderId="0" xfId="1" applyFont="1"/>
    <xf numFmtId="167" fontId="13" fillId="0" borderId="0" xfId="1" applyFont="1" applyFill="1" applyBorder="1" applyAlignment="1">
      <alignment horizontal="center"/>
    </xf>
    <xf numFmtId="3" fontId="13" fillId="0" borderId="8" xfId="0" applyNumberFormat="1" applyFont="1" applyFill="1" applyBorder="1" applyAlignment="1"/>
    <xf numFmtId="37" fontId="13" fillId="5" borderId="19" xfId="0" applyNumberFormat="1" applyFont="1" applyFill="1" applyBorder="1"/>
    <xf numFmtId="175" fontId="5" fillId="0" borderId="0" xfId="0" applyNumberFormat="1" applyFont="1" applyFill="1" applyAlignment="1"/>
    <xf numFmtId="2" fontId="13" fillId="0" borderId="0" xfId="0" applyNumberFormat="1" applyFont="1" applyFill="1"/>
    <xf numFmtId="2" fontId="34" fillId="0" borderId="8" xfId="0" applyNumberFormat="1" applyFont="1" applyFill="1" applyBorder="1" applyAlignment="1">
      <alignment horizontal="center"/>
    </xf>
    <xf numFmtId="167" fontId="34" fillId="0" borderId="8" xfId="1" applyNumberFormat="1" applyFont="1" applyFill="1" applyBorder="1"/>
    <xf numFmtId="171" fontId="13" fillId="0" borderId="0" xfId="2" applyNumberFormat="1" applyFont="1" applyBorder="1" applyAlignment="1">
      <alignment horizontal="center"/>
    </xf>
    <xf numFmtId="171" fontId="13" fillId="0" borderId="0" xfId="1" applyNumberFormat="1" applyFont="1" applyFill="1" applyBorder="1" applyAlignment="1">
      <alignment horizontal="center" wrapText="1"/>
    </xf>
    <xf numFmtId="171" fontId="13" fillId="0" borderId="0" xfId="0" applyNumberFormat="1" applyFont="1" applyFill="1" applyBorder="1"/>
    <xf numFmtId="0" fontId="41" fillId="5" borderId="19" xfId="0" applyFont="1" applyFill="1" applyBorder="1"/>
    <xf numFmtId="0" fontId="12" fillId="5" borderId="23" xfId="0" applyFont="1" applyFill="1" applyBorder="1"/>
    <xf numFmtId="0" fontId="41" fillId="5" borderId="2" xfId="0" applyFont="1" applyFill="1" applyBorder="1"/>
    <xf numFmtId="0" fontId="41" fillId="5" borderId="24" xfId="0" applyFont="1" applyFill="1" applyBorder="1" applyAlignment="1">
      <alignment horizontal="center"/>
    </xf>
    <xf numFmtId="0" fontId="12" fillId="5" borderId="25" xfId="0" applyFont="1" applyFill="1" applyBorder="1" applyAlignment="1">
      <alignment horizontal="left"/>
    </xf>
    <xf numFmtId="0" fontId="41" fillId="5" borderId="0" xfId="0" applyFont="1" applyFill="1" applyBorder="1"/>
    <xf numFmtId="0" fontId="41" fillId="5" borderId="0" xfId="0" applyFont="1" applyFill="1" applyBorder="1" applyAlignment="1">
      <alignment horizontal="center"/>
    </xf>
    <xf numFmtId="0" fontId="41" fillId="5" borderId="26" xfId="0" applyFont="1" applyFill="1" applyBorder="1" applyAlignment="1">
      <alignment horizontal="center"/>
    </xf>
    <xf numFmtId="0" fontId="41" fillId="5" borderId="2" xfId="0" applyFont="1" applyFill="1" applyBorder="1" applyAlignment="1">
      <alignment horizontal="center"/>
    </xf>
    <xf numFmtId="0" fontId="41" fillId="5" borderId="26" xfId="0" applyFont="1" applyFill="1" applyBorder="1"/>
    <xf numFmtId="0" fontId="4" fillId="5" borderId="0" xfId="0" applyFont="1" applyFill="1"/>
    <xf numFmtId="0" fontId="4" fillId="5" borderId="0" xfId="0" applyFont="1" applyFill="1" applyBorder="1" applyAlignment="1"/>
    <xf numFmtId="37" fontId="41" fillId="5" borderId="0" xfId="0" applyNumberFormat="1" applyFont="1" applyFill="1" applyBorder="1" applyAlignment="1">
      <alignment horizontal="left"/>
    </xf>
    <xf numFmtId="0" fontId="41" fillId="5" borderId="0" xfId="0" applyFont="1" applyFill="1"/>
    <xf numFmtId="0" fontId="41" fillId="5" borderId="0" xfId="0" applyFont="1" applyFill="1" applyAlignment="1">
      <alignment horizontal="left"/>
    </xf>
    <xf numFmtId="3" fontId="12" fillId="4" borderId="0" xfId="0" applyNumberFormat="1" applyFont="1" applyFill="1" applyBorder="1" applyAlignment="1">
      <alignment horizontal="center"/>
    </xf>
    <xf numFmtId="0" fontId="4" fillId="5" borderId="0" xfId="0" applyFont="1" applyFill="1" applyAlignment="1">
      <alignment horizontal="left"/>
    </xf>
    <xf numFmtId="3" fontId="18" fillId="0" borderId="0" xfId="0" applyNumberFormat="1" applyFont="1" applyFill="1" applyAlignment="1">
      <alignment horizontal="right"/>
    </xf>
    <xf numFmtId="3" fontId="64" fillId="0" borderId="0" xfId="0" applyNumberFormat="1" applyFont="1" applyFill="1" applyBorder="1" applyAlignment="1"/>
    <xf numFmtId="0" fontId="64" fillId="0" borderId="4" xfId="0" applyNumberFormat="1" applyFont="1" applyFill="1" applyBorder="1" applyAlignment="1">
      <alignment horizontal="left"/>
    </xf>
    <xf numFmtId="3" fontId="64" fillId="0" borderId="3" xfId="0" applyNumberFormat="1" applyFont="1" applyFill="1" applyBorder="1" applyAlignment="1"/>
    <xf numFmtId="3" fontId="64" fillId="0" borderId="0" xfId="0" applyNumberFormat="1" applyFont="1" applyFill="1" applyAlignment="1"/>
    <xf numFmtId="3" fontId="64" fillId="0" borderId="4" xfId="0" applyNumberFormat="1" applyFont="1" applyFill="1" applyBorder="1" applyAlignment="1"/>
    <xf numFmtId="0" fontId="64" fillId="0" borderId="0" xfId="0" applyFont="1" applyFill="1" applyAlignment="1"/>
    <xf numFmtId="0" fontId="64" fillId="0" borderId="4" xfId="0" applyFont="1" applyFill="1" applyBorder="1" applyAlignment="1"/>
    <xf numFmtId="0" fontId="64" fillId="0" borderId="0" xfId="0" applyNumberFormat="1" applyFont="1" applyFill="1" applyAlignment="1">
      <alignment horizontal="left"/>
    </xf>
    <xf numFmtId="3" fontId="64" fillId="0" borderId="0" xfId="0" applyNumberFormat="1" applyFont="1" applyBorder="1" applyAlignment="1"/>
    <xf numFmtId="3" fontId="3" fillId="0" borderId="3" xfId="0" applyNumberFormat="1" applyFont="1" applyFill="1" applyBorder="1" applyAlignment="1"/>
    <xf numFmtId="0" fontId="64" fillId="0" borderId="0" xfId="0" applyFont="1" applyAlignment="1"/>
    <xf numFmtId="3" fontId="64" fillId="0" borderId="0" xfId="0" applyNumberFormat="1" applyFont="1" applyAlignment="1"/>
    <xf numFmtId="172" fontId="64" fillId="0" borderId="0" xfId="0" applyNumberFormat="1" applyFont="1" applyFill="1" applyAlignment="1">
      <alignment horizontal="left"/>
    </xf>
    <xf numFmtId="3" fontId="64" fillId="0" borderId="0" xfId="0" applyNumberFormat="1" applyFont="1" applyFill="1" applyBorder="1" applyAlignment="1">
      <alignment horizontal="right"/>
    </xf>
    <xf numFmtId="0" fontId="64" fillId="0" borderId="0" xfId="0" applyFont="1" applyFill="1" applyBorder="1"/>
    <xf numFmtId="0" fontId="64" fillId="0" borderId="0" xfId="0" applyFont="1" applyFill="1" applyBorder="1" applyAlignment="1">
      <alignment horizontal="center" wrapText="1"/>
    </xf>
    <xf numFmtId="3" fontId="64" fillId="0" borderId="2" xfId="0" applyNumberFormat="1" applyFont="1" applyBorder="1" applyAlignment="1"/>
    <xf numFmtId="3" fontId="64" fillId="0" borderId="0" xfId="0" applyNumberFormat="1" applyFont="1"/>
    <xf numFmtId="3" fontId="3" fillId="0" borderId="0" xfId="0" applyNumberFormat="1" applyFont="1" applyFill="1" applyBorder="1" applyAlignment="1"/>
    <xf numFmtId="3" fontId="64" fillId="0" borderId="0" xfId="0" applyNumberFormat="1" applyFont="1" applyAlignment="1">
      <alignment horizontal="center"/>
    </xf>
    <xf numFmtId="3" fontId="3" fillId="0" borderId="3" xfId="0" applyNumberFormat="1" applyFont="1" applyBorder="1"/>
    <xf numFmtId="3" fontId="64" fillId="0" borderId="0" xfId="0" applyNumberFormat="1" applyFont="1" applyFill="1" applyAlignment="1">
      <alignment horizontal="right"/>
    </xf>
    <xf numFmtId="175" fontId="64" fillId="0" borderId="0" xfId="5" applyNumberFormat="1" applyFont="1" applyAlignment="1">
      <alignment horizontal="right"/>
    </xf>
    <xf numFmtId="3" fontId="3" fillId="0" borderId="0" xfId="0" applyNumberFormat="1" applyFont="1" applyBorder="1" applyAlignment="1">
      <alignment horizontal="right"/>
    </xf>
    <xf numFmtId="176" fontId="64" fillId="0" borderId="0" xfId="0" applyNumberFormat="1" applyFont="1" applyAlignment="1">
      <alignment horizontal="right"/>
    </xf>
    <xf numFmtId="3" fontId="3" fillId="0" borderId="2" xfId="0" applyNumberFormat="1" applyFont="1" applyBorder="1" applyAlignment="1"/>
    <xf numFmtId="10" fontId="64" fillId="0" borderId="0" xfId="0" applyNumberFormat="1" applyFont="1" applyAlignment="1">
      <alignment horizontal="right"/>
    </xf>
    <xf numFmtId="3" fontId="3" fillId="0" borderId="2" xfId="0" applyNumberFormat="1" applyFont="1" applyFill="1" applyBorder="1" applyAlignment="1">
      <alignment horizontal="right"/>
    </xf>
    <xf numFmtId="3" fontId="3" fillId="0" borderId="0" xfId="0" applyNumberFormat="1" applyFont="1" applyFill="1" applyBorder="1" applyAlignment="1">
      <alignment horizontal="right"/>
    </xf>
    <xf numFmtId="3" fontId="64" fillId="0" borderId="0" xfId="0" applyNumberFormat="1" applyFont="1" applyBorder="1" applyAlignment="1">
      <alignment horizontal="right"/>
    </xf>
    <xf numFmtId="3" fontId="64" fillId="0" borderId="4" xfId="0" applyNumberFormat="1" applyFont="1" applyFill="1" applyBorder="1" applyAlignment="1">
      <alignment horizontal="right"/>
    </xf>
    <xf numFmtId="170" fontId="64" fillId="0" borderId="0" xfId="0" applyNumberFormat="1" applyFont="1" applyAlignment="1"/>
    <xf numFmtId="10" fontId="3" fillId="0" borderId="0" xfId="0" applyNumberFormat="1" applyFont="1" applyFill="1" applyAlignment="1">
      <alignment horizontal="right"/>
    </xf>
    <xf numFmtId="3" fontId="3" fillId="0" borderId="0" xfId="0" applyNumberFormat="1" applyFont="1" applyBorder="1"/>
    <xf numFmtId="168" fontId="3" fillId="0" borderId="0" xfId="1" applyNumberFormat="1" applyFont="1" applyAlignment="1"/>
    <xf numFmtId="168" fontId="3" fillId="0" borderId="0" xfId="1" applyNumberFormat="1" applyFont="1" applyFill="1" applyBorder="1" applyAlignment="1"/>
    <xf numFmtId="0" fontId="24" fillId="0" borderId="0" xfId="0" applyFont="1" applyFill="1"/>
    <xf numFmtId="0" fontId="24" fillId="0" borderId="0" xfId="0" applyFont="1"/>
    <xf numFmtId="168" fontId="13" fillId="0" borderId="0" xfId="1" applyNumberFormat="1" applyFont="1" applyAlignment="1"/>
    <xf numFmtId="168" fontId="13" fillId="0" borderId="0" xfId="1" applyNumberFormat="1" applyFont="1" applyFill="1" applyAlignment="1"/>
    <xf numFmtId="9" fontId="13" fillId="0" borderId="0" xfId="5" applyFont="1" applyFill="1" applyBorder="1" applyAlignment="1">
      <alignment horizontal="center"/>
    </xf>
    <xf numFmtId="3" fontId="13" fillId="0" borderId="0" xfId="0" applyNumberFormat="1" applyFont="1" applyFill="1" applyBorder="1" applyAlignment="1">
      <alignment horizontal="left"/>
    </xf>
    <xf numFmtId="2" fontId="13" fillId="0" borderId="0" xfId="0" applyNumberFormat="1" applyFont="1"/>
    <xf numFmtId="37" fontId="13" fillId="4" borderId="19" xfId="0" applyNumberFormat="1" applyFont="1" applyFill="1" applyBorder="1"/>
    <xf numFmtId="3" fontId="3" fillId="0" borderId="0" xfId="0" applyNumberFormat="1" applyFont="1" applyFill="1" applyAlignment="1"/>
    <xf numFmtId="0" fontId="13" fillId="0" borderId="16" xfId="0" applyFont="1" applyFill="1" applyBorder="1"/>
    <xf numFmtId="176" fontId="36" fillId="0" borderId="19" xfId="0" applyNumberFormat="1" applyFont="1" applyFill="1" applyBorder="1"/>
    <xf numFmtId="0" fontId="13" fillId="4" borderId="19" xfId="0" applyFont="1" applyFill="1" applyBorder="1" applyAlignment="1">
      <alignment horizontal="center"/>
    </xf>
    <xf numFmtId="0" fontId="13" fillId="4" borderId="19" xfId="0" applyFont="1" applyFill="1" applyBorder="1" applyAlignment="1">
      <alignment wrapText="1"/>
    </xf>
    <xf numFmtId="0" fontId="12" fillId="4" borderId="19" xfId="0" applyFont="1" applyFill="1" applyBorder="1"/>
    <xf numFmtId="0" fontId="41" fillId="4" borderId="19" xfId="0" applyFont="1" applyFill="1" applyBorder="1"/>
    <xf numFmtId="37" fontId="13" fillId="4" borderId="19" xfId="0" applyNumberFormat="1" applyFont="1" applyFill="1" applyBorder="1" applyAlignment="1">
      <alignment horizontal="right"/>
    </xf>
    <xf numFmtId="0" fontId="15" fillId="4" borderId="19" xfId="0" applyFont="1" applyFill="1" applyBorder="1" applyAlignment="1">
      <alignment wrapText="1"/>
    </xf>
    <xf numFmtId="0" fontId="12" fillId="4" borderId="22" xfId="0" applyFont="1" applyFill="1" applyBorder="1"/>
    <xf numFmtId="0" fontId="41" fillId="4" borderId="22" xfId="0" applyFont="1" applyFill="1" applyBorder="1"/>
    <xf numFmtId="37" fontId="13" fillId="4" borderId="22" xfId="0" applyNumberFormat="1" applyFont="1" applyFill="1" applyBorder="1"/>
    <xf numFmtId="168" fontId="13" fillId="4" borderId="19" xfId="1" applyNumberFormat="1" applyFont="1" applyFill="1" applyBorder="1" applyAlignment="1">
      <alignment horizontal="right"/>
    </xf>
    <xf numFmtId="168" fontId="13" fillId="4" borderId="22" xfId="1" applyNumberFormat="1" applyFont="1" applyFill="1" applyBorder="1" applyAlignment="1">
      <alignment horizontal="right"/>
    </xf>
    <xf numFmtId="0" fontId="13" fillId="5" borderId="18" xfId="0" applyFont="1" applyFill="1" applyBorder="1"/>
    <xf numFmtId="37" fontId="13" fillId="5" borderId="32" xfId="0" applyNumberFormat="1" applyFont="1" applyFill="1" applyBorder="1" applyAlignment="1">
      <alignment horizontal="right"/>
    </xf>
    <xf numFmtId="37" fontId="13" fillId="5" borderId="32" xfId="0" applyNumberFormat="1" applyFont="1" applyFill="1" applyBorder="1"/>
    <xf numFmtId="0" fontId="2" fillId="5" borderId="19" xfId="0" applyFont="1" applyFill="1" applyBorder="1" applyAlignment="1"/>
    <xf numFmtId="0" fontId="2" fillId="5" borderId="19" xfId="0" applyFont="1" applyFill="1" applyBorder="1"/>
    <xf numFmtId="3" fontId="19" fillId="0" borderId="2" xfId="0" applyNumberFormat="1" applyFont="1" applyFill="1" applyBorder="1" applyAlignment="1">
      <alignment horizontal="right"/>
    </xf>
    <xf numFmtId="0" fontId="13" fillId="0" borderId="0" xfId="0" applyFont="1" applyFill="1" applyAlignment="1">
      <alignment horizontal="center" wrapText="1"/>
    </xf>
    <xf numFmtId="0" fontId="13" fillId="0" borderId="16" xfId="0" applyFont="1" applyBorder="1" applyAlignment="1"/>
    <xf numFmtId="0" fontId="13" fillId="0" borderId="15" xfId="0" applyFont="1" applyBorder="1" applyAlignment="1"/>
    <xf numFmtId="167" fontId="13" fillId="0" borderId="0" xfId="1" applyFont="1" applyFill="1" applyAlignment="1">
      <alignment horizontal="center" wrapText="1"/>
    </xf>
    <xf numFmtId="168" fontId="13" fillId="0" borderId="0" xfId="1" applyNumberFormat="1" applyFont="1" applyFill="1" applyAlignment="1">
      <alignment horizontal="center" wrapText="1"/>
    </xf>
    <xf numFmtId="168" fontId="13" fillId="0" borderId="0" xfId="0" applyNumberFormat="1" applyFont="1" applyFill="1" applyBorder="1" applyAlignment="1">
      <alignment horizontal="center" wrapText="1"/>
    </xf>
    <xf numFmtId="167" fontId="13" fillId="0" borderId="0" xfId="0" applyNumberFormat="1" applyFont="1"/>
    <xf numFmtId="167" fontId="13" fillId="0" borderId="0" xfId="1" applyFont="1" applyBorder="1"/>
    <xf numFmtId="0" fontId="13" fillId="0" borderId="0" xfId="0" applyNumberFormat="1" applyFont="1"/>
    <xf numFmtId="171" fontId="13" fillId="0" borderId="0" xfId="2" applyNumberFormat="1" applyFont="1" applyFill="1"/>
    <xf numFmtId="0" fontId="13" fillId="0" borderId="0" xfId="2" applyNumberFormat="1" applyFont="1" applyFill="1" applyAlignment="1">
      <alignment horizontal="left"/>
    </xf>
    <xf numFmtId="168" fontId="4" fillId="0" borderId="0" xfId="0" applyNumberFormat="1" applyFont="1" applyFill="1"/>
    <xf numFmtId="168" fontId="13" fillId="0" borderId="0" xfId="0" applyNumberFormat="1" applyFont="1" applyAlignment="1">
      <alignment horizontal="left"/>
    </xf>
    <xf numFmtId="168" fontId="13" fillId="0" borderId="0" xfId="0" applyNumberFormat="1" applyFont="1" applyAlignment="1">
      <alignment horizontal="center"/>
    </xf>
    <xf numFmtId="176" fontId="13" fillId="0" borderId="0" xfId="5" applyNumberFormat="1" applyFont="1"/>
    <xf numFmtId="176" fontId="13" fillId="0" borderId="0" xfId="0" applyNumberFormat="1" applyFont="1"/>
    <xf numFmtId="172" fontId="13" fillId="0" borderId="0" xfId="5" applyNumberFormat="1" applyFont="1"/>
    <xf numFmtId="171" fontId="13" fillId="0" borderId="0" xfId="0" applyNumberFormat="1" applyFont="1" applyFill="1"/>
    <xf numFmtId="3" fontId="13" fillId="0" borderId="0" xfId="0" applyNumberFormat="1" applyFont="1"/>
    <xf numFmtId="3" fontId="13" fillId="0" borderId="8" xfId="0" applyNumberFormat="1" applyFont="1" applyFill="1" applyBorder="1" applyAlignment="1">
      <alignment horizontal="right"/>
    </xf>
    <xf numFmtId="2" fontId="15" fillId="0" borderId="0" xfId="0" applyNumberFormat="1" applyFont="1" applyFill="1"/>
    <xf numFmtId="49" fontId="0" fillId="0" borderId="0" xfId="0" applyNumberFormat="1" applyFill="1" applyAlignment="1">
      <alignment horizontal="left" indent="1"/>
    </xf>
    <xf numFmtId="0" fontId="13" fillId="3" borderId="0" xfId="0" applyFont="1" applyFill="1" applyBorder="1" applyAlignment="1">
      <alignment horizontal="left"/>
    </xf>
    <xf numFmtId="0" fontId="13" fillId="3" borderId="0" xfId="0" applyFont="1" applyFill="1" applyBorder="1"/>
    <xf numFmtId="0" fontId="72" fillId="3" borderId="0" xfId="0" applyFont="1" applyFill="1" applyBorder="1"/>
    <xf numFmtId="168" fontId="72" fillId="3" borderId="0" xfId="1" applyNumberFormat="1" applyFont="1" applyFill="1" applyBorder="1"/>
    <xf numFmtId="182" fontId="13" fillId="0" borderId="0" xfId="0" applyNumberFormat="1" applyFont="1"/>
    <xf numFmtId="0" fontId="15" fillId="0" borderId="0" xfId="0" applyFont="1"/>
    <xf numFmtId="0" fontId="65" fillId="0" borderId="0" xfId="0" applyFont="1"/>
    <xf numFmtId="168" fontId="13" fillId="0" borderId="33" xfId="1" applyNumberFormat="1" applyFont="1" applyFill="1" applyBorder="1"/>
    <xf numFmtId="168" fontId="13" fillId="0" borderId="1" xfId="0" applyNumberFormat="1" applyFont="1" applyFill="1" applyBorder="1" applyAlignment="1">
      <alignment horizontal="center"/>
    </xf>
    <xf numFmtId="49" fontId="15" fillId="0" borderId="0" xfId="0" applyNumberFormat="1" applyFont="1" applyFill="1" applyAlignment="1">
      <alignment horizontal="left" indent="1"/>
    </xf>
    <xf numFmtId="2" fontId="4" fillId="0" borderId="0" xfId="0" applyNumberFormat="1" applyFont="1" applyFill="1"/>
    <xf numFmtId="2" fontId="78" fillId="0" borderId="0" xfId="0" applyNumberFormat="1" applyFont="1"/>
    <xf numFmtId="49" fontId="4" fillId="0" borderId="0" xfId="0" applyNumberFormat="1" applyFont="1" applyAlignment="1">
      <alignment horizontal="left" indent="1"/>
    </xf>
    <xf numFmtId="49" fontId="78" fillId="0" borderId="0" xfId="0" applyNumberFormat="1" applyFont="1" applyFill="1" applyAlignment="1">
      <alignment horizontal="left" indent="1"/>
    </xf>
    <xf numFmtId="0" fontId="15" fillId="0" borderId="0" xfId="0" applyFont="1" applyFill="1"/>
    <xf numFmtId="0" fontId="71" fillId="0" borderId="0" xfId="0" applyFont="1"/>
    <xf numFmtId="0" fontId="79" fillId="0" borderId="0" xfId="0" applyFont="1"/>
    <xf numFmtId="168" fontId="50" fillId="0" borderId="0" xfId="0" applyNumberFormat="1" applyFont="1" applyBorder="1"/>
    <xf numFmtId="168" fontId="50" fillId="0" borderId="0" xfId="1" applyNumberFormat="1" applyFont="1" applyBorder="1"/>
    <xf numFmtId="168" fontId="50" fillId="0" borderId="8" xfId="0" applyNumberFormat="1" applyFont="1" applyBorder="1"/>
    <xf numFmtId="168" fontId="50" fillId="0" borderId="7" xfId="1" applyNumberFormat="1" applyFont="1" applyBorder="1"/>
    <xf numFmtId="0" fontId="75" fillId="0" borderId="0" xfId="0" applyFont="1" applyFill="1" applyBorder="1" applyAlignment="1">
      <alignment horizontal="center" wrapText="1"/>
    </xf>
    <xf numFmtId="171" fontId="75" fillId="0" borderId="0" xfId="2" applyNumberFormat="1" applyFont="1" applyFill="1" applyBorder="1" applyAlignment="1">
      <alignment horizontal="center"/>
    </xf>
    <xf numFmtId="167" fontId="75" fillId="0" borderId="0" xfId="0" applyNumberFormat="1" applyFont="1" applyFill="1" applyBorder="1"/>
    <xf numFmtId="0" fontId="75" fillId="0" borderId="0" xfId="0" applyFont="1" applyFill="1" applyBorder="1" applyAlignment="1">
      <alignment horizontal="center"/>
    </xf>
    <xf numFmtId="0" fontId="75" fillId="0" borderId="0" xfId="0" applyFont="1" applyFill="1" applyBorder="1" applyAlignment="1">
      <alignment horizontal="left"/>
    </xf>
    <xf numFmtId="171" fontId="75" fillId="0" borderId="0" xfId="0" applyNumberFormat="1" applyFont="1" applyFill="1" applyBorder="1"/>
    <xf numFmtId="171" fontId="77" fillId="0" borderId="0" xfId="0" applyNumberFormat="1" applyFont="1" applyFill="1" applyBorder="1" applyAlignment="1">
      <alignment horizontal="center" wrapText="1"/>
    </xf>
    <xf numFmtId="0" fontId="75" fillId="0" borderId="0" xfId="0" applyFont="1" applyFill="1" applyBorder="1"/>
    <xf numFmtId="171" fontId="77" fillId="0" borderId="0" xfId="0" applyNumberFormat="1" applyFont="1" applyFill="1" applyBorder="1"/>
    <xf numFmtId="37" fontId="75" fillId="0" borderId="0" xfId="0" applyNumberFormat="1" applyFont="1" applyFill="1" applyBorder="1"/>
    <xf numFmtId="0" fontId="76" fillId="0" borderId="0" xfId="0" applyFont="1" applyFill="1" applyBorder="1"/>
    <xf numFmtId="0" fontId="64" fillId="0" borderId="0" xfId="0" applyFont="1" applyAlignment="1">
      <alignment horizontal="right"/>
    </xf>
    <xf numFmtId="0" fontId="3" fillId="0" borderId="0" xfId="0" applyFont="1" applyFill="1"/>
    <xf numFmtId="0" fontId="45" fillId="0" borderId="0" xfId="0" applyFont="1" applyFill="1" applyAlignment="1">
      <alignment horizontal="left" wrapText="1"/>
    </xf>
    <xf numFmtId="172" fontId="45" fillId="0" borderId="0" xfId="5" applyNumberFormat="1" applyFont="1" applyFill="1" applyAlignment="1">
      <alignment horizontal="center" wrapText="1"/>
    </xf>
    <xf numFmtId="0" fontId="45" fillId="0" borderId="0" xfId="0" applyFont="1" applyAlignment="1">
      <alignment horizontal="left" wrapText="1"/>
    </xf>
    <xf numFmtId="0" fontId="45" fillId="0" borderId="0" xfId="0" applyFont="1" applyAlignment="1">
      <alignment horizontal="right" wrapText="1"/>
    </xf>
    <xf numFmtId="0" fontId="45" fillId="0" borderId="0" xfId="0" applyFont="1" applyAlignment="1">
      <alignment horizontal="left" vertical="center" wrapText="1"/>
    </xf>
    <xf numFmtId="0" fontId="45" fillId="0" borderId="4" xfId="0" applyFont="1" applyBorder="1"/>
    <xf numFmtId="0" fontId="45" fillId="0" borderId="0" xfId="0" applyFont="1" applyFill="1" applyAlignment="1">
      <alignment horizontal="right"/>
    </xf>
    <xf numFmtId="0" fontId="45" fillId="0" borderId="0" xfId="0" applyFont="1" applyFill="1" applyAlignment="1">
      <alignment horizontal="left"/>
    </xf>
    <xf numFmtId="0" fontId="2" fillId="0" borderId="0" xfId="0" applyFont="1" applyAlignment="1">
      <alignment horizontal="center"/>
    </xf>
    <xf numFmtId="0" fontId="79" fillId="0" borderId="0" xfId="0" applyFont="1" applyFill="1"/>
    <xf numFmtId="0" fontId="79" fillId="0" borderId="0" xfId="0" applyFont="1" applyAlignment="1">
      <alignment horizontal="center"/>
    </xf>
    <xf numFmtId="168" fontId="79" fillId="0" borderId="0" xfId="1" applyNumberFormat="1" applyFont="1" applyAlignment="1"/>
    <xf numFmtId="0" fontId="2" fillId="0" borderId="0" xfId="0" applyFont="1" applyAlignment="1">
      <alignment horizontal="right"/>
    </xf>
    <xf numFmtId="0" fontId="79" fillId="0" borderId="0" xfId="0" applyFont="1" applyFill="1" applyAlignment="1">
      <alignment horizontal="left"/>
    </xf>
    <xf numFmtId="168" fontId="79" fillId="0" borderId="0" xfId="0" applyNumberFormat="1" applyFont="1"/>
    <xf numFmtId="0" fontId="79" fillId="0" borderId="0" xfId="0" applyFont="1" applyAlignment="1">
      <alignment horizontal="left" wrapText="1"/>
    </xf>
    <xf numFmtId="0" fontId="79" fillId="0" borderId="0" xfId="0" applyFont="1" applyFill="1" applyAlignment="1"/>
    <xf numFmtId="0" fontId="79" fillId="0" borderId="0" xfId="0" applyFont="1" applyAlignment="1"/>
    <xf numFmtId="0" fontId="79" fillId="0" borderId="0" xfId="0" applyFont="1" applyFill="1" applyAlignment="1">
      <alignment horizontal="center"/>
    </xf>
    <xf numFmtId="168" fontId="79" fillId="0" borderId="0" xfId="1" applyNumberFormat="1" applyFont="1" applyFill="1" applyAlignment="1"/>
    <xf numFmtId="0" fontId="79" fillId="6" borderId="0" xfId="0" applyFont="1" applyFill="1"/>
    <xf numFmtId="0" fontId="79" fillId="0" borderId="0" xfId="0" applyFont="1" applyAlignment="1">
      <alignment horizontal="left" vertical="center" wrapText="1"/>
    </xf>
    <xf numFmtId="0" fontId="79" fillId="0" borderId="0" xfId="0" applyFont="1" applyFill="1" applyAlignment="1">
      <alignment horizontal="left" vertical="center" wrapText="1"/>
    </xf>
    <xf numFmtId="0" fontId="79" fillId="0" borderId="0" xfId="0" applyFont="1" applyAlignment="1">
      <alignment horizontal="left"/>
    </xf>
    <xf numFmtId="0" fontId="79" fillId="0" borderId="0" xfId="0" applyFont="1" applyFill="1" applyAlignment="1">
      <alignment horizontal="left" wrapText="1"/>
    </xf>
    <xf numFmtId="0" fontId="79" fillId="0" borderId="0" xfId="0" applyFont="1" applyFill="1" applyAlignment="1">
      <alignment horizontal="center" vertical="top"/>
    </xf>
    <xf numFmtId="168" fontId="79" fillId="0" borderId="0" xfId="1" applyNumberFormat="1" applyFont="1" applyFill="1" applyBorder="1" applyAlignment="1"/>
    <xf numFmtId="0" fontId="80" fillId="5" borderId="0" xfId="0" applyFont="1" applyFill="1" applyAlignment="1">
      <alignment horizontal="left"/>
    </xf>
    <xf numFmtId="0" fontId="81" fillId="5" borderId="0" xfId="0" applyFont="1" applyFill="1" applyAlignment="1">
      <alignment horizontal="center"/>
    </xf>
    <xf numFmtId="0" fontId="80" fillId="5" borderId="0" xfId="0" applyFont="1" applyFill="1"/>
    <xf numFmtId="0" fontId="80" fillId="0" borderId="0" xfId="0" applyFont="1" applyFill="1"/>
    <xf numFmtId="0" fontId="81" fillId="5" borderId="0" xfId="0" applyFont="1" applyFill="1"/>
    <xf numFmtId="10" fontId="11" fillId="0" borderId="0" xfId="5" applyNumberFormat="1" applyFont="1" applyAlignment="1"/>
    <xf numFmtId="10" fontId="3" fillId="0" borderId="3" xfId="5" applyNumberFormat="1" applyFont="1" applyBorder="1" applyAlignment="1"/>
    <xf numFmtId="10" fontId="11" fillId="0" borderId="3" xfId="5" applyNumberFormat="1" applyFont="1" applyBorder="1" applyAlignment="1"/>
    <xf numFmtId="10" fontId="64" fillId="0" borderId="0" xfId="5" applyNumberFormat="1" applyFont="1" applyAlignment="1"/>
    <xf numFmtId="10" fontId="64" fillId="0" borderId="0" xfId="5" applyNumberFormat="1" applyFont="1" applyBorder="1" applyAlignment="1"/>
    <xf numFmtId="10" fontId="64" fillId="0" borderId="0" xfId="5" applyNumberFormat="1" applyFont="1" applyFill="1" applyBorder="1" applyAlignment="1"/>
    <xf numFmtId="10" fontId="5" fillId="0" borderId="4" xfId="0" applyNumberFormat="1" applyFont="1" applyFill="1" applyBorder="1" applyAlignment="1">
      <alignment horizontal="right"/>
    </xf>
    <xf numFmtId="10" fontId="64" fillId="0" borderId="4" xfId="0" applyNumberFormat="1" applyFont="1" applyBorder="1" applyAlignment="1">
      <alignment horizontal="right"/>
    </xf>
    <xf numFmtId="10" fontId="5" fillId="0" borderId="0" xfId="0" applyNumberFormat="1" applyFont="1" applyBorder="1" applyAlignment="1">
      <alignment horizontal="right"/>
    </xf>
    <xf numFmtId="10" fontId="3" fillId="0" borderId="0" xfId="5" applyNumberFormat="1" applyFont="1" applyAlignment="1"/>
    <xf numFmtId="10" fontId="36" fillId="0" borderId="0" xfId="5" applyNumberFormat="1" applyFont="1" applyFill="1" applyAlignment="1">
      <alignment horizontal="center" wrapText="1"/>
    </xf>
    <xf numFmtId="10" fontId="36" fillId="0" borderId="0" xfId="0" applyNumberFormat="1" applyFont="1" applyFill="1" applyAlignment="1">
      <alignment horizontal="center" wrapText="1"/>
    </xf>
    <xf numFmtId="10" fontId="7" fillId="0" borderId="0" xfId="5" applyNumberFormat="1" applyFont="1" applyFill="1" applyBorder="1" applyAlignment="1"/>
    <xf numFmtId="10" fontId="7" fillId="0" borderId="0" xfId="5" applyNumberFormat="1" applyFont="1" applyAlignment="1"/>
    <xf numFmtId="10" fontId="7" fillId="0" borderId="4" xfId="5" applyNumberFormat="1" applyFont="1" applyBorder="1" applyAlignment="1"/>
    <xf numFmtId="10" fontId="5" fillId="0" borderId="0" xfId="5" applyNumberFormat="1" applyFont="1" applyFill="1" applyAlignment="1"/>
    <xf numFmtId="10" fontId="5" fillId="0" borderId="4" xfId="5" applyNumberFormat="1" applyFont="1" applyBorder="1" applyAlignment="1"/>
    <xf numFmtId="10" fontId="13" fillId="0" borderId="0" xfId="5" applyNumberFormat="1" applyFont="1" applyBorder="1"/>
    <xf numFmtId="10" fontId="13" fillId="0" borderId="1" xfId="5" applyNumberFormat="1" applyFont="1" applyFill="1" applyBorder="1"/>
    <xf numFmtId="37" fontId="80" fillId="5" borderId="0" xfId="0" applyNumberFormat="1" applyFont="1" applyFill="1" applyAlignment="1">
      <alignment horizontal="center"/>
    </xf>
    <xf numFmtId="0" fontId="62" fillId="0" borderId="0" xfId="0" applyFont="1" applyFill="1" applyBorder="1" applyAlignment="1">
      <alignment horizontal="left"/>
    </xf>
    <xf numFmtId="3" fontId="62" fillId="0" borderId="0" xfId="0" applyNumberFormat="1" applyFont="1" applyFill="1" applyAlignment="1"/>
    <xf numFmtId="176" fontId="16" fillId="0" borderId="0" xfId="5" applyNumberFormat="1" applyFont="1" applyFill="1" applyAlignment="1"/>
    <xf numFmtId="0" fontId="62" fillId="0" borderId="0" xfId="0" applyFont="1" applyFill="1"/>
    <xf numFmtId="167" fontId="24" fillId="0" borderId="0" xfId="1" applyFont="1" applyFill="1"/>
    <xf numFmtId="178" fontId="24" fillId="0" borderId="0" xfId="5" applyNumberFormat="1" applyFont="1" applyFill="1"/>
    <xf numFmtId="167" fontId="24" fillId="0" borderId="0" xfId="0" applyNumberFormat="1" applyFont="1" applyFill="1"/>
    <xf numFmtId="0" fontId="4" fillId="5" borderId="19" xfId="0" applyFont="1" applyFill="1" applyBorder="1"/>
    <xf numFmtId="0" fontId="4" fillId="4" borderId="19" xfId="0" applyFont="1" applyFill="1" applyBorder="1"/>
    <xf numFmtId="0" fontId="4" fillId="4" borderId="22" xfId="0" applyFont="1" applyFill="1" applyBorder="1"/>
    <xf numFmtId="0" fontId="4" fillId="5" borderId="2" xfId="0" applyFont="1" applyFill="1" applyBorder="1"/>
    <xf numFmtId="37" fontId="4" fillId="5" borderId="2" xfId="0" applyNumberFormat="1" applyFont="1" applyFill="1" applyBorder="1"/>
    <xf numFmtId="37" fontId="4" fillId="5" borderId="2" xfId="0" applyNumberFormat="1" applyFont="1" applyFill="1" applyBorder="1" applyAlignment="1">
      <alignment horizontal="center"/>
    </xf>
    <xf numFmtId="0" fontId="4" fillId="5" borderId="24" xfId="0" applyFont="1" applyFill="1" applyBorder="1" applyAlignment="1">
      <alignment horizontal="center"/>
    </xf>
    <xf numFmtId="0" fontId="4" fillId="5" borderId="0" xfId="0" applyFont="1" applyFill="1" applyBorder="1"/>
    <xf numFmtId="0" fontId="4" fillId="5" borderId="0" xfId="0" applyFont="1" applyFill="1" applyBorder="1" applyAlignment="1">
      <alignment horizontal="center"/>
    </xf>
    <xf numFmtId="0" fontId="4" fillId="5" borderId="26" xfId="0" applyFont="1" applyFill="1" applyBorder="1" applyAlignment="1">
      <alignment horizontal="center"/>
    </xf>
    <xf numFmtId="0" fontId="4" fillId="5" borderId="2" xfId="0" applyFont="1" applyFill="1" applyBorder="1" applyAlignment="1">
      <alignment horizontal="center"/>
    </xf>
    <xf numFmtId="0" fontId="82" fillId="0" borderId="0" xfId="0" quotePrefix="1" applyFont="1"/>
    <xf numFmtId="37" fontId="82" fillId="0" borderId="0" xfId="0" quotePrefix="1" applyNumberFormat="1" applyFont="1" applyAlignment="1">
      <alignment horizontal="center"/>
    </xf>
    <xf numFmtId="3" fontId="13" fillId="7" borderId="0" xfId="0" applyNumberFormat="1" applyFont="1" applyFill="1" applyAlignment="1"/>
    <xf numFmtId="3" fontId="13" fillId="7" borderId="4" xfId="0" applyNumberFormat="1" applyFont="1" applyFill="1" applyBorder="1" applyAlignment="1"/>
    <xf numFmtId="171" fontId="13" fillId="7" borderId="0" xfId="2" applyNumberFormat="1" applyFont="1" applyFill="1"/>
    <xf numFmtId="176" fontId="13" fillId="7" borderId="0" xfId="5" applyNumberFormat="1" applyFont="1" applyFill="1"/>
    <xf numFmtId="168" fontId="13" fillId="7" borderId="0" xfId="1" applyNumberFormat="1" applyFont="1" applyFill="1" applyAlignment="1">
      <alignment horizontal="left"/>
    </xf>
    <xf numFmtId="168" fontId="37" fillId="0" borderId="0" xfId="0" applyNumberFormat="1" applyFont="1" applyFill="1" applyBorder="1"/>
    <xf numFmtId="168" fontId="50" fillId="0" borderId="0" xfId="0" applyNumberFormat="1" applyFont="1" applyFill="1" applyBorder="1"/>
    <xf numFmtId="168" fontId="50" fillId="0" borderId="0" xfId="1" applyNumberFormat="1" applyFont="1" applyFill="1" applyBorder="1"/>
    <xf numFmtId="168" fontId="34" fillId="0" borderId="0" xfId="0" applyNumberFormat="1" applyFont="1" applyFill="1" applyBorder="1"/>
    <xf numFmtId="0" fontId="84" fillId="9" borderId="0" xfId="0" applyFont="1" applyFill="1" applyAlignment="1">
      <alignment horizontal="center"/>
    </xf>
    <xf numFmtId="0" fontId="2" fillId="5" borderId="0" xfId="0" applyFont="1" applyFill="1" applyAlignment="1">
      <alignment horizontal="center"/>
    </xf>
    <xf numFmtId="168" fontId="34" fillId="0" borderId="8" xfId="0" applyNumberFormat="1" applyFont="1" applyFill="1" applyBorder="1"/>
    <xf numFmtId="3" fontId="1" fillId="0" borderId="0" xfId="0" applyNumberFormat="1" applyFont="1" applyFill="1" applyBorder="1" applyAlignment="1">
      <alignment horizontal="right"/>
    </xf>
    <xf numFmtId="0" fontId="1" fillId="0" borderId="0" xfId="0" applyNumberFormat="1" applyFont="1" applyAlignment="1">
      <alignment horizontal="left"/>
    </xf>
    <xf numFmtId="37" fontId="87" fillId="5" borderId="19" xfId="0" applyNumberFormat="1" applyFont="1" applyFill="1" applyBorder="1"/>
    <xf numFmtId="37" fontId="87" fillId="5" borderId="20" xfId="0" applyNumberFormat="1" applyFont="1" applyFill="1" applyBorder="1"/>
    <xf numFmtId="37" fontId="87" fillId="5" borderId="21" xfId="0" applyNumberFormat="1" applyFont="1" applyFill="1" applyBorder="1"/>
    <xf numFmtId="37" fontId="13" fillId="8" borderId="19" xfId="0" applyNumberFormat="1" applyFont="1" applyFill="1" applyBorder="1"/>
    <xf numFmtId="0" fontId="13" fillId="8" borderId="19" xfId="0" applyFont="1" applyFill="1" applyBorder="1" applyAlignment="1">
      <alignment wrapText="1"/>
    </xf>
    <xf numFmtId="0" fontId="1" fillId="8" borderId="19" xfId="0" applyFont="1" applyFill="1" applyBorder="1" applyAlignment="1">
      <alignment wrapText="1"/>
    </xf>
    <xf numFmtId="180" fontId="1" fillId="8" borderId="19" xfId="4" applyNumberFormat="1" applyFont="1" applyFill="1" applyBorder="1" applyAlignment="1" applyProtection="1">
      <alignment horizontal="left" indent="1"/>
      <protection locked="0"/>
    </xf>
    <xf numFmtId="180" fontId="13" fillId="8" borderId="19" xfId="4" applyNumberFormat="1" applyFont="1" applyFill="1" applyBorder="1" applyAlignment="1" applyProtection="1">
      <alignment horizontal="left" indent="1"/>
      <protection locked="0"/>
    </xf>
    <xf numFmtId="0" fontId="13" fillId="8" borderId="19" xfId="0" applyFont="1" applyFill="1" applyBorder="1" applyAlignment="1">
      <alignment horizontal="center"/>
    </xf>
    <xf numFmtId="0" fontId="1" fillId="8" borderId="19" xfId="0" applyFont="1" applyFill="1" applyBorder="1" applyAlignment="1">
      <alignment horizontal="left" wrapText="1"/>
    </xf>
    <xf numFmtId="37" fontId="13" fillId="8" borderId="22" xfId="0" applyNumberFormat="1" applyFont="1" applyFill="1" applyBorder="1"/>
    <xf numFmtId="37" fontId="13" fillId="8" borderId="18" xfId="0" applyNumberFormat="1" applyFont="1" applyFill="1" applyBorder="1"/>
    <xf numFmtId="180" fontId="13" fillId="8" borderId="19" xfId="4" applyNumberFormat="1" applyFont="1" applyFill="1" applyBorder="1" applyAlignment="1" applyProtection="1">
      <alignment horizontal="left" vertical="top" indent="1"/>
      <protection locked="0"/>
    </xf>
    <xf numFmtId="0" fontId="88" fillId="5" borderId="0" xfId="0" applyFont="1" applyFill="1" applyAlignment="1">
      <alignment horizontal="center"/>
    </xf>
    <xf numFmtId="0" fontId="89" fillId="5" borderId="0" xfId="0" applyFont="1" applyFill="1" applyAlignment="1">
      <alignment horizontal="center"/>
    </xf>
    <xf numFmtId="3" fontId="86" fillId="0" borderId="35" xfId="0" applyNumberFormat="1" applyFont="1" applyFill="1" applyBorder="1" applyAlignment="1">
      <alignment horizontal="center"/>
    </xf>
    <xf numFmtId="3" fontId="13" fillId="0" borderId="8" xfId="0" applyNumberFormat="1" applyFont="1" applyBorder="1" applyAlignment="1">
      <alignment horizontal="center"/>
    </xf>
    <xf numFmtId="3" fontId="83" fillId="4" borderId="0" xfId="0" applyNumberFormat="1" applyFont="1" applyFill="1" applyBorder="1" applyAlignment="1">
      <alignment horizontal="center"/>
    </xf>
    <xf numFmtId="180" fontId="1" fillId="8" borderId="19" xfId="4" applyNumberFormat="1" applyFont="1" applyFill="1" applyBorder="1" applyAlignment="1" applyProtection="1">
      <alignment horizontal="left" vertical="top" indent="1"/>
      <protection locked="0"/>
    </xf>
    <xf numFmtId="168" fontId="1" fillId="0" borderId="0" xfId="1" applyNumberFormat="1" applyFont="1" applyAlignment="1"/>
    <xf numFmtId="49" fontId="1" fillId="0" borderId="0" xfId="0" applyNumberFormat="1" applyFont="1" applyFill="1" applyAlignment="1">
      <alignment horizontal="left" indent="1"/>
    </xf>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64" fillId="0" borderId="0" xfId="0" applyNumberFormat="1" applyFont="1" applyFill="1" applyAlignment="1"/>
    <xf numFmtId="37" fontId="45" fillId="7" borderId="0" xfId="0" applyNumberFormat="1" applyFont="1" applyFill="1" applyAlignment="1">
      <alignment horizontal="right" wrapText="1"/>
    </xf>
    <xf numFmtId="168" fontId="45" fillId="7" borderId="4" xfId="1" applyNumberFormat="1" applyFont="1" applyFill="1" applyBorder="1" applyAlignment="1">
      <alignment horizontal="right" wrapText="1"/>
    </xf>
    <xf numFmtId="0" fontId="45" fillId="7" borderId="0" xfId="0" applyFont="1" applyFill="1" applyAlignment="1">
      <alignment horizontal="right"/>
    </xf>
    <xf numFmtId="0" fontId="45" fillId="7" borderId="4" xfId="0" applyFont="1" applyFill="1" applyBorder="1" applyAlignment="1">
      <alignment horizontal="right"/>
    </xf>
    <xf numFmtId="165" fontId="36" fillId="7" borderId="4" xfId="0" applyNumberFormat="1" applyFont="1" applyFill="1" applyBorder="1" applyAlignment="1">
      <alignment horizontal="right"/>
    </xf>
    <xf numFmtId="9" fontId="83" fillId="0" borderId="0" xfId="5" applyFont="1" applyFill="1" applyBorder="1" applyAlignment="1">
      <alignment horizontal="center"/>
    </xf>
    <xf numFmtId="3" fontId="83" fillId="0" borderId="0" xfId="0" applyNumberFormat="1" applyFont="1" applyFill="1" applyBorder="1" applyAlignment="1">
      <alignment horizontal="right"/>
    </xf>
    <xf numFmtId="0" fontId="1" fillId="0" borderId="0" xfId="0" applyNumberFormat="1" applyFont="1" applyFill="1" applyBorder="1" applyAlignment="1"/>
    <xf numFmtId="3" fontId="15" fillId="7" borderId="0" xfId="0" applyNumberFormat="1" applyFont="1" applyFill="1" applyBorder="1" applyAlignment="1">
      <alignment horizontal="right"/>
    </xf>
    <xf numFmtId="37" fontId="83" fillId="7" borderId="0" xfId="0" applyNumberFormat="1" applyFont="1" applyFill="1" applyBorder="1" applyAlignment="1">
      <alignment horizontal="center"/>
    </xf>
    <xf numFmtId="3" fontId="83" fillId="0" borderId="1" xfId="0" applyNumberFormat="1" applyFont="1" applyFill="1" applyBorder="1" applyAlignment="1">
      <alignment horizontal="center"/>
    </xf>
    <xf numFmtId="3" fontId="15" fillId="0" borderId="8" xfId="0" applyNumberFormat="1" applyFont="1" applyFill="1" applyBorder="1" applyAlignment="1"/>
    <xf numFmtId="3" fontId="83" fillId="0" borderId="8" xfId="0" applyNumberFormat="1" applyFont="1" applyFill="1" applyBorder="1" applyAlignment="1">
      <alignment horizontal="center"/>
    </xf>
    <xf numFmtId="168" fontId="2" fillId="7" borderId="0" xfId="1" applyNumberFormat="1" applyFont="1" applyFill="1" applyAlignment="1">
      <alignment horizontal="left"/>
    </xf>
    <xf numFmtId="3" fontId="13" fillId="0" borderId="0" xfId="0" applyNumberFormat="1" applyFont="1" applyFill="1" applyAlignment="1"/>
    <xf numFmtId="0" fontId="1" fillId="0" borderId="0" xfId="0" applyFont="1" applyFill="1"/>
    <xf numFmtId="0" fontId="1" fillId="0" borderId="0" xfId="0" applyFont="1"/>
    <xf numFmtId="0" fontId="3" fillId="0" borderId="0" xfId="0" applyFont="1" applyAlignment="1"/>
    <xf numFmtId="0" fontId="92" fillId="0" borderId="0" xfId="0" applyFont="1" applyAlignment="1">
      <alignment horizontal="center"/>
    </xf>
    <xf numFmtId="0" fontId="5" fillId="0" borderId="0" xfId="0" applyFont="1" applyAlignment="1">
      <alignment horizontal="center"/>
    </xf>
    <xf numFmtId="0" fontId="1" fillId="0" borderId="0" xfId="0" applyNumberFormat="1" applyFont="1" applyFill="1" applyBorder="1" applyAlignment="1">
      <alignment horizontal="left"/>
    </xf>
    <xf numFmtId="0" fontId="16" fillId="0" borderId="2" xfId="0" applyFont="1" applyBorder="1" applyAlignment="1"/>
    <xf numFmtId="0" fontId="5" fillId="0" borderId="48" xfId="0" applyFont="1" applyFill="1" applyBorder="1"/>
    <xf numFmtId="0" fontId="5" fillId="0" borderId="48" xfId="0" applyFont="1" applyBorder="1"/>
    <xf numFmtId="0" fontId="11" fillId="0" borderId="45" xfId="0" applyFont="1" applyBorder="1"/>
    <xf numFmtId="0" fontId="12" fillId="0" borderId="23" xfId="0" applyFont="1" applyFill="1" applyBorder="1"/>
    <xf numFmtId="0" fontId="93" fillId="0" borderId="25" xfId="0" applyFont="1" applyFill="1" applyBorder="1" applyAlignment="1">
      <alignment horizontal="left"/>
    </xf>
    <xf numFmtId="0" fontId="93" fillId="0" borderId="0" xfId="0" applyFont="1" applyFill="1" applyBorder="1" applyAlignment="1"/>
    <xf numFmtId="0" fontId="5" fillId="0" borderId="25" xfId="0" applyFont="1" applyFill="1" applyBorder="1" applyAlignment="1">
      <alignment horizontal="left"/>
    </xf>
    <xf numFmtId="0" fontId="28" fillId="0" borderId="0" xfId="0" applyFont="1" applyFill="1" applyBorder="1" applyAlignment="1">
      <alignment horizontal="center"/>
    </xf>
    <xf numFmtId="0" fontId="11" fillId="0" borderId="44" xfId="0" applyFont="1" applyFill="1" applyBorder="1"/>
    <xf numFmtId="0" fontId="51" fillId="0" borderId="45" xfId="0" applyFont="1" applyFill="1" applyBorder="1" applyAlignment="1">
      <alignment horizontal="center" vertical="center"/>
    </xf>
    <xf numFmtId="0" fontId="51" fillId="10" borderId="45" xfId="0" applyFont="1" applyFill="1" applyBorder="1" applyAlignment="1">
      <alignment horizontal="center" vertical="center"/>
    </xf>
    <xf numFmtId="0" fontId="94" fillId="10" borderId="45" xfId="0" applyNumberFormat="1" applyFont="1" applyFill="1" applyBorder="1" applyAlignment="1">
      <alignment horizontal="center" vertical="center"/>
    </xf>
    <xf numFmtId="0" fontId="16" fillId="10" borderId="45" xfId="0" applyFont="1" applyFill="1" applyBorder="1" applyAlignment="1">
      <alignment horizontal="center" vertical="center" wrapText="1"/>
    </xf>
    <xf numFmtId="168" fontId="11" fillId="0" borderId="2" xfId="1" applyNumberFormat="1" applyFont="1" applyFill="1" applyBorder="1" applyAlignment="1">
      <alignment horizontal="right"/>
    </xf>
    <xf numFmtId="0" fontId="95" fillId="0" borderId="0" xfId="0" applyNumberFormat="1" applyFont="1" applyFill="1" applyBorder="1" applyAlignment="1">
      <alignment horizontal="center"/>
    </xf>
    <xf numFmtId="0" fontId="16" fillId="10" borderId="45" xfId="0" applyFont="1" applyFill="1" applyBorder="1" applyAlignment="1">
      <alignment horizontal="center" vertical="center"/>
    </xf>
    <xf numFmtId="168" fontId="64" fillId="12" borderId="0" xfId="1" applyNumberFormat="1" applyFont="1" applyFill="1"/>
    <xf numFmtId="3" fontId="64" fillId="12" borderId="0" xfId="0" applyNumberFormat="1" applyFont="1" applyFill="1" applyAlignment="1"/>
    <xf numFmtId="3" fontId="5" fillId="12" borderId="0" xfId="0" applyNumberFormat="1" applyFont="1" applyFill="1" applyAlignment="1"/>
    <xf numFmtId="3" fontId="64" fillId="12" borderId="0" xfId="0" applyNumberFormat="1" applyFont="1" applyFill="1" applyBorder="1" applyAlignment="1"/>
    <xf numFmtId="3" fontId="5" fillId="12" borderId="0" xfId="0" applyNumberFormat="1" applyFont="1" applyFill="1" applyAlignment="1">
      <alignment horizontal="right"/>
    </xf>
    <xf numFmtId="3" fontId="5" fillId="12" borderId="0" xfId="0" applyNumberFormat="1" applyFont="1" applyFill="1" applyBorder="1" applyAlignment="1"/>
    <xf numFmtId="3" fontId="64" fillId="12" borderId="0" xfId="0" applyNumberFormat="1" applyFont="1" applyFill="1" applyAlignment="1">
      <alignment horizontal="right"/>
    </xf>
    <xf numFmtId="3" fontId="64" fillId="12" borderId="0" xfId="0" applyNumberFormat="1" applyFont="1" applyFill="1" applyBorder="1" applyAlignment="1">
      <alignment horizontal="right"/>
    </xf>
    <xf numFmtId="3" fontId="64" fillId="12" borderId="4" xfId="0" applyNumberFormat="1" applyFont="1" applyFill="1" applyBorder="1" applyAlignment="1">
      <alignment horizontal="right"/>
    </xf>
    <xf numFmtId="3" fontId="5" fillId="12" borderId="4" xfId="0" applyNumberFormat="1" applyFont="1" applyFill="1" applyBorder="1" applyAlignment="1"/>
    <xf numFmtId="10" fontId="5" fillId="12" borderId="0" xfId="0" applyNumberFormat="1" applyFont="1" applyFill="1"/>
    <xf numFmtId="0" fontId="13" fillId="14" borderId="0" xfId="0" applyFont="1" applyFill="1"/>
    <xf numFmtId="168" fontId="13" fillId="14" borderId="0" xfId="0" applyNumberFormat="1" applyFont="1" applyFill="1"/>
    <xf numFmtId="168" fontId="74" fillId="14" borderId="0" xfId="0" applyNumberFormat="1" applyFont="1" applyFill="1"/>
    <xf numFmtId="167" fontId="13" fillId="14" borderId="0" xfId="0" applyNumberFormat="1" applyFont="1" applyFill="1"/>
    <xf numFmtId="0" fontId="1" fillId="14" borderId="0" xfId="0" applyFont="1" applyFill="1"/>
    <xf numFmtId="3" fontId="83" fillId="12" borderId="0" xfId="0" applyNumberFormat="1" applyFont="1" applyFill="1" applyBorder="1" applyAlignment="1">
      <alignment horizontal="right"/>
    </xf>
    <xf numFmtId="3" fontId="83" fillId="12" borderId="34" xfId="0" applyNumberFormat="1" applyFont="1" applyFill="1" applyBorder="1" applyAlignment="1">
      <alignment horizontal="right"/>
    </xf>
    <xf numFmtId="3" fontId="83" fillId="12" borderId="8" xfId="0" applyNumberFormat="1" applyFont="1" applyFill="1" applyBorder="1" applyAlignment="1">
      <alignment horizontal="right"/>
    </xf>
    <xf numFmtId="3" fontId="83" fillId="12" borderId="1" xfId="0" applyNumberFormat="1" applyFont="1" applyFill="1" applyBorder="1" applyAlignment="1">
      <alignment horizontal="center"/>
    </xf>
    <xf numFmtId="0" fontId="1" fillId="5" borderId="0" xfId="0" applyNumberFormat="1" applyFont="1" applyFill="1" applyBorder="1" applyAlignment="1">
      <alignment horizontal="center"/>
    </xf>
    <xf numFmtId="0" fontId="16" fillId="5" borderId="0" xfId="0" applyFont="1" applyFill="1" applyBorder="1" applyAlignment="1">
      <alignment horizontal="left"/>
    </xf>
    <xf numFmtId="0" fontId="2" fillId="11" borderId="28"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13" fillId="5" borderId="0" xfId="0" applyFont="1" applyFill="1" applyAlignment="1">
      <alignment vertical="center"/>
    </xf>
    <xf numFmtId="0" fontId="13" fillId="5" borderId="0" xfId="0" applyFont="1" applyFill="1" applyAlignment="1">
      <alignment horizontal="left" vertical="center"/>
    </xf>
    <xf numFmtId="0" fontId="16" fillId="5" borderId="0" xfId="0" applyFont="1" applyFill="1" applyBorder="1" applyAlignment="1">
      <alignment horizontal="left" vertical="center"/>
    </xf>
    <xf numFmtId="0" fontId="4" fillId="5" borderId="0" xfId="0" applyFont="1" applyFill="1" applyAlignment="1">
      <alignment vertical="center"/>
    </xf>
    <xf numFmtId="0" fontId="4" fillId="5" borderId="0" xfId="0" applyFont="1" applyFill="1" applyAlignment="1">
      <alignment horizontal="left" vertical="center"/>
    </xf>
    <xf numFmtId="0" fontId="45" fillId="5" borderId="0" xfId="0" applyFont="1" applyFill="1" applyAlignment="1">
      <alignment vertical="center"/>
    </xf>
    <xf numFmtId="0" fontId="45" fillId="0" borderId="0" xfId="0" applyFont="1" applyAlignment="1">
      <alignment vertical="center"/>
    </xf>
    <xf numFmtId="0" fontId="2" fillId="11" borderId="29" xfId="0" applyFont="1" applyFill="1" applyBorder="1" applyAlignment="1">
      <alignment horizontal="left" vertical="center"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 fillId="11" borderId="27" xfId="0" applyFont="1" applyFill="1" applyBorder="1" applyAlignment="1">
      <alignment horizontal="left" vertical="center"/>
    </xf>
    <xf numFmtId="0" fontId="1" fillId="11" borderId="30" xfId="0" applyFont="1" applyFill="1" applyBorder="1" applyAlignment="1">
      <alignment horizontal="left" vertical="center"/>
    </xf>
    <xf numFmtId="0" fontId="2" fillId="11" borderId="27" xfId="0" applyFont="1" applyFill="1" applyBorder="1" applyAlignment="1">
      <alignment horizontal="center" vertical="center" wrapText="1"/>
    </xf>
    <xf numFmtId="181" fontId="83" fillId="12" borderId="16" xfId="1" applyNumberFormat="1" applyFont="1" applyFill="1" applyBorder="1" applyAlignment="1">
      <alignment horizontal="center"/>
    </xf>
    <xf numFmtId="3" fontId="83" fillId="12" borderId="8" xfId="0" applyNumberFormat="1" applyFont="1" applyFill="1" applyBorder="1" applyAlignment="1">
      <alignment horizontal="center"/>
    </xf>
    <xf numFmtId="0" fontId="2" fillId="0" borderId="1" xfId="0" applyFont="1" applyBorder="1" applyAlignment="1">
      <alignment horizontal="left"/>
    </xf>
    <xf numFmtId="3" fontId="83" fillId="12" borderId="8" xfId="0" applyNumberFormat="1" applyFont="1" applyFill="1" applyBorder="1" applyAlignment="1"/>
    <xf numFmtId="3" fontId="83" fillId="12" borderId="0" xfId="0" applyNumberFormat="1" applyFont="1" applyFill="1" applyBorder="1" applyAlignment="1">
      <alignment horizontal="center"/>
    </xf>
    <xf numFmtId="168" fontId="83" fillId="12" borderId="0" xfId="1" applyNumberFormat="1" applyFont="1" applyFill="1" applyBorder="1"/>
    <xf numFmtId="181" fontId="15" fillId="12" borderId="8" xfId="1" applyNumberFormat="1" applyFont="1" applyFill="1" applyBorder="1" applyAlignment="1">
      <alignment horizontal="center"/>
    </xf>
    <xf numFmtId="10" fontId="45" fillId="12" borderId="16" xfId="5" applyNumberFormat="1" applyFont="1" applyFill="1" applyBorder="1" applyAlignment="1">
      <alignment horizontal="center"/>
    </xf>
    <xf numFmtId="168" fontId="45" fillId="12" borderId="16" xfId="1" applyNumberFormat="1" applyFont="1" applyFill="1" applyBorder="1" applyAlignment="1">
      <alignment horizontal="center"/>
    </xf>
    <xf numFmtId="0" fontId="83" fillId="12" borderId="29" xfId="0" applyFont="1" applyFill="1" applyBorder="1" applyAlignment="1">
      <alignment horizontal="center" wrapText="1"/>
    </xf>
    <xf numFmtId="0" fontId="83" fillId="12" borderId="0" xfId="0" applyFont="1" applyFill="1" applyBorder="1" applyAlignment="1">
      <alignment horizontal="center"/>
    </xf>
    <xf numFmtId="0" fontId="83" fillId="12" borderId="1" xfId="0" applyFont="1" applyFill="1" applyBorder="1" applyAlignment="1">
      <alignment horizontal="center"/>
    </xf>
    <xf numFmtId="168" fontId="1" fillId="12" borderId="0" xfId="1" applyNumberFormat="1" applyFont="1" applyFill="1" applyAlignment="1"/>
    <xf numFmtId="168" fontId="1" fillId="12" borderId="0" xfId="1" applyNumberFormat="1" applyFont="1" applyFill="1" applyBorder="1" applyAlignment="1">
      <alignment wrapText="1"/>
    </xf>
    <xf numFmtId="168" fontId="1" fillId="12" borderId="0" xfId="1" applyNumberFormat="1" applyFont="1" applyFill="1" applyAlignment="1">
      <alignment vertical="center" wrapText="1"/>
    </xf>
    <xf numFmtId="164" fontId="13" fillId="12" borderId="3" xfId="1" applyNumberFormat="1" applyFont="1" applyFill="1" applyBorder="1" applyAlignment="1"/>
    <xf numFmtId="176" fontId="36" fillId="13" borderId="19" xfId="0" applyNumberFormat="1" applyFont="1" applyFill="1" applyBorder="1"/>
    <xf numFmtId="37" fontId="44" fillId="13" borderId="19" xfId="0" applyNumberFormat="1" applyFont="1" applyFill="1" applyBorder="1"/>
    <xf numFmtId="166" fontId="3" fillId="0" borderId="0" xfId="2" applyFont="1" applyBorder="1" applyAlignment="1">
      <alignment horizontal="right"/>
    </xf>
    <xf numFmtId="166" fontId="3" fillId="0" borderId="5" xfId="2" applyFont="1" applyBorder="1" applyAlignment="1">
      <alignment horizontal="center"/>
    </xf>
    <xf numFmtId="0" fontId="16" fillId="11" borderId="6" xfId="0" applyNumberFormat="1" applyFont="1" applyFill="1" applyBorder="1" applyAlignment="1">
      <alignment horizontal="center"/>
    </xf>
    <xf numFmtId="0" fontId="24" fillId="11" borderId="5" xfId="0" applyNumberFormat="1" applyFont="1" applyFill="1" applyBorder="1" applyAlignment="1">
      <alignment horizontal="center"/>
    </xf>
    <xf numFmtId="0" fontId="16" fillId="11" borderId="5" xfId="0" applyNumberFormat="1" applyFont="1" applyFill="1" applyBorder="1" applyAlignment="1"/>
    <xf numFmtId="0" fontId="25" fillId="11" borderId="5" xfId="0" applyFont="1" applyFill="1" applyBorder="1" applyAlignment="1"/>
    <xf numFmtId="3" fontId="2" fillId="11" borderId="5" xfId="0" applyNumberFormat="1" applyFont="1" applyFill="1" applyBorder="1" applyAlignment="1">
      <alignment horizontal="center"/>
    </xf>
    <xf numFmtId="3" fontId="16" fillId="11" borderId="5" xfId="0" applyNumberFormat="1" applyFont="1" applyFill="1" applyBorder="1" applyAlignment="1"/>
    <xf numFmtId="0" fontId="24" fillId="11" borderId="5" xfId="0" applyFont="1" applyFill="1" applyBorder="1" applyAlignment="1"/>
    <xf numFmtId="0" fontId="91" fillId="0" borderId="0" xfId="0" applyFont="1" applyBorder="1" applyAlignment="1">
      <alignment horizontal="center"/>
    </xf>
    <xf numFmtId="0" fontId="12" fillId="5" borderId="0" xfId="0" applyFont="1" applyFill="1" applyBorder="1" applyAlignment="1">
      <alignment horizontal="left" wrapText="1"/>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xf>
    <xf numFmtId="0" fontId="99" fillId="12" borderId="23" xfId="0" applyFont="1" applyFill="1" applyBorder="1" applyAlignment="1">
      <alignment horizontal="center" vertical="center"/>
    </xf>
    <xf numFmtId="0" fontId="1" fillId="12" borderId="0" xfId="0" applyFont="1" applyFill="1"/>
    <xf numFmtId="0" fontId="45" fillId="12" borderId="0" xfId="0" applyFont="1" applyFill="1"/>
    <xf numFmtId="0" fontId="45" fillId="12" borderId="0" xfId="0" applyFont="1" applyFill="1" applyAlignment="1">
      <alignment horizontal="left" wrapText="1"/>
    </xf>
    <xf numFmtId="0" fontId="1" fillId="12" borderId="0" xfId="0" applyFont="1" applyFill="1" applyAlignment="1">
      <alignment horizontal="left" vertical="center" wrapText="1"/>
    </xf>
    <xf numFmtId="0" fontId="1" fillId="12" borderId="0" xfId="0" applyFont="1" applyFill="1" applyAlignment="1">
      <alignment horizontal="left" wrapText="1"/>
    </xf>
    <xf numFmtId="0" fontId="42" fillId="0" borderId="0" xfId="0" applyFont="1" applyFill="1"/>
    <xf numFmtId="0" fontId="1" fillId="0" borderId="0" xfId="0" applyFont="1" applyFill="1" applyAlignment="1"/>
    <xf numFmtId="3" fontId="1" fillId="0" borderId="0" xfId="0" applyNumberFormat="1" applyFont="1" applyFill="1" applyBorder="1" applyAlignment="1"/>
    <xf numFmtId="168" fontId="5" fillId="12" borderId="0" xfId="1" applyNumberFormat="1" applyFont="1" applyFill="1" applyBorder="1"/>
    <xf numFmtId="0" fontId="15" fillId="12" borderId="0" xfId="0" applyFont="1" applyFill="1"/>
    <xf numFmtId="3" fontId="83" fillId="0" borderId="8" xfId="0" applyNumberFormat="1" applyFont="1" applyFill="1" applyBorder="1" applyAlignment="1"/>
    <xf numFmtId="0" fontId="45" fillId="12" borderId="1" xfId="0" applyFont="1" applyFill="1" applyBorder="1" applyAlignment="1">
      <alignment horizontal="center"/>
    </xf>
    <xf numFmtId="3" fontId="13" fillId="12" borderId="0" xfId="0" applyNumberFormat="1" applyFont="1" applyFill="1" applyAlignment="1"/>
    <xf numFmtId="0" fontId="1" fillId="15" borderId="0" xfId="0" applyFont="1" applyFill="1" applyAlignment="1">
      <alignment horizontal="left"/>
    </xf>
    <xf numFmtId="0" fontId="1" fillId="15" borderId="0" xfId="0" applyFont="1" applyFill="1"/>
    <xf numFmtId="170" fontId="13" fillId="0" borderId="0" xfId="0" applyNumberFormat="1" applyFont="1" applyFill="1"/>
    <xf numFmtId="0" fontId="13" fillId="0" borderId="0" xfId="0" applyNumberFormat="1" applyFont="1" applyFill="1"/>
    <xf numFmtId="0" fontId="13" fillId="16" borderId="0" xfId="0" applyFont="1" applyFill="1"/>
    <xf numFmtId="168" fontId="13" fillId="16" borderId="0" xfId="0" applyNumberFormat="1" applyFont="1" applyFill="1"/>
    <xf numFmtId="168" fontId="2" fillId="16" borderId="0" xfId="0" applyNumberFormat="1" applyFont="1" applyFill="1"/>
    <xf numFmtId="167" fontId="13" fillId="16" borderId="0" xfId="0" applyNumberFormat="1" applyFont="1" applyFill="1"/>
    <xf numFmtId="171" fontId="1" fillId="15" borderId="0" xfId="0" applyNumberFormat="1" applyFont="1" applyFill="1"/>
    <xf numFmtId="0" fontId="1" fillId="12" borderId="0" xfId="0" applyFont="1" applyFill="1" applyAlignment="1">
      <alignment horizontal="center" wrapText="1"/>
    </xf>
    <xf numFmtId="167" fontId="13" fillId="12" borderId="0" xfId="1" applyFont="1" applyFill="1" applyAlignment="1">
      <alignment horizontal="center" wrapText="1"/>
    </xf>
    <xf numFmtId="3" fontId="13" fillId="12" borderId="4" xfId="0" applyNumberFormat="1" applyFont="1" applyFill="1" applyBorder="1" applyAlignment="1"/>
    <xf numFmtId="0" fontId="13" fillId="12" borderId="0" xfId="0" applyFont="1" applyFill="1"/>
    <xf numFmtId="3" fontId="13" fillId="12" borderId="0" xfId="0" applyNumberFormat="1" applyFont="1" applyFill="1" applyAlignment="1">
      <alignment horizontal="right" wrapText="1"/>
    </xf>
    <xf numFmtId="37" fontId="13" fillId="12" borderId="0" xfId="0" applyNumberFormat="1" applyFont="1" applyFill="1" applyAlignment="1"/>
    <xf numFmtId="37" fontId="13" fillId="12" borderId="0" xfId="1" applyNumberFormat="1" applyFont="1" applyFill="1"/>
    <xf numFmtId="37" fontId="13" fillId="12" borderId="4" xfId="1" applyNumberFormat="1" applyFont="1" applyFill="1" applyBorder="1"/>
    <xf numFmtId="168" fontId="74" fillId="0" borderId="0" xfId="0" applyNumberFormat="1" applyFont="1" applyFill="1" applyBorder="1"/>
    <xf numFmtId="0" fontId="101" fillId="15" borderId="0" xfId="0" applyFont="1" applyFill="1" applyAlignment="1">
      <alignment horizontal="left"/>
    </xf>
    <xf numFmtId="171" fontId="101" fillId="15" borderId="0" xfId="2" applyNumberFormat="1" applyFont="1" applyFill="1" applyAlignment="1">
      <alignment horizontal="left"/>
    </xf>
    <xf numFmtId="0" fontId="101" fillId="15" borderId="0" xfId="0" applyFont="1" applyFill="1"/>
    <xf numFmtId="0" fontId="83" fillId="12" borderId="0" xfId="0" applyFont="1" applyFill="1"/>
    <xf numFmtId="0" fontId="34" fillId="12" borderId="9" xfId="0" applyFont="1" applyFill="1" applyBorder="1" applyAlignment="1">
      <alignment horizontal="center"/>
    </xf>
    <xf numFmtId="0" fontId="34" fillId="12" borderId="8" xfId="0" applyFont="1" applyFill="1" applyBorder="1" applyAlignment="1">
      <alignment horizontal="center"/>
    </xf>
    <xf numFmtId="3" fontId="34" fillId="12" borderId="8" xfId="0" applyNumberFormat="1" applyFont="1" applyFill="1" applyBorder="1" applyAlignment="1">
      <alignment horizontal="center"/>
    </xf>
    <xf numFmtId="2" fontId="34" fillId="12" borderId="8" xfId="0" applyNumberFormat="1" applyFont="1" applyFill="1" applyBorder="1" applyAlignment="1">
      <alignment horizontal="center"/>
    </xf>
    <xf numFmtId="168" fontId="85" fillId="12" borderId="8" xfId="1" applyNumberFormat="1" applyFont="1" applyFill="1" applyBorder="1"/>
    <xf numFmtId="168" fontId="73" fillId="12" borderId="8" xfId="1" applyNumberFormat="1" applyFont="1" applyFill="1" applyBorder="1"/>
    <xf numFmtId="168" fontId="34" fillId="12" borderId="8" xfId="1" applyNumberFormat="1" applyFont="1" applyFill="1" applyBorder="1"/>
    <xf numFmtId="167" fontId="60" fillId="12" borderId="8" xfId="1" applyNumberFormat="1" applyFont="1" applyFill="1" applyBorder="1"/>
    <xf numFmtId="167" fontId="34" fillId="12" borderId="8" xfId="1" applyNumberFormat="1" applyFont="1" applyFill="1" applyBorder="1"/>
    <xf numFmtId="2" fontId="13" fillId="0" borderId="0" xfId="0" applyNumberFormat="1" applyFont="1" applyFill="1" applyAlignment="1">
      <alignment horizontal="right"/>
    </xf>
    <xf numFmtId="2" fontId="0" fillId="0" borderId="0" xfId="0" applyNumberFormat="1" applyFill="1"/>
    <xf numFmtId="0" fontId="64" fillId="0" borderId="0" xfId="0" applyFont="1" applyFill="1" applyAlignment="1">
      <alignment horizontal="left"/>
    </xf>
    <xf numFmtId="0" fontId="64" fillId="0" borderId="0" xfId="0" applyFont="1" applyFill="1" applyBorder="1" applyAlignment="1"/>
    <xf numFmtId="0" fontId="1" fillId="0" borderId="0" xfId="0" applyFont="1" applyFill="1" applyAlignment="1">
      <alignment wrapText="1"/>
    </xf>
    <xf numFmtId="0" fontId="1" fillId="0" borderId="0" xfId="0" applyFont="1" applyFill="1" applyBorder="1"/>
    <xf numFmtId="0" fontId="79" fillId="0" borderId="0" xfId="0" applyFont="1" applyAlignment="1">
      <alignment vertical="center"/>
    </xf>
    <xf numFmtId="0" fontId="1" fillId="5" borderId="0" xfId="0" applyFont="1" applyFill="1"/>
    <xf numFmtId="0" fontId="16" fillId="5" borderId="0" xfId="0" applyFont="1" applyFill="1" applyAlignment="1">
      <alignment horizontal="center" vertical="center"/>
    </xf>
    <xf numFmtId="168" fontId="45" fillId="0" borderId="16" xfId="0" applyNumberFormat="1" applyFont="1" applyFill="1" applyBorder="1" applyAlignment="1">
      <alignment horizontal="center"/>
    </xf>
    <xf numFmtId="3" fontId="45" fillId="12" borderId="0" xfId="0" applyNumberFormat="1" applyFont="1" applyFill="1"/>
    <xf numFmtId="3" fontId="16" fillId="11" borderId="5" xfId="0" applyNumberFormat="1" applyFont="1" applyFill="1" applyBorder="1"/>
    <xf numFmtId="167" fontId="5" fillId="0" borderId="0" xfId="1" applyNumberFormat="1" applyFont="1"/>
    <xf numFmtId="0" fontId="3" fillId="0" borderId="0" xfId="0" applyFont="1" applyFill="1" applyBorder="1"/>
    <xf numFmtId="0" fontId="11" fillId="0" borderId="0" xfId="0" applyFont="1" applyAlignment="1">
      <alignment horizontal="right"/>
    </xf>
    <xf numFmtId="0" fontId="28" fillId="0" borderId="47" xfId="0" applyFont="1" applyBorder="1" applyAlignment="1">
      <alignment horizontal="center"/>
    </xf>
    <xf numFmtId="183" fontId="3" fillId="0" borderId="0" xfId="1" applyNumberFormat="1" applyFont="1" applyFill="1" applyAlignment="1"/>
    <xf numFmtId="0" fontId="13" fillId="0" borderId="0" xfId="0" applyNumberFormat="1" applyFont="1" applyFill="1" applyBorder="1" applyAlignment="1">
      <alignment horizontal="left"/>
    </xf>
    <xf numFmtId="3" fontId="1" fillId="0" borderId="8" xfId="0" applyNumberFormat="1" applyFont="1" applyBorder="1" applyAlignment="1">
      <alignment horizontal="right"/>
    </xf>
    <xf numFmtId="183" fontId="13" fillId="12" borderId="16" xfId="1" applyNumberFormat="1" applyFont="1" applyFill="1" applyBorder="1" applyAlignment="1"/>
    <xf numFmtId="0" fontId="13" fillId="0" borderId="0" xfId="0" applyNumberFormat="1" applyFont="1" applyFill="1" applyBorder="1" applyAlignment="1">
      <alignment horizontal="left"/>
    </xf>
    <xf numFmtId="168" fontId="3" fillId="0" borderId="0" xfId="1" applyNumberFormat="1" applyFont="1" applyFill="1"/>
    <xf numFmtId="0" fontId="104" fillId="12" borderId="43" xfId="0" applyFont="1" applyFill="1" applyBorder="1" applyAlignment="1">
      <alignment horizontal="center" vertical="center" wrapText="1"/>
    </xf>
    <xf numFmtId="0" fontId="45" fillId="12" borderId="0" xfId="0" applyFont="1" applyFill="1" applyAlignment="1">
      <alignment horizontal="right"/>
    </xf>
    <xf numFmtId="168" fontId="79" fillId="0" borderId="0" xfId="1" applyNumberFormat="1" applyFont="1" applyAlignment="1">
      <alignment horizontal="center"/>
    </xf>
    <xf numFmtId="3" fontId="45" fillId="12" borderId="8" xfId="0" applyNumberFormat="1" applyFont="1" applyFill="1" applyBorder="1" applyAlignment="1">
      <alignment horizontal="center"/>
    </xf>
    <xf numFmtId="0" fontId="97" fillId="0" borderId="0" xfId="0" applyFont="1" applyFill="1" applyBorder="1" applyAlignment="1"/>
    <xf numFmtId="9" fontId="105" fillId="0" borderId="0" xfId="5" applyNumberFormat="1" applyFont="1" applyAlignment="1"/>
    <xf numFmtId="3" fontId="105" fillId="0" borderId="0" xfId="0" applyNumberFormat="1" applyFont="1" applyAlignment="1"/>
    <xf numFmtId="9" fontId="105" fillId="0" borderId="0" xfId="5" applyFont="1" applyAlignment="1"/>
    <xf numFmtId="0" fontId="91" fillId="0" borderId="45" xfId="0" applyFont="1" applyBorder="1" applyAlignment="1">
      <alignment horizontal="center"/>
    </xf>
    <xf numFmtId="0" fontId="106" fillId="0" borderId="4" xfId="0" applyFont="1" applyFill="1" applyBorder="1" applyAlignment="1"/>
    <xf numFmtId="0" fontId="45" fillId="0" borderId="0" xfId="0" applyFont="1" applyFill="1" applyAlignment="1">
      <alignment horizontal="left" vertical="center" wrapText="1"/>
    </xf>
    <xf numFmtId="37" fontId="44" fillId="0" borderId="0" xfId="0" applyNumberFormat="1" applyFont="1" applyFill="1"/>
    <xf numFmtId="0" fontId="36" fillId="0" borderId="4" xfId="0" applyNumberFormat="1" applyFont="1" applyFill="1" applyBorder="1" applyAlignment="1"/>
    <xf numFmtId="0" fontId="5" fillId="0" borderId="0" xfId="0" applyFont="1" applyAlignment="1">
      <alignment horizontal="center"/>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45" fillId="0" borderId="1" xfId="0" applyNumberFormat="1" applyFont="1" applyFill="1" applyBorder="1" applyAlignment="1">
      <alignment horizontal="left"/>
    </xf>
    <xf numFmtId="0" fontId="13" fillId="0" borderId="0" xfId="0" applyFont="1" applyFill="1" applyBorder="1" applyAlignment="1">
      <alignment horizontal="left"/>
    </xf>
    <xf numFmtId="168" fontId="97" fillId="0" borderId="0" xfId="0" applyNumberFormat="1" applyFont="1" applyFill="1" applyAlignment="1"/>
    <xf numFmtId="0" fontId="79" fillId="0" borderId="0" xfId="0" applyFont="1" applyFill="1" applyAlignment="1">
      <alignment horizontal="left" vertical="center"/>
    </xf>
    <xf numFmtId="168" fontId="97" fillId="0" borderId="0" xfId="0" applyNumberFormat="1" applyFont="1" applyFill="1" applyAlignment="1">
      <alignment horizontal="left" vertical="center" wrapText="1"/>
    </xf>
    <xf numFmtId="3" fontId="45" fillId="17" borderId="8" xfId="0" applyNumberFormat="1" applyFont="1" applyFill="1" applyBorder="1" applyAlignment="1">
      <alignment horizontal="center"/>
    </xf>
    <xf numFmtId="0" fontId="11" fillId="0" borderId="0" xfId="0" applyFont="1" applyFill="1" applyBorder="1" applyAlignment="1">
      <alignment horizontal="center"/>
    </xf>
    <xf numFmtId="0" fontId="11" fillId="18" borderId="6" xfId="0" applyNumberFormat="1" applyFont="1" applyFill="1" applyBorder="1" applyAlignment="1">
      <alignment horizontal="center"/>
    </xf>
    <xf numFmtId="0" fontId="11" fillId="18" borderId="5" xfId="0" applyFont="1" applyFill="1" applyBorder="1"/>
    <xf numFmtId="0" fontId="11" fillId="18" borderId="5" xfId="0" applyNumberFormat="1" applyFont="1" applyFill="1" applyBorder="1" applyAlignment="1">
      <alignment horizontal="left"/>
    </xf>
    <xf numFmtId="0" fontId="2" fillId="18" borderId="5" xfId="0" applyFont="1" applyFill="1" applyBorder="1" applyAlignment="1">
      <alignment horizontal="center"/>
    </xf>
    <xf numFmtId="3" fontId="11" fillId="18" borderId="5" xfId="0" applyNumberFormat="1" applyFont="1" applyFill="1" applyBorder="1" applyAlignment="1"/>
    <xf numFmtId="0" fontId="11" fillId="18" borderId="5" xfId="0" applyFont="1" applyFill="1" applyBorder="1" applyAlignment="1"/>
    <xf numFmtId="3" fontId="3" fillId="18" borderId="5" xfId="0" applyNumberFormat="1" applyFont="1" applyFill="1" applyBorder="1"/>
    <xf numFmtId="0" fontId="2" fillId="0" borderId="0" xfId="0" applyFont="1" applyFill="1" applyAlignment="1"/>
    <xf numFmtId="168" fontId="1" fillId="0" borderId="0" xfId="1" applyNumberFormat="1" applyFont="1" applyFill="1" applyAlignment="1">
      <alignment horizontal="center"/>
    </xf>
    <xf numFmtId="0" fontId="16" fillId="0" borderId="0" xfId="0" applyFont="1" applyFill="1" applyBorder="1" applyAlignment="1">
      <alignment horizontal="left" vertical="center"/>
    </xf>
    <xf numFmtId="0" fontId="4" fillId="0" borderId="0" xfId="0" applyFont="1" applyFill="1" applyAlignment="1">
      <alignment vertical="center"/>
    </xf>
    <xf numFmtId="3" fontId="83" fillId="0" borderId="0" xfId="0" applyNumberFormat="1" applyFont="1" applyFill="1" applyBorder="1" applyAlignment="1">
      <alignment horizontal="center"/>
    </xf>
    <xf numFmtId="172" fontId="107" fillId="0" borderId="0" xfId="5" applyNumberFormat="1" applyFont="1" applyFill="1" applyAlignment="1">
      <alignment horizontal="center" wrapText="1"/>
    </xf>
    <xf numFmtId="0" fontId="44" fillId="0" borderId="0" xfId="0" applyFont="1" applyFill="1" applyBorder="1" applyAlignment="1">
      <alignment horizontal="center"/>
    </xf>
    <xf numFmtId="168" fontId="107" fillId="0" borderId="0" xfId="1" applyNumberFormat="1" applyFont="1" applyFill="1" applyAlignment="1">
      <alignment horizontal="center"/>
    </xf>
    <xf numFmtId="0" fontId="107" fillId="0" borderId="8" xfId="0" applyFont="1" applyFill="1" applyBorder="1" applyAlignment="1">
      <alignment horizontal="center"/>
    </xf>
    <xf numFmtId="0" fontId="108" fillId="0" borderId="0" xfId="0" applyFont="1" applyFill="1" applyBorder="1" applyAlignment="1">
      <alignment horizontal="center"/>
    </xf>
    <xf numFmtId="0" fontId="91" fillId="0" borderId="4" xfId="0" applyFont="1" applyBorder="1" applyAlignment="1">
      <alignment horizontal="center"/>
    </xf>
    <xf numFmtId="0" fontId="16" fillId="11" borderId="6" xfId="0" applyFont="1" applyFill="1" applyBorder="1" applyAlignment="1">
      <alignment horizontal="center" vertical="center"/>
    </xf>
    <xf numFmtId="0" fontId="16" fillId="11" borderId="5" xfId="0" applyFont="1" applyFill="1" applyBorder="1" applyAlignment="1">
      <alignment horizontal="center" vertical="center"/>
    </xf>
    <xf numFmtId="0" fontId="16" fillId="11" borderId="42" xfId="0" applyFont="1" applyFill="1" applyBorder="1" applyAlignment="1">
      <alignment horizontal="center" vertical="center"/>
    </xf>
    <xf numFmtId="0" fontId="16" fillId="11" borderId="6" xfId="0" applyNumberFormat="1" applyFont="1" applyFill="1" applyBorder="1" applyAlignment="1">
      <alignment horizontal="center" vertical="center"/>
    </xf>
    <xf numFmtId="0" fontId="16" fillId="11" borderId="5" xfId="0" applyNumberFormat="1" applyFont="1" applyFill="1" applyBorder="1" applyAlignment="1">
      <alignment horizontal="center" vertical="center"/>
    </xf>
    <xf numFmtId="0" fontId="16" fillId="11" borderId="42" xfId="0" applyNumberFormat="1" applyFont="1" applyFill="1" applyBorder="1" applyAlignment="1">
      <alignment horizontal="center" vertical="center"/>
    </xf>
    <xf numFmtId="0" fontId="28" fillId="10" borderId="2" xfId="0" applyFont="1" applyFill="1" applyBorder="1" applyAlignment="1">
      <alignment horizontal="center" vertical="center"/>
    </xf>
    <xf numFmtId="0" fontId="28" fillId="10" borderId="0" xfId="0" applyFont="1" applyFill="1" applyBorder="1" applyAlignment="1">
      <alignment horizontal="center"/>
    </xf>
    <xf numFmtId="0" fontId="102" fillId="10" borderId="4" xfId="0" applyFont="1" applyFill="1" applyBorder="1" applyAlignment="1">
      <alignment horizontal="center" vertical="center"/>
    </xf>
    <xf numFmtId="0" fontId="36" fillId="0" borderId="0" xfId="0" applyNumberFormat="1" applyFont="1" applyFill="1" applyAlignment="1">
      <alignment wrapText="1"/>
    </xf>
    <xf numFmtId="0" fontId="96" fillId="11" borderId="44" xfId="0" applyFont="1" applyFill="1" applyBorder="1" applyAlignment="1">
      <alignment horizontal="center" vertical="center"/>
    </xf>
    <xf numFmtId="0" fontId="96" fillId="11" borderId="45" xfId="0" applyFont="1" applyFill="1" applyBorder="1" applyAlignment="1">
      <alignment horizontal="center" vertical="center"/>
    </xf>
    <xf numFmtId="0" fontId="96" fillId="11" borderId="46" xfId="0" applyFont="1" applyFill="1" applyBorder="1" applyAlignment="1">
      <alignment horizontal="center" vertical="center"/>
    </xf>
    <xf numFmtId="0" fontId="96" fillId="11" borderId="6" xfId="0" applyFont="1" applyFill="1" applyBorder="1" applyAlignment="1">
      <alignment horizontal="center" vertical="center"/>
    </xf>
    <xf numFmtId="0" fontId="96" fillId="11" borderId="5" xfId="0" applyFont="1" applyFill="1" applyBorder="1" applyAlignment="1">
      <alignment horizontal="center" vertical="center"/>
    </xf>
    <xf numFmtId="0" fontId="96" fillId="11" borderId="42" xfId="0" applyFont="1" applyFill="1" applyBorder="1" applyAlignment="1">
      <alignment horizontal="center" vertical="center"/>
    </xf>
    <xf numFmtId="0" fontId="91" fillId="0" borderId="45" xfId="0" applyFont="1" applyBorder="1" applyAlignment="1">
      <alignment horizontal="center"/>
    </xf>
    <xf numFmtId="0" fontId="16" fillId="5" borderId="0" xfId="0" applyFont="1" applyFill="1" applyBorder="1" applyAlignment="1">
      <alignment horizontal="center"/>
    </xf>
    <xf numFmtId="0" fontId="2" fillId="5" borderId="0" xfId="0" applyFont="1" applyFill="1" applyAlignment="1">
      <alignment horizontal="center"/>
    </xf>
    <xf numFmtId="0" fontId="13" fillId="5" borderId="0" xfId="0" applyFont="1" applyFill="1" applyAlignment="1">
      <alignment horizontal="center"/>
    </xf>
    <xf numFmtId="0" fontId="12" fillId="5" borderId="38" xfId="0" applyFont="1" applyFill="1" applyBorder="1" applyAlignment="1">
      <alignment horizontal="left" wrapText="1"/>
    </xf>
    <xf numFmtId="0" fontId="12" fillId="5" borderId="4" xfId="0" applyFont="1" applyFill="1" applyBorder="1" applyAlignment="1">
      <alignment horizontal="left" wrapText="1"/>
    </xf>
    <xf numFmtId="0" fontId="12" fillId="5" borderId="39" xfId="0" applyFont="1" applyFill="1" applyBorder="1" applyAlignment="1">
      <alignment horizontal="left" wrapText="1"/>
    </xf>
    <xf numFmtId="0" fontId="12" fillId="5" borderId="25" xfId="0" applyFont="1" applyFill="1" applyBorder="1" applyAlignment="1">
      <alignment horizontal="left" wrapText="1"/>
    </xf>
    <xf numFmtId="0" fontId="12" fillId="5" borderId="0" xfId="0" applyFont="1" applyFill="1" applyBorder="1" applyAlignment="1">
      <alignment horizontal="left" wrapText="1"/>
    </xf>
    <xf numFmtId="0" fontId="12" fillId="5" borderId="26" xfId="0" applyFont="1" applyFill="1" applyBorder="1" applyAlignment="1">
      <alignment horizontal="left" wrapText="1"/>
    </xf>
    <xf numFmtId="0" fontId="12" fillId="5" borderId="25" xfId="0" applyFont="1" applyFill="1" applyBorder="1" applyAlignment="1">
      <alignment vertical="top" wrapText="1"/>
    </xf>
    <xf numFmtId="0" fontId="12" fillId="5" borderId="0" xfId="0" applyFont="1" applyFill="1" applyBorder="1" applyAlignment="1">
      <alignment vertical="top" wrapText="1"/>
    </xf>
    <xf numFmtId="0" fontId="12" fillId="5" borderId="26" xfId="0" applyFont="1" applyFill="1" applyBorder="1" applyAlignment="1">
      <alignment vertical="top" wrapText="1"/>
    </xf>
    <xf numFmtId="0" fontId="2" fillId="0" borderId="36" xfId="0" applyFont="1" applyFill="1" applyBorder="1" applyAlignment="1">
      <alignment horizontal="left"/>
    </xf>
    <xf numFmtId="0" fontId="2" fillId="0" borderId="37" xfId="0" applyFont="1" applyFill="1" applyBorder="1" applyAlignment="1">
      <alignment horizontal="left"/>
    </xf>
    <xf numFmtId="0" fontId="70" fillId="5" borderId="0" xfId="0" applyFont="1" applyFill="1" applyAlignment="1">
      <alignment horizontal="center"/>
    </xf>
    <xf numFmtId="0" fontId="45" fillId="5" borderId="0" xfId="0" applyFont="1" applyFill="1" applyAlignment="1">
      <alignment horizontal="center"/>
    </xf>
    <xf numFmtId="0" fontId="2" fillId="5" borderId="36" xfId="0" applyFont="1" applyFill="1" applyBorder="1" applyAlignment="1">
      <alignment horizontal="left"/>
    </xf>
    <xf numFmtId="0" fontId="2" fillId="5" borderId="37" xfId="0" applyFont="1" applyFill="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2" fillId="0" borderId="4" xfId="0" applyFont="1" applyFill="1" applyBorder="1" applyAlignment="1">
      <alignment horizontal="center"/>
    </xf>
    <xf numFmtId="0" fontId="64" fillId="0" borderId="4" xfId="0" applyFont="1" applyFill="1" applyBorder="1" applyAlignment="1">
      <alignment horizont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xf>
    <xf numFmtId="0" fontId="98" fillId="11" borderId="0" xfId="0" applyFont="1" applyFill="1" applyAlignment="1">
      <alignment horizontal="center" vertical="center"/>
    </xf>
    <xf numFmtId="0" fontId="55" fillId="0" borderId="0" xfId="0" applyFont="1" applyAlignment="1">
      <alignment horizontal="center" vertical="center"/>
    </xf>
    <xf numFmtId="3" fontId="45" fillId="0" borderId="0" xfId="0" applyNumberFormat="1" applyFont="1" applyBorder="1" applyAlignment="1">
      <alignment horizontal="left" wrapText="1"/>
    </xf>
    <xf numFmtId="0" fontId="45" fillId="0" borderId="0" xfId="0" applyFont="1" applyBorder="1" applyAlignment="1">
      <alignment horizontal="left" wrapText="1"/>
    </xf>
    <xf numFmtId="0" fontId="45" fillId="0" borderId="7" xfId="0" applyFont="1" applyBorder="1" applyAlignment="1">
      <alignment horizontal="left" wrapText="1"/>
    </xf>
    <xf numFmtId="3" fontId="45" fillId="0" borderId="0" xfId="0" applyNumberFormat="1" applyFont="1" applyFill="1" applyBorder="1" applyAlignment="1">
      <alignment horizontal="left" wrapText="1"/>
    </xf>
    <xf numFmtId="0" fontId="45" fillId="0" borderId="0" xfId="0" applyFont="1" applyFill="1" applyBorder="1" applyAlignment="1">
      <alignment horizontal="left" wrapText="1"/>
    </xf>
    <xf numFmtId="0" fontId="45" fillId="0" borderId="7" xfId="0" applyFont="1" applyFill="1" applyBorder="1" applyAlignment="1">
      <alignment horizontal="left" wrapText="1"/>
    </xf>
    <xf numFmtId="3" fontId="1" fillId="0" borderId="0" xfId="0" applyNumberFormat="1" applyFont="1" applyFill="1" applyBorder="1" applyAlignment="1">
      <alignment horizontal="left" wrapText="1"/>
    </xf>
    <xf numFmtId="0" fontId="45" fillId="12" borderId="0" xfId="0" applyFont="1" applyFill="1" applyBorder="1" applyAlignment="1">
      <alignment horizontal="left" wrapText="1"/>
    </xf>
    <xf numFmtId="0" fontId="45" fillId="12" borderId="7" xfId="0" applyFont="1" applyFill="1" applyBorder="1" applyAlignment="1">
      <alignment horizontal="left" wrapText="1"/>
    </xf>
    <xf numFmtId="0" fontId="2" fillId="11" borderId="40" xfId="0" applyFont="1" applyFill="1" applyBorder="1" applyAlignment="1">
      <alignment horizontal="left" vertical="center" wrapText="1"/>
    </xf>
    <xf numFmtId="0" fontId="1" fillId="11" borderId="27" xfId="0" applyFont="1" applyFill="1" applyBorder="1" applyAlignment="1">
      <alignment horizontal="left" vertical="center" wrapText="1"/>
    </xf>
    <xf numFmtId="0" fontId="1" fillId="11" borderId="30" xfId="0" applyFont="1" applyFill="1" applyBorder="1" applyAlignment="1">
      <alignment horizontal="left" vertical="center" wrapText="1"/>
    </xf>
    <xf numFmtId="3" fontId="83" fillId="0" borderId="0" xfId="0" applyNumberFormat="1" applyFont="1" applyFill="1" applyBorder="1" applyAlignment="1">
      <alignment horizontal="left" wrapText="1"/>
    </xf>
    <xf numFmtId="0" fontId="83" fillId="0" borderId="0" xfId="0" applyFont="1" applyFill="1" applyBorder="1" applyAlignment="1">
      <alignment horizontal="left" wrapText="1"/>
    </xf>
    <xf numFmtId="0" fontId="83" fillId="0" borderId="7" xfId="0" applyFont="1" applyFill="1" applyBorder="1" applyAlignment="1">
      <alignment horizontal="left" wrapText="1"/>
    </xf>
    <xf numFmtId="0" fontId="2"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3" fontId="45" fillId="12" borderId="0" xfId="0" applyNumberFormat="1" applyFont="1" applyFill="1" applyBorder="1" applyAlignment="1">
      <alignment horizontal="left" wrapText="1"/>
    </xf>
    <xf numFmtId="3" fontId="45" fillId="0" borderId="1" xfId="0" applyNumberFormat="1" applyFont="1" applyBorder="1" applyAlignment="1">
      <alignment horizontal="left" wrapText="1"/>
    </xf>
    <xf numFmtId="0" fontId="45" fillId="0" borderId="1" xfId="0" applyFont="1" applyBorder="1" applyAlignment="1">
      <alignment horizontal="left" wrapText="1"/>
    </xf>
    <xf numFmtId="0" fontId="45" fillId="0" borderId="15" xfId="0" applyFont="1" applyBorder="1" applyAlignment="1">
      <alignment horizontal="left" wrapText="1"/>
    </xf>
    <xf numFmtId="0" fontId="45" fillId="0" borderId="1" xfId="0" applyFont="1" applyFill="1" applyBorder="1" applyAlignment="1">
      <alignment horizontal="left" wrapText="1"/>
    </xf>
    <xf numFmtId="0" fontId="45" fillId="0" borderId="15" xfId="0" applyFont="1" applyFill="1" applyBorder="1" applyAlignment="1">
      <alignment horizontal="left" wrapText="1"/>
    </xf>
    <xf numFmtId="3" fontId="1" fillId="0" borderId="0" xfId="0" applyNumberFormat="1" applyFont="1" applyBorder="1" applyAlignment="1">
      <alignment horizontal="left" wrapText="1"/>
    </xf>
    <xf numFmtId="0" fontId="2" fillId="11" borderId="31" xfId="0" applyFont="1" applyFill="1" applyBorder="1" applyAlignment="1">
      <alignment horizontal="center" vertical="center"/>
    </xf>
    <xf numFmtId="0" fontId="2" fillId="11" borderId="27" xfId="0" applyFont="1" applyFill="1" applyBorder="1" applyAlignment="1">
      <alignment horizontal="center" vertical="center"/>
    </xf>
    <xf numFmtId="0" fontId="12" fillId="0" borderId="0" xfId="0" applyFont="1" applyFill="1" applyBorder="1" applyAlignment="1">
      <alignment horizontal="left" wrapText="1"/>
    </xf>
    <xf numFmtId="0" fontId="2" fillId="0" borderId="7" xfId="0" applyFont="1" applyFill="1" applyBorder="1" applyAlignment="1">
      <alignment horizontal="left" wrapText="1"/>
    </xf>
    <xf numFmtId="3" fontId="13" fillId="0" borderId="0"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3" fontId="97" fillId="0" borderId="0" xfId="0" applyNumberFormat="1" applyFont="1" applyBorder="1" applyAlignment="1">
      <alignment horizontal="left" wrapText="1"/>
    </xf>
    <xf numFmtId="0" fontId="97" fillId="0" borderId="0" xfId="0" applyFont="1" applyBorder="1" applyAlignment="1">
      <alignment horizontal="left" wrapText="1"/>
    </xf>
    <xf numFmtId="0" fontId="97" fillId="0" borderId="7" xfId="0" applyFont="1" applyBorder="1" applyAlignment="1">
      <alignment horizontal="left" wrapText="1"/>
    </xf>
    <xf numFmtId="3" fontId="83" fillId="0" borderId="0" xfId="0" applyNumberFormat="1" applyFont="1" applyFill="1" applyBorder="1" applyAlignment="1">
      <alignment horizontal="left" vertical="top" wrapText="1"/>
    </xf>
    <xf numFmtId="3" fontId="83" fillId="0" borderId="7"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0" fontId="1" fillId="11" borderId="27" xfId="0" applyFont="1" applyFill="1" applyBorder="1" applyAlignment="1">
      <alignment horizontal="center" vertical="center"/>
    </xf>
    <xf numFmtId="0" fontId="2"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5" xfId="0" applyFont="1" applyFill="1" applyBorder="1" applyAlignment="1">
      <alignment horizontal="center" wrapText="1"/>
    </xf>
    <xf numFmtId="168" fontId="2" fillId="0" borderId="0" xfId="1" applyNumberFormat="1" applyFont="1" applyFill="1" applyBorder="1" applyAlignment="1">
      <alignment horizontal="left"/>
    </xf>
    <xf numFmtId="168" fontId="13" fillId="0" borderId="0" xfId="1" applyNumberFormat="1" applyFont="1" applyFill="1" applyBorder="1" applyAlignment="1">
      <alignment horizontal="left"/>
    </xf>
    <xf numFmtId="0" fontId="2"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5" xfId="0" applyFont="1" applyFill="1" applyBorder="1" applyAlignment="1">
      <alignment horizontal="left" wrapText="1"/>
    </xf>
    <xf numFmtId="0" fontId="2" fillId="11" borderId="40"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3" fillId="0" borderId="0" xfId="0" applyNumberFormat="1" applyFont="1" applyFill="1" applyBorder="1" applyAlignment="1">
      <alignment horizontal="left"/>
    </xf>
    <xf numFmtId="0" fontId="13" fillId="0" borderId="7" xfId="0" applyNumberFormat="1" applyFont="1" applyFill="1" applyBorder="1" applyAlignment="1">
      <alignment horizontal="left"/>
    </xf>
    <xf numFmtId="0" fontId="45" fillId="0" borderId="1" xfId="0" applyNumberFormat="1" applyFont="1" applyFill="1" applyBorder="1" applyAlignment="1">
      <alignment horizontal="left"/>
    </xf>
    <xf numFmtId="0" fontId="45" fillId="0" borderId="15" xfId="0" applyNumberFormat="1" applyFont="1" applyFill="1" applyBorder="1" applyAlignment="1">
      <alignment horizontal="left"/>
    </xf>
    <xf numFmtId="0" fontId="45" fillId="0" borderId="0" xfId="0" applyNumberFormat="1" applyFont="1" applyFill="1" applyBorder="1" applyAlignment="1">
      <alignment horizontal="left"/>
    </xf>
    <xf numFmtId="0" fontId="45" fillId="0" borderId="7" xfId="0" applyNumberFormat="1" applyFont="1" applyFill="1" applyBorder="1" applyAlignment="1">
      <alignment horizontal="left"/>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1" fillId="0" borderId="0" xfId="0" applyNumberFormat="1" applyFont="1" applyFill="1" applyBorder="1" applyAlignment="1">
      <alignment horizontal="left"/>
    </xf>
    <xf numFmtId="0" fontId="100" fillId="0" borderId="0" xfId="0" applyNumberFormat="1" applyFont="1" applyFill="1" applyBorder="1" applyAlignment="1">
      <alignment horizontal="left"/>
    </xf>
    <xf numFmtId="0" fontId="100" fillId="0" borderId="7" xfId="0" applyNumberFormat="1" applyFont="1" applyFill="1" applyBorder="1" applyAlignment="1">
      <alignment horizontal="left"/>
    </xf>
    <xf numFmtId="0" fontId="1" fillId="12" borderId="0" xfId="0" applyNumberFormat="1" applyFont="1" applyFill="1" applyBorder="1" applyAlignment="1">
      <alignment horizontal="left"/>
    </xf>
    <xf numFmtId="0" fontId="13" fillId="12" borderId="0" xfId="0" applyNumberFormat="1" applyFont="1" applyFill="1" applyBorder="1" applyAlignment="1">
      <alignment horizontal="left"/>
    </xf>
    <xf numFmtId="0" fontId="13" fillId="12" borderId="7" xfId="0" applyNumberFormat="1" applyFont="1" applyFill="1" applyBorder="1" applyAlignment="1">
      <alignment horizontal="left"/>
    </xf>
    <xf numFmtId="0" fontId="2" fillId="11" borderId="27" xfId="0" applyFont="1" applyFill="1" applyBorder="1" applyAlignment="1">
      <alignment horizontal="left" vertical="center" wrapText="1"/>
    </xf>
    <xf numFmtId="0" fontId="2" fillId="11" borderId="30" xfId="0" applyFont="1" applyFill="1" applyBorder="1" applyAlignment="1">
      <alignment horizontal="left" vertical="center" wrapText="1"/>
    </xf>
    <xf numFmtId="0" fontId="13" fillId="0" borderId="0" xfId="0" applyFont="1" applyFill="1" applyBorder="1" applyAlignment="1">
      <alignment horizontal="center" wrapText="1"/>
    </xf>
    <xf numFmtId="0" fontId="13" fillId="0" borderId="7" xfId="0" applyFont="1" applyFill="1" applyBorder="1" applyAlignment="1">
      <alignment horizontal="center" wrapText="1"/>
    </xf>
    <xf numFmtId="9" fontId="1" fillId="0" borderId="8" xfId="5" applyFont="1" applyFill="1" applyBorder="1" applyAlignment="1">
      <alignment horizontal="left" vertical="top" wrapText="1"/>
    </xf>
    <xf numFmtId="9" fontId="13" fillId="0" borderId="0" xfId="5" applyFont="1" applyFill="1" applyBorder="1" applyAlignment="1">
      <alignment horizontal="left" vertical="top" wrapText="1"/>
    </xf>
    <xf numFmtId="9" fontId="13" fillId="0" borderId="7" xfId="5" applyFont="1" applyFill="1" applyBorder="1" applyAlignment="1">
      <alignment horizontal="left" vertical="top" wrapText="1"/>
    </xf>
    <xf numFmtId="9" fontId="13" fillId="0" borderId="16" xfId="5" applyFont="1" applyFill="1" applyBorder="1" applyAlignment="1">
      <alignment horizontal="left" vertical="top" wrapText="1"/>
    </xf>
    <xf numFmtId="9" fontId="13" fillId="0" borderId="1" xfId="5" applyFont="1" applyFill="1" applyBorder="1" applyAlignment="1">
      <alignment horizontal="left" vertical="top" wrapText="1"/>
    </xf>
    <xf numFmtId="9" fontId="13" fillId="0" borderId="15" xfId="5" applyFont="1" applyFill="1" applyBorder="1" applyAlignment="1">
      <alignment horizontal="left" vertical="top" wrapText="1"/>
    </xf>
    <xf numFmtId="0" fontId="1" fillId="0" borderId="0" xfId="0" applyFont="1" applyFill="1" applyBorder="1" applyAlignment="1">
      <alignment horizontal="left" wrapText="1"/>
    </xf>
    <xf numFmtId="0" fontId="2" fillId="11" borderId="31" xfId="0" applyFont="1" applyFill="1" applyBorder="1" applyAlignment="1">
      <alignment horizontal="left" vertical="center" wrapText="1"/>
    </xf>
    <xf numFmtId="9" fontId="13" fillId="0" borderId="8" xfId="5" applyFont="1" applyFill="1" applyBorder="1" applyAlignment="1">
      <alignment horizontal="left" vertical="top" wrapText="1"/>
    </xf>
    <xf numFmtId="0" fontId="2" fillId="11" borderId="30" xfId="0" applyFont="1" applyFill="1" applyBorder="1" applyAlignment="1">
      <alignment horizontal="center" vertical="center"/>
    </xf>
    <xf numFmtId="9" fontId="1" fillId="0" borderId="8" xfId="5" applyFont="1" applyFill="1" applyBorder="1" applyAlignment="1">
      <alignment horizontal="left" wrapText="1"/>
    </xf>
    <xf numFmtId="9" fontId="13" fillId="0" borderId="0" xfId="5" applyFont="1" applyFill="1" applyBorder="1" applyAlignment="1">
      <alignment horizontal="left" wrapText="1"/>
    </xf>
    <xf numFmtId="9" fontId="13" fillId="0" borderId="7" xfId="5" applyFont="1" applyFill="1" applyBorder="1" applyAlignment="1">
      <alignment horizontal="left" wrapText="1"/>
    </xf>
    <xf numFmtId="168" fontId="2" fillId="0" borderId="16" xfId="1" applyNumberFormat="1" applyFont="1" applyFill="1" applyBorder="1" applyAlignment="1">
      <alignment horizontal="center"/>
    </xf>
    <xf numFmtId="168" fontId="13" fillId="0" borderId="1" xfId="1" applyNumberFormat="1" applyFont="1" applyFill="1" applyBorder="1" applyAlignment="1">
      <alignment horizontal="center"/>
    </xf>
    <xf numFmtId="168" fontId="2" fillId="0" borderId="1" xfId="1" applyNumberFormat="1" applyFont="1" applyFill="1" applyBorder="1" applyAlignment="1">
      <alignment horizontal="center"/>
    </xf>
    <xf numFmtId="168" fontId="2" fillId="0" borderId="1" xfId="1" applyNumberFormat="1" applyFont="1" applyFill="1" applyBorder="1" applyAlignment="1">
      <alignment horizontal="left"/>
    </xf>
    <xf numFmtId="168" fontId="13" fillId="0" borderId="1" xfId="1" applyNumberFormat="1" applyFont="1" applyFill="1" applyBorder="1" applyAlignment="1">
      <alignment horizontal="left"/>
    </xf>
    <xf numFmtId="168" fontId="2" fillId="0" borderId="8" xfId="1" applyNumberFormat="1" applyFont="1" applyFill="1" applyBorder="1" applyAlignment="1">
      <alignment horizontal="center"/>
    </xf>
    <xf numFmtId="168" fontId="13" fillId="0" borderId="0" xfId="1" applyNumberFormat="1" applyFont="1" applyFill="1" applyBorder="1" applyAlignment="1">
      <alignment horizontal="center"/>
    </xf>
    <xf numFmtId="168" fontId="2" fillId="0" borderId="0" xfId="1" applyNumberFormat="1" applyFont="1" applyFill="1" applyBorder="1" applyAlignment="1">
      <alignment horizontal="center"/>
    </xf>
    <xf numFmtId="0" fontId="2" fillId="11" borderId="27" xfId="0" applyFont="1" applyFill="1" applyBorder="1" applyAlignment="1">
      <alignment horizontal="left" vertical="center"/>
    </xf>
    <xf numFmtId="0" fontId="1" fillId="11" borderId="27" xfId="0" applyFont="1" applyFill="1" applyBorder="1" applyAlignment="1">
      <alignment horizontal="left" vertical="center"/>
    </xf>
    <xf numFmtId="2" fontId="2"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left"/>
    </xf>
    <xf numFmtId="0" fontId="13" fillId="0" borderId="0" xfId="0" applyFont="1" applyFill="1" applyBorder="1" applyAlignment="1">
      <alignment horizontal="left"/>
    </xf>
    <xf numFmtId="0" fontId="2" fillId="0" borderId="15" xfId="0" applyFont="1" applyFill="1" applyBorder="1" applyAlignment="1">
      <alignment horizontal="left" wrapText="1"/>
    </xf>
    <xf numFmtId="168" fontId="45" fillId="0" borderId="1" xfId="0" applyNumberFormat="1" applyFont="1" applyFill="1" applyBorder="1" applyAlignment="1">
      <alignment horizontal="left" wrapText="1"/>
    </xf>
    <xf numFmtId="168" fontId="45" fillId="0" borderId="15" xfId="0" applyNumberFormat="1" applyFont="1" applyFill="1" applyBorder="1" applyAlignment="1">
      <alignment horizontal="left" wrapText="1"/>
    </xf>
    <xf numFmtId="3" fontId="13" fillId="0" borderId="1" xfId="0" applyNumberFormat="1" applyFont="1" applyBorder="1" applyAlignment="1">
      <alignment horizontal="left" wrapText="1"/>
    </xf>
    <xf numFmtId="0" fontId="13" fillId="0" borderId="1" xfId="0" applyFont="1" applyBorder="1" applyAlignment="1">
      <alignment horizontal="left" wrapText="1"/>
    </xf>
    <xf numFmtId="0" fontId="13" fillId="0" borderId="15" xfId="0" applyFont="1" applyBorder="1" applyAlignment="1">
      <alignment horizontal="left" wrapText="1"/>
    </xf>
    <xf numFmtId="0" fontId="1" fillId="12" borderId="1" xfId="0" applyFont="1" applyFill="1" applyBorder="1" applyAlignment="1">
      <alignment horizontal="left" wrapText="1"/>
    </xf>
    <xf numFmtId="0" fontId="13" fillId="12" borderId="1" xfId="0" applyFont="1" applyFill="1" applyBorder="1" applyAlignment="1">
      <alignment horizontal="left" wrapText="1"/>
    </xf>
    <xf numFmtId="0" fontId="13" fillId="12" borderId="15" xfId="0" applyFont="1" applyFill="1" applyBorder="1" applyAlignment="1">
      <alignment horizontal="left" wrapText="1"/>
    </xf>
    <xf numFmtId="0" fontId="13" fillId="0" borderId="0" xfId="0" applyFont="1" applyBorder="1" applyAlignment="1">
      <alignment horizontal="center"/>
    </xf>
    <xf numFmtId="0" fontId="13" fillId="0" borderId="7" xfId="0" applyFont="1" applyBorder="1" applyAlignment="1">
      <alignment horizontal="center"/>
    </xf>
    <xf numFmtId="0" fontId="2" fillId="0" borderId="2" xfId="0" applyFont="1" applyFill="1" applyBorder="1" applyAlignment="1">
      <alignment horizontal="left" wrapText="1"/>
    </xf>
    <xf numFmtId="0" fontId="2" fillId="0" borderId="41" xfId="0" applyFont="1" applyFill="1" applyBorder="1" applyAlignment="1">
      <alignment horizontal="left" wrapText="1"/>
    </xf>
    <xf numFmtId="0" fontId="13" fillId="0" borderId="0" xfId="0" applyFont="1" applyAlignment="1">
      <alignment horizontal="left" vertical="top" wrapText="1"/>
    </xf>
    <xf numFmtId="0" fontId="13" fillId="0" borderId="0" xfId="0" applyFont="1" applyAlignment="1">
      <alignment vertical="top"/>
    </xf>
    <xf numFmtId="0" fontId="13" fillId="0" borderId="9" xfId="0" applyFont="1" applyBorder="1" applyAlignment="1">
      <alignment horizontal="center"/>
    </xf>
    <xf numFmtId="0" fontId="13" fillId="0" borderId="11" xfId="0" applyFont="1" applyBorder="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Alignment="1">
      <alignment horizontal="center" vertical="top"/>
    </xf>
    <xf numFmtId="0" fontId="37" fillId="12" borderId="6" xfId="0" applyFont="1" applyFill="1" applyBorder="1" applyAlignment="1">
      <alignment horizontal="center"/>
    </xf>
    <xf numFmtId="0" fontId="37" fillId="12" borderId="5" xfId="0" applyFont="1" applyFill="1" applyBorder="1" applyAlignment="1">
      <alignment horizontal="center"/>
    </xf>
    <xf numFmtId="0" fontId="51" fillId="0" borderId="0" xfId="0" applyFont="1" applyAlignment="1">
      <alignment horizontal="center" vertical="center"/>
    </xf>
    <xf numFmtId="0" fontId="3" fillId="0" borderId="0" xfId="0" applyNumberFormat="1" applyFont="1" applyFill="1" applyAlignment="1">
      <alignment horizontal="left"/>
    </xf>
    <xf numFmtId="0" fontId="24" fillId="0" borderId="0" xfId="0" applyFont="1" applyAlignment="1">
      <alignment horizontal="center"/>
    </xf>
    <xf numFmtId="0" fontId="3" fillId="0" borderId="0" xfId="0" applyNumberFormat="1" applyFont="1" applyFill="1" applyAlignment="1">
      <alignment horizontal="center"/>
    </xf>
    <xf numFmtId="0" fontId="0" fillId="0" borderId="0" xfId="0" applyBorder="1" applyAlignment="1">
      <alignment horizontal="center"/>
    </xf>
    <xf numFmtId="0" fontId="103" fillId="0" borderId="0" xfId="0" applyFont="1" applyFill="1" applyAlignment="1">
      <alignment horizontal="center"/>
    </xf>
  </cellXfs>
  <cellStyles count="13">
    <cellStyle name="Comma" xfId="1" builtinId="3"/>
    <cellStyle name="Comma 158" xfId="12"/>
    <cellStyle name="Currency" xfId="2" builtinId="4"/>
    <cellStyle name="Normal" xfId="0" builtinId="0"/>
    <cellStyle name="Normal_1995 FCWS" xfId="3"/>
    <cellStyle name="Normal_2002 Sch M Adds and Deducts 8-14-03" xfId="4"/>
    <cellStyle name="Percent" xfId="5" builtinId="5"/>
    <cellStyle name="PSChar" xfId="6"/>
    <cellStyle name="PSDate" xfId="7"/>
    <cellStyle name="PSDec" xfId="8"/>
    <cellStyle name="PSHeading" xfId="9"/>
    <cellStyle name="PSInt" xfId="10"/>
    <cellStyle name="PSSpacer" xfId="11"/>
  </cellStyles>
  <dxfs count="0"/>
  <tableStyles count="0" defaultTableStyle="TableStyleMedium9" defaultPivotStyle="PivotStyleLight16"/>
  <colors>
    <mruColors>
      <color rgb="FFE1FFF6"/>
      <color rgb="FFFFFF81"/>
      <color rgb="FFD9FFF0"/>
      <color rgb="FFFFCDFF"/>
      <color rgb="FFFFAFFF"/>
      <color rgb="FFFFFFA7"/>
      <color rgb="FF0000FF"/>
      <color rgb="FFFFFFE7"/>
      <color rgb="FFDCFCDF"/>
      <color rgb="FFA7F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E2966"/>
  <sheetViews>
    <sheetView tabSelected="1" topLeftCell="D126" zoomScale="80" zoomScaleNormal="80" zoomScaleSheetLayoutView="85" workbookViewId="0">
      <selection activeCell="H149" sqref="H149"/>
    </sheetView>
  </sheetViews>
  <sheetFormatPr defaultColWidth="9.140625" defaultRowHeight="15"/>
  <cols>
    <col min="1" max="1" width="9.7109375" style="55" customWidth="1"/>
    <col min="2" max="2" width="7.85546875" style="27" customWidth="1"/>
    <col min="3" max="3" width="70" style="27" customWidth="1"/>
    <col min="4" max="4" width="24.5703125" style="27" customWidth="1"/>
    <col min="5" max="5" width="25" style="77" customWidth="1"/>
    <col min="6" max="6" width="61" style="39" customWidth="1"/>
    <col min="7" max="7" width="7.140625" style="39" customWidth="1"/>
    <col min="8" max="8" width="23.7109375" style="435" customWidth="1"/>
    <col min="9" max="9" width="6.7109375" style="1187" customWidth="1"/>
    <col min="10" max="10" width="16.28515625" style="39" customWidth="1"/>
    <col min="11" max="11" width="9.140625" style="39"/>
    <col min="12" max="12" width="2.5703125" style="39" customWidth="1"/>
    <col min="13" max="13" width="16.7109375" style="39" customWidth="1"/>
    <col min="14" max="212" width="9.140625" style="39"/>
    <col min="213" max="213" width="9.28515625" style="39" bestFit="1" customWidth="1"/>
    <col min="214" max="16384" width="9.140625" style="39"/>
  </cols>
  <sheetData>
    <row r="1" spans="1:16" ht="23.25">
      <c r="A1" s="1214"/>
      <c r="B1" s="1214"/>
      <c r="C1" s="1214"/>
      <c r="D1" s="1214"/>
      <c r="E1" s="1214"/>
      <c r="F1" s="1214"/>
      <c r="G1" s="1214"/>
      <c r="H1" s="1214"/>
      <c r="I1" s="78"/>
      <c r="J1" s="44"/>
    </row>
    <row r="2" spans="1:16" ht="44.25" customHeight="1">
      <c r="A2" s="1026"/>
      <c r="B2" s="45"/>
      <c r="C2" s="1221" t="s">
        <v>614</v>
      </c>
      <c r="D2" s="1221"/>
      <c r="E2" s="1221"/>
      <c r="F2" s="1221"/>
      <c r="G2" s="1022"/>
      <c r="H2" s="1167" t="s">
        <v>334</v>
      </c>
      <c r="I2" s="78"/>
      <c r="J2" s="44"/>
    </row>
    <row r="3" spans="1:16" ht="27.75" customHeight="1">
      <c r="A3" s="1027"/>
      <c r="B3" s="1028"/>
      <c r="C3" s="1222" t="s">
        <v>655</v>
      </c>
      <c r="D3" s="1222"/>
      <c r="E3" s="1222"/>
      <c r="F3" s="1222"/>
      <c r="G3" s="88"/>
      <c r="H3" s="1023"/>
      <c r="I3" s="78"/>
      <c r="J3" s="44"/>
    </row>
    <row r="4" spans="1:16" ht="52.5" customHeight="1">
      <c r="A4" s="1029"/>
      <c r="B4" s="1030"/>
      <c r="C4" s="1223" t="s">
        <v>654</v>
      </c>
      <c r="D4" s="1223"/>
      <c r="E4" s="1223"/>
      <c r="F4" s="1223"/>
      <c r="G4" s="70"/>
      <c r="H4" s="1024"/>
      <c r="I4" s="78"/>
      <c r="J4" s="44"/>
      <c r="P4" s="63"/>
    </row>
    <row r="5" spans="1:16" s="61" customFormat="1" ht="31.5" customHeight="1">
      <c r="A5" s="1031"/>
      <c r="B5" s="1032"/>
      <c r="C5" s="1033" t="s">
        <v>613</v>
      </c>
      <c r="D5" s="1038" t="s">
        <v>610</v>
      </c>
      <c r="E5" s="1034" t="s">
        <v>472</v>
      </c>
      <c r="F5" s="1035" t="s">
        <v>122</v>
      </c>
      <c r="G5" s="1025"/>
      <c r="H5" s="1174" t="s">
        <v>672</v>
      </c>
      <c r="I5" s="1196"/>
      <c r="J5" s="154"/>
      <c r="P5" s="1166"/>
    </row>
    <row r="6" spans="1:16" s="154" customFormat="1" ht="43.5" customHeight="1">
      <c r="E6" s="444"/>
      <c r="F6" s="1107" t="s">
        <v>277</v>
      </c>
      <c r="G6" s="1105"/>
      <c r="H6" s="1106"/>
      <c r="I6" s="1030"/>
    </row>
    <row r="7" spans="1:16" s="44" customFormat="1" ht="35.25" customHeight="1">
      <c r="A7" s="1225" t="s">
        <v>388</v>
      </c>
      <c r="B7" s="1226"/>
      <c r="C7" s="1226"/>
      <c r="D7" s="1226"/>
      <c r="E7" s="1226"/>
      <c r="F7" s="1226"/>
      <c r="G7" s="1226"/>
      <c r="H7" s="1227"/>
      <c r="I7" s="78"/>
    </row>
    <row r="8" spans="1:16" s="44" customFormat="1">
      <c r="A8" s="82"/>
      <c r="B8" s="68"/>
      <c r="C8" s="68"/>
      <c r="D8" s="68"/>
      <c r="E8" s="444"/>
      <c r="F8" s="88"/>
      <c r="G8" s="88"/>
      <c r="H8" s="785"/>
      <c r="I8" s="78"/>
    </row>
    <row r="9" spans="1:16" ht="15.75">
      <c r="A9" s="373"/>
      <c r="B9" s="374" t="s">
        <v>393</v>
      </c>
      <c r="E9" s="445"/>
      <c r="F9" s="375"/>
      <c r="G9" s="376"/>
      <c r="H9" s="781"/>
      <c r="I9" s="78"/>
      <c r="J9" s="44"/>
    </row>
    <row r="10" spans="1:16">
      <c r="A10" s="26">
        <v>1</v>
      </c>
      <c r="B10" s="26"/>
      <c r="C10" s="88" t="s">
        <v>351</v>
      </c>
      <c r="D10" s="131"/>
      <c r="E10" s="275"/>
      <c r="F10" s="375" t="s">
        <v>520</v>
      </c>
      <c r="G10" s="43"/>
      <c r="H10" s="1039">
        <v>101250</v>
      </c>
      <c r="I10" s="78"/>
      <c r="J10" s="44"/>
    </row>
    <row r="11" spans="1:16">
      <c r="A11" s="77"/>
      <c r="E11" s="446"/>
      <c r="F11" s="44"/>
      <c r="G11" s="44"/>
      <c r="I11" s="78"/>
      <c r="J11" s="44"/>
    </row>
    <row r="12" spans="1:16">
      <c r="A12" s="26">
        <f>+A10+1</f>
        <v>2</v>
      </c>
      <c r="B12" s="26"/>
      <c r="C12" s="88" t="s">
        <v>352</v>
      </c>
      <c r="D12" s="88"/>
      <c r="E12" s="447"/>
      <c r="F12" s="88" t="s">
        <v>521</v>
      </c>
      <c r="G12" s="43"/>
      <c r="H12" s="1040">
        <v>1961783</v>
      </c>
      <c r="I12" s="78"/>
      <c r="J12" s="44"/>
    </row>
    <row r="13" spans="1:16">
      <c r="A13" s="26">
        <f>+A12+1</f>
        <v>3</v>
      </c>
      <c r="B13" s="26"/>
      <c r="C13" s="88" t="s">
        <v>389</v>
      </c>
      <c r="D13" s="88"/>
      <c r="E13" s="446"/>
      <c r="F13" s="88" t="s">
        <v>522</v>
      </c>
      <c r="G13" s="43"/>
      <c r="H13" s="1040">
        <v>177653</v>
      </c>
      <c r="I13" s="78"/>
      <c r="J13" s="44"/>
    </row>
    <row r="14" spans="1:16">
      <c r="A14" s="26">
        <f>+A13+1</f>
        <v>4</v>
      </c>
      <c r="B14" s="26"/>
      <c r="C14" s="377" t="s">
        <v>544</v>
      </c>
      <c r="D14" s="378"/>
      <c r="E14" s="448"/>
      <c r="F14" s="379" t="str">
        <f>"(Line "&amp;A12&amp;" - Line "&amp;A13&amp;")"</f>
        <v>(Line 2 - Line 3)</v>
      </c>
      <c r="G14" s="49"/>
      <c r="H14" s="786">
        <f>H12-H13</f>
        <v>1784130</v>
      </c>
      <c r="I14" s="78"/>
      <c r="J14" s="44"/>
    </row>
    <row r="15" spans="1:16">
      <c r="A15" s="26"/>
      <c r="B15" s="26"/>
      <c r="C15" s="380"/>
      <c r="E15" s="445"/>
      <c r="F15" s="43"/>
      <c r="G15" s="27"/>
      <c r="H15" s="781"/>
      <c r="I15" s="78"/>
      <c r="J15" s="44"/>
      <c r="K15" s="44"/>
    </row>
    <row r="16" spans="1:16" ht="16.5" thickBot="1">
      <c r="A16" s="26">
        <v>5</v>
      </c>
      <c r="B16" s="381" t="s">
        <v>436</v>
      </c>
      <c r="C16" s="381"/>
      <c r="D16" s="97"/>
      <c r="E16" s="449"/>
      <c r="F16" s="382" t="str">
        <f>"(Line "&amp;A10&amp;" / Line "&amp;A14&amp;")"</f>
        <v>(Line 1 / Line 4)</v>
      </c>
      <c r="G16" s="98"/>
      <c r="H16" s="923">
        <f>H10/H14</f>
        <v>5.6750348909552557E-2</v>
      </c>
      <c r="I16" s="78"/>
      <c r="J16" s="44"/>
    </row>
    <row r="17" spans="1:12" ht="16.5" thickTop="1">
      <c r="A17" s="26"/>
      <c r="B17" s="26"/>
      <c r="C17" s="374"/>
      <c r="D17" s="43"/>
      <c r="E17" s="450"/>
      <c r="F17" s="43"/>
      <c r="G17" s="27"/>
      <c r="H17" s="33"/>
      <c r="I17" s="78"/>
      <c r="J17" s="44"/>
    </row>
    <row r="18" spans="1:12" ht="15.75">
      <c r="A18" s="77"/>
      <c r="B18" s="374" t="s">
        <v>445</v>
      </c>
      <c r="D18" s="39"/>
      <c r="E18" s="446"/>
      <c r="F18" s="44"/>
      <c r="H18" s="39"/>
      <c r="I18" s="78"/>
      <c r="J18" s="44"/>
      <c r="L18" s="1020"/>
    </row>
    <row r="19" spans="1:12">
      <c r="A19" s="65">
        <f>+A16+1</f>
        <v>6</v>
      </c>
      <c r="B19" s="39"/>
      <c r="C19" s="88" t="s">
        <v>453</v>
      </c>
      <c r="D19" s="1019" t="s">
        <v>611</v>
      </c>
      <c r="E19" s="635" t="str">
        <f>"(Note "&amp;B$290&amp;")"</f>
        <v>(Note B)</v>
      </c>
      <c r="F19" s="88" t="s">
        <v>48</v>
      </c>
      <c r="G19" s="44"/>
      <c r="H19" s="1041">
        <v>86339537</v>
      </c>
      <c r="I19" s="78"/>
      <c r="J19" s="44"/>
    </row>
    <row r="20" spans="1:12">
      <c r="A20" s="78"/>
      <c r="B20" s="39"/>
      <c r="C20" s="88"/>
      <c r="D20" s="1019"/>
      <c r="E20" s="451"/>
      <c r="F20" s="88"/>
      <c r="H20" s="375"/>
      <c r="I20" s="78"/>
      <c r="J20" s="44"/>
    </row>
    <row r="21" spans="1:12">
      <c r="A21" s="65">
        <f>A19+1</f>
        <v>7</v>
      </c>
      <c r="B21" s="39"/>
      <c r="C21" s="88" t="s">
        <v>349</v>
      </c>
      <c r="D21" s="1019">
        <v>108</v>
      </c>
      <c r="E21" s="635" t="str">
        <f>"(Note "&amp;B$301&amp;")"</f>
        <v>(Note J)</v>
      </c>
      <c r="F21" s="88" t="s">
        <v>460</v>
      </c>
      <c r="G21" s="44"/>
      <c r="H21" s="1041">
        <v>52329300</v>
      </c>
      <c r="I21" s="78"/>
      <c r="J21" s="44"/>
    </row>
    <row r="22" spans="1:12">
      <c r="A22" s="65">
        <f>+A21+1</f>
        <v>8</v>
      </c>
      <c r="B22" s="39"/>
      <c r="C22" s="88" t="s">
        <v>306</v>
      </c>
      <c r="D22" s="1019">
        <v>119</v>
      </c>
      <c r="E22" s="443" t="str">
        <f>"(Note "&amp;B$289&amp;")"</f>
        <v>(Note A)</v>
      </c>
      <c r="F22" s="375" t="s">
        <v>669</v>
      </c>
      <c r="G22" s="44"/>
      <c r="H22" s="1041">
        <v>0</v>
      </c>
      <c r="I22" s="78"/>
      <c r="J22" s="44"/>
    </row>
    <row r="23" spans="1:12">
      <c r="A23" s="65">
        <f>A22+1</f>
        <v>9</v>
      </c>
      <c r="C23" s="47" t="s">
        <v>392</v>
      </c>
      <c r="D23" s="49"/>
      <c r="E23" s="451"/>
      <c r="F23" s="379" t="str">
        <f>"(Line "&amp;A21&amp;" + "&amp;A22&amp;")"</f>
        <v>(Line 7 + 8)</v>
      </c>
      <c r="G23" s="46"/>
      <c r="H23" s="379">
        <f>SUM(H21:H22)</f>
        <v>52329300</v>
      </c>
      <c r="I23" s="78"/>
      <c r="J23" s="44"/>
    </row>
    <row r="24" spans="1:12" ht="17.25" customHeight="1">
      <c r="A24" s="77"/>
      <c r="C24" s="68"/>
      <c r="E24" s="452"/>
      <c r="F24" s="375"/>
      <c r="H24" s="75"/>
      <c r="I24" s="78"/>
      <c r="J24" s="44"/>
    </row>
    <row r="25" spans="1:12">
      <c r="A25" s="26">
        <f>+A23+1</f>
        <v>10</v>
      </c>
      <c r="B25" s="39"/>
      <c r="C25" s="46" t="s">
        <v>440</v>
      </c>
      <c r="D25" s="46"/>
      <c r="E25" s="453"/>
      <c r="F25" s="379" t="str">
        <f>"(Line "&amp;A19&amp;" - Line "&amp;A23&amp;")"</f>
        <v>(Line 6 - Line 9)</v>
      </c>
      <c r="G25" s="46"/>
      <c r="H25" s="378">
        <f>H19-H23</f>
        <v>34010237</v>
      </c>
      <c r="I25" s="78"/>
      <c r="J25" s="44"/>
    </row>
    <row r="26" spans="1:12">
      <c r="A26" s="77"/>
      <c r="B26" s="39"/>
      <c r="C26" s="39"/>
      <c r="D26" s="39"/>
      <c r="E26" s="452"/>
      <c r="F26" s="44"/>
      <c r="H26" s="39"/>
      <c r="I26" s="78"/>
      <c r="J26" s="44"/>
    </row>
    <row r="27" spans="1:12">
      <c r="A27" s="65">
        <f>+A25+1</f>
        <v>11</v>
      </c>
      <c r="B27" s="39"/>
      <c r="C27" s="39" t="s">
        <v>390</v>
      </c>
      <c r="D27" s="39"/>
      <c r="E27" s="452"/>
      <c r="F27" s="368" t="str">
        <f>"(Line "&amp;A53&amp;" - Line "&amp;A51&amp;")"</f>
        <v>(Line 29 - Line 28)</v>
      </c>
      <c r="H27" s="75">
        <f>H53-H51</f>
        <v>14060505.374821341</v>
      </c>
      <c r="I27" s="78"/>
      <c r="J27" s="44"/>
    </row>
    <row r="28" spans="1:12" ht="16.5" thickBot="1">
      <c r="A28" s="26">
        <f>+A27+1</f>
        <v>12</v>
      </c>
      <c r="B28" s="383" t="s">
        <v>340</v>
      </c>
      <c r="C28" s="383"/>
      <c r="D28" s="90"/>
      <c r="E28" s="454"/>
      <c r="F28" s="382" t="str">
        <f>"(Line "&amp;A27&amp;" / Line "&amp;A19&amp;")"</f>
        <v>(Line 11 / Line 6)</v>
      </c>
      <c r="G28" s="90"/>
      <c r="H28" s="924">
        <f>H27/H19</f>
        <v>0.16285129459081232</v>
      </c>
      <c r="I28" s="78"/>
      <c r="J28" s="44"/>
    </row>
    <row r="29" spans="1:12" ht="15.75" thickTop="1">
      <c r="A29" s="77"/>
      <c r="E29" s="452"/>
      <c r="F29" s="44"/>
      <c r="I29" s="78"/>
      <c r="J29" s="44"/>
    </row>
    <row r="30" spans="1:12">
      <c r="A30" s="65">
        <f>+A28+1</f>
        <v>13</v>
      </c>
      <c r="B30" s="26"/>
      <c r="C30" s="384" t="s">
        <v>391</v>
      </c>
      <c r="D30" s="43"/>
      <c r="E30" s="455"/>
      <c r="F30" s="368" t="str">
        <f>"(Line "&amp;A71&amp;" - Line "&amp;A51&amp;")"</f>
        <v>(Line 41 - Line 28)</v>
      </c>
      <c r="G30" s="27"/>
      <c r="H30" s="787">
        <f>H71-H51</f>
        <v>6204812.8350120215</v>
      </c>
      <c r="I30" s="78"/>
      <c r="J30" s="44"/>
    </row>
    <row r="31" spans="1:12" ht="16.5" thickBot="1">
      <c r="A31" s="26">
        <f>+A30+1</f>
        <v>14</v>
      </c>
      <c r="B31" s="383" t="s">
        <v>441</v>
      </c>
      <c r="C31" s="383"/>
      <c r="D31" s="90"/>
      <c r="E31" s="454"/>
      <c r="F31" s="382" t="str">
        <f>"(Line "&amp;A30&amp;" / Line "&amp;A25&amp;")"</f>
        <v>(Line 13 / Line 10)</v>
      </c>
      <c r="G31" s="90"/>
      <c r="H31" s="923">
        <f>H30/H25</f>
        <v>0.18243956474081677</v>
      </c>
      <c r="I31" s="78"/>
      <c r="J31" s="44"/>
    </row>
    <row r="32" spans="1:12" ht="17.25" thickTop="1" thickBot="1">
      <c r="A32" s="40"/>
      <c r="B32" s="26"/>
      <c r="C32" s="374"/>
      <c r="D32" s="43"/>
      <c r="E32" s="455"/>
      <c r="F32" s="27"/>
      <c r="G32" s="27"/>
      <c r="H32" s="33"/>
      <c r="I32" s="78"/>
      <c r="J32" s="44"/>
    </row>
    <row r="33" spans="1:10" ht="34.5" customHeight="1" thickBot="1">
      <c r="A33" s="1228" t="s">
        <v>612</v>
      </c>
      <c r="B33" s="1229"/>
      <c r="C33" s="1229"/>
      <c r="D33" s="1229"/>
      <c r="E33" s="1229"/>
      <c r="F33" s="1229"/>
      <c r="G33" s="1229"/>
      <c r="H33" s="1230"/>
      <c r="I33" s="78"/>
      <c r="J33" s="44"/>
    </row>
    <row r="34" spans="1:10" ht="15.75">
      <c r="A34" s="99"/>
      <c r="B34" s="100"/>
      <c r="C34" s="68"/>
      <c r="D34" s="68"/>
      <c r="E34" s="444"/>
      <c r="F34" s="88"/>
      <c r="G34" s="88"/>
      <c r="H34" s="96"/>
      <c r="I34" s="78"/>
      <c r="J34" s="44"/>
    </row>
    <row r="35" spans="1:10" ht="15.75">
      <c r="A35" s="77"/>
      <c r="B35" s="374" t="s">
        <v>394</v>
      </c>
      <c r="E35" s="450"/>
      <c r="F35" s="375"/>
      <c r="G35" s="373"/>
      <c r="H35" s="376"/>
      <c r="I35" s="78"/>
      <c r="J35" s="44"/>
    </row>
    <row r="36" spans="1:10">
      <c r="A36" s="65">
        <f>+A31+1</f>
        <v>15</v>
      </c>
      <c r="B36" s="65"/>
      <c r="C36" s="384" t="s">
        <v>439</v>
      </c>
      <c r="D36" s="43"/>
      <c r="E36" s="635" t="str">
        <f>"(Note "&amp;B$290&amp;")"</f>
        <v>(Note B)</v>
      </c>
      <c r="F36" s="375" t="s">
        <v>362</v>
      </c>
      <c r="G36" s="43"/>
      <c r="H36" s="1041">
        <v>13589051</v>
      </c>
      <c r="I36" s="78"/>
      <c r="J36" s="44"/>
    </row>
    <row r="37" spans="1:10" ht="19.5" customHeight="1">
      <c r="A37" s="65">
        <f>A36+1</f>
        <v>16</v>
      </c>
      <c r="B37" s="65"/>
      <c r="C37" s="1224" t="s">
        <v>620</v>
      </c>
      <c r="D37" s="1224"/>
      <c r="E37" s="455" t="s">
        <v>313</v>
      </c>
      <c r="F37" s="82" t="s">
        <v>622</v>
      </c>
      <c r="G37" s="27"/>
      <c r="H37" s="773">
        <v>0</v>
      </c>
      <c r="I37" s="78"/>
      <c r="J37" s="44"/>
    </row>
    <row r="38" spans="1:10" ht="23.25" customHeight="1">
      <c r="A38" s="65">
        <f>+A37+1</f>
        <v>17</v>
      </c>
      <c r="B38" s="65"/>
      <c r="C38" s="1224" t="s">
        <v>621</v>
      </c>
      <c r="D38" s="1224"/>
      <c r="E38" s="443" t="str">
        <f>"(Note "&amp;B$290&amp;")"</f>
        <v>(Note B)</v>
      </c>
      <c r="F38" s="80" t="s">
        <v>279</v>
      </c>
      <c r="G38" s="83"/>
      <c r="H38" s="774">
        <f>'Est &amp; Rec WS - Att. 6 Reserved'!G84</f>
        <v>0</v>
      </c>
      <c r="I38" s="78"/>
      <c r="J38" s="44"/>
    </row>
    <row r="39" spans="1:10" ht="15.75">
      <c r="A39" s="65">
        <f>+A38+1</f>
        <v>18</v>
      </c>
      <c r="B39" s="65"/>
      <c r="C39" s="374" t="s">
        <v>549</v>
      </c>
      <c r="D39" s="43"/>
      <c r="E39" s="451"/>
      <c r="F39" s="358" t="str">
        <f>"(Line "&amp;A36&amp;" - Line "&amp;A37&amp;" + Line "&amp;A38&amp;")"</f>
        <v>(Line 15 - Line 16 + Line 17)</v>
      </c>
      <c r="G39" s="27"/>
      <c r="H39" s="385">
        <f>H36-H37+H38</f>
        <v>13589051</v>
      </c>
      <c r="I39" s="78"/>
      <c r="J39" s="44"/>
    </row>
    <row r="40" spans="1:10">
      <c r="A40" s="65"/>
      <c r="B40" s="65"/>
      <c r="C40" s="384"/>
      <c r="D40" s="43"/>
      <c r="E40" s="274"/>
      <c r="F40" s="375"/>
      <c r="G40" s="43"/>
      <c r="H40" s="773"/>
      <c r="I40" s="78"/>
      <c r="J40" s="44"/>
    </row>
    <row r="41" spans="1:10">
      <c r="A41" s="65">
        <f>+A39+1</f>
        <v>19</v>
      </c>
      <c r="B41" s="65"/>
      <c r="C41" s="384" t="s">
        <v>3</v>
      </c>
      <c r="D41" s="43"/>
      <c r="E41" s="274"/>
      <c r="F41" s="375" t="s">
        <v>49</v>
      </c>
      <c r="G41" s="43"/>
      <c r="H41" s="1040">
        <v>8307515</v>
      </c>
      <c r="I41" s="78"/>
      <c r="J41" s="44"/>
    </row>
    <row r="42" spans="1:10">
      <c r="A42" s="65">
        <f>A41+1</f>
        <v>20</v>
      </c>
      <c r="B42" s="65"/>
      <c r="C42" s="384" t="s">
        <v>4</v>
      </c>
      <c r="D42" s="43"/>
      <c r="E42" s="274"/>
      <c r="F42" s="80" t="s">
        <v>5</v>
      </c>
      <c r="G42" s="43"/>
      <c r="H42" s="1041">
        <v>0</v>
      </c>
      <c r="I42" s="78"/>
      <c r="J42" s="44"/>
    </row>
    <row r="43" spans="1:10">
      <c r="A43" s="65">
        <f>A42+1</f>
        <v>21</v>
      </c>
      <c r="B43" s="65"/>
      <c r="C43" s="377" t="s">
        <v>66</v>
      </c>
      <c r="D43" s="45"/>
      <c r="E43" s="456"/>
      <c r="F43" s="358" t="str">
        <f>"(Line "&amp;A41&amp;" + Line "&amp;A42&amp;")"</f>
        <v>(Line 19 + Line 20)</v>
      </c>
      <c r="G43" s="45"/>
      <c r="H43" s="786">
        <f>SUM(H41:H42)</f>
        <v>8307515</v>
      </c>
      <c r="I43" s="78"/>
      <c r="J43" s="44"/>
    </row>
    <row r="44" spans="1:10">
      <c r="A44" s="65">
        <f>+A43+1</f>
        <v>22</v>
      </c>
      <c r="B44" s="65"/>
      <c r="C44" s="366" t="s">
        <v>670</v>
      </c>
      <c r="D44" s="83" t="s">
        <v>353</v>
      </c>
      <c r="E44" s="1183" t="s">
        <v>353</v>
      </c>
      <c r="F44" s="368" t="s">
        <v>282</v>
      </c>
      <c r="G44" s="126"/>
      <c r="H44" s="774">
        <f>'Cost Support - Att. 5'!H10</f>
        <v>0</v>
      </c>
      <c r="I44" s="78"/>
      <c r="J44" s="44"/>
    </row>
    <row r="45" spans="1:10">
      <c r="A45" s="65">
        <f>+A44+1</f>
        <v>23</v>
      </c>
      <c r="B45" s="65"/>
      <c r="C45" s="364" t="s">
        <v>67</v>
      </c>
      <c r="D45" s="68"/>
      <c r="E45" s="458"/>
      <c r="F45" s="358" t="str">
        <f>"(Line "&amp;A43&amp;" - Line "&amp;A44&amp;")"</f>
        <v>(Line 21 - Line 22)</v>
      </c>
      <c r="G45" s="68"/>
      <c r="H45" s="778">
        <f>H43-H44</f>
        <v>8307515</v>
      </c>
      <c r="I45" s="78"/>
      <c r="J45" s="44"/>
    </row>
    <row r="46" spans="1:10" ht="15.75">
      <c r="A46" s="65">
        <f>A45+1</f>
        <v>24</v>
      </c>
      <c r="B46" s="65"/>
      <c r="C46" s="42" t="s">
        <v>545</v>
      </c>
      <c r="D46" s="384"/>
      <c r="E46" s="455"/>
      <c r="F46" s="368" t="str">
        <f>"(Line "&amp;A$16&amp;")"</f>
        <v>(Line 5)</v>
      </c>
      <c r="G46" s="387"/>
      <c r="H46" s="925">
        <f>H16</f>
        <v>5.6750348909552557E-2</v>
      </c>
      <c r="I46" s="78"/>
      <c r="J46" s="44"/>
    </row>
    <row r="47" spans="1:10">
      <c r="A47" s="65">
        <f>+A46+1</f>
        <v>25</v>
      </c>
      <c r="B47" s="44"/>
      <c r="C47" s="377" t="s">
        <v>68</v>
      </c>
      <c r="D47" s="47"/>
      <c r="E47" s="459"/>
      <c r="F47" s="358" t="str">
        <f>"(Line "&amp;A45&amp;" * Line "&amp;A46&amp;")"</f>
        <v>(Line 23 * Line 24)</v>
      </c>
      <c r="G47" s="47"/>
      <c r="H47" s="786">
        <f>H45*H46</f>
        <v>471454.37482134154</v>
      </c>
      <c r="I47" s="78"/>
      <c r="J47" s="44"/>
    </row>
    <row r="48" spans="1:10">
      <c r="A48" s="65">
        <f>A47+1</f>
        <v>26</v>
      </c>
      <c r="B48" s="44"/>
      <c r="C48" s="366" t="s">
        <v>0</v>
      </c>
      <c r="D48" s="83" t="s">
        <v>353</v>
      </c>
      <c r="E48" s="1183" t="s">
        <v>353</v>
      </c>
      <c r="F48" s="368" t="s">
        <v>282</v>
      </c>
      <c r="G48" s="283"/>
      <c r="H48" s="774">
        <f>'Cost Support - Att. 5'!H10</f>
        <v>0</v>
      </c>
      <c r="I48" s="78"/>
      <c r="J48" s="44"/>
    </row>
    <row r="49" spans="1:10" ht="15.75">
      <c r="A49" s="65">
        <f>A48+1</f>
        <v>27</v>
      </c>
      <c r="B49" s="44"/>
      <c r="C49" s="360" t="s">
        <v>69</v>
      </c>
      <c r="D49" s="88"/>
      <c r="E49" s="461"/>
      <c r="F49" s="358" t="str">
        <f>"(Line "&amp;A47&amp;" + Line "&amp;A48&amp;")"</f>
        <v>(Line 25 + Line 26)</v>
      </c>
      <c r="G49" s="88"/>
      <c r="H49" s="788">
        <f>H47+H48</f>
        <v>471454.37482134154</v>
      </c>
      <c r="I49" s="78"/>
      <c r="J49" s="44"/>
    </row>
    <row r="50" spans="1:10" ht="15.75">
      <c r="A50" s="78"/>
      <c r="B50" s="39"/>
      <c r="C50" s="374"/>
      <c r="D50" s="44"/>
      <c r="E50" s="457"/>
      <c r="F50" s="44"/>
      <c r="G50" s="44"/>
      <c r="H50" s="412"/>
      <c r="I50" s="78"/>
      <c r="J50" s="44"/>
    </row>
    <row r="51" spans="1:10" ht="15.75">
      <c r="A51" s="65">
        <f>A49+1</f>
        <v>28</v>
      </c>
      <c r="B51" s="26"/>
      <c r="C51" s="389" t="s">
        <v>55</v>
      </c>
      <c r="D51" s="128"/>
      <c r="E51" s="635" t="str">
        <f>"(Note "&amp;B$293&amp;")"</f>
        <v>(Note C)</v>
      </c>
      <c r="F51" s="379" t="str">
        <f>F48</f>
        <v>Attachment 5</v>
      </c>
      <c r="G51" s="45"/>
      <c r="H51" s="375">
        <f>'Cost Support - Att. 5'!H34</f>
        <v>0</v>
      </c>
      <c r="I51" s="78"/>
      <c r="J51" s="44"/>
    </row>
    <row r="52" spans="1:10" ht="15.75">
      <c r="A52" s="78"/>
      <c r="B52" s="39"/>
      <c r="C52" s="374"/>
      <c r="D52" s="44"/>
      <c r="E52" s="274"/>
      <c r="F52" s="44"/>
      <c r="H52" s="386"/>
      <c r="I52" s="78"/>
      <c r="J52" s="44"/>
    </row>
    <row r="53" spans="1:10" s="61" customFormat="1" ht="16.5" thickBot="1">
      <c r="A53" s="65">
        <f>+A51+1</f>
        <v>29</v>
      </c>
      <c r="B53" s="383" t="s">
        <v>308</v>
      </c>
      <c r="C53" s="390"/>
      <c r="D53" s="390"/>
      <c r="E53" s="462"/>
      <c r="F53" s="391" t="str">
        <f>"(Line "&amp;A39&amp;" + Line "&amp;A49&amp;" + Line "&amp;A51&amp;")"</f>
        <v>(Line 18 + Line 27 + Line 28)</v>
      </c>
      <c r="G53" s="383"/>
      <c r="H53" s="392">
        <f>H39+H49+H51</f>
        <v>14060505.374821341</v>
      </c>
      <c r="I53" s="78"/>
      <c r="J53" s="44"/>
    </row>
    <row r="54" spans="1:10" ht="15.75" thickTop="1">
      <c r="A54" s="78"/>
      <c r="B54" s="39"/>
      <c r="C54" s="44"/>
      <c r="D54" s="44"/>
      <c r="E54" s="275"/>
      <c r="I54" s="78"/>
      <c r="J54" s="44"/>
    </row>
    <row r="55" spans="1:10" ht="15.75">
      <c r="A55" s="65"/>
      <c r="B55" s="374" t="s">
        <v>385</v>
      </c>
      <c r="C55" s="374"/>
      <c r="D55" s="375"/>
      <c r="E55" s="450"/>
      <c r="F55" s="376"/>
      <c r="G55" s="393"/>
      <c r="H55" s="773"/>
      <c r="I55" s="78"/>
      <c r="J55" s="44"/>
    </row>
    <row r="56" spans="1:10">
      <c r="A56" s="78"/>
      <c r="B56" s="43"/>
      <c r="C56" s="43"/>
      <c r="D56" s="43"/>
      <c r="E56" s="450"/>
      <c r="F56" s="375"/>
      <c r="G56" s="376"/>
      <c r="H56" s="781"/>
      <c r="I56" s="78"/>
      <c r="J56" s="44"/>
    </row>
    <row r="57" spans="1:10">
      <c r="A57" s="65">
        <f>+A53+1</f>
        <v>30</v>
      </c>
      <c r="B57" s="65"/>
      <c r="C57" s="384" t="s">
        <v>452</v>
      </c>
      <c r="D57" s="43"/>
      <c r="E57" s="635" t="str">
        <f>"(Note "&amp;B$301&amp;")"</f>
        <v>(Note J)</v>
      </c>
      <c r="F57" s="375" t="s">
        <v>363</v>
      </c>
      <c r="G57" s="43"/>
      <c r="H57" s="1040">
        <v>7787085</v>
      </c>
      <c r="I57" s="78"/>
      <c r="J57" s="44"/>
    </row>
    <row r="58" spans="1:10">
      <c r="A58" s="65"/>
      <c r="B58" s="65"/>
      <c r="C58" s="364"/>
      <c r="D58" s="68"/>
      <c r="E58" s="455"/>
      <c r="F58" s="358"/>
      <c r="G58" s="68"/>
      <c r="H58" s="770"/>
      <c r="I58" s="78"/>
      <c r="J58" s="44"/>
    </row>
    <row r="59" spans="1:10">
      <c r="A59" s="65">
        <f>A57+1</f>
        <v>31</v>
      </c>
      <c r="B59" s="65"/>
      <c r="C59" s="364" t="s">
        <v>494</v>
      </c>
      <c r="D59" s="68"/>
      <c r="E59" s="635" t="str">
        <f>"(Note "&amp;B$301&amp;")"</f>
        <v>(Note J)</v>
      </c>
      <c r="F59" s="358" t="s">
        <v>370</v>
      </c>
      <c r="G59" s="68"/>
      <c r="H59" s="1042">
        <v>1208936</v>
      </c>
      <c r="I59" s="78"/>
      <c r="J59" s="44"/>
    </row>
    <row r="60" spans="1:10">
      <c r="A60" s="65">
        <f>A59+1</f>
        <v>32</v>
      </c>
      <c r="B60" s="65"/>
      <c r="C60" s="366" t="s">
        <v>151</v>
      </c>
      <c r="D60" s="1183" t="s">
        <v>353</v>
      </c>
      <c r="E60" s="443" t="str">
        <f>"(Note "&amp;B$301&amp;")"</f>
        <v>(Note J)</v>
      </c>
      <c r="F60" s="368" t="s">
        <v>282</v>
      </c>
      <c r="G60" s="126"/>
      <c r="H60" s="774">
        <f>'Cost Support - Att. 5'!H14</f>
        <v>0</v>
      </c>
      <c r="I60" s="78"/>
      <c r="J60" s="44"/>
    </row>
    <row r="61" spans="1:10">
      <c r="A61" s="65">
        <f>A60+1</f>
        <v>33</v>
      </c>
      <c r="B61" s="65"/>
      <c r="C61" s="384" t="s">
        <v>6</v>
      </c>
      <c r="D61" s="43"/>
      <c r="E61" s="461"/>
      <c r="F61" s="358" t="str">
        <f>"(Line "&amp;A59&amp;" - Line "&amp;A60&amp;")"</f>
        <v>(Line 31 - Line 32)</v>
      </c>
      <c r="G61" s="43"/>
      <c r="H61" s="773">
        <f>H59-H60</f>
        <v>1208936</v>
      </c>
      <c r="I61" s="78"/>
      <c r="J61" s="44"/>
    </row>
    <row r="62" spans="1:10">
      <c r="A62" s="65">
        <f>A61+1</f>
        <v>34</v>
      </c>
      <c r="B62" s="65"/>
      <c r="C62" s="366" t="str">
        <f>+C22</f>
        <v>Accumulated Amortization</v>
      </c>
      <c r="D62" s="126"/>
      <c r="E62" s="460"/>
      <c r="F62" s="368" t="str">
        <f>"(Line "&amp;A$22&amp;")"</f>
        <v>(Line 8)</v>
      </c>
      <c r="G62" s="126"/>
      <c r="H62" s="774">
        <f>H22</f>
        <v>0</v>
      </c>
      <c r="I62" s="78"/>
      <c r="J62" s="44"/>
    </row>
    <row r="63" spans="1:10">
      <c r="A63" s="65">
        <f>A62+1</f>
        <v>35</v>
      </c>
      <c r="B63" s="65"/>
      <c r="C63" s="364" t="s">
        <v>64</v>
      </c>
      <c r="D63" s="1183"/>
      <c r="E63" s="1183"/>
      <c r="F63" s="358" t="str">
        <f>"(Line "&amp;A61&amp;" + "&amp;A62&amp;")"</f>
        <v>(Line 33 + 34)</v>
      </c>
      <c r="G63" s="358"/>
      <c r="H63" s="778">
        <f>SUM(H61:H62)</f>
        <v>1208936</v>
      </c>
      <c r="I63" s="78"/>
      <c r="J63" s="44"/>
    </row>
    <row r="64" spans="1:10">
      <c r="A64" s="65">
        <f>+A63+1</f>
        <v>36</v>
      </c>
      <c r="B64" s="65"/>
      <c r="C64" s="364" t="str">
        <f>+C46</f>
        <v>Wage &amp; Salary Allocator</v>
      </c>
      <c r="D64" s="68"/>
      <c r="E64" s="461"/>
      <c r="F64" s="368" t="str">
        <f>"(Line "&amp;A$16&amp;")"</f>
        <v>(Line 5)</v>
      </c>
      <c r="G64" s="358"/>
      <c r="H64" s="926">
        <f>H16</f>
        <v>5.6750348909552557E-2</v>
      </c>
      <c r="I64" s="78"/>
      <c r="J64" s="44"/>
    </row>
    <row r="65" spans="1:10">
      <c r="A65" s="65">
        <f>+A64+1</f>
        <v>37</v>
      </c>
      <c r="B65" s="44"/>
      <c r="C65" s="377" t="s">
        <v>65</v>
      </c>
      <c r="D65" s="47"/>
      <c r="E65" s="456"/>
      <c r="F65" s="358" t="str">
        <f>"(Line "&amp;A63&amp;" * Line "&amp;A64&amp;")"</f>
        <v>(Line 35 * Line 36)</v>
      </c>
      <c r="G65" s="47"/>
      <c r="H65" s="786">
        <f>H63*H64</f>
        <v>68607.539809318827</v>
      </c>
      <c r="I65" s="78"/>
      <c r="J65" s="44"/>
    </row>
    <row r="66" spans="1:10">
      <c r="A66" s="65">
        <f>A65+1</f>
        <v>38</v>
      </c>
      <c r="B66" s="44"/>
      <c r="C66" s="364" t="s">
        <v>7</v>
      </c>
      <c r="D66" s="1183"/>
      <c r="E66" s="1183" t="s">
        <v>671</v>
      </c>
      <c r="F66" s="358" t="str">
        <f>"(Line "&amp;A48&amp;" / Line "&amp;A44&amp;")"</f>
        <v>(Line 26 / Line 22)</v>
      </c>
      <c r="G66" s="88"/>
      <c r="H66" s="927">
        <f>IF(H44&gt;0,H48/H44,0)</f>
        <v>0</v>
      </c>
      <c r="I66" s="78"/>
      <c r="J66" s="44"/>
    </row>
    <row r="67" spans="1:10">
      <c r="A67" s="65">
        <f>A66+1</f>
        <v>39</v>
      </c>
      <c r="B67" s="44"/>
      <c r="C67" s="364" t="s">
        <v>8</v>
      </c>
      <c r="D67" s="88"/>
      <c r="E67" s="458"/>
      <c r="F67" s="358" t="str">
        <f>"(Line "&amp;A66&amp;" * Line "&amp;A60&amp;")"</f>
        <v>(Line 38 * Line 32)</v>
      </c>
      <c r="G67" s="88"/>
      <c r="H67" s="770">
        <f>H66*H60</f>
        <v>0</v>
      </c>
      <c r="I67" s="78"/>
      <c r="J67" s="44"/>
    </row>
    <row r="68" spans="1:10">
      <c r="A68" s="78"/>
      <c r="B68" s="39"/>
      <c r="C68" s="39"/>
      <c r="D68" s="39"/>
      <c r="E68" s="452"/>
      <c r="F68" s="77"/>
      <c r="G68" s="77"/>
      <c r="H68" s="789"/>
      <c r="I68" s="78"/>
      <c r="J68" s="44"/>
    </row>
    <row r="69" spans="1:10" ht="16.5" thickBot="1">
      <c r="A69" s="65">
        <f>A67+1</f>
        <v>40</v>
      </c>
      <c r="B69" s="383" t="s">
        <v>392</v>
      </c>
      <c r="C69" s="383"/>
      <c r="D69" s="383"/>
      <c r="E69" s="463"/>
      <c r="F69" s="394" t="str">
        <f>"(Sum Lines "&amp;A57&amp;",  "&amp;A65&amp;" &amp; "&amp;A67&amp;")"</f>
        <v>(Sum Lines 30,  37 &amp; 39)</v>
      </c>
      <c r="G69" s="394"/>
      <c r="H69" s="790">
        <f>H57+H65+H67</f>
        <v>7855692.5398093192</v>
      </c>
      <c r="I69" s="78"/>
      <c r="J69" s="44"/>
    </row>
    <row r="70" spans="1:10" ht="15.75" thickTop="1">
      <c r="A70" s="78"/>
      <c r="B70" s="39"/>
      <c r="C70" s="39"/>
      <c r="D70" s="39"/>
      <c r="E70" s="446"/>
      <c r="F70" s="44"/>
      <c r="G70" s="27"/>
      <c r="H70" s="39"/>
      <c r="I70" s="78"/>
      <c r="J70" s="44"/>
    </row>
    <row r="71" spans="1:10" ht="16.5" thickBot="1">
      <c r="A71" s="65">
        <f>+A69+1</f>
        <v>41</v>
      </c>
      <c r="B71" s="383" t="s">
        <v>539</v>
      </c>
      <c r="C71" s="383"/>
      <c r="D71" s="383"/>
      <c r="E71" s="463"/>
      <c r="F71" s="391" t="str">
        <f>"(Line "&amp;A53&amp;" - Line "&amp;A69&amp;")"</f>
        <v>(Line 29 - Line 40)</v>
      </c>
      <c r="G71" s="383"/>
      <c r="H71" s="392">
        <f>H53-H69</f>
        <v>6204812.8350120215</v>
      </c>
      <c r="I71" s="78"/>
      <c r="J71" s="44"/>
    </row>
    <row r="72" spans="1:10" ht="15.75" thickTop="1">
      <c r="A72" s="77"/>
      <c r="B72" s="39"/>
      <c r="C72" s="39"/>
      <c r="D72" s="39"/>
      <c r="E72" s="446"/>
      <c r="F72" s="44"/>
      <c r="I72" s="78"/>
      <c r="J72" s="44"/>
    </row>
    <row r="73" spans="1:10" ht="34.5" customHeight="1">
      <c r="A73" s="1103"/>
      <c r="B73" s="1103"/>
      <c r="C73" s="1231"/>
      <c r="D73" s="1231"/>
      <c r="E73" s="1231"/>
      <c r="F73" s="1231"/>
      <c r="G73" s="1103"/>
      <c r="H73" s="1182"/>
      <c r="I73" s="78"/>
      <c r="J73" s="44"/>
    </row>
    <row r="74" spans="1:10">
      <c r="A74" s="142"/>
      <c r="B74" s="143"/>
      <c r="C74" s="143"/>
      <c r="D74" s="143"/>
      <c r="E74" s="446"/>
      <c r="I74" s="78"/>
      <c r="J74" s="44"/>
    </row>
    <row r="75" spans="1:10" ht="15.75">
      <c r="A75" s="78"/>
      <c r="B75" s="161" t="s">
        <v>23</v>
      </c>
      <c r="D75" s="44"/>
      <c r="E75" s="464"/>
      <c r="H75" s="781"/>
      <c r="I75" s="78"/>
      <c r="J75" s="44"/>
    </row>
    <row r="76" spans="1:10" ht="15.75">
      <c r="A76" s="78">
        <f>+A71+1</f>
        <v>42</v>
      </c>
      <c r="B76" s="161"/>
      <c r="C76" s="395" t="s">
        <v>46</v>
      </c>
      <c r="D76" s="396"/>
      <c r="E76" s="446"/>
      <c r="F76" s="54" t="s">
        <v>280</v>
      </c>
      <c r="H76" s="814">
        <f>'ADIT - Att. 1 Reserved'!G17</f>
        <v>0</v>
      </c>
      <c r="I76" s="78"/>
      <c r="J76" s="44"/>
    </row>
    <row r="77" spans="1:10" ht="15.75">
      <c r="A77" s="78"/>
      <c r="B77" s="44"/>
      <c r="C77" s="161"/>
      <c r="D77" s="88"/>
      <c r="E77" s="465"/>
      <c r="F77" s="88"/>
      <c r="G77" s="70"/>
      <c r="H77" s="151"/>
      <c r="I77" s="78"/>
      <c r="J77" s="44"/>
    </row>
    <row r="78" spans="1:10" ht="15.75">
      <c r="A78" s="65"/>
      <c r="B78" s="154" t="s">
        <v>295</v>
      </c>
      <c r="C78" s="44"/>
      <c r="D78" s="44"/>
      <c r="E78" s="141"/>
      <c r="F78" s="43"/>
      <c r="G78" s="44"/>
      <c r="H78" s="44"/>
      <c r="I78" s="78"/>
      <c r="J78" s="44"/>
    </row>
    <row r="79" spans="1:10" ht="15.75">
      <c r="A79" s="65">
        <f>A76+1</f>
        <v>43</v>
      </c>
      <c r="B79" s="373"/>
      <c r="C79" s="364" t="s">
        <v>296</v>
      </c>
      <c r="D79" s="127"/>
      <c r="E79" s="635" t="str">
        <f>"(Note "&amp;B$298&amp;")"</f>
        <v>(Note H)</v>
      </c>
      <c r="F79" s="82" t="s">
        <v>279</v>
      </c>
      <c r="G79" s="88"/>
      <c r="H79" s="375">
        <f>'Est &amp; Rec WS - Att. 6 Reserved'!H85</f>
        <v>0</v>
      </c>
      <c r="I79" s="78"/>
      <c r="J79" s="44"/>
    </row>
    <row r="80" spans="1:10">
      <c r="A80" s="65"/>
      <c r="B80" s="65"/>
      <c r="C80" s="364"/>
      <c r="D80" s="127"/>
      <c r="E80" s="466"/>
      <c r="F80" s="68"/>
      <c r="G80" s="358"/>
      <c r="H80" s="39"/>
      <c r="I80" s="78"/>
      <c r="J80" s="44"/>
    </row>
    <row r="81" spans="1:10" ht="15.75">
      <c r="A81" s="65"/>
      <c r="B81" s="397" t="s">
        <v>386</v>
      </c>
      <c r="C81" s="42"/>
      <c r="D81" s="43"/>
      <c r="E81" s="274"/>
      <c r="F81" s="269"/>
      <c r="G81" s="50"/>
      <c r="H81" s="39"/>
      <c r="I81" s="78"/>
      <c r="J81" s="44"/>
    </row>
    <row r="82" spans="1:10" ht="15.75">
      <c r="A82" s="65">
        <f>A79+1</f>
        <v>44</v>
      </c>
      <c r="B82" s="265"/>
      <c r="C82" s="326" t="s">
        <v>303</v>
      </c>
      <c r="D82" s="127"/>
      <c r="E82" s="635" t="str">
        <f>"(Note "&amp;B$289&amp;")"</f>
        <v>(Note A)</v>
      </c>
      <c r="F82" s="326" t="s">
        <v>282</v>
      </c>
      <c r="G82" s="113"/>
      <c r="H82" s="398">
        <f>+'Cost Support - Att. 5'!F111</f>
        <v>163.72475660405914</v>
      </c>
      <c r="I82" s="78"/>
      <c r="J82" s="44"/>
    </row>
    <row r="83" spans="1:10" ht="15.75">
      <c r="A83" s="26"/>
      <c r="B83" s="41"/>
      <c r="C83" s="42"/>
      <c r="E83" s="467"/>
      <c r="F83" s="270"/>
      <c r="G83" s="50"/>
      <c r="H83" s="52"/>
      <c r="I83" s="78"/>
      <c r="J83" s="44"/>
    </row>
    <row r="84" spans="1:10" ht="15.75">
      <c r="A84" s="65"/>
      <c r="B84" s="397" t="s">
        <v>383</v>
      </c>
      <c r="C84" s="44"/>
      <c r="D84" s="44"/>
      <c r="E84" s="468"/>
      <c r="F84" s="270"/>
      <c r="G84" s="50"/>
      <c r="H84" s="52"/>
      <c r="I84" s="78"/>
      <c r="J84" s="44"/>
    </row>
    <row r="85" spans="1:10">
      <c r="A85" s="78">
        <f>A82+1</f>
        <v>45</v>
      </c>
      <c r="B85" s="44"/>
      <c r="C85" s="44" t="s">
        <v>507</v>
      </c>
      <c r="D85" s="43"/>
      <c r="E85" s="635" t="str">
        <f>"(Note "&amp;B$289&amp;")"</f>
        <v>(Note A)</v>
      </c>
      <c r="F85" s="42" t="s">
        <v>371</v>
      </c>
      <c r="G85" s="44"/>
      <c r="H85" s="1041">
        <f>0+0</f>
        <v>0</v>
      </c>
      <c r="I85" s="78"/>
      <c r="J85" s="44"/>
    </row>
    <row r="86" spans="1:10" s="44" customFormat="1" ht="15.75">
      <c r="A86" s="65">
        <f>+A85+1</f>
        <v>46</v>
      </c>
      <c r="B86" s="41"/>
      <c r="C86" s="114" t="s">
        <v>545</v>
      </c>
      <c r="D86" s="80"/>
      <c r="E86" s="469"/>
      <c r="F86" s="368" t="str">
        <f>"(Line "&amp;A$16&amp;")"</f>
        <v>(Line 5)</v>
      </c>
      <c r="G86" s="296"/>
      <c r="H86" s="399">
        <f>H16</f>
        <v>5.6750348909552557E-2</v>
      </c>
      <c r="I86" s="78"/>
    </row>
    <row r="87" spans="1:10" ht="15.75">
      <c r="A87" s="65">
        <f>+A86+1</f>
        <v>47</v>
      </c>
      <c r="B87" s="41"/>
      <c r="C87" s="42" t="s">
        <v>555</v>
      </c>
      <c r="D87" s="43"/>
      <c r="E87" s="274"/>
      <c r="F87" s="358" t="str">
        <f>"(Line "&amp;A85&amp;" * Line "&amp;A86&amp;")"</f>
        <v>(Line 45 * Line 46)</v>
      </c>
      <c r="G87" s="50"/>
      <c r="H87" s="56">
        <f>H85*H86</f>
        <v>0</v>
      </c>
      <c r="I87" s="78"/>
      <c r="J87" s="44"/>
    </row>
    <row r="88" spans="1:10" ht="15.75">
      <c r="A88" s="65">
        <f>A87+1</f>
        <v>48</v>
      </c>
      <c r="B88" s="41"/>
      <c r="C88" s="42" t="s">
        <v>365</v>
      </c>
      <c r="D88" s="470"/>
      <c r="E88" s="470"/>
      <c r="F88" s="114" t="s">
        <v>403</v>
      </c>
      <c r="G88" s="113" t="s">
        <v>353</v>
      </c>
      <c r="H88" s="1043">
        <v>32399</v>
      </c>
      <c r="I88" s="78"/>
      <c r="J88" s="44"/>
    </row>
    <row r="89" spans="1:10" ht="18" customHeight="1">
      <c r="A89" s="65">
        <f>A88+1</f>
        <v>49</v>
      </c>
      <c r="B89" s="41"/>
      <c r="C89" s="370" t="s">
        <v>382</v>
      </c>
      <c r="D89" s="282"/>
      <c r="E89" s="471"/>
      <c r="F89" s="358" t="str">
        <f>"(Line "&amp;A87&amp;" + Line "&amp;A88&amp;")"</f>
        <v>(Line 47 + Line 48)</v>
      </c>
      <c r="G89" s="58"/>
      <c r="H89" s="59">
        <f>H87+H88</f>
        <v>32399</v>
      </c>
      <c r="I89" s="78"/>
      <c r="J89" s="44"/>
    </row>
    <row r="90" spans="1:10" ht="15.75">
      <c r="A90" s="65"/>
      <c r="B90" s="41"/>
      <c r="C90" s="42"/>
      <c r="D90" s="43"/>
      <c r="E90" s="472"/>
      <c r="F90" s="398"/>
      <c r="G90" s="50"/>
      <c r="I90" s="78"/>
      <c r="J90" s="44"/>
    </row>
    <row r="91" spans="1:10" ht="15.75">
      <c r="A91" s="65"/>
      <c r="B91" s="397" t="s">
        <v>387</v>
      </c>
      <c r="C91" s="44"/>
      <c r="D91" s="43"/>
      <c r="E91" s="446"/>
      <c r="F91" s="769"/>
      <c r="G91" s="50"/>
      <c r="I91" s="78"/>
      <c r="J91" s="44"/>
    </row>
    <row r="92" spans="1:10" ht="15.75">
      <c r="A92" s="65">
        <f>+A89+1</f>
        <v>50</v>
      </c>
      <c r="B92" s="41"/>
      <c r="C92" s="42" t="s">
        <v>294</v>
      </c>
      <c r="D92" s="54"/>
      <c r="E92" s="275"/>
      <c r="F92" s="770" t="str">
        <f>"(Line "&amp;A$143&amp;" - Line "&amp;A$141&amp;")"</f>
        <v>(Line 85 - Line 84)</v>
      </c>
      <c r="G92" s="50"/>
      <c r="H92" s="791">
        <f>H143-H141</f>
        <v>870750.22153054585</v>
      </c>
      <c r="I92" s="78"/>
      <c r="J92" s="44"/>
    </row>
    <row r="93" spans="1:10">
      <c r="A93" s="65">
        <f>+A92+1</f>
        <v>51</v>
      </c>
      <c r="B93" s="41"/>
      <c r="C93" s="54" t="s">
        <v>446</v>
      </c>
      <c r="D93" s="54"/>
      <c r="E93" s="275"/>
      <c r="F93" s="771" t="s">
        <v>556</v>
      </c>
      <c r="H93" s="792">
        <f>1/8</f>
        <v>0.125</v>
      </c>
      <c r="I93" s="78"/>
      <c r="J93" s="44"/>
    </row>
    <row r="94" spans="1:10" s="61" customFormat="1" ht="15.75">
      <c r="A94" s="65">
        <f>+A93+1</f>
        <v>52</v>
      </c>
      <c r="B94" s="387"/>
      <c r="C94" s="400" t="s">
        <v>364</v>
      </c>
      <c r="D94" s="60"/>
      <c r="E94" s="473"/>
      <c r="F94" s="770" t="str">
        <f>"(Line "&amp;A92&amp;" * Line "&amp;A93&amp;")"</f>
        <v>(Line 50 * Line 51)</v>
      </c>
      <c r="G94" s="57"/>
      <c r="H94" s="62">
        <f>H92*H93</f>
        <v>108843.77769131823</v>
      </c>
      <c r="I94" s="78"/>
      <c r="J94" s="154"/>
    </row>
    <row r="95" spans="1:10" s="61" customFormat="1" ht="15.75">
      <c r="A95" s="65"/>
      <c r="B95" s="387"/>
      <c r="C95" s="161"/>
      <c r="D95" s="162"/>
      <c r="E95" s="474"/>
      <c r="F95" s="770"/>
      <c r="G95" s="163"/>
      <c r="H95" s="793"/>
      <c r="I95" s="78"/>
      <c r="J95" s="154"/>
    </row>
    <row r="96" spans="1:10" s="61" customFormat="1" ht="15.75">
      <c r="B96" s="161" t="s">
        <v>112</v>
      </c>
      <c r="D96" s="162"/>
      <c r="E96" s="286"/>
      <c r="F96" s="770"/>
      <c r="G96" s="163"/>
      <c r="H96" s="793"/>
      <c r="I96" s="78"/>
      <c r="J96" s="154"/>
    </row>
    <row r="97" spans="1:10">
      <c r="A97" s="65">
        <f>+A94+1</f>
        <v>53</v>
      </c>
      <c r="B97" s="39"/>
      <c r="C97" s="39" t="s">
        <v>114</v>
      </c>
      <c r="D97" s="39"/>
      <c r="E97" s="635" t="str">
        <f>"(Note "&amp;B$309&amp;")"</f>
        <v>(Note N)</v>
      </c>
      <c r="F97" s="433" t="s">
        <v>282</v>
      </c>
      <c r="H97" s="398">
        <f>'Cost Support - Att. 5'!G124</f>
        <v>0</v>
      </c>
      <c r="I97" s="78"/>
      <c r="J97" s="44"/>
    </row>
    <row r="98" spans="1:10">
      <c r="A98" s="77"/>
      <c r="B98" s="39"/>
      <c r="C98" s="39"/>
      <c r="D98" s="39"/>
      <c r="E98" s="452"/>
      <c r="F98" s="433"/>
      <c r="H98" s="75"/>
      <c r="I98" s="78"/>
      <c r="J98" s="44"/>
    </row>
    <row r="99" spans="1:10" ht="16.5" thickBot="1">
      <c r="A99" s="77">
        <f>A97+1</f>
        <v>54</v>
      </c>
      <c r="B99" s="383" t="s">
        <v>540</v>
      </c>
      <c r="C99" s="383"/>
      <c r="D99" s="383"/>
      <c r="E99" s="463"/>
      <c r="F99" s="772" t="str">
        <f>"(Lines "&amp;A76&amp;" + "&amp;A79&amp;" + "&amp;A82&amp;" + "&amp;A89&amp;" + "&amp;A94&amp;" - "&amp;A97&amp;")"</f>
        <v>(Lines 42 + 43 + 44 + 49 + 52 - 53)</v>
      </c>
      <c r="G99" s="390"/>
      <c r="H99" s="402">
        <f>H76+H79+H82+H89+H94-H97</f>
        <v>141406.50244792231</v>
      </c>
      <c r="I99" s="78"/>
      <c r="J99" s="44"/>
    </row>
    <row r="100" spans="1:10" ht="15.75" thickTop="1">
      <c r="A100" s="77"/>
      <c r="B100" s="39"/>
      <c r="C100" s="39"/>
      <c r="D100" s="39"/>
      <c r="E100" s="446"/>
      <c r="F100" s="433"/>
      <c r="H100" s="787"/>
      <c r="I100" s="78"/>
      <c r="J100" s="44"/>
    </row>
    <row r="101" spans="1:10" ht="16.5" thickBot="1">
      <c r="A101" s="26">
        <f>+A99+1</f>
        <v>55</v>
      </c>
      <c r="B101" s="383" t="s">
        <v>442</v>
      </c>
      <c r="C101" s="383"/>
      <c r="D101" s="383"/>
      <c r="E101" s="463"/>
      <c r="F101" s="772" t="str">
        <f>"(Line "&amp;A71&amp;" + Line "&amp;A99&amp;")"</f>
        <v>(Line 41 + Line 54)</v>
      </c>
      <c r="G101" s="383"/>
      <c r="H101" s="790">
        <f>H71+H99</f>
        <v>6346219.3374599442</v>
      </c>
      <c r="I101" s="78"/>
      <c r="J101" s="44"/>
    </row>
    <row r="102" spans="1:10" ht="16.5" thickTop="1" thickBot="1">
      <c r="B102" s="39"/>
      <c r="C102" s="39"/>
      <c r="D102" s="39"/>
      <c r="E102" s="446"/>
      <c r="F102" s="435"/>
      <c r="H102" s="39"/>
      <c r="I102" s="78"/>
      <c r="J102" s="44"/>
    </row>
    <row r="103" spans="1:10" s="44" customFormat="1" ht="33" customHeight="1" thickBot="1">
      <c r="A103" s="1215" t="s">
        <v>562</v>
      </c>
      <c r="B103" s="1216"/>
      <c r="C103" s="1216"/>
      <c r="D103" s="1216"/>
      <c r="E103" s="1216"/>
      <c r="F103" s="1216"/>
      <c r="G103" s="1216"/>
      <c r="H103" s="1217"/>
      <c r="I103" s="78"/>
    </row>
    <row r="104" spans="1:10" s="44" customFormat="1">
      <c r="A104" s="43"/>
      <c r="B104" s="43"/>
      <c r="C104" s="43"/>
      <c r="D104" s="43"/>
      <c r="E104" s="475"/>
      <c r="F104" s="433"/>
      <c r="H104" s="96"/>
      <c r="I104" s="78"/>
    </row>
    <row r="105" spans="1:10" ht="15.75">
      <c r="A105" s="26"/>
      <c r="B105" s="374" t="s">
        <v>434</v>
      </c>
      <c r="D105" s="376"/>
      <c r="E105" s="445"/>
      <c r="F105" s="435"/>
      <c r="G105" s="376"/>
      <c r="H105" s="376"/>
      <c r="I105" s="78"/>
      <c r="J105" s="44"/>
    </row>
    <row r="106" spans="1:10" ht="15.75">
      <c r="A106" s="65">
        <f>+A101+1</f>
        <v>56</v>
      </c>
      <c r="B106" s="65"/>
      <c r="C106" s="384" t="s">
        <v>434</v>
      </c>
      <c r="D106" s="43"/>
      <c r="E106" s="275"/>
      <c r="F106" s="773" t="s">
        <v>282</v>
      </c>
      <c r="G106" s="373"/>
      <c r="H106" s="398">
        <f>'Cost Support - Att. 5'!I131</f>
        <v>1805555</v>
      </c>
      <c r="I106" s="78"/>
      <c r="J106" s="44"/>
    </row>
    <row r="107" spans="1:10">
      <c r="A107" s="65">
        <f>A106+1</f>
        <v>57</v>
      </c>
      <c r="B107" s="65"/>
      <c r="C107" s="384" t="s">
        <v>478</v>
      </c>
      <c r="D107" s="43"/>
      <c r="E107" s="275"/>
      <c r="F107" s="773" t="s">
        <v>282</v>
      </c>
      <c r="G107" s="43"/>
      <c r="H107" s="398">
        <f>'Cost Support - Att. 5'!I133</f>
        <v>1056214</v>
      </c>
      <c r="I107" s="78"/>
      <c r="J107" s="44"/>
    </row>
    <row r="108" spans="1:10">
      <c r="A108" s="65">
        <f>+A107+1</f>
        <v>58</v>
      </c>
      <c r="B108" s="65"/>
      <c r="C108" s="384" t="s">
        <v>618</v>
      </c>
      <c r="D108" s="43"/>
      <c r="E108" s="275"/>
      <c r="F108" s="773" t="str">
        <f>+F107</f>
        <v>Attachment 5</v>
      </c>
      <c r="G108" s="43"/>
      <c r="H108" s="398">
        <v>0</v>
      </c>
      <c r="I108" s="78"/>
      <c r="J108" s="44"/>
    </row>
    <row r="109" spans="1:10">
      <c r="A109" s="65">
        <f>+A108+1</f>
        <v>59</v>
      </c>
      <c r="B109" s="65"/>
      <c r="C109" s="384" t="s">
        <v>179</v>
      </c>
      <c r="D109" s="43"/>
      <c r="E109" s="635" t="str">
        <f>"(Note "&amp;B$312&amp;")"</f>
        <v>(Note O)</v>
      </c>
      <c r="F109" s="773" t="s">
        <v>116</v>
      </c>
      <c r="G109" s="43"/>
      <c r="H109" s="398"/>
      <c r="I109" s="78"/>
      <c r="J109" s="44"/>
    </row>
    <row r="110" spans="1:10">
      <c r="A110" s="26">
        <f>+A109+1</f>
        <v>60</v>
      </c>
      <c r="B110" s="26"/>
      <c r="C110" s="384" t="s">
        <v>435</v>
      </c>
      <c r="D110" s="43"/>
      <c r="E110" s="443" t="str">
        <f>"(Note "&amp;B$289&amp;")"</f>
        <v>(Note A)</v>
      </c>
      <c r="F110" s="774" t="s">
        <v>401</v>
      </c>
      <c r="G110" s="43"/>
      <c r="H110" s="1044">
        <v>0</v>
      </c>
      <c r="I110" s="78"/>
      <c r="J110" s="44"/>
    </row>
    <row r="111" spans="1:10" ht="15.75">
      <c r="A111" s="65">
        <f>+A110+1</f>
        <v>61</v>
      </c>
      <c r="B111" s="43"/>
      <c r="C111" s="389" t="s">
        <v>434</v>
      </c>
      <c r="D111" s="45"/>
      <c r="E111" s="456"/>
      <c r="F111" s="770" t="str">
        <f>"(Lines "&amp;A106&amp;"  - "&amp;A107&amp;" + "&amp;A108&amp;" + "&amp;A109&amp;" + "&amp;A110&amp;")"</f>
        <v>(Lines 56  - 57 + 58 + 59 + 60)</v>
      </c>
      <c r="G111" s="47"/>
      <c r="H111" s="403">
        <f>H106-H107+H108+H109+H110</f>
        <v>749341</v>
      </c>
      <c r="I111" s="78"/>
      <c r="J111" s="44"/>
    </row>
    <row r="112" spans="1:10" ht="15.75">
      <c r="A112" s="65"/>
      <c r="B112" s="65"/>
      <c r="C112" s="374"/>
      <c r="D112" s="43"/>
      <c r="E112" s="455"/>
      <c r="F112" s="775"/>
      <c r="G112" s="43"/>
      <c r="H112" s="354"/>
      <c r="I112" s="78"/>
      <c r="J112" s="44"/>
    </row>
    <row r="113" spans="1:10" ht="15.75">
      <c r="A113" s="65"/>
      <c r="B113" s="374" t="s">
        <v>70</v>
      </c>
      <c r="C113" s="43"/>
      <c r="D113" s="43"/>
      <c r="E113" s="455"/>
      <c r="F113" s="775"/>
      <c r="G113" s="43"/>
      <c r="H113" s="354"/>
      <c r="I113" s="78"/>
      <c r="J113" s="44"/>
    </row>
    <row r="114" spans="1:10">
      <c r="A114" s="65">
        <f>A111+1</f>
        <v>62</v>
      </c>
      <c r="B114" s="65"/>
      <c r="C114" s="384" t="s">
        <v>438</v>
      </c>
      <c r="D114" s="43"/>
      <c r="E114" s="274"/>
      <c r="F114" s="773" t="str">
        <f>F107</f>
        <v>Attachment 5</v>
      </c>
      <c r="G114" s="43"/>
      <c r="H114" s="773">
        <f>'Cost Support - Att. 5'!I62</f>
        <v>1839088</v>
      </c>
      <c r="I114" s="78"/>
      <c r="J114" s="44"/>
    </row>
    <row r="115" spans="1:10">
      <c r="A115" s="65">
        <f t="shared" ref="A115:A125" si="0">+A114+1</f>
        <v>63</v>
      </c>
      <c r="B115" s="65"/>
      <c r="C115" s="384" t="s">
        <v>529</v>
      </c>
      <c r="D115" s="43"/>
      <c r="E115" s="635" t="str">
        <f>"(Note "&amp;B$301&amp;")"</f>
        <v>(Note J)</v>
      </c>
      <c r="F115" s="773" t="s">
        <v>535</v>
      </c>
      <c r="G115" s="43"/>
      <c r="H115" s="773">
        <f>+'Cost Support - Att. 5'!G64</f>
        <v>0</v>
      </c>
      <c r="I115" s="78"/>
      <c r="J115" s="44"/>
    </row>
    <row r="116" spans="1:10">
      <c r="A116" s="65">
        <f t="shared" si="0"/>
        <v>64</v>
      </c>
      <c r="B116" s="65"/>
      <c r="C116" s="384" t="s">
        <v>235</v>
      </c>
      <c r="D116" s="43"/>
      <c r="E116" s="451"/>
      <c r="F116" s="773" t="s">
        <v>282</v>
      </c>
      <c r="G116" s="43"/>
      <c r="H116" s="773">
        <f>'Cost Support - Att. 5'!G65</f>
        <v>0</v>
      </c>
      <c r="I116" s="78"/>
      <c r="J116" s="44"/>
    </row>
    <row r="117" spans="1:10">
      <c r="A117" s="65">
        <f t="shared" si="0"/>
        <v>65</v>
      </c>
      <c r="B117" s="65"/>
      <c r="C117" s="384" t="s">
        <v>630</v>
      </c>
      <c r="D117" s="375"/>
      <c r="E117" s="451"/>
      <c r="F117" s="773" t="str">
        <f>F108</f>
        <v>Attachment 5</v>
      </c>
      <c r="G117" s="43"/>
      <c r="H117" s="773">
        <f>'Cost Support - Att. 5'!G66</f>
        <v>0</v>
      </c>
      <c r="I117" s="78"/>
      <c r="J117" s="44"/>
    </row>
    <row r="118" spans="1:10">
      <c r="A118" s="65">
        <f t="shared" si="0"/>
        <v>66</v>
      </c>
      <c r="B118" s="65"/>
      <c r="C118" s="44" t="s">
        <v>533</v>
      </c>
      <c r="D118" s="375"/>
      <c r="E118" s="451"/>
      <c r="F118" s="773" t="s">
        <v>282</v>
      </c>
      <c r="G118" s="43"/>
      <c r="H118" s="773">
        <f>'Cost Support - Att. 5'!G67</f>
        <v>0</v>
      </c>
      <c r="I118" s="78"/>
      <c r="J118" s="44"/>
    </row>
    <row r="119" spans="1:10">
      <c r="A119" s="65">
        <f t="shared" si="0"/>
        <v>67</v>
      </c>
      <c r="B119" s="65"/>
      <c r="C119" s="384" t="s">
        <v>481</v>
      </c>
      <c r="D119" s="375"/>
      <c r="E119" s="274"/>
      <c r="F119" s="1000" t="s">
        <v>372</v>
      </c>
      <c r="G119" s="43"/>
      <c r="H119" s="1040">
        <v>136019</v>
      </c>
      <c r="I119" s="78"/>
      <c r="J119" s="44"/>
    </row>
    <row r="120" spans="1:10">
      <c r="A120" s="65">
        <f t="shared" si="0"/>
        <v>68</v>
      </c>
      <c r="B120" s="65"/>
      <c r="C120" s="384" t="s">
        <v>482</v>
      </c>
      <c r="D120" s="375"/>
      <c r="E120" s="635" t="str">
        <f>"(Note "&amp;B$295&amp;")"</f>
        <v>(Note E)</v>
      </c>
      <c r="F120" s="1000" t="s">
        <v>373</v>
      </c>
      <c r="G120" s="43"/>
      <c r="H120" s="1040">
        <v>0</v>
      </c>
      <c r="I120" s="78"/>
      <c r="J120" s="44"/>
    </row>
    <row r="121" spans="1:10">
      <c r="A121" s="65">
        <f t="shared" si="0"/>
        <v>69</v>
      </c>
      <c r="B121" s="65"/>
      <c r="C121" s="384" t="s">
        <v>483</v>
      </c>
      <c r="D121" s="375"/>
      <c r="E121" s="274"/>
      <c r="F121" s="1000" t="s">
        <v>374</v>
      </c>
      <c r="G121" s="43"/>
      <c r="H121" s="1040">
        <v>983</v>
      </c>
      <c r="I121" s="78"/>
      <c r="J121" s="44"/>
    </row>
    <row r="122" spans="1:10">
      <c r="A122" s="65">
        <f t="shared" si="0"/>
        <v>70</v>
      </c>
      <c r="B122" s="65"/>
      <c r="C122" s="384" t="s">
        <v>467</v>
      </c>
      <c r="D122" s="44"/>
      <c r="E122" s="635" t="str">
        <f>"(Note "&amp;B$294&amp;")"</f>
        <v>(Note D)</v>
      </c>
      <c r="F122" s="774" t="s">
        <v>557</v>
      </c>
      <c r="G122" s="43"/>
      <c r="H122" s="358">
        <f>'Cost Support - Att. 5'!H55</f>
        <v>0</v>
      </c>
      <c r="I122" s="78"/>
      <c r="J122" s="44"/>
    </row>
    <row r="123" spans="1:10" ht="15.75">
      <c r="A123" s="65">
        <f t="shared" si="0"/>
        <v>71</v>
      </c>
      <c r="B123" s="65"/>
      <c r="C123" s="389" t="s">
        <v>71</v>
      </c>
      <c r="D123" s="45"/>
      <c r="E123" s="459"/>
      <c r="F123" s="770" t="str">
        <f>"Sum (Lines "&amp;A114&amp;" to "&amp;A115&amp;") -  Sum (Lines "&amp;A116&amp;" to "&amp;A122&amp;")"</f>
        <v>Sum (Lines 62 to 63) -  Sum (Lines 64 to 70)</v>
      </c>
      <c r="G123" s="45"/>
      <c r="H123" s="786">
        <f>SUM(H114:H115)-SUM(H116:H122)</f>
        <v>1702086</v>
      </c>
      <c r="I123" s="78"/>
      <c r="J123" s="44"/>
    </row>
    <row r="124" spans="1:10" ht="15.75">
      <c r="A124" s="65">
        <f t="shared" si="0"/>
        <v>72</v>
      </c>
      <c r="B124" s="65"/>
      <c r="C124" s="114" t="s">
        <v>545</v>
      </c>
      <c r="D124" s="54"/>
      <c r="E124" s="452"/>
      <c r="F124" s="776" t="str">
        <f>"(Line "&amp;A$16&amp;")"</f>
        <v>(Line 5)</v>
      </c>
      <c r="G124" s="50"/>
      <c r="H124" s="796">
        <f>H16</f>
        <v>5.6750348909552557E-2</v>
      </c>
      <c r="I124" s="78"/>
      <c r="J124" s="44"/>
    </row>
    <row r="125" spans="1:10" ht="15.75">
      <c r="A125" s="65">
        <f t="shared" si="0"/>
        <v>73</v>
      </c>
      <c r="B125" s="65"/>
      <c r="C125" s="389" t="s">
        <v>72</v>
      </c>
      <c r="D125" s="45"/>
      <c r="E125" s="476"/>
      <c r="F125" s="770" t="str">
        <f>"(Line "&amp;A123&amp;" * Line "&amp;A124&amp;")"</f>
        <v>(Line 71 * Line 72)</v>
      </c>
      <c r="G125" s="49"/>
      <c r="H125" s="795">
        <f>H123*H124</f>
        <v>96593.974374064681</v>
      </c>
      <c r="I125" s="78"/>
      <c r="J125" s="44"/>
    </row>
    <row r="126" spans="1:10" ht="15.75">
      <c r="A126" s="65"/>
      <c r="B126" s="65"/>
      <c r="C126" s="360"/>
      <c r="D126" s="68"/>
      <c r="E126" s="477"/>
      <c r="F126" s="1155"/>
      <c r="G126" s="51"/>
      <c r="H126" s="386"/>
      <c r="I126" s="78"/>
      <c r="J126" s="44"/>
    </row>
    <row r="127" spans="1:10" ht="15.75">
      <c r="A127" s="65"/>
      <c r="B127" s="374" t="s">
        <v>366</v>
      </c>
      <c r="C127" s="44"/>
      <c r="D127" s="68"/>
      <c r="E127" s="477"/>
      <c r="F127" s="1155"/>
      <c r="G127" s="51"/>
      <c r="H127" s="386"/>
      <c r="I127" s="78"/>
      <c r="J127" s="44"/>
    </row>
    <row r="128" spans="1:10">
      <c r="A128" s="65">
        <f>+A125+1</f>
        <v>74</v>
      </c>
      <c r="B128" s="41"/>
      <c r="C128" s="42" t="s">
        <v>484</v>
      </c>
      <c r="D128" s="122"/>
      <c r="E128" s="635" t="str">
        <f>"(Note "&amp;B$297&amp;")"</f>
        <v>(Note G)</v>
      </c>
      <c r="F128" s="773" t="s">
        <v>282</v>
      </c>
      <c r="G128" s="44"/>
      <c r="H128" s="398">
        <f>'Cost Support - Att. 5'!H74</f>
        <v>0</v>
      </c>
      <c r="I128" s="78"/>
      <c r="J128" s="44"/>
    </row>
    <row r="129" spans="1:10">
      <c r="A129" s="26">
        <f>+A128+1</f>
        <v>75</v>
      </c>
      <c r="B129" s="41"/>
      <c r="C129" s="114" t="s">
        <v>647</v>
      </c>
      <c r="D129" s="129"/>
      <c r="E129" s="443" t="str">
        <f>"(Note "&amp;B$306&amp;")"</f>
        <v>(Note K)</v>
      </c>
      <c r="F129" s="774" t="s">
        <v>282</v>
      </c>
      <c r="G129" s="283"/>
      <c r="H129" s="368">
        <f>'Cost Support - Att. 5'!H93</f>
        <v>0</v>
      </c>
      <c r="I129" s="78"/>
      <c r="J129" s="44"/>
    </row>
    <row r="130" spans="1:10" ht="15.75">
      <c r="A130" s="26">
        <f>+A129+1</f>
        <v>76</v>
      </c>
      <c r="B130" s="41"/>
      <c r="C130" s="42" t="s">
        <v>558</v>
      </c>
      <c r="D130" s="43"/>
      <c r="E130" s="478"/>
      <c r="F130" s="770" t="str">
        <f>"(Line "&amp;A128&amp;" + Line "&amp;A129&amp;")"</f>
        <v>(Line 74 + Line 75)</v>
      </c>
      <c r="G130" s="44"/>
      <c r="H130" s="404">
        <f>SUM(H128:H129)</f>
        <v>0</v>
      </c>
      <c r="I130" s="78"/>
      <c r="J130" s="44"/>
    </row>
    <row r="131" spans="1:10" ht="15.75">
      <c r="A131" s="65"/>
      <c r="B131" s="41"/>
      <c r="C131" s="42"/>
      <c r="D131" s="43"/>
      <c r="E131" s="478"/>
      <c r="F131" s="777"/>
      <c r="G131" s="44"/>
      <c r="H131" s="769"/>
      <c r="I131" s="78"/>
      <c r="J131" s="44"/>
    </row>
    <row r="132" spans="1:10">
      <c r="A132" s="26">
        <f>+A130+1</f>
        <v>77</v>
      </c>
      <c r="B132" s="41"/>
      <c r="C132" s="42" t="s">
        <v>485</v>
      </c>
      <c r="D132" s="43"/>
      <c r="E132" s="452"/>
      <c r="F132" s="777" t="str">
        <f>"(Line "&amp;A119&amp;")"</f>
        <v>(Line 67)</v>
      </c>
      <c r="G132" s="44"/>
      <c r="H132" s="791">
        <f>H119</f>
        <v>136019</v>
      </c>
      <c r="I132" s="78"/>
      <c r="J132" s="44"/>
    </row>
    <row r="133" spans="1:10">
      <c r="A133" s="26">
        <f>+A132+1</f>
        <v>78</v>
      </c>
      <c r="B133" s="41"/>
      <c r="C133" s="42" t="s">
        <v>648</v>
      </c>
      <c r="D133" s="43"/>
      <c r="E133" s="635" t="str">
        <f>"(Note "&amp;B$296&amp;")"</f>
        <v>(Note F)</v>
      </c>
      <c r="F133" s="774" t="s">
        <v>282</v>
      </c>
      <c r="G133" s="44"/>
      <c r="H133" s="774">
        <f>'Cost Support - Att. 5'!H80</f>
        <v>0</v>
      </c>
      <c r="I133" s="78"/>
      <c r="J133" s="44"/>
    </row>
    <row r="134" spans="1:10">
      <c r="A134" s="65">
        <f>+A133+1</f>
        <v>79</v>
      </c>
      <c r="B134" s="41"/>
      <c r="C134" s="284" t="s">
        <v>559</v>
      </c>
      <c r="D134" s="45"/>
      <c r="E134" s="453"/>
      <c r="F134" s="770" t="str">
        <f>"(Line "&amp;A132&amp;" + Line "&amp;A133&amp;")"</f>
        <v>(Line 77 + Line 78)</v>
      </c>
      <c r="G134" s="47"/>
      <c r="H134" s="783">
        <f>SUM(H132:H133)</f>
        <v>136019</v>
      </c>
      <c r="I134" s="78"/>
      <c r="J134" s="44"/>
    </row>
    <row r="135" spans="1:10" ht="15.75">
      <c r="A135" s="26">
        <f>+A134+1</f>
        <v>80</v>
      </c>
      <c r="B135" s="65"/>
      <c r="C135" s="326" t="s">
        <v>441</v>
      </c>
      <c r="D135" s="54"/>
      <c r="E135" s="467"/>
      <c r="F135" s="774" t="str">
        <f>"(Line "&amp;A$31&amp;")"</f>
        <v>(Line 14)</v>
      </c>
      <c r="G135" s="50"/>
      <c r="H135" s="796">
        <f>H31</f>
        <v>0.18243956474081677</v>
      </c>
      <c r="I135" s="78"/>
      <c r="J135" s="44"/>
    </row>
    <row r="136" spans="1:10" ht="15.75">
      <c r="A136" s="65">
        <f>+A135+1</f>
        <v>81</v>
      </c>
      <c r="B136" s="65"/>
      <c r="C136" s="389" t="s">
        <v>368</v>
      </c>
      <c r="D136" s="45"/>
      <c r="E136" s="476"/>
      <c r="F136" s="770" t="str">
        <f>"(Line "&amp;A134&amp;" * Line "&amp;A135&amp;")"</f>
        <v>(Line 79 * Line 80)</v>
      </c>
      <c r="G136" s="49"/>
      <c r="H136" s="797">
        <f>H134*H135</f>
        <v>24815.247156481157</v>
      </c>
      <c r="I136" s="78"/>
      <c r="J136" s="44"/>
    </row>
    <row r="137" spans="1:10" ht="15.75">
      <c r="A137" s="65"/>
      <c r="B137" s="65"/>
      <c r="C137" s="360"/>
      <c r="D137" s="68"/>
      <c r="E137" s="477"/>
      <c r="F137" s="770"/>
      <c r="G137" s="51"/>
      <c r="H137" s="798"/>
      <c r="I137" s="78"/>
      <c r="J137" s="44"/>
    </row>
    <row r="138" spans="1:10" ht="15.75">
      <c r="A138" s="65"/>
      <c r="B138" s="374" t="s">
        <v>302</v>
      </c>
      <c r="C138" s="360"/>
      <c r="D138" s="68"/>
      <c r="E138" s="461"/>
      <c r="F138" s="770"/>
      <c r="G138" s="68"/>
      <c r="H138" s="798"/>
      <c r="I138" s="78"/>
      <c r="J138" s="44"/>
    </row>
    <row r="139" spans="1:10">
      <c r="A139" s="65">
        <f>A136+1</f>
        <v>82</v>
      </c>
      <c r="B139" s="65"/>
      <c r="C139" s="42" t="s">
        <v>195</v>
      </c>
      <c r="D139" s="68"/>
      <c r="E139" s="461"/>
      <c r="F139" s="773" t="s">
        <v>282</v>
      </c>
      <c r="G139" s="68"/>
      <c r="H139" s="375">
        <f>'Cost Support - Att. 5'!F116</f>
        <v>0</v>
      </c>
      <c r="I139" s="78"/>
      <c r="J139" s="44"/>
    </row>
    <row r="140" spans="1:10">
      <c r="A140" s="65">
        <f>A139+1</f>
        <v>83</v>
      </c>
      <c r="B140" s="65"/>
      <c r="C140" s="366" t="s">
        <v>301</v>
      </c>
      <c r="D140" s="126"/>
      <c r="E140" s="460"/>
      <c r="F140" s="774" t="str">
        <f>"(Line "&amp;A$200&amp;")"</f>
        <v>(Line 120)</v>
      </c>
      <c r="G140" s="126"/>
      <c r="H140" s="928">
        <f>H200</f>
        <v>3.9996099960129192E-2</v>
      </c>
      <c r="I140" s="78"/>
      <c r="J140" s="44"/>
    </row>
    <row r="141" spans="1:10" ht="15.75">
      <c r="A141" s="65">
        <f>A140+1</f>
        <v>84</v>
      </c>
      <c r="B141" s="65"/>
      <c r="C141" s="374" t="s">
        <v>302</v>
      </c>
      <c r="D141" s="43"/>
      <c r="E141" s="455"/>
      <c r="F141" s="770" t="str">
        <f>"(Line "&amp;A139&amp;" * Line "&amp;A140&amp;")"</f>
        <v>(Line 82 * Line 83)</v>
      </c>
      <c r="G141" s="43"/>
      <c r="H141" s="405">
        <f>H139*H140</f>
        <v>0</v>
      </c>
      <c r="I141" s="78"/>
      <c r="J141" s="44"/>
    </row>
    <row r="142" spans="1:10" ht="15.75">
      <c r="A142" s="65"/>
      <c r="B142" s="65"/>
      <c r="C142" s="374"/>
      <c r="D142" s="43"/>
      <c r="E142" s="455"/>
      <c r="F142" s="775"/>
      <c r="G142" s="43"/>
      <c r="H142" s="770"/>
      <c r="I142" s="78"/>
      <c r="J142" s="44"/>
    </row>
    <row r="143" spans="1:10" ht="16.5" thickBot="1">
      <c r="A143" s="65">
        <f>A141+1</f>
        <v>85</v>
      </c>
      <c r="B143" s="65"/>
      <c r="C143" s="381" t="s">
        <v>185</v>
      </c>
      <c r="D143" s="97"/>
      <c r="E143" s="479"/>
      <c r="F143" s="779" t="str">
        <f>"(Lines "&amp;A111&amp;" + "&amp;A125&amp;" + "&amp;A130&amp;" + "&amp;A136&amp;" + "&amp;A141&amp;")"</f>
        <v>(Lines 61 + 73 + 76 + 81 + 84)</v>
      </c>
      <c r="G143" s="97"/>
      <c r="H143" s="779">
        <f>H111+H125+H130+H136+H141</f>
        <v>870750.22153054585</v>
      </c>
      <c r="I143" s="78"/>
      <c r="J143" s="44"/>
    </row>
    <row r="144" spans="1:10" ht="17.25" thickTop="1" thickBot="1">
      <c r="A144" s="40"/>
      <c r="B144" s="26"/>
      <c r="C144" s="374"/>
      <c r="D144" s="43"/>
      <c r="E144" s="480"/>
      <c r="F144" s="27"/>
      <c r="G144" s="27"/>
      <c r="H144" s="33"/>
      <c r="I144" s="78"/>
      <c r="J144" s="44"/>
    </row>
    <row r="145" spans="1:10" ht="31.5" customHeight="1" thickBot="1">
      <c r="A145" s="1215" t="s">
        <v>430</v>
      </c>
      <c r="B145" s="1216"/>
      <c r="C145" s="1216"/>
      <c r="D145" s="1216"/>
      <c r="E145" s="1216"/>
      <c r="F145" s="1216"/>
      <c r="G145" s="1216"/>
      <c r="H145" s="1217"/>
      <c r="I145" s="78"/>
      <c r="J145" s="44"/>
    </row>
    <row r="146" spans="1:10" ht="15.75">
      <c r="A146" s="374"/>
      <c r="B146" s="26"/>
      <c r="C146" s="374"/>
      <c r="D146" s="43"/>
      <c r="E146" s="445"/>
      <c r="F146" s="27"/>
      <c r="G146" s="27"/>
      <c r="H146" s="354"/>
      <c r="I146" s="78"/>
      <c r="J146" s="44"/>
    </row>
    <row r="147" spans="1:10" ht="15.75">
      <c r="A147" s="77"/>
      <c r="B147" s="356" t="s">
        <v>348</v>
      </c>
      <c r="C147" s="39"/>
      <c r="E147" s="446"/>
      <c r="F147" s="87"/>
      <c r="G147" s="63"/>
      <c r="H147" s="794"/>
      <c r="I147" s="78"/>
      <c r="J147" s="44"/>
    </row>
    <row r="148" spans="1:10">
      <c r="A148" s="65">
        <f>+A143+1</f>
        <v>86</v>
      </c>
      <c r="B148" s="41"/>
      <c r="C148" s="42" t="s">
        <v>148</v>
      </c>
      <c r="D148" s="43"/>
      <c r="E148" s="635" t="str">
        <f>"(Note "&amp;B$301&amp;")"</f>
        <v>(Note J)</v>
      </c>
      <c r="F148" s="42" t="s">
        <v>668</v>
      </c>
      <c r="G148" s="44"/>
      <c r="H148" s="1045">
        <v>443740</v>
      </c>
      <c r="I148" s="78"/>
      <c r="J148" s="44"/>
    </row>
    <row r="149" spans="1:10" ht="15.75">
      <c r="A149" s="65"/>
      <c r="B149" s="41"/>
      <c r="C149" s="42"/>
      <c r="D149" s="43"/>
      <c r="E149" s="470"/>
      <c r="F149" s="42"/>
      <c r="G149" s="113"/>
      <c r="H149" s="794"/>
      <c r="I149" s="78"/>
      <c r="J149" s="44"/>
    </row>
    <row r="150" spans="1:10">
      <c r="A150" s="65">
        <f>+A148+1</f>
        <v>87</v>
      </c>
      <c r="B150" s="41"/>
      <c r="C150" s="326" t="s">
        <v>149</v>
      </c>
      <c r="D150" s="68"/>
      <c r="E150" s="635" t="str">
        <f>"(Note "&amp;B$301&amp;")"</f>
        <v>(Note J)</v>
      </c>
      <c r="F150" s="326" t="s">
        <v>50</v>
      </c>
      <c r="G150" s="88"/>
      <c r="H150" s="1046">
        <v>73340</v>
      </c>
      <c r="I150" s="78"/>
      <c r="J150" s="44"/>
    </row>
    <row r="151" spans="1:10">
      <c r="A151" s="65">
        <f>A150+1</f>
        <v>88</v>
      </c>
      <c r="B151" s="41"/>
      <c r="C151" s="1186" t="s">
        <v>583</v>
      </c>
      <c r="D151" s="1183" t="s">
        <v>671</v>
      </c>
      <c r="E151" s="443" t="str">
        <f>"(Note "&amp;B$301&amp;")"</f>
        <v>(Note J)</v>
      </c>
      <c r="F151" s="368" t="str">
        <f>F128</f>
        <v>Attachment 5</v>
      </c>
      <c r="G151" s="126"/>
      <c r="H151" s="774">
        <f>'Cost Support - Att. 5'!H23</f>
        <v>0</v>
      </c>
      <c r="I151" s="78"/>
      <c r="J151" s="44"/>
    </row>
    <row r="152" spans="1:10">
      <c r="A152" s="65">
        <f>A151+1</f>
        <v>89</v>
      </c>
      <c r="B152" s="41"/>
      <c r="C152" s="384" t="s">
        <v>582</v>
      </c>
      <c r="D152" s="43"/>
      <c r="E152" s="274"/>
      <c r="F152" s="358" t="str">
        <f>"(Line "&amp;A150&amp;" - Line "&amp;A151&amp;")"</f>
        <v>(Line 87 - Line 88)</v>
      </c>
      <c r="G152" s="43"/>
      <c r="H152" s="773">
        <f>H150-H151</f>
        <v>73340</v>
      </c>
      <c r="I152" s="78"/>
      <c r="J152" s="44"/>
    </row>
    <row r="153" spans="1:10">
      <c r="A153" s="65">
        <f>A152+1</f>
        <v>90</v>
      </c>
      <c r="B153" s="41"/>
      <c r="C153" s="114" t="s">
        <v>396</v>
      </c>
      <c r="D153" s="126"/>
      <c r="E153" s="443" t="str">
        <f>"(Note "&amp;B$289&amp;")"</f>
        <v>(Note A)</v>
      </c>
      <c r="F153" s="114" t="s">
        <v>402</v>
      </c>
      <c r="G153" s="283"/>
      <c r="H153" s="1047">
        <v>0</v>
      </c>
      <c r="I153" s="78"/>
      <c r="J153" s="44"/>
    </row>
    <row r="154" spans="1:10">
      <c r="A154" s="65">
        <f>+A153+1</f>
        <v>91</v>
      </c>
      <c r="B154" s="41"/>
      <c r="C154" s="326" t="s">
        <v>447</v>
      </c>
      <c r="D154" s="68"/>
      <c r="E154" s="481"/>
      <c r="F154" s="358" t="str">
        <f>"(Line "&amp;A152&amp;" + Line "&amp;A153&amp;")"</f>
        <v>(Line 89 + Line 90)</v>
      </c>
      <c r="G154" s="44"/>
      <c r="H154" s="791">
        <f>SUM(H152:H153)</f>
        <v>73340</v>
      </c>
      <c r="I154" s="78"/>
      <c r="J154" s="44"/>
    </row>
    <row r="155" spans="1:10" ht="15.75">
      <c r="A155" s="65">
        <f>+A154+1</f>
        <v>92</v>
      </c>
      <c r="B155" s="41"/>
      <c r="C155" s="114" t="s">
        <v>545</v>
      </c>
      <c r="D155" s="80"/>
      <c r="E155" s="457"/>
      <c r="F155" s="126" t="str">
        <f>"(Line "&amp;A$16&amp;")"</f>
        <v>(Line 5)</v>
      </c>
      <c r="G155" s="296"/>
      <c r="H155" s="929">
        <f>H16</f>
        <v>5.6750348909552557E-2</v>
      </c>
      <c r="I155" s="78"/>
      <c r="J155" s="44"/>
    </row>
    <row r="156" spans="1:10" ht="15.75">
      <c r="A156" s="65">
        <f>+A155+1</f>
        <v>93</v>
      </c>
      <c r="B156" s="41"/>
      <c r="C156" s="42" t="s">
        <v>146</v>
      </c>
      <c r="D156" s="43"/>
      <c r="E156" s="470"/>
      <c r="F156" s="358" t="str">
        <f>"(Line "&amp;A154&amp;" * Line "&amp;A155&amp;")"</f>
        <v>(Line 91 * Line 92)</v>
      </c>
      <c r="G156" s="113"/>
      <c r="H156" s="799">
        <f>H154*H155</f>
        <v>4162.0705890265845</v>
      </c>
      <c r="I156" s="78"/>
      <c r="J156" s="44"/>
    </row>
    <row r="157" spans="1:10" ht="15.75">
      <c r="A157" s="65">
        <f>A156+1</f>
        <v>94</v>
      </c>
      <c r="B157" s="41"/>
      <c r="C157" s="114" t="s">
        <v>153</v>
      </c>
      <c r="D157" s="126"/>
      <c r="E157" s="1183" t="s">
        <v>671</v>
      </c>
      <c r="F157" s="368" t="str">
        <f>"(Line "&amp;A151&amp;" * Line "&amp;A66&amp;")"</f>
        <v>(Line 88 * Line 38)</v>
      </c>
      <c r="G157" s="296"/>
      <c r="H157" s="800">
        <f>H151*H66</f>
        <v>0</v>
      </c>
      <c r="I157" s="78"/>
      <c r="J157" s="44"/>
    </row>
    <row r="158" spans="1:10" ht="15.75">
      <c r="A158" s="65">
        <f>A157+1</f>
        <v>95</v>
      </c>
      <c r="B158" s="41"/>
      <c r="C158" s="397" t="s">
        <v>147</v>
      </c>
      <c r="D158" s="43"/>
      <c r="E158" s="470"/>
      <c r="F158" s="358" t="str">
        <f>"(Line "&amp;A156&amp;" + Line "&amp;A157&amp;")"</f>
        <v>(Line 93 + Line 94)</v>
      </c>
      <c r="G158" s="113"/>
      <c r="H158" s="267">
        <f>H156+H157</f>
        <v>4162.0705890265845</v>
      </c>
      <c r="I158" s="78"/>
      <c r="J158" s="44"/>
    </row>
    <row r="159" spans="1:10" ht="15.75">
      <c r="A159" s="65"/>
      <c r="B159" s="41"/>
      <c r="C159" s="42"/>
      <c r="D159" s="43"/>
      <c r="E159" s="470"/>
      <c r="F159" s="358"/>
      <c r="G159" s="113"/>
      <c r="H159" s="398"/>
      <c r="I159" s="78"/>
      <c r="J159" s="44"/>
    </row>
    <row r="160" spans="1:10" ht="15.75">
      <c r="A160" s="86"/>
      <c r="B160" s="29"/>
      <c r="C160" s="42"/>
      <c r="D160" s="43"/>
      <c r="E160" s="470"/>
      <c r="F160" s="42"/>
      <c r="G160" s="50"/>
      <c r="H160" s="52"/>
      <c r="I160" s="78"/>
      <c r="J160" s="44"/>
    </row>
    <row r="161" spans="1:10" s="61" customFormat="1" ht="16.5" thickBot="1">
      <c r="A161" s="26">
        <f>A158+1</f>
        <v>96</v>
      </c>
      <c r="B161" s="407" t="s">
        <v>431</v>
      </c>
      <c r="C161" s="407"/>
      <c r="D161" s="408"/>
      <c r="E161" s="482"/>
      <c r="F161" s="409" t="str">
        <f>"(Lines "&amp;A148&amp;" + "&amp;A158&amp;")"</f>
        <v>(Lines 86 + 95)</v>
      </c>
      <c r="G161" s="84"/>
      <c r="H161" s="410">
        <f>H148+H158</f>
        <v>447902.07058902661</v>
      </c>
      <c r="I161" s="78"/>
      <c r="J161" s="154"/>
    </row>
    <row r="162" spans="1:10" ht="16.5" thickTop="1" thickBot="1">
      <c r="E162" s="446"/>
      <c r="F162" s="435"/>
      <c r="I162" s="78"/>
      <c r="J162" s="44"/>
    </row>
    <row r="163" spans="1:10" ht="35.25" customHeight="1" thickBot="1">
      <c r="A163" s="1215" t="s">
        <v>564</v>
      </c>
      <c r="B163" s="1216"/>
      <c r="C163" s="1216"/>
      <c r="D163" s="1216"/>
      <c r="E163" s="1216"/>
      <c r="F163" s="1216"/>
      <c r="G163" s="1216"/>
      <c r="H163" s="1217"/>
      <c r="I163" s="78"/>
      <c r="J163" s="44"/>
    </row>
    <row r="164" spans="1:10" ht="15.75">
      <c r="A164" s="142"/>
      <c r="B164" s="26"/>
      <c r="C164" s="374"/>
      <c r="D164" s="43"/>
      <c r="E164" s="445"/>
      <c r="F164" s="780"/>
      <c r="G164" s="27"/>
      <c r="H164" s="33"/>
      <c r="I164" s="78"/>
      <c r="J164" s="44"/>
    </row>
    <row r="165" spans="1:10" ht="15.75">
      <c r="A165" s="65">
        <f>+A161+1</f>
        <v>97</v>
      </c>
      <c r="B165" s="397" t="s">
        <v>564</v>
      </c>
      <c r="C165" s="265"/>
      <c r="D165" s="43"/>
      <c r="E165" s="451"/>
      <c r="F165" s="433" t="s">
        <v>314</v>
      </c>
      <c r="G165" s="44"/>
      <c r="H165" s="1173">
        <f>'Other Taxes - Att. 2'!G36</f>
        <v>367976.78943108156</v>
      </c>
      <c r="I165" s="78"/>
      <c r="J165" s="44"/>
    </row>
    <row r="166" spans="1:10">
      <c r="A166" s="78"/>
      <c r="B166" s="43"/>
      <c r="E166" s="467"/>
      <c r="F166" s="777"/>
      <c r="G166" s="44"/>
      <c r="H166" s="39"/>
      <c r="I166" s="78"/>
      <c r="J166" s="44"/>
    </row>
    <row r="167" spans="1:10" ht="16.5" thickBot="1">
      <c r="A167" s="65">
        <f>+A165+1</f>
        <v>98</v>
      </c>
      <c r="B167" s="381" t="s">
        <v>565</v>
      </c>
      <c r="C167" s="381"/>
      <c r="D167" s="408"/>
      <c r="E167" s="463"/>
      <c r="F167" s="779" t="str">
        <f>"(Line "&amp;A165&amp;")"</f>
        <v>(Line 97)</v>
      </c>
      <c r="G167" s="383"/>
      <c r="H167" s="392">
        <f>H165</f>
        <v>367976.78943108156</v>
      </c>
      <c r="I167" s="78"/>
      <c r="J167" s="44"/>
    </row>
    <row r="168" spans="1:10" ht="16.5" thickTop="1" thickBot="1">
      <c r="A168" s="77"/>
      <c r="E168" s="446"/>
      <c r="F168" s="44"/>
      <c r="I168" s="78"/>
      <c r="J168" s="44"/>
    </row>
    <row r="169" spans="1:10" ht="34.5" customHeight="1" thickBot="1">
      <c r="A169" s="1215" t="s">
        <v>566</v>
      </c>
      <c r="B169" s="1216"/>
      <c r="C169" s="1216"/>
      <c r="D169" s="1216"/>
      <c r="E169" s="1216"/>
      <c r="F169" s="1216"/>
      <c r="G169" s="1216"/>
      <c r="H169" s="1217"/>
      <c r="I169" s="78"/>
      <c r="J169" s="44"/>
    </row>
    <row r="170" spans="1:10" ht="15.75">
      <c r="A170" s="40"/>
      <c r="B170" s="26"/>
      <c r="C170" s="374"/>
      <c r="D170" s="43"/>
      <c r="E170" s="445"/>
      <c r="F170" s="27"/>
      <c r="G170" s="27"/>
      <c r="H170" s="33"/>
      <c r="I170" s="78"/>
      <c r="J170" s="44"/>
    </row>
    <row r="171" spans="1:10" ht="15.75">
      <c r="A171" s="65"/>
      <c r="B171" s="361" t="s">
        <v>345</v>
      </c>
      <c r="D171" s="51"/>
      <c r="E171" s="483"/>
      <c r="G171" s="386"/>
      <c r="H171" s="39"/>
      <c r="I171" s="78"/>
      <c r="J171" s="44"/>
    </row>
    <row r="172" spans="1:10" ht="15.75">
      <c r="A172" s="65">
        <f>+A167+1</f>
        <v>99</v>
      </c>
      <c r="B172" s="361"/>
      <c r="C172" s="27" t="s">
        <v>345</v>
      </c>
      <c r="D172" s="51"/>
      <c r="E172" s="483"/>
      <c r="F172" s="1115" t="s">
        <v>89</v>
      </c>
      <c r="G172" s="358"/>
      <c r="H172" s="1116">
        <f>577040-53199+0-0-0+0</f>
        <v>523841</v>
      </c>
      <c r="I172" s="78"/>
      <c r="J172" s="44"/>
    </row>
    <row r="173" spans="1:10">
      <c r="A173" s="65">
        <f>+A172+1</f>
        <v>100</v>
      </c>
      <c r="B173" s="65"/>
      <c r="C173" s="411" t="s">
        <v>347</v>
      </c>
      <c r="D173" s="126"/>
      <c r="E173" s="443" t="str">
        <f>"(Note "&amp;B$314&amp;")"</f>
        <v>(Note P)</v>
      </c>
      <c r="F173" s="368" t="s">
        <v>281</v>
      </c>
      <c r="G173" s="412"/>
      <c r="H173" s="368">
        <f>'Securitization- Att. 8'!E14</f>
        <v>0</v>
      </c>
      <c r="I173" s="78"/>
      <c r="J173" s="44"/>
    </row>
    <row r="174" spans="1:10" ht="15.75">
      <c r="A174" s="26">
        <f>+A173+1</f>
        <v>101</v>
      </c>
      <c r="B174" s="26"/>
      <c r="C174" s="361" t="s">
        <v>345</v>
      </c>
      <c r="D174" s="51"/>
      <c r="E174" s="484"/>
      <c r="F174" s="358" t="str">
        <f>"(Line "&amp;A172&amp;" - Line "&amp;A173&amp;")"</f>
        <v>(Line 99 - Line 100)</v>
      </c>
      <c r="G174" s="386"/>
      <c r="H174" s="386">
        <f>H172-H173</f>
        <v>523841</v>
      </c>
      <c r="I174" s="78"/>
      <c r="J174" s="44"/>
    </row>
    <row r="175" spans="1:10">
      <c r="A175" s="26"/>
      <c r="B175" s="26"/>
      <c r="C175" s="376"/>
      <c r="E175" s="452"/>
      <c r="F175" s="43"/>
      <c r="G175" s="376"/>
      <c r="H175" s="376"/>
      <c r="I175" s="78"/>
      <c r="J175" s="44"/>
    </row>
    <row r="176" spans="1:10" ht="15.75">
      <c r="A176" s="26">
        <f>+A174+1</f>
        <v>102</v>
      </c>
      <c r="B176" s="413" t="s">
        <v>427</v>
      </c>
      <c r="E176" s="480" t="s">
        <v>444</v>
      </c>
      <c r="F176" s="375" t="s">
        <v>407</v>
      </c>
      <c r="G176" s="375"/>
      <c r="H176" s="1041">
        <v>0</v>
      </c>
      <c r="I176" s="78"/>
      <c r="J176" s="44"/>
    </row>
    <row r="177" spans="1:10">
      <c r="A177" s="26"/>
      <c r="B177" s="26"/>
      <c r="C177" s="380"/>
      <c r="E177" s="480"/>
      <c r="F177" s="375"/>
      <c r="G177" s="376"/>
      <c r="H177" s="376"/>
      <c r="I177" s="78"/>
      <c r="J177" s="44"/>
    </row>
    <row r="178" spans="1:10" ht="15.75">
      <c r="A178" s="26"/>
      <c r="B178" s="414" t="s">
        <v>337</v>
      </c>
      <c r="E178" s="480"/>
      <c r="F178" s="375"/>
      <c r="G178" s="376"/>
      <c r="H178" s="376"/>
      <c r="I178" s="78"/>
      <c r="J178" s="44"/>
    </row>
    <row r="179" spans="1:10">
      <c r="A179" s="26">
        <f>+A176+1</f>
        <v>103</v>
      </c>
      <c r="B179" s="26"/>
      <c r="C179" s="376" t="s">
        <v>449</v>
      </c>
      <c r="D179" s="376"/>
      <c r="E179" s="451"/>
      <c r="F179" s="375" t="s">
        <v>408</v>
      </c>
      <c r="G179" s="375"/>
      <c r="H179" s="1041">
        <v>49666054</v>
      </c>
      <c r="I179" s="78"/>
      <c r="J179" s="44"/>
    </row>
    <row r="180" spans="1:10">
      <c r="A180" s="65">
        <f>A179+1</f>
        <v>104</v>
      </c>
      <c r="B180" s="65"/>
      <c r="C180" s="375" t="s">
        <v>537</v>
      </c>
      <c r="D180" s="375"/>
      <c r="E180" s="455"/>
      <c r="F180" s="375" t="s">
        <v>538</v>
      </c>
      <c r="G180" s="375"/>
      <c r="H180" s="1041">
        <v>0</v>
      </c>
      <c r="I180" s="78"/>
      <c r="J180" s="44"/>
    </row>
    <row r="181" spans="1:10">
      <c r="A181" s="65">
        <f>A180+1</f>
        <v>105</v>
      </c>
      <c r="B181" s="65"/>
      <c r="C181" s="375" t="s">
        <v>398</v>
      </c>
      <c r="D181" s="375"/>
      <c r="E181" s="455"/>
      <c r="F181" s="68" t="str">
        <f>"(Line "&amp;A192&amp;")"</f>
        <v>(Line 114)</v>
      </c>
      <c r="G181" s="376"/>
      <c r="H181" s="1041">
        <f>H192</f>
        <v>0</v>
      </c>
      <c r="I181" s="78"/>
      <c r="J181" s="44"/>
    </row>
    <row r="182" spans="1:10">
      <c r="A182" s="65">
        <f>+A181+1</f>
        <v>106</v>
      </c>
      <c r="B182" s="65"/>
      <c r="C182" s="368" t="s">
        <v>397</v>
      </c>
      <c r="D182" s="368"/>
      <c r="E182" s="460"/>
      <c r="F182" s="368" t="s">
        <v>409</v>
      </c>
      <c r="G182" s="368"/>
      <c r="H182" s="1048">
        <v>0</v>
      </c>
      <c r="I182" s="78"/>
      <c r="J182" s="44"/>
    </row>
    <row r="183" spans="1:10" ht="15.75">
      <c r="A183" s="65">
        <f>+A182+1</f>
        <v>107</v>
      </c>
      <c r="B183" s="65"/>
      <c r="C183" s="388" t="s">
        <v>337</v>
      </c>
      <c r="D183" s="358"/>
      <c r="E183" s="458"/>
      <c r="F183" s="43" t="str">
        <f>"(Line "&amp;A179&amp;" - "&amp;A180&amp;" - "&amp;A181&amp;" - "&amp;A182&amp;")"</f>
        <v>(Line 103 - 104 - 105 - 106)</v>
      </c>
      <c r="G183" s="101"/>
      <c r="H183" s="376">
        <f>H179-H180-H181-H182</f>
        <v>49666054</v>
      </c>
      <c r="I183" s="78"/>
      <c r="J183" s="44"/>
    </row>
    <row r="184" spans="1:10">
      <c r="A184" s="65"/>
      <c r="B184" s="65"/>
      <c r="C184" s="384"/>
      <c r="D184" s="43"/>
      <c r="E184" s="455"/>
      <c r="F184" s="375"/>
      <c r="G184" s="27"/>
      <c r="H184" s="376"/>
      <c r="I184" s="78"/>
      <c r="J184" s="44"/>
    </row>
    <row r="185" spans="1:10" ht="15.75">
      <c r="A185" s="26"/>
      <c r="B185" s="414" t="s">
        <v>399</v>
      </c>
      <c r="E185" s="480"/>
      <c r="F185" s="375"/>
      <c r="G185" s="27"/>
      <c r="H185" s="376"/>
      <c r="I185" s="78"/>
      <c r="J185" s="44"/>
    </row>
    <row r="186" spans="1:10">
      <c r="A186" s="26">
        <f>+A183+1</f>
        <v>108</v>
      </c>
      <c r="B186" s="26"/>
      <c r="C186" s="380" t="s">
        <v>346</v>
      </c>
      <c r="E186" s="467"/>
      <c r="F186" s="384" t="s">
        <v>90</v>
      </c>
      <c r="G186" s="43"/>
      <c r="H186" s="1041">
        <f>13265000+0+0+0</f>
        <v>13265000</v>
      </c>
      <c r="I186" s="78"/>
      <c r="J186" s="44"/>
    </row>
    <row r="187" spans="1:10">
      <c r="A187" s="65">
        <f t="shared" ref="A187:A194" si="1">+A186+1</f>
        <v>109</v>
      </c>
      <c r="B187" s="26"/>
      <c r="C187" s="380" t="s">
        <v>47</v>
      </c>
      <c r="E187" s="455"/>
      <c r="F187" s="384" t="s">
        <v>410</v>
      </c>
      <c r="G187" s="43"/>
      <c r="H187" s="1041">
        <v>167698</v>
      </c>
      <c r="I187" s="78"/>
      <c r="J187" s="44"/>
    </row>
    <row r="188" spans="1:10">
      <c r="A188" s="65">
        <f t="shared" si="1"/>
        <v>110</v>
      </c>
      <c r="B188" s="26"/>
      <c r="C188" s="380" t="s">
        <v>54</v>
      </c>
      <c r="E188" s="467"/>
      <c r="F188" s="364" t="s">
        <v>411</v>
      </c>
      <c r="G188" s="43"/>
      <c r="H188" s="1041">
        <v>0</v>
      </c>
      <c r="I188" s="78"/>
      <c r="J188" s="44"/>
    </row>
    <row r="189" spans="1:10">
      <c r="A189" s="65">
        <f>+A188+1</f>
        <v>111</v>
      </c>
      <c r="B189" s="65"/>
      <c r="C189" s="384" t="s">
        <v>323</v>
      </c>
      <c r="D189" s="248"/>
      <c r="E189" s="455"/>
      <c r="F189" s="364" t="s">
        <v>280</v>
      </c>
      <c r="G189" s="43"/>
      <c r="H189" s="375">
        <f>'ADIT - Att. 1 Reserved'!D22</f>
        <v>0</v>
      </c>
      <c r="I189" s="78"/>
      <c r="J189" s="44"/>
    </row>
    <row r="190" spans="1:10">
      <c r="A190" s="65">
        <f>+A189+1</f>
        <v>112</v>
      </c>
      <c r="B190" s="65"/>
      <c r="C190" s="44" t="s">
        <v>110</v>
      </c>
      <c r="E190" s="635" t="str">
        <f>"(Note "&amp;B$314&amp;")"</f>
        <v>(Note P)</v>
      </c>
      <c r="F190" s="368" t="str">
        <f>+F173</f>
        <v>Attachment 8</v>
      </c>
      <c r="G190" s="27"/>
      <c r="H190" s="368">
        <f>'Securitization- Att. 8'!E18</f>
        <v>0</v>
      </c>
      <c r="I190" s="78"/>
      <c r="J190" s="44"/>
    </row>
    <row r="191" spans="1:10">
      <c r="A191" s="65">
        <f>+A190+1</f>
        <v>113</v>
      </c>
      <c r="B191" s="65"/>
      <c r="C191" s="377" t="s">
        <v>342</v>
      </c>
      <c r="D191" s="45"/>
      <c r="E191" s="456"/>
      <c r="F191" s="43" t="str">
        <f>"(Line "&amp;A186&amp;" - "&amp;A187&amp;" + "&amp;A188&amp;" - "&amp;A189&amp;" - "&amp;A190&amp;")"</f>
        <v>(Line 108 - 109 + 110 - 111 - 112)</v>
      </c>
      <c r="G191" s="45"/>
      <c r="H191" s="379">
        <f>H186-H187+H188-H189-H190</f>
        <v>13097302</v>
      </c>
      <c r="I191" s="78"/>
      <c r="J191" s="44"/>
    </row>
    <row r="192" spans="1:10">
      <c r="A192" s="26">
        <f t="shared" si="1"/>
        <v>114</v>
      </c>
      <c r="B192" s="26"/>
      <c r="C192" s="380" t="s">
        <v>358</v>
      </c>
      <c r="E192" s="467"/>
      <c r="F192" s="384" t="s">
        <v>412</v>
      </c>
      <c r="G192" s="43"/>
      <c r="H192" s="1041">
        <v>0</v>
      </c>
      <c r="I192" s="78"/>
      <c r="J192" s="44"/>
    </row>
    <row r="193" spans="1:10">
      <c r="A193" s="26">
        <f t="shared" si="1"/>
        <v>115</v>
      </c>
      <c r="B193" s="26"/>
      <c r="C193" s="380" t="s">
        <v>337</v>
      </c>
      <c r="E193" s="452"/>
      <c r="F193" s="368" t="str">
        <f>"(Line "&amp;A183&amp;")"</f>
        <v>(Line 107)</v>
      </c>
      <c r="G193" s="27"/>
      <c r="H193" s="386">
        <f>H183</f>
        <v>49666054</v>
      </c>
      <c r="I193" s="78"/>
      <c r="J193" s="44"/>
    </row>
    <row r="194" spans="1:10" ht="15.75">
      <c r="A194" s="26">
        <f t="shared" si="1"/>
        <v>116</v>
      </c>
      <c r="B194" s="26"/>
      <c r="C194" s="389" t="s">
        <v>341</v>
      </c>
      <c r="D194" s="49"/>
      <c r="E194" s="453"/>
      <c r="F194" s="358" t="str">
        <f>"(Sum Lines "&amp;A191&amp;" to "&amp;A193&amp;")"</f>
        <v>(Sum Lines 113 to 115)</v>
      </c>
      <c r="G194" s="378"/>
      <c r="H194" s="378">
        <f>SUM(H191:H193)</f>
        <v>62763356</v>
      </c>
      <c r="I194" s="78"/>
      <c r="J194" s="44"/>
    </row>
    <row r="195" spans="1:10">
      <c r="A195" s="26"/>
      <c r="B195" s="26"/>
      <c r="C195" s="380"/>
      <c r="E195" s="452"/>
      <c r="F195" s="44"/>
      <c r="G195" s="376"/>
      <c r="H195" s="214"/>
      <c r="I195" s="78"/>
      <c r="J195" s="44"/>
    </row>
    <row r="196" spans="1:10">
      <c r="A196" s="65">
        <f>+A194+1</f>
        <v>117</v>
      </c>
      <c r="B196" s="26"/>
      <c r="C196" s="67" t="s">
        <v>488</v>
      </c>
      <c r="D196" s="364" t="s">
        <v>342</v>
      </c>
      <c r="E196" s="635" t="str">
        <f>"(Note "&amp;B$315&amp;")"</f>
        <v>(Note Q)</v>
      </c>
      <c r="F196" s="358" t="str">
        <f>"(Line "&amp;A191&amp;" / Line "&amp;A194&amp;")"</f>
        <v>(Line 113 / Line 116)</v>
      </c>
      <c r="G196" s="1179">
        <f>H191/H194</f>
        <v>0.20867752833357095</v>
      </c>
      <c r="H196" s="745">
        <f>1-H197-H198</f>
        <v>0.44999999999999996</v>
      </c>
      <c r="I196" s="78"/>
      <c r="J196" s="44"/>
    </row>
    <row r="197" spans="1:10">
      <c r="A197" s="65">
        <f>+A196+1</f>
        <v>118</v>
      </c>
      <c r="B197" s="26"/>
      <c r="C197" s="67" t="s">
        <v>495</v>
      </c>
      <c r="D197" s="380" t="s">
        <v>358</v>
      </c>
      <c r="E197" s="451"/>
      <c r="F197" s="358" t="str">
        <f>"(Line "&amp;A192&amp;" / Line "&amp;A194&amp;")"</f>
        <v>(Line 114 / Line 116)</v>
      </c>
      <c r="G197" s="1180"/>
      <c r="H197" s="415">
        <f>H192/H194</f>
        <v>0</v>
      </c>
      <c r="I197" s="78"/>
      <c r="J197" s="44"/>
    </row>
    <row r="198" spans="1:10">
      <c r="A198" s="65">
        <f>+A197+1</f>
        <v>119</v>
      </c>
      <c r="B198" s="26"/>
      <c r="C198" s="67" t="s">
        <v>489</v>
      </c>
      <c r="D198" s="380" t="s">
        <v>337</v>
      </c>
      <c r="E198" s="635" t="str">
        <f>"(Note "&amp;B$315&amp;")"</f>
        <v>(Note Q)</v>
      </c>
      <c r="F198" s="358" t="str">
        <f>"(Line "&amp;A193&amp;" / Line "&amp;A194&amp;")"</f>
        <v>(Line 115 / Line 116)</v>
      </c>
      <c r="G198" s="1181">
        <f>H193/H194</f>
        <v>0.79132247166642911</v>
      </c>
      <c r="H198" s="745">
        <f>IF(H193/H194&gt;55%,55%,H193/H194)</f>
        <v>0.55000000000000004</v>
      </c>
      <c r="I198" s="78"/>
      <c r="J198" s="44"/>
    </row>
    <row r="199" spans="1:10">
      <c r="A199" s="65"/>
      <c r="B199" s="26"/>
      <c r="C199" s="416"/>
      <c r="E199" s="452"/>
      <c r="F199" s="375"/>
      <c r="G199" s="376"/>
      <c r="H199" s="214"/>
      <c r="I199" s="78"/>
      <c r="J199" s="44"/>
    </row>
    <row r="200" spans="1:10">
      <c r="A200" s="65">
        <f>+A198+1</f>
        <v>120</v>
      </c>
      <c r="B200" s="26"/>
      <c r="C200" s="416" t="s">
        <v>490</v>
      </c>
      <c r="D200" s="364" t="s">
        <v>342</v>
      </c>
      <c r="E200" s="452"/>
      <c r="F200" s="358" t="str">
        <f>"(Line "&amp;A174&amp;" / Line "&amp;A191&amp;")"</f>
        <v>(Line 101 / Line 113)</v>
      </c>
      <c r="G200" s="376"/>
      <c r="H200" s="937">
        <f>H174/H191</f>
        <v>3.9996099960129192E-2</v>
      </c>
      <c r="I200" s="78"/>
      <c r="J200" s="44"/>
    </row>
    <row r="201" spans="1:10">
      <c r="A201" s="65">
        <f>+A200+1</f>
        <v>121</v>
      </c>
      <c r="B201" s="26"/>
      <c r="C201" s="416" t="s">
        <v>496</v>
      </c>
      <c r="D201" s="380" t="s">
        <v>358</v>
      </c>
      <c r="E201" s="452"/>
      <c r="F201" s="358" t="str">
        <f>"(Line "&amp;A176&amp;" / Line "&amp;A192&amp;")"</f>
        <v>(Line 102 / Line 114)</v>
      </c>
      <c r="G201" s="376"/>
      <c r="H201" s="937">
        <v>0</v>
      </c>
      <c r="I201" s="78"/>
      <c r="J201" s="44"/>
    </row>
    <row r="202" spans="1:10">
      <c r="A202" s="65">
        <f>+A201+1</f>
        <v>122</v>
      </c>
      <c r="B202" s="26"/>
      <c r="C202" s="416" t="s">
        <v>491</v>
      </c>
      <c r="D202" s="380" t="s">
        <v>337</v>
      </c>
      <c r="E202" s="635" t="str">
        <f>"(Note "&amp;B$301&amp;")"</f>
        <v>(Note J)</v>
      </c>
      <c r="F202" s="375" t="s">
        <v>475</v>
      </c>
      <c r="G202" s="376"/>
      <c r="H202" s="937">
        <f>0.11+0.005</f>
        <v>0.115</v>
      </c>
      <c r="I202" s="78"/>
      <c r="J202" s="44"/>
    </row>
    <row r="203" spans="1:10">
      <c r="A203" s="65"/>
      <c r="B203" s="26"/>
      <c r="C203" s="416"/>
      <c r="E203" s="452"/>
      <c r="F203" s="375"/>
      <c r="G203" s="376"/>
      <c r="H203" s="436"/>
      <c r="I203" s="78"/>
      <c r="J203" s="44"/>
    </row>
    <row r="204" spans="1:10">
      <c r="A204" s="65">
        <f>+A202+1</f>
        <v>123</v>
      </c>
      <c r="B204" s="26"/>
      <c r="C204" s="67" t="s">
        <v>492</v>
      </c>
      <c r="D204" s="364" t="s">
        <v>343</v>
      </c>
      <c r="E204" s="452"/>
      <c r="F204" s="358" t="str">
        <f>"(Line "&amp;A196&amp;" * Line "&amp;A200&amp;")"</f>
        <v>(Line 117 * Line 120)</v>
      </c>
      <c r="G204" s="417"/>
      <c r="H204" s="436">
        <f>H196*H200</f>
        <v>1.7998244982058133E-2</v>
      </c>
      <c r="I204" s="78"/>
      <c r="J204" s="44"/>
    </row>
    <row r="205" spans="1:10">
      <c r="A205" s="65">
        <f>+A204+1</f>
        <v>124</v>
      </c>
      <c r="B205" s="26"/>
      <c r="C205" s="67" t="s">
        <v>18</v>
      </c>
      <c r="D205" s="380" t="s">
        <v>358</v>
      </c>
      <c r="E205" s="452"/>
      <c r="F205" s="358" t="str">
        <f>"(Line "&amp;A197&amp;" * Line "&amp;A201&amp;")"</f>
        <v>(Line 118 * Line 121)</v>
      </c>
      <c r="G205" s="63"/>
      <c r="H205" s="436">
        <f>H197*H201</f>
        <v>0</v>
      </c>
      <c r="I205" s="78"/>
      <c r="J205" s="44"/>
    </row>
    <row r="206" spans="1:10">
      <c r="A206" s="65">
        <f>+A205+1</f>
        <v>125</v>
      </c>
      <c r="B206" s="119"/>
      <c r="C206" s="81" t="s">
        <v>493</v>
      </c>
      <c r="D206" s="418" t="s">
        <v>337</v>
      </c>
      <c r="E206" s="501"/>
      <c r="F206" s="368" t="str">
        <f>"(Line "&amp;A198&amp;" * Line "&amp;A202&amp;")"</f>
        <v>(Line 119 * Line 122)</v>
      </c>
      <c r="G206" s="419"/>
      <c r="H206" s="938">
        <f>H198*H202</f>
        <v>6.3250000000000015E-2</v>
      </c>
      <c r="I206" s="78"/>
      <c r="J206" s="44"/>
    </row>
    <row r="207" spans="1:10" s="61" customFormat="1" ht="15.75">
      <c r="A207" s="26">
        <f>+A206+1</f>
        <v>126</v>
      </c>
      <c r="B207" s="420" t="s">
        <v>506</v>
      </c>
      <c r="C207" s="420"/>
      <c r="D207" s="421"/>
      <c r="E207" s="474"/>
      <c r="F207" s="358" t="str">
        <f>"(Sum Lines "&amp;A204&amp;" to "&amp;A206&amp;")"</f>
        <v>(Sum Lines 123 to 125)</v>
      </c>
      <c r="G207" s="422"/>
      <c r="H207" s="922">
        <f>SUM(H204:H206)</f>
        <v>8.1248244982058154E-2</v>
      </c>
      <c r="I207" s="78"/>
      <c r="J207" s="154"/>
    </row>
    <row r="208" spans="1:10" s="61" customFormat="1" ht="15.75">
      <c r="A208" s="424"/>
      <c r="B208" s="424"/>
      <c r="C208" s="420"/>
      <c r="D208" s="421"/>
      <c r="E208" s="474"/>
      <c r="F208" s="388"/>
      <c r="G208" s="422"/>
      <c r="H208" s="423"/>
      <c r="I208" s="78"/>
      <c r="J208" s="154"/>
    </row>
    <row r="209" spans="1:10" ht="16.5" thickBot="1">
      <c r="A209" s="26">
        <f>+A207+1</f>
        <v>127</v>
      </c>
      <c r="B209" s="425" t="s">
        <v>425</v>
      </c>
      <c r="C209" s="90"/>
      <c r="D209" s="408"/>
      <c r="E209" s="485"/>
      <c r="F209" s="391" t="str">
        <f>"(Line "&amp;A101&amp;" * Line "&amp;A207&amp;")"</f>
        <v>(Line 55 * Line 126)</v>
      </c>
      <c r="G209" s="426"/>
      <c r="H209" s="409">
        <f>H101*H207</f>
        <v>515619.18343982031</v>
      </c>
      <c r="I209" s="78"/>
      <c r="J209" s="44"/>
    </row>
    <row r="210" spans="1:10" ht="16.5" thickTop="1" thickBot="1">
      <c r="A210" s="26"/>
      <c r="B210" s="26"/>
      <c r="C210" s="380"/>
      <c r="E210" s="446"/>
      <c r="F210" s="781"/>
      <c r="G210" s="376"/>
      <c r="H210" s="801"/>
      <c r="I210" s="78"/>
      <c r="J210" s="44"/>
    </row>
    <row r="211" spans="1:10" ht="35.25" customHeight="1" thickBot="1">
      <c r="A211" s="1215" t="s">
        <v>191</v>
      </c>
      <c r="B211" s="1216"/>
      <c r="C211" s="1216"/>
      <c r="D211" s="1216"/>
      <c r="E211" s="1216"/>
      <c r="F211" s="1216"/>
      <c r="G211" s="1216"/>
      <c r="H211" s="1217"/>
      <c r="I211" s="78"/>
      <c r="J211" s="44"/>
    </row>
    <row r="212" spans="1:10" ht="15.75">
      <c r="A212" s="42"/>
      <c r="B212" s="26"/>
      <c r="C212" s="374"/>
      <c r="D212" s="43"/>
      <c r="E212" s="445"/>
      <c r="F212" s="780"/>
      <c r="G212" s="27"/>
      <c r="H212" s="33"/>
      <c r="I212" s="78"/>
      <c r="J212" s="44"/>
    </row>
    <row r="213" spans="1:10" ht="15.75">
      <c r="A213" s="26" t="s">
        <v>353</v>
      </c>
      <c r="B213" s="427" t="s">
        <v>426</v>
      </c>
      <c r="E213" s="445"/>
      <c r="F213" s="781"/>
      <c r="G213" s="428"/>
      <c r="H213" s="27"/>
      <c r="I213" s="78"/>
      <c r="J213" s="44"/>
    </row>
    <row r="214" spans="1:10">
      <c r="A214" s="26">
        <f>+A209+1</f>
        <v>128</v>
      </c>
      <c r="B214" s="26"/>
      <c r="C214" s="27" t="s">
        <v>424</v>
      </c>
      <c r="E214" s="635" t="str">
        <f>"(Note "&amp;B$299&amp;")"</f>
        <v>(Note I)</v>
      </c>
      <c r="F214" s="780"/>
      <c r="G214" s="28"/>
      <c r="H214" s="1049">
        <v>0</v>
      </c>
      <c r="I214" s="78"/>
      <c r="J214" s="44"/>
    </row>
    <row r="215" spans="1:10">
      <c r="A215" s="26">
        <f>+A214+1</f>
        <v>129</v>
      </c>
      <c r="B215" s="26"/>
      <c r="C215" s="429" t="s">
        <v>423</v>
      </c>
      <c r="D215" s="430"/>
      <c r="E215" s="452"/>
      <c r="F215" s="780"/>
      <c r="G215" s="28"/>
      <c r="H215" s="1049">
        <v>0</v>
      </c>
      <c r="I215" s="78"/>
      <c r="J215" s="44"/>
    </row>
    <row r="216" spans="1:10">
      <c r="A216" s="26">
        <f>+A215+1</f>
        <v>130</v>
      </c>
      <c r="B216" s="26"/>
      <c r="C216" s="429" t="s">
        <v>470</v>
      </c>
      <c r="D216" s="28" t="s">
        <v>471</v>
      </c>
      <c r="E216" s="452"/>
      <c r="F216" s="780" t="s">
        <v>111</v>
      </c>
      <c r="G216" s="28"/>
      <c r="H216" s="1049">
        <v>0</v>
      </c>
      <c r="I216" s="78"/>
      <c r="J216" s="44"/>
    </row>
    <row r="217" spans="1:10">
      <c r="A217" s="65">
        <f>+A216+1</f>
        <v>131</v>
      </c>
      <c r="B217" s="65"/>
      <c r="C217" s="429" t="s">
        <v>476</v>
      </c>
      <c r="D217" s="431" t="s">
        <v>486</v>
      </c>
      <c r="E217" s="274"/>
      <c r="F217" s="775"/>
      <c r="G217" s="28"/>
      <c r="H217" s="399">
        <f>1-(((1-H215)*(1-H214))/(1-H215*H214*H216))</f>
        <v>0</v>
      </c>
      <c r="I217" s="78"/>
      <c r="J217" s="44"/>
    </row>
    <row r="218" spans="1:10" s="435" customFormat="1">
      <c r="A218" s="432">
        <f>A217+1</f>
        <v>132</v>
      </c>
      <c r="B218" s="433"/>
      <c r="C218" s="429" t="s">
        <v>450</v>
      </c>
      <c r="D218" s="433"/>
      <c r="E218" s="486"/>
      <c r="F218" s="433"/>
      <c r="G218" s="433"/>
      <c r="H218" s="434">
        <f>H217/(1-H217)</f>
        <v>0</v>
      </c>
      <c r="I218" s="78"/>
      <c r="J218" s="433"/>
    </row>
    <row r="219" spans="1:10">
      <c r="A219" s="26"/>
      <c r="B219" s="26"/>
      <c r="E219" s="487"/>
      <c r="F219" s="780"/>
      <c r="G219" s="428"/>
      <c r="H219" s="399"/>
      <c r="I219" s="78"/>
      <c r="J219" s="44"/>
    </row>
    <row r="220" spans="1:10" ht="15.75">
      <c r="A220" s="26"/>
      <c r="B220" s="427" t="s">
        <v>400</v>
      </c>
      <c r="C220" s="380"/>
      <c r="E220" s="635" t="str">
        <f>"(Note "&amp;B$299&amp;")"</f>
        <v>(Note I)</v>
      </c>
      <c r="F220" s="780"/>
      <c r="G220" s="428"/>
      <c r="H220" s="436"/>
      <c r="I220" s="78"/>
      <c r="J220" s="44"/>
    </row>
    <row r="221" spans="1:10">
      <c r="A221" s="26">
        <f>A218+1</f>
        <v>133</v>
      </c>
      <c r="B221" s="26"/>
      <c r="C221" s="384" t="s">
        <v>451</v>
      </c>
      <c r="E221" s="455" t="s">
        <v>474</v>
      </c>
      <c r="F221" s="775" t="s">
        <v>78</v>
      </c>
      <c r="G221" s="428"/>
      <c r="H221" s="1041">
        <v>0</v>
      </c>
      <c r="I221" s="78"/>
      <c r="J221" s="44"/>
    </row>
    <row r="222" spans="1:10">
      <c r="A222" s="65">
        <f>+A221+1</f>
        <v>134</v>
      </c>
      <c r="B222" s="65"/>
      <c r="C222" s="384" t="s">
        <v>468</v>
      </c>
      <c r="D222" s="43"/>
      <c r="E222" s="470"/>
      <c r="F222" s="775" t="str">
        <f>"1 / (1 -Line "&amp;A217&amp;")"</f>
        <v>1 / (1 -Line 131)</v>
      </c>
      <c r="G222" s="437"/>
      <c r="H222" s="434">
        <f>1/(1-H217)</f>
        <v>1</v>
      </c>
      <c r="I222" s="78"/>
      <c r="J222" s="44"/>
    </row>
    <row r="223" spans="1:10" s="70" customFormat="1" ht="15.75">
      <c r="A223" s="26">
        <f>+A222+1</f>
        <v>135</v>
      </c>
      <c r="B223" s="66"/>
      <c r="C223" s="114" t="s">
        <v>395</v>
      </c>
      <c r="D223" s="80"/>
      <c r="E223" s="488"/>
      <c r="F223" s="774" t="str">
        <f>"(Line "&amp;A$31&amp;")"</f>
        <v>(Line 14)</v>
      </c>
      <c r="G223" s="69"/>
      <c r="H223" s="930">
        <f>H31</f>
        <v>0.18243956474081677</v>
      </c>
      <c r="I223" s="78"/>
      <c r="J223" s="88"/>
    </row>
    <row r="224" spans="1:10" ht="15.75">
      <c r="A224" s="26">
        <f>+A223+1</f>
        <v>136</v>
      </c>
      <c r="B224" s="26"/>
      <c r="C224" s="438" t="s">
        <v>422</v>
      </c>
      <c r="D224" s="45"/>
      <c r="E224" s="451"/>
      <c r="F224" s="770" t="str">
        <f>"(Line "&amp;A221&amp;" * Line "&amp;A222&amp;" * Line "&amp;A223&amp;")"</f>
        <v>(Line 133 * Line 134 * Line 135)</v>
      </c>
      <c r="G224" s="71"/>
      <c r="H224" s="401">
        <f>(H221*H222*H223)</f>
        <v>0</v>
      </c>
      <c r="I224" s="78"/>
      <c r="J224" s="44"/>
    </row>
    <row r="225" spans="1:10" ht="15.75">
      <c r="A225" s="26"/>
      <c r="B225" s="26"/>
      <c r="C225" s="363"/>
      <c r="D225" s="68"/>
      <c r="E225" s="489"/>
      <c r="F225" s="770"/>
      <c r="G225" s="69"/>
      <c r="H225" s="799"/>
      <c r="I225" s="78"/>
      <c r="J225" s="44"/>
    </row>
    <row r="226" spans="1:10" ht="15.75">
      <c r="A226" s="26"/>
      <c r="B226" s="26"/>
      <c r="E226" s="490"/>
      <c r="F226" s="782"/>
      <c r="G226" s="428"/>
      <c r="H226" s="802"/>
      <c r="I226" s="78"/>
      <c r="J226" s="44"/>
    </row>
    <row r="227" spans="1:10" ht="15.75">
      <c r="A227" s="65">
        <f>+A224+1</f>
        <v>137</v>
      </c>
      <c r="B227" s="154" t="s">
        <v>443</v>
      </c>
      <c r="C227" s="44"/>
      <c r="D227" s="43" t="s">
        <v>571</v>
      </c>
      <c r="E227" s="455"/>
      <c r="F227" s="770" t="str">
        <f>"[Line "&amp;A218&amp;" * Line "&amp;A209&amp;" * (1- (Line "&amp;A204&amp;" / Line "&amp;A207&amp;"))]"</f>
        <v>[Line 132 * Line 127 * (1- (Line 123 / Line 126))]</v>
      </c>
      <c r="G227" s="43"/>
      <c r="H227" s="164">
        <f>((H218*H209*(1-(H204/H207))))</f>
        <v>0</v>
      </c>
      <c r="I227" s="78"/>
      <c r="J227" s="44"/>
    </row>
    <row r="228" spans="1:10" ht="15.75">
      <c r="A228" s="26"/>
      <c r="B228" s="26"/>
      <c r="C228" s="67"/>
      <c r="D228" s="68"/>
      <c r="E228" s="481"/>
      <c r="F228" s="783"/>
      <c r="G228" s="69"/>
      <c r="H228" s="406"/>
      <c r="I228" s="78"/>
      <c r="J228" s="44"/>
    </row>
    <row r="229" spans="1:10" ht="16.5" thickBot="1">
      <c r="A229" s="26">
        <f>+A227+1</f>
        <v>138</v>
      </c>
      <c r="B229" s="425" t="s">
        <v>333</v>
      </c>
      <c r="C229" s="425"/>
      <c r="D229" s="408"/>
      <c r="E229" s="463"/>
      <c r="F229" s="779" t="str">
        <f>"(Line "&amp;A224&amp;" + Line "&amp;A227&amp;")"</f>
        <v>(Line 136 + Line 137)</v>
      </c>
      <c r="G229" s="439"/>
      <c r="H229" s="440">
        <f>H224+H227</f>
        <v>0</v>
      </c>
      <c r="I229" s="78"/>
      <c r="J229" s="44"/>
    </row>
    <row r="230" spans="1:10" ht="17.25" thickTop="1" thickBot="1">
      <c r="A230" s="26"/>
      <c r="B230" s="26"/>
      <c r="C230" s="441"/>
      <c r="E230" s="446"/>
      <c r="F230" s="398"/>
      <c r="G230" s="442"/>
      <c r="H230" s="1036"/>
      <c r="I230" s="78"/>
      <c r="J230" s="44"/>
    </row>
    <row r="231" spans="1:10" ht="35.25" customHeight="1" thickBot="1">
      <c r="A231" s="1215" t="s">
        <v>563</v>
      </c>
      <c r="B231" s="1216"/>
      <c r="C231" s="1216"/>
      <c r="D231" s="1216"/>
      <c r="E231" s="1216"/>
      <c r="F231" s="1216"/>
      <c r="G231" s="1216"/>
      <c r="H231" s="1217"/>
      <c r="I231" s="78"/>
      <c r="J231" s="44"/>
    </row>
    <row r="232" spans="1:10">
      <c r="A232" s="77"/>
      <c r="B232" s="39"/>
      <c r="C232" s="39"/>
      <c r="D232" s="39"/>
      <c r="E232" s="446"/>
      <c r="I232" s="78"/>
      <c r="J232" s="44"/>
    </row>
    <row r="233" spans="1:10" ht="15.75">
      <c r="A233" s="77"/>
      <c r="B233" s="61" t="s">
        <v>334</v>
      </c>
      <c r="C233" s="88"/>
      <c r="D233" s="70"/>
      <c r="E233" s="446"/>
      <c r="I233" s="78"/>
      <c r="J233" s="44"/>
    </row>
    <row r="234" spans="1:10">
      <c r="A234" s="77">
        <f>+A229+1</f>
        <v>139</v>
      </c>
      <c r="B234" s="39"/>
      <c r="C234" s="88" t="s">
        <v>335</v>
      </c>
      <c r="D234" s="70"/>
      <c r="E234" s="446"/>
      <c r="F234" s="358" t="str">
        <f>"(Line "&amp;A71&amp;")"</f>
        <v>(Line 41)</v>
      </c>
      <c r="H234" s="787">
        <f>H71</f>
        <v>6204812.8350120215</v>
      </c>
      <c r="I234" s="78"/>
      <c r="J234" s="44"/>
    </row>
    <row r="235" spans="1:10">
      <c r="A235" s="26">
        <f>+A234+1</f>
        <v>140</v>
      </c>
      <c r="B235" s="39"/>
      <c r="C235" s="88" t="s">
        <v>540</v>
      </c>
      <c r="D235" s="70"/>
      <c r="E235" s="446"/>
      <c r="F235" s="368" t="str">
        <f>"(Line "&amp;A99&amp;")"</f>
        <v>(Line 54)</v>
      </c>
      <c r="H235" s="787">
        <f>H99</f>
        <v>141406.50244792231</v>
      </c>
      <c r="I235" s="78"/>
      <c r="J235" s="44"/>
    </row>
    <row r="236" spans="1:10" ht="15.75">
      <c r="A236" s="26">
        <f>+A235+1</f>
        <v>141</v>
      </c>
      <c r="B236" s="26"/>
      <c r="C236" s="370" t="s">
        <v>442</v>
      </c>
      <c r="D236" s="282"/>
      <c r="E236" s="491"/>
      <c r="F236" s="358" t="str">
        <f>"(Line "&amp;A101&amp;")"</f>
        <v>(Line 55)</v>
      </c>
      <c r="G236" s="371"/>
      <c r="H236" s="109">
        <f>SUM(H234:H235)</f>
        <v>6346219.3374599442</v>
      </c>
      <c r="I236" s="78"/>
      <c r="J236" s="44"/>
    </row>
    <row r="237" spans="1:10">
      <c r="A237" s="26"/>
      <c r="B237" s="26"/>
      <c r="C237" s="364"/>
      <c r="D237" s="68"/>
      <c r="E237" s="445"/>
      <c r="F237" s="43"/>
      <c r="G237" s="27"/>
      <c r="H237" s="75"/>
      <c r="I237" s="78"/>
      <c r="J237" s="44"/>
    </row>
    <row r="238" spans="1:10">
      <c r="A238" s="26">
        <f>+A236+1</f>
        <v>142</v>
      </c>
      <c r="C238" s="364" t="s">
        <v>437</v>
      </c>
      <c r="D238" s="51"/>
      <c r="E238" s="446"/>
      <c r="F238" s="358" t="str">
        <f>"(Line "&amp;A143&amp;")"</f>
        <v>(Line 85)</v>
      </c>
      <c r="H238" s="75">
        <f>H143</f>
        <v>870750.22153054585</v>
      </c>
      <c r="I238" s="78"/>
      <c r="J238" s="44"/>
    </row>
    <row r="239" spans="1:10">
      <c r="A239" s="26">
        <f>+A238+1</f>
        <v>143</v>
      </c>
      <c r="C239" s="326" t="s">
        <v>431</v>
      </c>
      <c r="D239" s="51"/>
      <c r="E239" s="446"/>
      <c r="F239" s="358" t="str">
        <f>"(Line "&amp;A161&amp;")"</f>
        <v>(Line 96)</v>
      </c>
      <c r="H239" s="75">
        <f>H161</f>
        <v>447902.07058902661</v>
      </c>
      <c r="I239" s="78"/>
      <c r="J239" s="44"/>
    </row>
    <row r="240" spans="1:10">
      <c r="A240" s="26">
        <f>+A239+1</f>
        <v>144</v>
      </c>
      <c r="B240" s="26"/>
      <c r="C240" s="364" t="s">
        <v>336</v>
      </c>
      <c r="D240" s="68"/>
      <c r="E240" s="445"/>
      <c r="F240" s="358" t="str">
        <f>"(Line "&amp;A167&amp;")"</f>
        <v>(Line 98)</v>
      </c>
      <c r="G240" s="27"/>
      <c r="H240" s="75">
        <f>H167</f>
        <v>367976.78943108156</v>
      </c>
      <c r="I240" s="78"/>
      <c r="J240" s="44"/>
    </row>
    <row r="241" spans="1:10">
      <c r="A241" s="26">
        <f>+A240+1</f>
        <v>145</v>
      </c>
      <c r="B241" s="26"/>
      <c r="C241" s="372" t="s">
        <v>454</v>
      </c>
      <c r="D241" s="68"/>
      <c r="E241" s="445"/>
      <c r="F241" s="358" t="str">
        <f>"(Line "&amp;A209&amp;")"</f>
        <v>(Line 127)</v>
      </c>
      <c r="G241" s="27"/>
      <c r="H241" s="75">
        <f>H209</f>
        <v>515619.18343982031</v>
      </c>
      <c r="I241" s="78"/>
      <c r="J241" s="44"/>
    </row>
    <row r="242" spans="1:10">
      <c r="A242" s="26">
        <f>+A241+1</f>
        <v>146</v>
      </c>
      <c r="B242" s="26"/>
      <c r="C242" s="372" t="s">
        <v>455</v>
      </c>
      <c r="D242" s="68"/>
      <c r="E242" s="445"/>
      <c r="F242" s="358" t="str">
        <f>"(Line "&amp;A229&amp;")"</f>
        <v>(Line 138)</v>
      </c>
      <c r="G242" s="27"/>
      <c r="H242" s="75">
        <f>H229</f>
        <v>0</v>
      </c>
      <c r="I242" s="78"/>
      <c r="J242" s="44"/>
    </row>
    <row r="243" spans="1:10" ht="15.75" thickBot="1">
      <c r="A243" s="26"/>
      <c r="B243" s="26"/>
      <c r="C243" s="372"/>
      <c r="D243" s="68"/>
      <c r="E243" s="445"/>
      <c r="F243" s="43"/>
      <c r="G243" s="27"/>
      <c r="H243" s="75"/>
      <c r="I243" s="78"/>
      <c r="J243" s="44"/>
    </row>
    <row r="244" spans="1:10" ht="18.75" thickBot="1">
      <c r="A244" s="1096">
        <f>+A242+1</f>
        <v>147</v>
      </c>
      <c r="B244" s="1097"/>
      <c r="C244" s="1098" t="s">
        <v>466</v>
      </c>
      <c r="D244" s="1099"/>
      <c r="E244" s="1100"/>
      <c r="F244" s="1101" t="str">
        <f>"(Sum Lines "&amp;A238&amp;" to "&amp;A242&amp;")"</f>
        <v>(Sum Lines 142 to 146)</v>
      </c>
      <c r="G244" s="1102"/>
      <c r="H244" s="1163">
        <f>SUM(H238:H242)</f>
        <v>2202248.2649904741</v>
      </c>
      <c r="I244" s="78"/>
      <c r="J244" s="44"/>
    </row>
    <row r="245" spans="1:10" ht="15.75">
      <c r="A245" s="359"/>
      <c r="B245" s="66"/>
      <c r="C245" s="360"/>
      <c r="D245" s="153"/>
      <c r="E245" s="492"/>
      <c r="F245" s="73"/>
      <c r="G245" s="51"/>
      <c r="H245" s="803"/>
      <c r="I245" s="78"/>
      <c r="J245" s="44"/>
    </row>
    <row r="246" spans="1:10" ht="15.75">
      <c r="A246" s="362"/>
      <c r="B246" s="363" t="s">
        <v>369</v>
      </c>
      <c r="C246" s="360"/>
      <c r="D246" s="153"/>
      <c r="E246" s="492"/>
      <c r="F246" s="73"/>
      <c r="G246" s="51"/>
      <c r="H246" s="803"/>
      <c r="I246" s="78"/>
      <c r="J246" s="44"/>
    </row>
    <row r="247" spans="1:10" ht="15.75">
      <c r="A247" s="124">
        <f>+A244+1</f>
        <v>148</v>
      </c>
      <c r="B247" s="124"/>
      <c r="C247" s="364" t="str">
        <f>+C36</f>
        <v>Transmission Plant In Service</v>
      </c>
      <c r="D247" s="153"/>
      <c r="E247" s="492"/>
      <c r="F247" s="358" t="str">
        <f>"(Line "&amp;A36&amp;")"</f>
        <v>(Line 15)</v>
      </c>
      <c r="G247" s="51"/>
      <c r="H247" s="365">
        <f>H36</f>
        <v>13589051</v>
      </c>
      <c r="I247" s="78"/>
      <c r="J247" s="44"/>
    </row>
    <row r="248" spans="1:10" ht="15.75">
      <c r="A248" s="124">
        <f>+A247+1</f>
        <v>149</v>
      </c>
      <c r="B248" s="124"/>
      <c r="C248" s="366" t="s">
        <v>375</v>
      </c>
      <c r="D248" s="367"/>
      <c r="E248" s="443" t="str">
        <f>"(Note "&amp;B$308&amp;")"</f>
        <v>(Note M)</v>
      </c>
      <c r="F248" s="368" t="s">
        <v>282</v>
      </c>
      <c r="G248" s="83"/>
      <c r="H248" s="369">
        <f>'Cost Support - Att. 5'!G102</f>
        <v>0</v>
      </c>
      <c r="I248" s="78"/>
      <c r="J248" s="44"/>
    </row>
    <row r="249" spans="1:10" ht="15.75">
      <c r="A249" s="124">
        <f>+A248+1</f>
        <v>150</v>
      </c>
      <c r="B249" s="124"/>
      <c r="C249" s="364" t="s">
        <v>376</v>
      </c>
      <c r="D249" s="153"/>
      <c r="E249" s="493"/>
      <c r="F249" s="358" t="str">
        <f>"(Line "&amp;A247&amp;" - Line "&amp;A248&amp;")"</f>
        <v>(Line 148 - Line 149)</v>
      </c>
      <c r="G249" s="51"/>
      <c r="H249" s="365">
        <f>H247-H248</f>
        <v>13589051</v>
      </c>
      <c r="I249" s="78"/>
      <c r="J249" s="44"/>
    </row>
    <row r="250" spans="1:10" ht="15.75">
      <c r="A250" s="124">
        <f>+A249+1</f>
        <v>151</v>
      </c>
      <c r="B250" s="124"/>
      <c r="C250" s="364" t="s">
        <v>377</v>
      </c>
      <c r="D250" s="153"/>
      <c r="E250" s="492"/>
      <c r="F250" s="358" t="str">
        <f>"(Line "&amp;A249&amp;" / Line "&amp;A247&amp;")"</f>
        <v>(Line 150 / Line 148)</v>
      </c>
      <c r="G250" s="51"/>
      <c r="H250" s="332">
        <f>H249/H247</f>
        <v>1</v>
      </c>
      <c r="I250" s="78"/>
      <c r="J250" s="44"/>
    </row>
    <row r="251" spans="1:10" ht="15.75">
      <c r="A251" s="124">
        <f>+A250+1</f>
        <v>152</v>
      </c>
      <c r="B251" s="124"/>
      <c r="C251" s="366" t="s">
        <v>466</v>
      </c>
      <c r="D251" s="367"/>
      <c r="E251" s="494"/>
      <c r="F251" s="368" t="str">
        <f>"(Line "&amp;A244&amp;")"</f>
        <v>(Line 147)</v>
      </c>
      <c r="G251" s="83"/>
      <c r="H251" s="369">
        <f>H244</f>
        <v>2202248.2649904741</v>
      </c>
      <c r="I251" s="78"/>
      <c r="J251" s="44"/>
    </row>
    <row r="252" spans="1:10" ht="15.75">
      <c r="A252" s="124">
        <f>+A251+1</f>
        <v>153</v>
      </c>
      <c r="B252" s="124"/>
      <c r="C252" s="360" t="s">
        <v>378</v>
      </c>
      <c r="D252" s="153"/>
      <c r="E252" s="492"/>
      <c r="F252" s="358" t="str">
        <f>"(Line "&amp;A250&amp;" * Line "&amp;A251&amp;")"</f>
        <v>(Line 151 * Line 152)</v>
      </c>
      <c r="G252" s="51"/>
      <c r="H252" s="355">
        <f>H250*H251</f>
        <v>2202248.2649904741</v>
      </c>
      <c r="I252" s="78"/>
      <c r="J252" s="44"/>
    </row>
    <row r="253" spans="1:10" ht="15.75">
      <c r="A253" s="142"/>
      <c r="B253" s="26"/>
      <c r="C253" s="364"/>
      <c r="D253" s="68"/>
      <c r="E253" s="445"/>
      <c r="F253" s="43"/>
      <c r="G253" s="27"/>
      <c r="H253" s="354"/>
      <c r="I253" s="78"/>
      <c r="J253" s="44"/>
    </row>
    <row r="254" spans="1:10" ht="15.75">
      <c r="A254" s="142"/>
      <c r="B254" s="85" t="s">
        <v>117</v>
      </c>
      <c r="C254" s="364"/>
      <c r="D254" s="68"/>
      <c r="E254" s="445"/>
      <c r="F254" s="43"/>
      <c r="G254" s="27"/>
      <c r="H254" s="354"/>
      <c r="I254" s="78"/>
      <c r="J254" s="44"/>
    </row>
    <row r="255" spans="1:10" ht="15.75">
      <c r="A255" s="65">
        <f>+A252+1</f>
        <v>154</v>
      </c>
      <c r="B255" s="39"/>
      <c r="C255" s="356" t="s">
        <v>338</v>
      </c>
      <c r="D255" s="249"/>
      <c r="E255" s="445"/>
      <c r="F255" s="43" t="s">
        <v>283</v>
      </c>
      <c r="G255" s="27"/>
      <c r="H255" s="773">
        <f>'Revenue Credits - Att. 3'!D24</f>
        <v>0</v>
      </c>
      <c r="I255" s="78"/>
      <c r="J255" s="44"/>
    </row>
    <row r="256" spans="1:10" ht="15.75">
      <c r="A256" s="65">
        <f>+A255+1</f>
        <v>155</v>
      </c>
      <c r="B256" s="39"/>
      <c r="C256" s="356" t="s">
        <v>115</v>
      </c>
      <c r="D256" s="68"/>
      <c r="E256" s="635" t="str">
        <f>"(Note "&amp;B$309&amp;")"</f>
        <v>(Note N)</v>
      </c>
      <c r="F256" s="27" t="s">
        <v>282</v>
      </c>
      <c r="G256" s="27"/>
      <c r="H256" s="365">
        <f>'Cost Support - Att. 5'!G150</f>
        <v>0</v>
      </c>
      <c r="I256" s="78"/>
      <c r="J256" s="44"/>
    </row>
    <row r="257" spans="1:10" ht="16.5" thickBot="1">
      <c r="A257" s="26"/>
      <c r="B257" s="26"/>
      <c r="C257" s="88"/>
      <c r="D257" s="88"/>
      <c r="E257" s="452"/>
      <c r="F257" s="27"/>
      <c r="G257" s="27"/>
      <c r="H257" s="33"/>
      <c r="I257" s="78"/>
      <c r="J257" s="44"/>
    </row>
    <row r="258" spans="1:10" s="61" customFormat="1" ht="16.5" thickBot="1">
      <c r="A258" s="1197">
        <f>+A256+1</f>
        <v>156</v>
      </c>
      <c r="B258" s="1198"/>
      <c r="C258" s="1199" t="s">
        <v>477</v>
      </c>
      <c r="D258" s="1198"/>
      <c r="E258" s="1200"/>
      <c r="F258" s="1201" t="str">
        <f>"(Line "&amp;A252&amp;" - Line "&amp;A255&amp;" + Line "&amp;A256&amp;")"</f>
        <v>(Line 153 - Line 154 + Line 155)</v>
      </c>
      <c r="G258" s="1202"/>
      <c r="H258" s="1203">
        <f>H252-H255+H256</f>
        <v>2202248.2649904741</v>
      </c>
      <c r="I258" s="78"/>
      <c r="J258" s="154"/>
    </row>
    <row r="259" spans="1:10" ht="15.75">
      <c r="A259" s="142"/>
      <c r="B259" s="26"/>
      <c r="C259" s="88"/>
      <c r="D259" s="88"/>
      <c r="E259" s="446"/>
      <c r="F259" s="780"/>
      <c r="G259" s="27"/>
      <c r="H259" s="33"/>
      <c r="I259" s="78"/>
      <c r="J259" s="44"/>
    </row>
    <row r="260" spans="1:10" ht="15.75">
      <c r="A260" s="65"/>
      <c r="B260" s="111" t="s">
        <v>13</v>
      </c>
      <c r="C260" s="44"/>
      <c r="D260" s="88"/>
      <c r="E260" s="446"/>
      <c r="F260" s="775"/>
      <c r="G260" s="27"/>
      <c r="H260" s="33"/>
      <c r="I260" s="78"/>
      <c r="J260" s="44"/>
    </row>
    <row r="261" spans="1:10" ht="15.75">
      <c r="A261" s="65">
        <f>+A258+1</f>
        <v>157</v>
      </c>
      <c r="B261" s="65"/>
      <c r="C261" s="88" t="str">
        <f>+C251</f>
        <v>Gross Revenue Requirement</v>
      </c>
      <c r="D261" s="88"/>
      <c r="E261" s="446"/>
      <c r="F261" s="775" t="str">
        <f>"(Line "&amp;A251&amp;")"</f>
        <v>(Line 152)</v>
      </c>
      <c r="G261" s="27"/>
      <c r="H261" s="804">
        <f>H251</f>
        <v>2202248.2649904741</v>
      </c>
      <c r="I261" s="78"/>
      <c r="J261" s="44"/>
    </row>
    <row r="262" spans="1:10" ht="15.75">
      <c r="A262" s="65">
        <f>+A261+1</f>
        <v>158</v>
      </c>
      <c r="B262" s="65"/>
      <c r="C262" s="88" t="s">
        <v>414</v>
      </c>
      <c r="D262" s="88"/>
      <c r="E262" s="446"/>
      <c r="F262" s="775" t="str">
        <f>"(Line "&amp;A36&amp;" - Line "&amp;A57&amp;")"</f>
        <v>(Line 15 - Line 30)</v>
      </c>
      <c r="G262" s="27"/>
      <c r="H262" s="804">
        <f>(H36-H57)</f>
        <v>5801966</v>
      </c>
      <c r="I262" s="78"/>
      <c r="J262" s="44"/>
    </row>
    <row r="263" spans="1:10" ht="15.75">
      <c r="A263" s="65">
        <f>+A262+1</f>
        <v>159</v>
      </c>
      <c r="B263" s="65"/>
      <c r="C263" s="88" t="s">
        <v>15</v>
      </c>
      <c r="D263" s="88"/>
      <c r="E263" s="446"/>
      <c r="F263" s="775" t="str">
        <f>"(Line "&amp;A261&amp;" / Line "&amp;A262&amp;")"</f>
        <v>(Line 157 / Line 158)</v>
      </c>
      <c r="G263" s="27"/>
      <c r="H263" s="931">
        <f>H261/H262</f>
        <v>0.37956931581303199</v>
      </c>
      <c r="I263" s="78"/>
      <c r="J263" s="44"/>
    </row>
    <row r="264" spans="1:10" ht="15.75">
      <c r="A264" s="65">
        <f>+A263+1</f>
        <v>160</v>
      </c>
      <c r="B264" s="65"/>
      <c r="C264" s="88" t="s">
        <v>16</v>
      </c>
      <c r="D264" s="88"/>
      <c r="E264" s="446"/>
      <c r="F264" s="775" t="str">
        <f>"(Line "&amp;A261&amp;" - Line "&amp;A148&amp;") / Line "&amp;A262</f>
        <v>(Line 157 - Line 86) / Line 158</v>
      </c>
      <c r="G264" s="27"/>
      <c r="H264" s="931">
        <f>(H261-H148)/H262</f>
        <v>0.30308834367358822</v>
      </c>
      <c r="I264" s="78"/>
      <c r="J264" s="44"/>
    </row>
    <row r="265" spans="1:10" ht="15.75">
      <c r="A265" s="65">
        <f>+A264+1</f>
        <v>161</v>
      </c>
      <c r="B265" s="65"/>
      <c r="C265" s="88" t="s">
        <v>17</v>
      </c>
      <c r="D265" s="88"/>
      <c r="E265" s="275"/>
      <c r="F265" s="775" t="str">
        <f>"(Line "&amp;A261&amp;" - Line "&amp;A148&amp;" - Line "&amp;A209&amp;" - Line "&amp;A229&amp;") / Line "&amp;A262</f>
        <v>(Line 157 - Line 86 - Line 127 - Line 138) / Line 158</v>
      </c>
      <c r="G265" s="27"/>
      <c r="H265" s="931">
        <f>(H261-H148-H209-H229)/H262</f>
        <v>0.21421860823566594</v>
      </c>
      <c r="I265" s="78"/>
      <c r="J265" s="44"/>
    </row>
    <row r="266" spans="1:10" ht="15.75">
      <c r="A266" s="65"/>
      <c r="B266" s="65"/>
      <c r="C266" s="88"/>
      <c r="D266" s="88"/>
      <c r="E266" s="446"/>
      <c r="F266" s="775"/>
      <c r="G266" s="27"/>
      <c r="H266" s="33"/>
      <c r="I266" s="78"/>
      <c r="J266" s="44"/>
    </row>
    <row r="267" spans="1:10" ht="15.75">
      <c r="A267" s="65"/>
      <c r="B267" s="1165" t="s">
        <v>659</v>
      </c>
      <c r="C267" s="88"/>
      <c r="D267" s="88"/>
      <c r="E267" s="446"/>
      <c r="F267" s="775"/>
      <c r="G267" s="27"/>
      <c r="H267" s="33"/>
      <c r="I267" s="78"/>
      <c r="J267" s="44"/>
    </row>
    <row r="268" spans="1:10" ht="15.75">
      <c r="A268" s="65">
        <f>+A265+1</f>
        <v>162</v>
      </c>
      <c r="B268" s="65"/>
      <c r="C268" s="88" t="s">
        <v>415</v>
      </c>
      <c r="D268" s="88"/>
      <c r="E268" s="446"/>
      <c r="F268" s="775" t="str">
        <f>"(Line "&amp;A251&amp;" - Line "&amp;A241&amp;" - Line "&amp;A242&amp;")"</f>
        <v>(Line 152 - Line 145 - Line 146)</v>
      </c>
      <c r="G268" s="27"/>
      <c r="H268" s="804">
        <f>H251-H241-H242</f>
        <v>1686629.0815506538</v>
      </c>
      <c r="I268" s="78"/>
      <c r="J268" s="44"/>
    </row>
    <row r="269" spans="1:10" ht="15.75">
      <c r="A269" s="65">
        <f>+A268+1</f>
        <v>163</v>
      </c>
      <c r="B269" s="65"/>
      <c r="C269" s="88" t="s">
        <v>180</v>
      </c>
      <c r="D269" s="88"/>
      <c r="E269" s="446"/>
      <c r="F269" s="775" t="s">
        <v>284</v>
      </c>
      <c r="G269" s="27"/>
      <c r="H269" s="804">
        <f>'100 bp ROE incr - Att. 4'!I7</f>
        <v>550523.38979584991</v>
      </c>
      <c r="I269" s="78"/>
      <c r="J269" s="44"/>
    </row>
    <row r="270" spans="1:10" ht="15.75">
      <c r="A270" s="65">
        <f>+A269+1</f>
        <v>164</v>
      </c>
      <c r="B270" s="65"/>
      <c r="C270" s="88" t="s">
        <v>14</v>
      </c>
      <c r="D270" s="88"/>
      <c r="E270" s="446"/>
      <c r="F270" s="775" t="str">
        <f>"(Line "&amp;A268&amp;" + Line "&amp;A269&amp;")"</f>
        <v>(Line 162 + Line 163)</v>
      </c>
      <c r="G270" s="27"/>
      <c r="H270" s="804">
        <f>H268+H269</f>
        <v>2237152.4713465036</v>
      </c>
      <c r="I270" s="78"/>
      <c r="J270" s="44"/>
    </row>
    <row r="271" spans="1:10" ht="15.75">
      <c r="A271" s="65">
        <f>+A270+1</f>
        <v>165</v>
      </c>
      <c r="B271" s="65"/>
      <c r="C271" s="88" t="str">
        <f>+C262</f>
        <v xml:space="preserve">Net Transmission Plant </v>
      </c>
      <c r="D271" s="88"/>
      <c r="E271" s="446"/>
      <c r="F271" s="775" t="str">
        <f>"(Line "&amp;A36&amp;" - Line "&amp;A57&amp;")"</f>
        <v>(Line 15 - Line 30)</v>
      </c>
      <c r="G271" s="27"/>
      <c r="H271" s="804">
        <f>H36-H57</f>
        <v>5801966</v>
      </c>
      <c r="I271" s="78"/>
      <c r="J271" s="44"/>
    </row>
    <row r="272" spans="1:10" ht="15.75">
      <c r="A272" s="65">
        <f>+A271+1</f>
        <v>166</v>
      </c>
      <c r="B272" s="65"/>
      <c r="C272" s="88" t="s">
        <v>649</v>
      </c>
      <c r="D272" s="88"/>
      <c r="E272" s="446"/>
      <c r="F272" s="775" t="str">
        <f>"(Line "&amp;A270&amp;" / Line "&amp;A271&amp;")"</f>
        <v>(Line 164 / Line 165)</v>
      </c>
      <c r="G272" s="27"/>
      <c r="H272" s="931">
        <f>H270/H271</f>
        <v>0.38558524323419052</v>
      </c>
      <c r="I272" s="78"/>
      <c r="J272" s="44"/>
    </row>
    <row r="273" spans="1:213" ht="15.75">
      <c r="A273" s="65">
        <f>+A272+1</f>
        <v>167</v>
      </c>
      <c r="B273" s="65"/>
      <c r="C273" s="88" t="s">
        <v>650</v>
      </c>
      <c r="D273" s="88"/>
      <c r="E273" s="446"/>
      <c r="F273" s="775" t="str">
        <f>"(Line "&amp;A270&amp;" - Line "&amp;A148&amp;") /  Line "&amp;A271</f>
        <v>(Line 164 - Line 86) /  Line 165</v>
      </c>
      <c r="G273" s="27"/>
      <c r="H273" s="931">
        <f>(H270-H148)/H271</f>
        <v>0.30910427109474675</v>
      </c>
      <c r="I273" s="78"/>
      <c r="J273" s="44"/>
    </row>
    <row r="274" spans="1:213" ht="15.75">
      <c r="A274" s="65"/>
      <c r="B274" s="65"/>
      <c r="C274" s="88"/>
      <c r="D274" s="88"/>
      <c r="E274" s="446"/>
      <c r="F274" s="775"/>
      <c r="G274" s="27"/>
      <c r="H274" s="33"/>
      <c r="I274" s="78"/>
      <c r="J274" s="44"/>
    </row>
    <row r="275" spans="1:213" ht="15.75">
      <c r="A275" s="65">
        <f>+A273+1</f>
        <v>168</v>
      </c>
      <c r="B275" s="65"/>
      <c r="C275" s="111" t="s">
        <v>477</v>
      </c>
      <c r="D275" s="88"/>
      <c r="E275" s="275"/>
      <c r="F275" s="775" t="str">
        <f>"(Line "&amp;A258&amp;")"</f>
        <v>(Line 156)</v>
      </c>
      <c r="G275" s="27"/>
      <c r="H275" s="804">
        <f>H258</f>
        <v>2202248.2649904741</v>
      </c>
      <c r="I275" s="78"/>
      <c r="J275" s="44"/>
    </row>
    <row r="276" spans="1:213" ht="15.75">
      <c r="A276" s="65">
        <f>+A275+1</f>
        <v>169</v>
      </c>
      <c r="B276" s="65"/>
      <c r="C276" s="88" t="s">
        <v>181</v>
      </c>
      <c r="D276" s="88"/>
      <c r="E276" s="445"/>
      <c r="F276" s="1154" t="s">
        <v>279</v>
      </c>
      <c r="G276" s="27"/>
      <c r="H276" s="164">
        <f>'Est &amp; Rec WS - Att. 6 Reserved'!K161</f>
        <v>0</v>
      </c>
      <c r="I276" s="78"/>
      <c r="J276" s="44"/>
    </row>
    <row r="277" spans="1:213" ht="15.75">
      <c r="A277" s="65">
        <f>+A276+1</f>
        <v>170</v>
      </c>
      <c r="B277" s="65"/>
      <c r="C277" s="88" t="s">
        <v>508</v>
      </c>
      <c r="D277" s="88"/>
      <c r="E277" s="445"/>
      <c r="F277" s="1154" t="s">
        <v>172</v>
      </c>
      <c r="G277" s="27"/>
      <c r="H277" s="164">
        <f>'Cap Add WS - Att. 7'!AP46-'Cap Add WS - Att. 7'!AQ45</f>
        <v>0</v>
      </c>
      <c r="I277" s="78"/>
      <c r="J277" s="44"/>
    </row>
    <row r="278" spans="1:213" ht="15.75">
      <c r="A278" s="65">
        <f>+A277+1</f>
        <v>171</v>
      </c>
      <c r="B278" s="65"/>
      <c r="C278" s="68" t="s">
        <v>322</v>
      </c>
      <c r="D278" s="233"/>
      <c r="E278" s="451"/>
      <c r="F278" s="1155" t="s">
        <v>324</v>
      </c>
      <c r="G278" s="27"/>
      <c r="H278" s="805">
        <f>+'Cost Support - Att. 5'!G160</f>
        <v>0</v>
      </c>
      <c r="I278" s="78"/>
      <c r="J278" s="44"/>
      <c r="HE278" s="39">
        <f>SUM(A278:HD278)</f>
        <v>171</v>
      </c>
    </row>
    <row r="279" spans="1:213" ht="15.75">
      <c r="A279" s="65">
        <f>+A278+1</f>
        <v>172</v>
      </c>
      <c r="B279" s="65"/>
      <c r="C279" s="111" t="s">
        <v>121</v>
      </c>
      <c r="D279" s="88"/>
      <c r="E279" s="274"/>
      <c r="F279" s="775" t="str">
        <f>"(Line "&amp;A275&amp;" + "&amp;A276&amp;" + "&amp;A277&amp;" + "&amp;A278&amp;")"</f>
        <v>(Line 168 + 169 + 170 + 171)</v>
      </c>
      <c r="G279" s="27"/>
      <c r="H279" s="804">
        <f>(H275+H276+H277+H278)</f>
        <v>2202248.2649904741</v>
      </c>
      <c r="I279" s="78"/>
      <c r="J279" s="44"/>
    </row>
    <row r="280" spans="1:213" ht="15.75">
      <c r="A280" s="65"/>
      <c r="B280" s="26"/>
      <c r="C280" s="88"/>
      <c r="D280" s="88"/>
      <c r="E280" s="452"/>
      <c r="F280" s="775"/>
      <c r="G280" s="27"/>
      <c r="H280" s="164"/>
      <c r="I280" s="78"/>
      <c r="J280" s="44"/>
    </row>
    <row r="281" spans="1:213" ht="15.75">
      <c r="A281" s="65"/>
      <c r="B281" s="356" t="s">
        <v>120</v>
      </c>
      <c r="C281" s="88"/>
      <c r="D281" s="88"/>
      <c r="E281" s="452"/>
      <c r="F281" s="775"/>
      <c r="G281" s="27"/>
      <c r="H281" s="164"/>
      <c r="I281" s="78"/>
      <c r="J281" s="44"/>
    </row>
    <row r="282" spans="1:213" ht="15.75">
      <c r="A282" s="65">
        <f>+A279+1</f>
        <v>173</v>
      </c>
      <c r="B282" s="26"/>
      <c r="C282" s="27" t="s">
        <v>429</v>
      </c>
      <c r="D282" s="104"/>
      <c r="E282" s="635" t="str">
        <f>"(Note "&amp;B$307&amp;")"</f>
        <v>(Note L)</v>
      </c>
      <c r="F282" s="784" t="s">
        <v>116</v>
      </c>
      <c r="G282" s="88"/>
      <c r="H282" s="1168">
        <f>'Cost Support - Att. 5'!G166</f>
        <v>20948.7</v>
      </c>
      <c r="I282" s="78"/>
      <c r="J282" s="240" t="s">
        <v>353</v>
      </c>
    </row>
    <row r="283" spans="1:213" ht="15.75">
      <c r="A283" s="65">
        <f>+A282+1</f>
        <v>174</v>
      </c>
      <c r="B283" s="26"/>
      <c r="C283" s="27" t="s">
        <v>428</v>
      </c>
      <c r="D283" s="357"/>
      <c r="E283" s="495"/>
      <c r="F283" s="770" t="str">
        <f>"(Line "&amp;A279&amp;" / "&amp;A282&amp;")"</f>
        <v>(Line 172 / 173)</v>
      </c>
      <c r="G283" s="110"/>
      <c r="H283" s="1094">
        <f>H279/H282</f>
        <v>105.12577224316898</v>
      </c>
      <c r="I283" s="78"/>
      <c r="J283" s="44" t="s">
        <v>353</v>
      </c>
    </row>
    <row r="284" spans="1:213" ht="16.5" thickBot="1">
      <c r="A284" s="26"/>
      <c r="B284" s="26"/>
      <c r="C284" s="104"/>
      <c r="D284" s="104"/>
      <c r="E284" s="496"/>
      <c r="F284" s="209"/>
      <c r="G284" s="110"/>
      <c r="H284" s="268"/>
      <c r="I284" s="78"/>
      <c r="J284" s="44"/>
    </row>
    <row r="285" spans="1:213" s="70" customFormat="1" ht="16.5" thickBot="1">
      <c r="A285" s="498">
        <f>+A283+1</f>
        <v>175</v>
      </c>
      <c r="B285" s="500"/>
      <c r="C285" s="499" t="s">
        <v>487</v>
      </c>
      <c r="D285" s="500"/>
      <c r="E285" s="497"/>
      <c r="F285" s="499" t="str">
        <f>"(Line "&amp;A283&amp;")"</f>
        <v>(Line 174)</v>
      </c>
      <c r="G285" s="500"/>
      <c r="H285" s="1095">
        <f>H283</f>
        <v>105.12577224316898</v>
      </c>
      <c r="I285" s="78"/>
      <c r="J285" s="88"/>
    </row>
    <row r="286" spans="1:213" s="70" customFormat="1" ht="16.5" thickBot="1">
      <c r="A286" s="142"/>
      <c r="B286" s="66"/>
      <c r="C286" s="51"/>
      <c r="D286" s="51"/>
      <c r="E286" s="125"/>
      <c r="F286" s="110"/>
      <c r="G286" s="110"/>
      <c r="H286" s="268"/>
      <c r="I286" s="78"/>
      <c r="J286" s="88"/>
    </row>
    <row r="287" spans="1:213" s="70" customFormat="1" ht="39.75" customHeight="1" thickBot="1">
      <c r="A287" s="1218" t="s">
        <v>472</v>
      </c>
      <c r="B287" s="1219"/>
      <c r="C287" s="1219"/>
      <c r="D287" s="1219"/>
      <c r="E287" s="1219"/>
      <c r="F287" s="1219"/>
      <c r="G287" s="1219"/>
      <c r="H287" s="1220"/>
      <c r="I287" s="78"/>
      <c r="J287" s="88"/>
    </row>
    <row r="288" spans="1:213" s="70" customFormat="1" ht="80.25" customHeight="1">
      <c r="A288" s="1037"/>
      <c r="B288" s="1037"/>
      <c r="C288" s="1037"/>
      <c r="D288" s="1037"/>
      <c r="E288" s="1037"/>
      <c r="F288" s="1037"/>
      <c r="G288" s="1037"/>
      <c r="H288" s="1037"/>
      <c r="I288" s="78"/>
      <c r="J288" s="88"/>
    </row>
    <row r="289" spans="1:10" s="70" customFormat="1" ht="20.25">
      <c r="A289" s="299"/>
      <c r="B289" s="254" t="s">
        <v>355</v>
      </c>
      <c r="C289" s="352" t="s">
        <v>480</v>
      </c>
      <c r="D289" s="352"/>
      <c r="E289" s="353"/>
      <c r="F289" s="317"/>
      <c r="G289" s="317"/>
      <c r="H289" s="313"/>
      <c r="I289" s="78"/>
      <c r="J289" s="88"/>
    </row>
    <row r="290" spans="1:10" s="70" customFormat="1" ht="20.25">
      <c r="A290" s="299"/>
      <c r="B290" s="254" t="s">
        <v>448</v>
      </c>
      <c r="C290" s="352" t="str">
        <f>"Line "&amp;A37&amp;",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90" s="348"/>
      <c r="E290" s="349"/>
      <c r="F290" s="317"/>
      <c r="G290" s="317"/>
      <c r="H290" s="313"/>
      <c r="I290" s="78"/>
      <c r="J290" s="88"/>
    </row>
    <row r="291" spans="1:10" s="70" customFormat="1" ht="20.25">
      <c r="A291" s="299"/>
      <c r="B291" s="254"/>
      <c r="C291" s="352" t="str">
        <f>"Line "&amp;A38&amp;"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91" s="348"/>
      <c r="E291" s="349"/>
      <c r="F291" s="317"/>
      <c r="G291" s="317"/>
      <c r="H291" s="313"/>
      <c r="I291" s="78"/>
      <c r="J291" s="88"/>
    </row>
    <row r="292" spans="1:10" s="70" customFormat="1" ht="20.25">
      <c r="A292" s="299"/>
      <c r="B292" s="254"/>
      <c r="C292" s="352" t="s">
        <v>145</v>
      </c>
      <c r="D292" s="348"/>
      <c r="E292" s="349"/>
      <c r="F292" s="317"/>
      <c r="G292" s="317"/>
      <c r="H292" s="313"/>
      <c r="I292" s="78"/>
      <c r="J292" s="88"/>
    </row>
    <row r="293" spans="1:10" s="70" customFormat="1" ht="20.25">
      <c r="A293" s="299"/>
      <c r="B293" s="254" t="s">
        <v>339</v>
      </c>
      <c r="C293" s="352" t="s">
        <v>534</v>
      </c>
      <c r="D293" s="348"/>
      <c r="E293" s="349"/>
      <c r="F293" s="317"/>
      <c r="G293" s="317"/>
      <c r="H293" s="313"/>
      <c r="I293" s="78"/>
      <c r="J293" s="88"/>
    </row>
    <row r="294" spans="1:10" s="70" customFormat="1" ht="20.25">
      <c r="A294" s="299"/>
      <c r="B294" s="254" t="s">
        <v>356</v>
      </c>
      <c r="C294" s="352" t="s">
        <v>79</v>
      </c>
      <c r="D294" s="348"/>
      <c r="E294" s="349"/>
      <c r="F294" s="317"/>
      <c r="G294" s="317"/>
      <c r="H294" s="313"/>
      <c r="I294" s="78"/>
      <c r="J294" s="88"/>
    </row>
    <row r="295" spans="1:10" s="70" customFormat="1" ht="20.25">
      <c r="A295" s="299"/>
      <c r="B295" s="254" t="s">
        <v>354</v>
      </c>
      <c r="C295" s="352" t="s">
        <v>511</v>
      </c>
      <c r="D295" s="348"/>
      <c r="E295" s="349"/>
      <c r="F295" s="317"/>
      <c r="G295" s="317"/>
      <c r="H295" s="313"/>
      <c r="I295" s="78"/>
      <c r="J295" s="88"/>
    </row>
    <row r="296" spans="1:10" s="70" customFormat="1" ht="20.25">
      <c r="A296" s="299"/>
      <c r="B296" s="254" t="s">
        <v>159</v>
      </c>
      <c r="C296" s="352" t="s">
        <v>510</v>
      </c>
      <c r="D296" s="348"/>
      <c r="E296" s="349"/>
      <c r="F296" s="317"/>
      <c r="G296" s="317"/>
      <c r="H296" s="313"/>
      <c r="I296" s="78"/>
      <c r="J296" s="88"/>
    </row>
    <row r="297" spans="1:10" s="70" customFormat="1" ht="20.25">
      <c r="A297" s="299"/>
      <c r="B297" s="254" t="s">
        <v>357</v>
      </c>
      <c r="C297" s="352" t="s">
        <v>509</v>
      </c>
      <c r="D297" s="348"/>
      <c r="E297" s="349"/>
      <c r="F297" s="317"/>
      <c r="G297" s="317"/>
      <c r="H297" s="313"/>
      <c r="I297" s="78"/>
      <c r="J297" s="88"/>
    </row>
    <row r="298" spans="1:10" s="70" customFormat="1" ht="20.25">
      <c r="A298" s="299"/>
      <c r="B298" s="254" t="s">
        <v>569</v>
      </c>
      <c r="C298" s="352" t="s">
        <v>113</v>
      </c>
      <c r="D298" s="348"/>
      <c r="E298" s="349"/>
      <c r="F298" s="317"/>
      <c r="G298" s="317"/>
      <c r="H298" s="313"/>
      <c r="I298" s="78"/>
      <c r="J298" s="88"/>
    </row>
    <row r="299" spans="1:10" s="70" customFormat="1" ht="20.25">
      <c r="A299" s="299"/>
      <c r="B299" s="254" t="s">
        <v>585</v>
      </c>
      <c r="C299" s="352" t="s">
        <v>512</v>
      </c>
      <c r="D299" s="348"/>
      <c r="E299" s="349"/>
      <c r="F299" s="317"/>
      <c r="G299" s="317"/>
      <c r="H299" s="313"/>
      <c r="I299" s="78"/>
      <c r="J299" s="88"/>
    </row>
    <row r="300" spans="1:10" s="70" customFormat="1" ht="20.25">
      <c r="A300" s="299"/>
      <c r="B300" s="254"/>
      <c r="C300" s="352" t="s">
        <v>80</v>
      </c>
      <c r="D300" s="348"/>
      <c r="E300" s="349"/>
      <c r="F300" s="317"/>
      <c r="G300" s="317"/>
      <c r="H300" s="313"/>
      <c r="I300" s="78"/>
      <c r="J300" s="88"/>
    </row>
    <row r="301" spans="1:10" s="70" customFormat="1" ht="20.25" customHeight="1">
      <c r="A301" s="299"/>
      <c r="B301" s="254" t="s">
        <v>344</v>
      </c>
      <c r="C301" s="352" t="s">
        <v>530</v>
      </c>
      <c r="D301" s="348"/>
      <c r="E301" s="349"/>
      <c r="F301" s="317"/>
      <c r="G301" s="317"/>
      <c r="H301" s="313"/>
      <c r="I301" s="78"/>
      <c r="J301" s="88"/>
    </row>
    <row r="302" spans="1:10" s="70" customFormat="1" ht="20.25" customHeight="1">
      <c r="A302" s="299"/>
      <c r="B302" s="254"/>
      <c r="C302" s="352" t="s">
        <v>186</v>
      </c>
      <c r="D302" s="348"/>
      <c r="E302" s="349"/>
      <c r="F302" s="317"/>
      <c r="G302" s="317"/>
      <c r="H302" s="313"/>
      <c r="I302" s="78"/>
      <c r="J302" s="88"/>
    </row>
    <row r="303" spans="1:10" s="70" customFormat="1" ht="20.25" customHeight="1">
      <c r="A303" s="299"/>
      <c r="B303" s="254"/>
      <c r="C303" s="352" t="s">
        <v>81</v>
      </c>
      <c r="D303" s="348"/>
      <c r="E303" s="349"/>
      <c r="F303" s="317"/>
      <c r="G303" s="317"/>
      <c r="H303" s="313"/>
      <c r="I303" s="78"/>
      <c r="J303" s="88"/>
    </row>
    <row r="304" spans="1:10" s="70" customFormat="1" ht="20.25" customHeight="1">
      <c r="A304" s="299"/>
      <c r="B304" s="254"/>
      <c r="C304" s="352" t="s">
        <v>82</v>
      </c>
      <c r="D304" s="348"/>
      <c r="E304" s="349"/>
      <c r="F304" s="317"/>
      <c r="G304" s="317"/>
      <c r="H304" s="313"/>
      <c r="I304" s="78"/>
      <c r="J304" s="88"/>
    </row>
    <row r="305" spans="1:10" s="70" customFormat="1" ht="20.25" customHeight="1">
      <c r="A305" s="299"/>
      <c r="B305" s="254"/>
      <c r="C305" s="352" t="s">
        <v>92</v>
      </c>
      <c r="D305" s="348"/>
      <c r="E305" s="349"/>
      <c r="F305" s="317"/>
      <c r="G305" s="317"/>
      <c r="H305" s="313"/>
      <c r="I305" s="78"/>
      <c r="J305" s="88"/>
    </row>
    <row r="306" spans="1:10" s="70" customFormat="1" ht="18.75" customHeight="1">
      <c r="A306" s="299"/>
      <c r="B306" s="254" t="s">
        <v>359</v>
      </c>
      <c r="C306" s="352" t="s">
        <v>24</v>
      </c>
      <c r="D306" s="348"/>
      <c r="E306" s="349"/>
      <c r="F306" s="317"/>
      <c r="G306" s="317"/>
      <c r="H306" s="313"/>
      <c r="I306" s="78"/>
      <c r="J306" s="88"/>
    </row>
    <row r="307" spans="1:10" s="70" customFormat="1" ht="20.25">
      <c r="A307" s="299"/>
      <c r="B307" s="254" t="s">
        <v>432</v>
      </c>
      <c r="C307" s="352" t="s">
        <v>536</v>
      </c>
      <c r="D307" s="348"/>
      <c r="E307" s="349"/>
      <c r="F307" s="317"/>
      <c r="G307" s="317"/>
      <c r="H307" s="313"/>
      <c r="I307" s="78"/>
      <c r="J307" s="88"/>
    </row>
    <row r="308" spans="1:10" ht="20.25">
      <c r="A308" s="300"/>
      <c r="B308" s="254" t="s">
        <v>433</v>
      </c>
      <c r="C308" s="352" t="s">
        <v>500</v>
      </c>
      <c r="D308" s="348"/>
      <c r="E308" s="349"/>
      <c r="F308" s="317"/>
      <c r="G308" s="317"/>
      <c r="H308" s="313"/>
      <c r="I308" s="78"/>
      <c r="J308" s="44"/>
    </row>
    <row r="309" spans="1:10" ht="20.25">
      <c r="A309" s="300"/>
      <c r="B309" s="254" t="s">
        <v>160</v>
      </c>
      <c r="C309" s="352" t="s">
        <v>118</v>
      </c>
      <c r="D309" s="348"/>
      <c r="E309" s="349"/>
      <c r="F309" s="317"/>
      <c r="G309" s="317"/>
      <c r="H309" s="313"/>
      <c r="I309" s="78"/>
      <c r="J309" s="44"/>
    </row>
    <row r="310" spans="1:10" ht="20.25">
      <c r="A310" s="300"/>
      <c r="B310" s="254"/>
      <c r="C310" s="352" t="s">
        <v>573</v>
      </c>
      <c r="D310" s="348"/>
      <c r="E310" s="349"/>
      <c r="F310" s="317"/>
      <c r="G310" s="317"/>
      <c r="H310" s="313"/>
      <c r="I310" s="78"/>
      <c r="J310" s="44"/>
    </row>
    <row r="311" spans="1:10" ht="20.25">
      <c r="A311" s="300"/>
      <c r="B311" s="254"/>
      <c r="C311" s="352" t="str">
        <f>"  Interest on the Network Credits as booked each year is added to the revenue requirement to make the Transmisison Owner whole on Line "&amp;A256&amp;"."</f>
        <v xml:space="preserve">  Interest on the Network Credits as booked each year is added to the revenue requirement to make the Transmisison Owner whole on Line 155.</v>
      </c>
      <c r="D311" s="350"/>
      <c r="E311" s="349"/>
      <c r="F311" s="317"/>
      <c r="G311" s="317"/>
      <c r="H311" s="313"/>
      <c r="I311" s="78"/>
      <c r="J311" s="44"/>
    </row>
    <row r="312" spans="1:10" ht="20.25">
      <c r="A312" s="300"/>
      <c r="B312" s="254" t="s">
        <v>269</v>
      </c>
      <c r="C312" s="352" t="s">
        <v>91</v>
      </c>
      <c r="D312" s="350"/>
      <c r="E312" s="349"/>
      <c r="F312" s="317"/>
      <c r="G312" s="317"/>
      <c r="H312" s="313"/>
      <c r="I312" s="78"/>
      <c r="J312" s="44"/>
    </row>
    <row r="313" spans="1:10" ht="20.25">
      <c r="A313" s="300"/>
      <c r="B313" s="254"/>
      <c r="C313" s="352" t="str">
        <f>"in Transmission O&amp;M on Line "&amp;A106&amp;".    If they are booked to Acct 565, they are included on Line "&amp;A109&amp;"."</f>
        <v>in Transmission O&amp;M on Line 56.    If they are booked to Acct 565, they are included on Line 59.</v>
      </c>
      <c r="D313" s="528"/>
      <c r="E313" s="352"/>
      <c r="F313" s="317"/>
      <c r="G313" s="317"/>
      <c r="H313" s="313"/>
      <c r="I313" s="78"/>
      <c r="J313" s="44"/>
    </row>
    <row r="314" spans="1:10" s="70" customFormat="1" ht="20.25">
      <c r="A314" s="301"/>
      <c r="B314" s="254" t="s">
        <v>384</v>
      </c>
      <c r="C314" s="352" t="s">
        <v>420</v>
      </c>
      <c r="D314" s="351"/>
      <c r="E314" s="351"/>
      <c r="F314" s="213"/>
      <c r="G314" s="254"/>
      <c r="H314" s="254"/>
      <c r="I314" s="78"/>
      <c r="J314" s="88"/>
    </row>
    <row r="315" spans="1:10" ht="20.25">
      <c r="A315" s="302"/>
      <c r="B315" s="254" t="s">
        <v>584</v>
      </c>
      <c r="C315" s="352" t="s">
        <v>419</v>
      </c>
      <c r="D315" s="348"/>
      <c r="E315" s="942"/>
      <c r="F315" s="318"/>
      <c r="G315" s="317"/>
      <c r="H315" s="313"/>
      <c r="I315" s="78"/>
      <c r="J315" s="44"/>
    </row>
    <row r="316" spans="1:10" ht="20.25">
      <c r="A316" s="302"/>
      <c r="B316" s="254"/>
      <c r="C316" s="352" t="str">
        <f>"period May 1, 2007 through May 31, 2009 the formula produces an equity ratio exceeding 58.0%, the formulaic value at Line "&amp;A198&amp;" shall be manually set to 58.0%"</f>
        <v>period May 1, 2007 through May 31, 2009 the formula produces an equity ratio exceeding 58.0%, the formulaic value at Line 119 shall be manually set to 58.0%</v>
      </c>
      <c r="D316" s="348"/>
      <c r="E316" s="942"/>
      <c r="F316" s="318"/>
      <c r="G316" s="317"/>
      <c r="H316" s="313"/>
      <c r="I316" s="78"/>
      <c r="J316" s="44"/>
    </row>
    <row r="317" spans="1:10" ht="20.25">
      <c r="A317" s="302"/>
      <c r="B317" s="254"/>
      <c r="C317" s="352" t="str">
        <f>"and the formulaic value at Line "&amp;A196&amp; " shall be manually set to 42.0% less the percentage shown at Line "&amp;A197&amp;"."</f>
        <v>and the formulaic value at Line 117 shall be manually set to 42.0% less the percentage shown at Line 118.</v>
      </c>
      <c r="D317" s="348"/>
      <c r="E317" s="942"/>
      <c r="F317" s="318"/>
      <c r="G317" s="317"/>
      <c r="H317" s="313"/>
      <c r="I317" s="78"/>
      <c r="J317" s="44"/>
    </row>
    <row r="318" spans="1:10" ht="20.25">
      <c r="A318" s="303"/>
      <c r="B318" s="254"/>
      <c r="C318" s="352" t="str">
        <f>"If, during the period June 1, 2009 through May 31, 2010, the formula produces an equity ratio exceeding 57.0%, the formulaic value at Line "&amp;A198&amp;" shall be manually"</f>
        <v>If, during the period June 1, 2009 through May 31, 2010, the formula produces an equity ratio exceeding 57.0%, the formulaic value at Line 119 shall be manually</v>
      </c>
      <c r="D318" s="350"/>
      <c r="E318" s="943"/>
      <c r="F318" s="318"/>
      <c r="G318" s="314"/>
      <c r="H318" s="944"/>
      <c r="I318" s="78"/>
      <c r="J318" s="44"/>
    </row>
    <row r="319" spans="1:10" ht="18">
      <c r="A319" s="44"/>
      <c r="B319" s="254"/>
      <c r="C319" s="352" t="str">
        <f>"set to 57% and the value at Line "&amp;A196&amp;" shall be manually set to 43.0% less the percentage shown at Line "&amp;A197&amp;"."</f>
        <v>set to 57% and the value at Line 117 shall be manually set to 43.0% less the percentage shown at Line 118.</v>
      </c>
      <c r="D319" s="350"/>
      <c r="E319" s="942"/>
      <c r="F319" s="318"/>
      <c r="G319" s="314"/>
      <c r="H319" s="806"/>
      <c r="I319" s="78"/>
      <c r="J319" s="44"/>
    </row>
    <row r="320" spans="1:10" ht="20.25">
      <c r="A320" s="303"/>
      <c r="B320" s="254"/>
      <c r="C320" s="352" t="str">
        <f>"If, during the period June 1, 2010 through May 31, 2011, the formula produces an equity ratio exceeding 56.0%, the formulaic value at Line "&amp;A198&amp;" shall be manually "</f>
        <v xml:space="preserve">If, during the period June 1, 2010 through May 31, 2011, the formula produces an equity ratio exceeding 56.0%, the formulaic value at Line 119 shall be manually </v>
      </c>
      <c r="D320" s="945"/>
      <c r="E320" s="942"/>
      <c r="F320" s="318"/>
      <c r="G320" s="315"/>
      <c r="H320" s="806"/>
      <c r="I320" s="78"/>
      <c r="J320" s="44"/>
    </row>
    <row r="321" spans="1:10" ht="20.25">
      <c r="A321" s="307"/>
      <c r="B321" s="254"/>
      <c r="C321" s="352" t="str">
        <f>"set to 56% and the value at Line "&amp;A196&amp;" shall be manually set to 44.0% less the percentage shown at Line "&amp;A197&amp;"."</f>
        <v>set to 56% and the value at Line 117 shall be manually set to 44.0% less the percentage shown at Line 118.</v>
      </c>
      <c r="D321" s="350"/>
      <c r="E321" s="942"/>
      <c r="F321" s="318"/>
      <c r="G321" s="315"/>
      <c r="H321" s="946"/>
      <c r="I321" s="78"/>
      <c r="J321" s="44"/>
    </row>
    <row r="322" spans="1:10" ht="20.25">
      <c r="A322" s="307"/>
      <c r="B322" s="254"/>
      <c r="C322" s="352" t="str">
        <f>"If, during any period following May 31, 2011, the formula produces an equity ratio exceeding 55.0%, the formulaic value at Line "&amp;A198&amp;" shall be manually set to 55.0% "</f>
        <v xml:space="preserve">If, during any period following May 31, 2011, the formula produces an equity ratio exceeding 55.0%, the formulaic value at Line 119 shall be manually set to 55.0% </v>
      </c>
      <c r="D322" s="350"/>
      <c r="E322" s="942"/>
      <c r="F322" s="318"/>
      <c r="G322" s="315"/>
      <c r="H322" s="947"/>
      <c r="I322" s="78"/>
      <c r="J322" s="44"/>
    </row>
    <row r="323" spans="1:10" ht="20.25">
      <c r="A323" s="305"/>
      <c r="B323" s="254"/>
      <c r="C323" s="352" t="str">
        <f>"and the formulaic value at Line "&amp;A196&amp;" shall be manually set to 45.0% less the percentage shown at Line "&amp;A197&amp;"."</f>
        <v>and the formulaic value at Line 117 shall be manually set to 45.0% less the percentage shown at Line 118.</v>
      </c>
      <c r="D323" s="350"/>
      <c r="E323" s="942"/>
      <c r="F323" s="318"/>
      <c r="G323" s="315"/>
      <c r="H323" s="948"/>
      <c r="I323" s="78"/>
      <c r="J323" s="44"/>
    </row>
    <row r="324" spans="1:10" ht="20.25">
      <c r="A324" s="307"/>
      <c r="B324" s="314"/>
      <c r="C324" s="314"/>
      <c r="D324" s="314"/>
      <c r="E324" s="318"/>
      <c r="F324" s="318"/>
      <c r="G324" s="315"/>
      <c r="H324" s="806"/>
      <c r="I324" s="78"/>
      <c r="J324" s="44"/>
    </row>
    <row r="325" spans="1:10" ht="20.25">
      <c r="A325" s="307"/>
      <c r="B325" s="314"/>
      <c r="C325" s="314"/>
      <c r="D325" s="314"/>
      <c r="E325" s="318"/>
      <c r="F325" s="318"/>
      <c r="G325" s="315"/>
      <c r="H325" s="806"/>
      <c r="I325" s="78"/>
      <c r="J325" s="44"/>
    </row>
    <row r="326" spans="1:10" ht="20.25">
      <c r="A326" s="307"/>
      <c r="B326" s="314"/>
      <c r="C326" s="314"/>
      <c r="D326" s="314"/>
      <c r="E326" s="319"/>
      <c r="F326" s="318"/>
      <c r="G326" s="316"/>
      <c r="H326" s="807"/>
      <c r="I326" s="78"/>
      <c r="J326" s="44"/>
    </row>
    <row r="327" spans="1:10" ht="20.25">
      <c r="A327" s="307"/>
      <c r="B327" s="314"/>
      <c r="C327" s="314"/>
      <c r="D327" s="314"/>
      <c r="E327" s="318"/>
      <c r="F327" s="318"/>
      <c r="G327" s="316"/>
      <c r="H327" s="807"/>
      <c r="I327" s="78"/>
      <c r="J327" s="44"/>
    </row>
    <row r="328" spans="1:10" ht="20.25">
      <c r="A328" s="307"/>
      <c r="B328" s="314"/>
      <c r="C328" s="314"/>
      <c r="D328" s="314"/>
      <c r="E328" s="318"/>
      <c r="F328" s="318"/>
      <c r="G328" s="316"/>
      <c r="H328" s="807"/>
      <c r="I328" s="78"/>
      <c r="J328" s="44"/>
    </row>
    <row r="329" spans="1:10" ht="20.25">
      <c r="A329" s="307"/>
      <c r="B329" s="314"/>
      <c r="C329" s="314"/>
      <c r="D329" s="314"/>
      <c r="E329" s="318"/>
      <c r="F329" s="318"/>
      <c r="G329" s="316"/>
      <c r="H329" s="807"/>
      <c r="I329" s="78"/>
      <c r="J329" s="44"/>
    </row>
    <row r="330" spans="1:10" ht="20.25">
      <c r="A330" s="307"/>
      <c r="B330" s="314"/>
      <c r="C330" s="314"/>
      <c r="D330" s="314"/>
      <c r="E330" s="318"/>
      <c r="F330" s="318"/>
      <c r="G330" s="316"/>
      <c r="H330" s="807"/>
      <c r="I330" s="78"/>
      <c r="J330" s="44"/>
    </row>
    <row r="331" spans="1:10" ht="20.25">
      <c r="A331" s="307"/>
      <c r="B331" s="314"/>
      <c r="C331" s="314"/>
      <c r="D331" s="314"/>
      <c r="E331" s="318"/>
      <c r="F331" s="318"/>
      <c r="G331" s="316"/>
      <c r="H331" s="807"/>
      <c r="I331" s="78"/>
      <c r="J331" s="44"/>
    </row>
    <row r="332" spans="1:10" ht="20.25">
      <c r="A332" s="307"/>
      <c r="B332" s="314"/>
      <c r="C332" s="314"/>
      <c r="D332" s="314"/>
      <c r="E332" s="320"/>
      <c r="F332" s="315"/>
      <c r="G332" s="316"/>
      <c r="H332" s="807"/>
      <c r="I332" s="78"/>
      <c r="J332" s="44"/>
    </row>
    <row r="333" spans="1:10" ht="20.25">
      <c r="A333" s="307"/>
      <c r="B333" s="314"/>
      <c r="C333" s="314"/>
      <c r="D333" s="314"/>
      <c r="E333" s="320"/>
      <c r="F333" s="315"/>
      <c r="G333" s="316"/>
      <c r="H333" s="807"/>
      <c r="I333" s="78"/>
      <c r="J333" s="44"/>
    </row>
    <row r="334" spans="1:10" ht="20.25">
      <c r="A334" s="307"/>
      <c r="B334" s="314"/>
      <c r="C334" s="314"/>
      <c r="D334" s="314"/>
      <c r="E334" s="320"/>
      <c r="F334" s="315"/>
      <c r="G334" s="316"/>
      <c r="H334" s="807"/>
      <c r="I334" s="78"/>
      <c r="J334" s="44"/>
    </row>
    <row r="335" spans="1:10" ht="20.25">
      <c r="A335" s="307"/>
      <c r="B335" s="314"/>
      <c r="C335" s="314"/>
      <c r="D335" s="314"/>
      <c r="E335" s="320"/>
      <c r="F335" s="315"/>
      <c r="G335" s="316"/>
      <c r="H335" s="807"/>
      <c r="I335" s="78"/>
      <c r="J335" s="44"/>
    </row>
    <row r="336" spans="1:10" ht="20.25">
      <c r="A336" s="307"/>
      <c r="B336" s="314"/>
      <c r="C336" s="314"/>
      <c r="D336" s="314"/>
      <c r="E336" s="320"/>
      <c r="F336" s="315"/>
      <c r="G336" s="316"/>
      <c r="H336" s="807"/>
      <c r="I336" s="78"/>
      <c r="J336" s="44"/>
    </row>
    <row r="337" spans="1:10" ht="20.25">
      <c r="A337" s="307"/>
      <c r="B337" s="314"/>
      <c r="C337" s="314"/>
      <c r="D337" s="314"/>
      <c r="E337" s="320"/>
      <c r="F337" s="315"/>
      <c r="G337" s="316"/>
      <c r="H337" s="807"/>
      <c r="I337" s="78"/>
      <c r="J337" s="44"/>
    </row>
    <row r="338" spans="1:10" ht="20.25">
      <c r="A338" s="307"/>
      <c r="B338" s="314"/>
      <c r="C338" s="314"/>
      <c r="D338" s="314"/>
      <c r="E338" s="320"/>
      <c r="F338" s="315"/>
      <c r="G338" s="316"/>
      <c r="H338" s="807"/>
      <c r="I338" s="78"/>
      <c r="J338" s="44"/>
    </row>
    <row r="339" spans="1:10" ht="20.25">
      <c r="A339" s="307"/>
      <c r="B339" s="314"/>
      <c r="C339" s="314"/>
      <c r="D339" s="314"/>
      <c r="E339" s="320"/>
      <c r="F339" s="315"/>
      <c r="G339" s="316"/>
      <c r="H339" s="807"/>
      <c r="I339" s="78"/>
      <c r="J339" s="44"/>
    </row>
    <row r="340" spans="1:10" ht="20.25">
      <c r="A340" s="307"/>
      <c r="B340" s="314"/>
      <c r="C340" s="314"/>
      <c r="D340" s="314"/>
      <c r="E340" s="320"/>
      <c r="F340" s="315"/>
      <c r="G340" s="316"/>
      <c r="H340" s="807"/>
      <c r="I340" s="78"/>
      <c r="J340" s="44"/>
    </row>
    <row r="341" spans="1:10" ht="20.25">
      <c r="A341" s="307"/>
      <c r="B341" s="314"/>
      <c r="C341" s="314"/>
      <c r="D341" s="314"/>
      <c r="E341" s="320"/>
      <c r="F341" s="315"/>
      <c r="G341" s="316"/>
      <c r="H341" s="807"/>
      <c r="I341" s="78"/>
      <c r="J341" s="44"/>
    </row>
    <row r="342" spans="1:10" ht="20.25">
      <c r="A342" s="307"/>
      <c r="B342" s="314"/>
      <c r="C342" s="314"/>
      <c r="D342" s="314"/>
      <c r="E342" s="320"/>
      <c r="F342" s="315"/>
      <c r="G342" s="316"/>
      <c r="H342" s="807"/>
      <c r="I342" s="78"/>
      <c r="J342" s="44"/>
    </row>
    <row r="343" spans="1:10" ht="20.25">
      <c r="A343" s="307"/>
      <c r="B343" s="314"/>
      <c r="C343" s="314"/>
      <c r="D343" s="314"/>
      <c r="E343" s="320"/>
      <c r="F343" s="315"/>
      <c r="G343" s="316"/>
      <c r="H343" s="807"/>
      <c r="I343" s="78"/>
      <c r="J343" s="44"/>
    </row>
    <row r="344" spans="1:10" ht="20.25">
      <c r="A344" s="307"/>
      <c r="B344" s="314"/>
      <c r="C344" s="314"/>
      <c r="D344" s="314"/>
      <c r="E344" s="320"/>
      <c r="F344" s="315"/>
      <c r="G344" s="316"/>
      <c r="H344" s="807"/>
      <c r="I344" s="78"/>
      <c r="J344" s="44"/>
    </row>
    <row r="345" spans="1:10" ht="20.25">
      <c r="A345" s="307"/>
      <c r="B345" s="314"/>
      <c r="C345" s="314"/>
      <c r="D345" s="314"/>
      <c r="E345" s="320"/>
      <c r="F345" s="315"/>
      <c r="G345" s="316"/>
      <c r="H345" s="807"/>
      <c r="I345" s="78"/>
      <c r="J345" s="44"/>
    </row>
    <row r="346" spans="1:10" ht="20.25">
      <c r="A346" s="307"/>
      <c r="B346" s="314"/>
      <c r="C346" s="314"/>
      <c r="D346" s="314"/>
      <c r="E346" s="320"/>
      <c r="F346" s="315"/>
      <c r="G346" s="316"/>
      <c r="H346" s="807"/>
      <c r="I346" s="78"/>
      <c r="J346" s="44"/>
    </row>
    <row r="347" spans="1:10" ht="20.25">
      <c r="A347" s="307"/>
      <c r="B347" s="314"/>
      <c r="C347" s="314"/>
      <c r="D347" s="314"/>
      <c r="E347" s="320"/>
      <c r="F347" s="315"/>
      <c r="G347" s="316"/>
      <c r="H347" s="807"/>
      <c r="I347" s="78"/>
      <c r="J347" s="44"/>
    </row>
    <row r="348" spans="1:10" ht="20.25">
      <c r="A348" s="307"/>
      <c r="B348" s="314"/>
      <c r="C348" s="314"/>
      <c r="D348" s="314"/>
      <c r="E348" s="320"/>
      <c r="F348" s="315"/>
      <c r="G348" s="316"/>
      <c r="H348" s="807"/>
      <c r="I348" s="78"/>
      <c r="J348" s="44"/>
    </row>
    <row r="349" spans="1:10" ht="20.25">
      <c r="A349" s="307"/>
      <c r="B349" s="314"/>
      <c r="C349" s="314"/>
      <c r="D349" s="314"/>
      <c r="E349" s="320"/>
      <c r="F349" s="315"/>
      <c r="G349" s="316"/>
      <c r="H349" s="807"/>
      <c r="I349" s="78"/>
      <c r="J349" s="44"/>
    </row>
    <row r="350" spans="1:10" ht="20.25">
      <c r="A350" s="307"/>
      <c r="B350" s="314"/>
      <c r="C350" s="314"/>
      <c r="D350" s="314"/>
      <c r="E350" s="320"/>
      <c r="F350" s="315"/>
      <c r="G350" s="316"/>
      <c r="H350" s="807"/>
      <c r="I350" s="78"/>
      <c r="J350" s="44"/>
    </row>
    <row r="351" spans="1:10" ht="20.25">
      <c r="A351" s="307"/>
      <c r="B351" s="314"/>
      <c r="C351" s="314"/>
      <c r="D351" s="314"/>
      <c r="E351" s="320"/>
      <c r="F351" s="315"/>
      <c r="G351" s="316"/>
      <c r="H351" s="807"/>
      <c r="I351" s="78"/>
      <c r="J351" s="44"/>
    </row>
    <row r="352" spans="1:10" ht="20.25">
      <c r="A352" s="307"/>
      <c r="B352" s="314"/>
      <c r="C352" s="314"/>
      <c r="D352" s="314"/>
      <c r="E352" s="320"/>
      <c r="F352" s="315"/>
      <c r="G352" s="316"/>
      <c r="H352" s="807"/>
      <c r="I352" s="78"/>
      <c r="J352" s="44"/>
    </row>
    <row r="353" spans="1:10" ht="20.25">
      <c r="A353" s="307"/>
      <c r="B353" s="314"/>
      <c r="C353" s="314"/>
      <c r="D353" s="314"/>
      <c r="E353" s="320"/>
      <c r="F353" s="315"/>
      <c r="G353" s="316"/>
      <c r="H353" s="807"/>
      <c r="I353" s="78"/>
      <c r="J353" s="44"/>
    </row>
    <row r="354" spans="1:10" ht="20.25">
      <c r="A354" s="307"/>
      <c r="B354" s="314"/>
      <c r="C354" s="314"/>
      <c r="D354" s="314"/>
      <c r="E354" s="320"/>
      <c r="F354" s="315"/>
      <c r="G354" s="316"/>
      <c r="H354" s="807"/>
      <c r="I354" s="78"/>
      <c r="J354" s="44"/>
    </row>
    <row r="355" spans="1:10" ht="20.25">
      <c r="A355" s="307"/>
      <c r="B355" s="314"/>
      <c r="C355" s="314"/>
      <c r="D355" s="314"/>
      <c r="E355" s="320"/>
      <c r="F355" s="315"/>
      <c r="G355" s="316"/>
      <c r="H355" s="807"/>
      <c r="I355" s="78"/>
      <c r="J355" s="44"/>
    </row>
    <row r="356" spans="1:10" ht="20.25">
      <c r="A356" s="307"/>
      <c r="B356" s="314"/>
      <c r="C356" s="314"/>
      <c r="D356" s="314"/>
      <c r="E356" s="320"/>
      <c r="F356" s="315"/>
      <c r="G356" s="316"/>
      <c r="H356" s="807"/>
      <c r="I356" s="78"/>
      <c r="J356" s="44"/>
    </row>
    <row r="357" spans="1:10" ht="20.25">
      <c r="A357" s="307"/>
      <c r="B357" s="314"/>
      <c r="C357" s="314"/>
      <c r="D357" s="314"/>
      <c r="E357" s="320"/>
      <c r="F357" s="315"/>
      <c r="G357" s="316"/>
      <c r="H357" s="807"/>
      <c r="I357" s="78"/>
      <c r="J357" s="44"/>
    </row>
    <row r="358" spans="1:10" ht="20.25">
      <c r="A358" s="307"/>
      <c r="B358" s="314"/>
      <c r="C358" s="314"/>
      <c r="D358" s="314"/>
      <c r="E358" s="320"/>
      <c r="F358" s="315"/>
      <c r="G358" s="316"/>
      <c r="H358" s="807"/>
      <c r="I358" s="78"/>
      <c r="J358" s="44"/>
    </row>
    <row r="359" spans="1:10" ht="20.25">
      <c r="A359" s="307"/>
      <c r="B359" s="314"/>
      <c r="C359" s="314"/>
      <c r="D359" s="314"/>
      <c r="E359" s="320"/>
      <c r="F359" s="315"/>
      <c r="G359" s="316"/>
      <c r="H359" s="807"/>
      <c r="I359" s="78"/>
      <c r="J359" s="44"/>
    </row>
    <row r="360" spans="1:10" ht="20.25">
      <c r="A360" s="307"/>
      <c r="B360" s="314"/>
      <c r="C360" s="314"/>
      <c r="D360" s="314"/>
      <c r="E360" s="320"/>
      <c r="F360" s="315"/>
      <c r="G360" s="316"/>
      <c r="H360" s="807"/>
      <c r="I360" s="78"/>
      <c r="J360" s="44"/>
    </row>
    <row r="361" spans="1:10" ht="20.25">
      <c r="A361" s="307"/>
      <c r="B361" s="314"/>
      <c r="C361" s="314"/>
      <c r="D361" s="314"/>
      <c r="E361" s="320"/>
      <c r="F361" s="315"/>
      <c r="G361" s="316"/>
      <c r="H361" s="807"/>
      <c r="I361" s="78"/>
      <c r="J361" s="44"/>
    </row>
    <row r="362" spans="1:10" ht="20.25">
      <c r="A362" s="307"/>
      <c r="B362" s="314"/>
      <c r="C362" s="314"/>
      <c r="D362" s="314"/>
      <c r="E362" s="320"/>
      <c r="F362" s="315"/>
      <c r="G362" s="316"/>
      <c r="H362" s="807"/>
      <c r="I362" s="78"/>
      <c r="J362" s="44"/>
    </row>
    <row r="363" spans="1:10" ht="20.25">
      <c r="A363" s="307"/>
      <c r="B363" s="314"/>
      <c r="C363" s="314"/>
      <c r="D363" s="314"/>
      <c r="E363" s="320"/>
      <c r="F363" s="315"/>
      <c r="G363" s="316"/>
      <c r="H363" s="807"/>
      <c r="I363" s="78"/>
      <c r="J363" s="44"/>
    </row>
    <row r="364" spans="1:10" ht="20.25">
      <c r="A364" s="307"/>
      <c r="B364" s="314"/>
      <c r="C364" s="314"/>
      <c r="D364" s="314"/>
      <c r="E364" s="320"/>
      <c r="F364" s="315"/>
      <c r="G364" s="316"/>
      <c r="H364" s="807"/>
      <c r="I364" s="78"/>
      <c r="J364" s="44"/>
    </row>
    <row r="365" spans="1:10" ht="20.25">
      <c r="A365" s="307"/>
      <c r="B365" s="314"/>
      <c r="C365" s="314"/>
      <c r="D365" s="314"/>
      <c r="E365" s="320"/>
      <c r="F365" s="315"/>
      <c r="G365" s="316"/>
      <c r="H365" s="807"/>
      <c r="I365" s="78"/>
      <c r="J365" s="44"/>
    </row>
    <row r="366" spans="1:10" ht="20.25">
      <c r="A366" s="307"/>
      <c r="B366" s="314"/>
      <c r="C366" s="314"/>
      <c r="D366" s="314"/>
      <c r="E366" s="320"/>
      <c r="F366" s="315"/>
      <c r="G366" s="316"/>
      <c r="H366" s="807"/>
      <c r="I366" s="78"/>
      <c r="J366" s="44"/>
    </row>
    <row r="367" spans="1:10" ht="20.25">
      <c r="A367" s="307"/>
      <c r="B367" s="314"/>
      <c r="C367" s="314"/>
      <c r="D367" s="314"/>
      <c r="E367" s="320"/>
      <c r="F367" s="315"/>
      <c r="G367" s="316"/>
      <c r="H367" s="807"/>
      <c r="I367" s="78"/>
      <c r="J367" s="44"/>
    </row>
    <row r="368" spans="1:10" ht="20.25">
      <c r="A368" s="307"/>
      <c r="B368" s="314"/>
      <c r="C368" s="314"/>
      <c r="D368" s="314"/>
      <c r="E368" s="320"/>
      <c r="F368" s="315"/>
      <c r="G368" s="316"/>
      <c r="H368" s="807"/>
      <c r="I368" s="78"/>
      <c r="J368" s="44"/>
    </row>
    <row r="369" spans="1:10" ht="20.25">
      <c r="A369" s="307"/>
      <c r="B369" s="314"/>
      <c r="C369" s="314"/>
      <c r="D369" s="314"/>
      <c r="E369" s="320"/>
      <c r="F369" s="315"/>
      <c r="G369" s="316"/>
      <c r="H369" s="807"/>
      <c r="I369" s="78"/>
      <c r="J369" s="44"/>
    </row>
    <row r="370" spans="1:10" ht="20.25">
      <c r="A370" s="307"/>
      <c r="B370" s="314"/>
      <c r="C370" s="314"/>
      <c r="D370" s="314"/>
      <c r="E370" s="320"/>
      <c r="F370" s="315"/>
      <c r="G370" s="316"/>
      <c r="H370" s="807"/>
      <c r="I370" s="78"/>
      <c r="J370" s="44"/>
    </row>
    <row r="371" spans="1:10" ht="20.25">
      <c r="A371" s="307"/>
      <c r="B371" s="314"/>
      <c r="C371" s="314"/>
      <c r="D371" s="314"/>
      <c r="E371" s="320"/>
      <c r="F371" s="315"/>
      <c r="G371" s="316"/>
      <c r="H371" s="807"/>
      <c r="I371" s="78"/>
      <c r="J371" s="44"/>
    </row>
    <row r="372" spans="1:10" ht="20.25">
      <c r="A372" s="307"/>
      <c r="B372" s="314"/>
      <c r="C372" s="314"/>
      <c r="D372" s="314"/>
      <c r="E372" s="320"/>
      <c r="F372" s="315"/>
      <c r="G372" s="316"/>
      <c r="H372" s="807"/>
      <c r="I372" s="78"/>
      <c r="J372" s="44"/>
    </row>
    <row r="373" spans="1:10" ht="20.25">
      <c r="A373" s="307"/>
      <c r="B373" s="314"/>
      <c r="C373" s="314"/>
      <c r="D373" s="314"/>
      <c r="E373" s="320"/>
      <c r="F373" s="315"/>
      <c r="G373" s="316"/>
      <c r="H373" s="807"/>
      <c r="I373" s="78"/>
      <c r="J373" s="44"/>
    </row>
    <row r="374" spans="1:10" ht="20.25">
      <c r="A374" s="307"/>
      <c r="B374" s="314"/>
      <c r="C374" s="314"/>
      <c r="D374" s="314"/>
      <c r="E374" s="320"/>
      <c r="F374" s="315"/>
      <c r="G374" s="316"/>
      <c r="H374" s="807"/>
      <c r="I374" s="78"/>
      <c r="J374" s="44"/>
    </row>
    <row r="375" spans="1:10" ht="20.25">
      <c r="A375" s="307"/>
      <c r="B375" s="314"/>
      <c r="C375" s="314"/>
      <c r="D375" s="314"/>
      <c r="E375" s="320"/>
      <c r="F375" s="315"/>
      <c r="G375" s="316"/>
      <c r="H375" s="807"/>
      <c r="I375" s="78"/>
      <c r="J375" s="44"/>
    </row>
    <row r="376" spans="1:10" ht="20.25">
      <c r="A376" s="307"/>
      <c r="B376" s="314"/>
      <c r="C376" s="314"/>
      <c r="D376" s="314"/>
      <c r="E376" s="320"/>
      <c r="F376" s="315"/>
      <c r="G376" s="316"/>
      <c r="H376" s="807"/>
      <c r="I376" s="78"/>
      <c r="J376" s="44"/>
    </row>
    <row r="377" spans="1:10" ht="20.25">
      <c r="A377" s="307"/>
      <c r="B377" s="314"/>
      <c r="C377" s="314"/>
      <c r="D377" s="314"/>
      <c r="E377" s="320"/>
      <c r="F377" s="315"/>
      <c r="G377" s="316"/>
      <c r="H377" s="807"/>
      <c r="I377" s="78"/>
      <c r="J377" s="44"/>
    </row>
    <row r="378" spans="1:10" ht="20.25">
      <c r="A378" s="307"/>
      <c r="B378" s="314"/>
      <c r="C378" s="314"/>
      <c r="D378" s="314"/>
      <c r="E378" s="320"/>
      <c r="F378" s="315"/>
      <c r="G378" s="316"/>
      <c r="H378" s="807"/>
      <c r="I378" s="78"/>
      <c r="J378" s="44"/>
    </row>
    <row r="379" spans="1:10" ht="20.25">
      <c r="A379" s="307"/>
      <c r="B379" s="314"/>
      <c r="C379" s="314"/>
      <c r="D379" s="314"/>
      <c r="E379" s="320"/>
      <c r="F379" s="315"/>
      <c r="G379" s="316"/>
      <c r="H379" s="807"/>
      <c r="I379" s="78"/>
      <c r="J379" s="44"/>
    </row>
    <row r="380" spans="1:10" ht="20.25">
      <c r="A380" s="307"/>
      <c r="B380" s="314"/>
      <c r="C380" s="314"/>
      <c r="D380" s="314"/>
      <c r="E380" s="320"/>
      <c r="F380" s="315"/>
      <c r="G380" s="316"/>
      <c r="H380" s="807"/>
      <c r="I380" s="78"/>
      <c r="J380" s="44"/>
    </row>
    <row r="381" spans="1:10" ht="20.25">
      <c r="A381" s="307"/>
      <c r="B381" s="314"/>
      <c r="C381" s="314"/>
      <c r="D381" s="314"/>
      <c r="E381" s="320"/>
      <c r="F381" s="315"/>
      <c r="G381" s="316"/>
      <c r="H381" s="807"/>
      <c r="I381" s="78"/>
      <c r="J381" s="44"/>
    </row>
    <row r="382" spans="1:10" ht="20.25">
      <c r="A382" s="307"/>
      <c r="B382" s="314"/>
      <c r="C382" s="314"/>
      <c r="D382" s="314"/>
      <c r="E382" s="320"/>
      <c r="F382" s="315"/>
      <c r="G382" s="316"/>
      <c r="H382" s="807"/>
      <c r="I382" s="78"/>
      <c r="J382" s="44"/>
    </row>
    <row r="383" spans="1:10" ht="20.25">
      <c r="A383" s="307"/>
      <c r="B383" s="314"/>
      <c r="C383" s="314"/>
      <c r="D383" s="314"/>
      <c r="E383" s="320"/>
      <c r="F383" s="315"/>
      <c r="G383" s="316"/>
      <c r="H383" s="807"/>
      <c r="I383" s="78"/>
      <c r="J383" s="44"/>
    </row>
    <row r="384" spans="1:10" ht="20.25">
      <c r="A384" s="307"/>
      <c r="B384" s="314"/>
      <c r="C384" s="314"/>
      <c r="D384" s="314"/>
      <c r="E384" s="320"/>
      <c r="F384" s="315"/>
      <c r="G384" s="316"/>
      <c r="H384" s="807"/>
      <c r="I384" s="78"/>
      <c r="J384" s="44"/>
    </row>
    <row r="385" spans="1:10" ht="20.25">
      <c r="A385" s="307"/>
      <c r="B385" s="314"/>
      <c r="C385" s="314"/>
      <c r="D385" s="314"/>
      <c r="E385" s="320"/>
      <c r="F385" s="315"/>
      <c r="G385" s="316"/>
      <c r="H385" s="807"/>
      <c r="I385" s="78"/>
      <c r="J385" s="44"/>
    </row>
    <row r="386" spans="1:10" ht="20.25">
      <c r="A386" s="307"/>
      <c r="B386" s="314"/>
      <c r="C386" s="314"/>
      <c r="D386" s="314"/>
      <c r="E386" s="320"/>
      <c r="F386" s="315"/>
      <c r="G386" s="316"/>
      <c r="H386" s="807"/>
      <c r="I386" s="78"/>
      <c r="J386" s="44"/>
    </row>
    <row r="387" spans="1:10" ht="20.25">
      <c r="A387" s="307"/>
      <c r="B387" s="314"/>
      <c r="C387" s="314"/>
      <c r="D387" s="314"/>
      <c r="E387" s="320"/>
      <c r="F387" s="315"/>
      <c r="G387" s="316"/>
      <c r="H387" s="807"/>
      <c r="I387" s="78"/>
      <c r="J387" s="44"/>
    </row>
    <row r="388" spans="1:10" ht="20.25">
      <c r="A388" s="307"/>
      <c r="B388" s="314"/>
      <c r="C388" s="314"/>
      <c r="D388" s="314"/>
      <c r="E388" s="320"/>
      <c r="F388" s="315"/>
      <c r="G388" s="316"/>
      <c r="H388" s="807"/>
      <c r="I388" s="78"/>
      <c r="J388" s="44"/>
    </row>
    <row r="389" spans="1:10" ht="20.25">
      <c r="A389" s="307"/>
      <c r="B389" s="314"/>
      <c r="C389" s="314"/>
      <c r="D389" s="314"/>
      <c r="E389" s="320"/>
      <c r="F389" s="315"/>
      <c r="G389" s="316"/>
      <c r="H389" s="807"/>
      <c r="I389" s="78"/>
      <c r="J389" s="44"/>
    </row>
    <row r="390" spans="1:10" ht="20.25">
      <c r="A390" s="307"/>
      <c r="B390" s="314"/>
      <c r="C390" s="314"/>
      <c r="D390" s="314"/>
      <c r="E390" s="320"/>
      <c r="F390" s="315"/>
      <c r="G390" s="316"/>
      <c r="H390" s="807"/>
      <c r="I390" s="78"/>
      <c r="J390" s="44"/>
    </row>
    <row r="391" spans="1:10" ht="20.25">
      <c r="A391" s="307"/>
      <c r="B391" s="314"/>
      <c r="C391" s="314"/>
      <c r="D391" s="314"/>
      <c r="E391" s="320"/>
      <c r="F391" s="315"/>
      <c r="G391" s="316"/>
      <c r="H391" s="807"/>
      <c r="I391" s="78"/>
      <c r="J391" s="44"/>
    </row>
    <row r="392" spans="1:10" ht="20.25">
      <c r="A392" s="307"/>
      <c r="B392" s="314"/>
      <c r="C392" s="314"/>
      <c r="D392" s="314"/>
      <c r="E392" s="320"/>
      <c r="F392" s="315"/>
      <c r="G392" s="316"/>
      <c r="H392" s="807"/>
      <c r="I392" s="78"/>
      <c r="J392" s="44"/>
    </row>
    <row r="393" spans="1:10" ht="20.25">
      <c r="A393" s="307"/>
      <c r="B393" s="314"/>
      <c r="C393" s="314"/>
      <c r="D393" s="314"/>
      <c r="E393" s="320"/>
      <c r="F393" s="315"/>
      <c r="G393" s="316"/>
      <c r="H393" s="807"/>
      <c r="I393" s="78"/>
      <c r="J393" s="44"/>
    </row>
    <row r="394" spans="1:10" ht="20.25">
      <c r="A394" s="307"/>
      <c r="B394" s="314"/>
      <c r="C394" s="314"/>
      <c r="D394" s="314"/>
      <c r="E394" s="320"/>
      <c r="F394" s="315"/>
      <c r="G394" s="316"/>
      <c r="H394" s="807"/>
      <c r="I394" s="78"/>
      <c r="J394" s="44"/>
    </row>
    <row r="395" spans="1:10" ht="20.25">
      <c r="A395" s="307"/>
      <c r="B395" s="314"/>
      <c r="C395" s="314"/>
      <c r="D395" s="314"/>
      <c r="E395" s="320"/>
      <c r="F395" s="315"/>
      <c r="G395" s="316"/>
      <c r="H395" s="807"/>
      <c r="I395" s="78"/>
      <c r="J395" s="44"/>
    </row>
    <row r="396" spans="1:10" ht="20.25">
      <c r="A396" s="307"/>
      <c r="B396" s="314"/>
      <c r="C396" s="314"/>
      <c r="D396" s="314"/>
      <c r="E396" s="320"/>
      <c r="F396" s="315"/>
      <c r="G396" s="316"/>
      <c r="H396" s="807"/>
      <c r="I396" s="78"/>
      <c r="J396" s="44"/>
    </row>
    <row r="397" spans="1:10" ht="20.25">
      <c r="A397" s="307"/>
      <c r="B397" s="314"/>
      <c r="C397" s="314"/>
      <c r="D397" s="314"/>
      <c r="E397" s="320"/>
      <c r="F397" s="315"/>
      <c r="G397" s="316"/>
      <c r="H397" s="807"/>
      <c r="I397" s="78"/>
      <c r="J397" s="44"/>
    </row>
    <row r="398" spans="1:10" ht="20.25">
      <c r="A398" s="307"/>
      <c r="B398" s="314"/>
      <c r="C398" s="314"/>
      <c r="D398" s="314"/>
      <c r="E398" s="320"/>
      <c r="F398" s="315"/>
      <c r="G398" s="316"/>
      <c r="H398" s="807"/>
      <c r="I398" s="78"/>
      <c r="J398" s="44"/>
    </row>
    <row r="399" spans="1:10" ht="20.25">
      <c r="A399" s="307"/>
      <c r="B399" s="314"/>
      <c r="C399" s="314"/>
      <c r="D399" s="314"/>
      <c r="E399" s="320"/>
      <c r="F399" s="315"/>
      <c r="G399" s="316"/>
      <c r="H399" s="807"/>
      <c r="I399" s="78"/>
      <c r="J399" s="44"/>
    </row>
    <row r="400" spans="1:10" ht="20.25">
      <c r="A400" s="307"/>
      <c r="B400" s="314"/>
      <c r="C400" s="314"/>
      <c r="D400" s="314"/>
      <c r="E400" s="320"/>
      <c r="F400" s="315"/>
      <c r="G400" s="316"/>
      <c r="H400" s="807"/>
      <c r="I400" s="78"/>
      <c r="J400" s="44"/>
    </row>
    <row r="401" spans="1:10" ht="20.25">
      <c r="A401" s="307"/>
      <c r="B401" s="314"/>
      <c r="C401" s="314"/>
      <c r="D401" s="314"/>
      <c r="E401" s="320"/>
      <c r="F401" s="315"/>
      <c r="G401" s="316"/>
      <c r="H401" s="807"/>
      <c r="I401" s="78"/>
      <c r="J401" s="44"/>
    </row>
    <row r="402" spans="1:10" ht="20.25">
      <c r="A402" s="307"/>
      <c r="B402" s="314"/>
      <c r="C402" s="314"/>
      <c r="D402" s="314"/>
      <c r="E402" s="320"/>
      <c r="F402" s="315"/>
      <c r="G402" s="316"/>
      <c r="H402" s="807"/>
      <c r="I402" s="78"/>
      <c r="J402" s="44"/>
    </row>
    <row r="403" spans="1:10" ht="20.25">
      <c r="A403" s="307"/>
      <c r="B403" s="314"/>
      <c r="C403" s="314"/>
      <c r="D403" s="314"/>
      <c r="E403" s="320"/>
      <c r="F403" s="315"/>
      <c r="G403" s="316"/>
      <c r="H403" s="807"/>
      <c r="I403" s="78"/>
      <c r="J403" s="44"/>
    </row>
    <row r="404" spans="1:10" ht="20.25">
      <c r="A404" s="307"/>
      <c r="B404" s="314"/>
      <c r="C404" s="314"/>
      <c r="D404" s="314"/>
      <c r="E404" s="320"/>
      <c r="F404" s="315"/>
      <c r="G404" s="316"/>
      <c r="H404" s="807"/>
      <c r="I404" s="78"/>
      <c r="J404" s="44"/>
    </row>
    <row r="405" spans="1:10" ht="20.25">
      <c r="A405" s="307"/>
      <c r="B405" s="314"/>
      <c r="C405" s="314"/>
      <c r="D405" s="314"/>
      <c r="E405" s="320"/>
      <c r="F405" s="315"/>
      <c r="G405" s="316"/>
      <c r="H405" s="807"/>
      <c r="I405" s="78"/>
      <c r="J405" s="44"/>
    </row>
    <row r="406" spans="1:10" ht="20.25">
      <c r="A406" s="307"/>
      <c r="B406" s="314"/>
      <c r="C406" s="314"/>
      <c r="D406" s="314"/>
      <c r="E406" s="320"/>
      <c r="F406" s="315"/>
      <c r="G406" s="316"/>
      <c r="H406" s="807"/>
      <c r="I406" s="78"/>
      <c r="J406" s="44"/>
    </row>
    <row r="407" spans="1:10" ht="20.25">
      <c r="A407" s="307"/>
      <c r="B407" s="314"/>
      <c r="C407" s="314"/>
      <c r="D407" s="314"/>
      <c r="E407" s="320"/>
      <c r="F407" s="315"/>
      <c r="G407" s="316"/>
      <c r="H407" s="807"/>
      <c r="I407" s="78"/>
      <c r="J407" s="44"/>
    </row>
    <row r="408" spans="1:10" ht="20.25">
      <c r="A408" s="307"/>
      <c r="B408" s="314"/>
      <c r="C408" s="314"/>
      <c r="D408" s="314"/>
      <c r="E408" s="320"/>
      <c r="F408" s="315"/>
      <c r="G408" s="316"/>
      <c r="H408" s="807"/>
      <c r="I408" s="78"/>
      <c r="J408" s="44"/>
    </row>
    <row r="409" spans="1:10" ht="20.25">
      <c r="A409" s="307"/>
      <c r="B409" s="314"/>
      <c r="C409" s="314"/>
      <c r="D409" s="314"/>
      <c r="E409" s="320"/>
      <c r="F409" s="315"/>
      <c r="G409" s="316"/>
      <c r="H409" s="807"/>
      <c r="I409" s="78"/>
      <c r="J409" s="44"/>
    </row>
    <row r="410" spans="1:10" ht="20.25">
      <c r="A410" s="307"/>
      <c r="B410" s="314"/>
      <c r="C410" s="314"/>
      <c r="D410" s="314"/>
      <c r="E410" s="320"/>
      <c r="F410" s="315"/>
      <c r="G410" s="316"/>
      <c r="H410" s="807"/>
      <c r="I410" s="78"/>
      <c r="J410" s="44"/>
    </row>
    <row r="411" spans="1:10" ht="20.25">
      <c r="A411" s="307"/>
      <c r="B411" s="314"/>
      <c r="C411" s="314"/>
      <c r="D411" s="314"/>
      <c r="E411" s="320"/>
      <c r="F411" s="315"/>
      <c r="G411" s="316"/>
      <c r="H411" s="807"/>
      <c r="I411" s="78"/>
      <c r="J411" s="44"/>
    </row>
    <row r="412" spans="1:10" ht="20.25">
      <c r="A412" s="307"/>
      <c r="B412" s="314"/>
      <c r="C412" s="314"/>
      <c r="D412" s="314"/>
      <c r="E412" s="320"/>
      <c r="F412" s="315"/>
      <c r="G412" s="316"/>
      <c r="H412" s="807"/>
      <c r="I412" s="78"/>
      <c r="J412" s="44"/>
    </row>
    <row r="413" spans="1:10" ht="20.25">
      <c r="A413" s="307"/>
      <c r="B413" s="314"/>
      <c r="C413" s="314"/>
      <c r="D413" s="314"/>
      <c r="E413" s="320"/>
      <c r="F413" s="315"/>
      <c r="G413" s="316"/>
      <c r="H413" s="807"/>
      <c r="I413" s="78"/>
      <c r="J413" s="44"/>
    </row>
    <row r="414" spans="1:10" ht="20.25">
      <c r="A414" s="307"/>
      <c r="B414" s="314"/>
      <c r="C414" s="314"/>
      <c r="D414" s="314"/>
      <c r="E414" s="320"/>
      <c r="F414" s="315"/>
      <c r="G414" s="316"/>
      <c r="H414" s="807"/>
      <c r="I414" s="78"/>
      <c r="J414" s="44"/>
    </row>
    <row r="415" spans="1:10" ht="20.25">
      <c r="A415" s="307"/>
      <c r="B415" s="314"/>
      <c r="C415" s="314"/>
      <c r="D415" s="314"/>
      <c r="E415" s="320"/>
      <c r="F415" s="315"/>
      <c r="G415" s="316"/>
      <c r="H415" s="807"/>
      <c r="I415" s="78"/>
      <c r="J415" s="44"/>
    </row>
    <row r="416" spans="1:10" ht="20.25">
      <c r="A416" s="307"/>
      <c r="B416" s="314"/>
      <c r="C416" s="314"/>
      <c r="D416" s="314"/>
      <c r="E416" s="320"/>
      <c r="F416" s="315"/>
      <c r="G416" s="316"/>
      <c r="H416" s="807"/>
      <c r="I416" s="78"/>
      <c r="J416" s="44"/>
    </row>
    <row r="417" spans="1:10" ht="20.25">
      <c r="A417" s="307"/>
      <c r="B417" s="314"/>
      <c r="C417" s="314"/>
      <c r="D417" s="314"/>
      <c r="E417" s="320"/>
      <c r="F417" s="315"/>
      <c r="G417" s="316"/>
      <c r="H417" s="807"/>
      <c r="I417" s="78"/>
      <c r="J417" s="44"/>
    </row>
    <row r="418" spans="1:10" ht="20.25">
      <c r="A418" s="307"/>
      <c r="B418" s="314"/>
      <c r="C418" s="314"/>
      <c r="D418" s="314"/>
      <c r="E418" s="320"/>
      <c r="F418" s="315"/>
      <c r="G418" s="316"/>
      <c r="H418" s="807"/>
      <c r="I418" s="78"/>
      <c r="J418" s="44"/>
    </row>
    <row r="419" spans="1:10" ht="20.25">
      <c r="A419" s="307"/>
      <c r="B419" s="314"/>
      <c r="C419" s="314"/>
      <c r="D419" s="314"/>
      <c r="E419" s="320"/>
      <c r="F419" s="315"/>
      <c r="G419" s="316"/>
      <c r="H419" s="807"/>
      <c r="I419" s="78"/>
      <c r="J419" s="44"/>
    </row>
    <row r="420" spans="1:10" ht="20.25">
      <c r="A420" s="307"/>
      <c r="B420" s="314"/>
      <c r="C420" s="314"/>
      <c r="D420" s="314"/>
      <c r="E420" s="320"/>
      <c r="F420" s="315"/>
      <c r="G420" s="316"/>
      <c r="H420" s="807"/>
      <c r="I420" s="78"/>
      <c r="J420" s="44"/>
    </row>
    <row r="421" spans="1:10" ht="20.25">
      <c r="A421" s="307"/>
      <c r="B421" s="314"/>
      <c r="C421" s="314"/>
      <c r="D421" s="314"/>
      <c r="E421" s="320"/>
      <c r="F421" s="315"/>
      <c r="G421" s="316"/>
      <c r="H421" s="807"/>
      <c r="I421" s="78"/>
      <c r="J421" s="44"/>
    </row>
    <row r="422" spans="1:10" ht="20.25">
      <c r="A422" s="307"/>
      <c r="B422" s="314"/>
      <c r="C422" s="314"/>
      <c r="D422" s="314"/>
      <c r="E422" s="320"/>
      <c r="F422" s="315"/>
      <c r="G422" s="316"/>
      <c r="H422" s="807"/>
      <c r="I422" s="78"/>
      <c r="J422" s="44"/>
    </row>
    <row r="423" spans="1:10" ht="20.25">
      <c r="A423" s="307"/>
      <c r="B423" s="314"/>
      <c r="C423" s="314"/>
      <c r="D423" s="314"/>
      <c r="E423" s="320"/>
      <c r="F423" s="315"/>
      <c r="G423" s="316"/>
      <c r="H423" s="807"/>
      <c r="I423" s="78"/>
      <c r="J423" s="44"/>
    </row>
    <row r="424" spans="1:10" ht="20.25">
      <c r="A424" s="307"/>
      <c r="B424" s="314"/>
      <c r="C424" s="314"/>
      <c r="D424" s="314"/>
      <c r="E424" s="320"/>
      <c r="F424" s="315"/>
      <c r="G424" s="316"/>
      <c r="H424" s="807"/>
      <c r="I424" s="78"/>
      <c r="J424" s="44"/>
    </row>
    <row r="425" spans="1:10" ht="20.25">
      <c r="A425" s="307"/>
      <c r="B425" s="314"/>
      <c r="C425" s="314"/>
      <c r="D425" s="314"/>
      <c r="E425" s="320"/>
      <c r="F425" s="315"/>
      <c r="G425" s="316"/>
      <c r="H425" s="807"/>
      <c r="I425" s="78"/>
      <c r="J425" s="44"/>
    </row>
    <row r="426" spans="1:10" ht="20.25">
      <c r="A426" s="307"/>
      <c r="B426" s="314"/>
      <c r="C426" s="314"/>
      <c r="D426" s="314"/>
      <c r="E426" s="320"/>
      <c r="F426" s="315"/>
      <c r="G426" s="316"/>
      <c r="H426" s="807"/>
      <c r="I426" s="78"/>
      <c r="J426" s="44"/>
    </row>
    <row r="427" spans="1:10" ht="20.25">
      <c r="A427" s="307"/>
      <c r="B427" s="314"/>
      <c r="C427" s="314"/>
      <c r="D427" s="314"/>
      <c r="E427" s="320"/>
      <c r="F427" s="315"/>
      <c r="G427" s="316"/>
      <c r="H427" s="807"/>
      <c r="I427" s="78"/>
      <c r="J427" s="44"/>
    </row>
    <row r="428" spans="1:10" ht="20.25">
      <c r="A428" s="307"/>
      <c r="B428" s="314"/>
      <c r="C428" s="314"/>
      <c r="D428" s="314"/>
      <c r="E428" s="320"/>
      <c r="F428" s="315"/>
      <c r="G428" s="316"/>
      <c r="H428" s="807"/>
      <c r="I428" s="78"/>
      <c r="J428" s="44"/>
    </row>
    <row r="429" spans="1:10" ht="20.25">
      <c r="A429" s="307"/>
      <c r="B429" s="314"/>
      <c r="C429" s="314"/>
      <c r="D429" s="314"/>
      <c r="E429" s="320"/>
      <c r="F429" s="315"/>
      <c r="G429" s="316"/>
      <c r="H429" s="807"/>
      <c r="I429" s="78"/>
      <c r="J429" s="44"/>
    </row>
    <row r="430" spans="1:10" ht="20.25">
      <c r="A430" s="307"/>
      <c r="B430" s="314"/>
      <c r="C430" s="314"/>
      <c r="D430" s="314"/>
      <c r="E430" s="320"/>
      <c r="F430" s="315"/>
      <c r="G430" s="316"/>
      <c r="H430" s="807"/>
      <c r="I430" s="78"/>
      <c r="J430" s="44"/>
    </row>
    <row r="431" spans="1:10" ht="20.25">
      <c r="A431" s="307"/>
      <c r="B431" s="314"/>
      <c r="C431" s="314"/>
      <c r="D431" s="314"/>
      <c r="E431" s="320"/>
      <c r="F431" s="315"/>
      <c r="G431" s="316"/>
      <c r="H431" s="807"/>
      <c r="I431" s="78"/>
      <c r="J431" s="44"/>
    </row>
    <row r="432" spans="1:10" ht="20.25">
      <c r="A432" s="307"/>
      <c r="B432" s="314"/>
      <c r="C432" s="314"/>
      <c r="D432" s="314"/>
      <c r="E432" s="320"/>
      <c r="F432" s="315"/>
      <c r="G432" s="316"/>
      <c r="H432" s="807"/>
      <c r="I432" s="78"/>
      <c r="J432" s="44"/>
    </row>
    <row r="433" spans="1:10" ht="20.25">
      <c r="A433" s="307"/>
      <c r="B433" s="314"/>
      <c r="C433" s="314"/>
      <c r="D433" s="314"/>
      <c r="E433" s="320"/>
      <c r="F433" s="315"/>
      <c r="G433" s="316"/>
      <c r="H433" s="807"/>
      <c r="I433" s="78"/>
      <c r="J433" s="44"/>
    </row>
    <row r="434" spans="1:10" ht="20.25">
      <c r="A434" s="307"/>
      <c r="B434" s="314"/>
      <c r="C434" s="314"/>
      <c r="D434" s="314"/>
      <c r="E434" s="320"/>
      <c r="F434" s="315"/>
      <c r="G434" s="316"/>
      <c r="H434" s="807"/>
      <c r="I434" s="78"/>
      <c r="J434" s="44"/>
    </row>
    <row r="435" spans="1:10" ht="20.25">
      <c r="A435" s="307"/>
      <c r="B435" s="314"/>
      <c r="C435" s="314"/>
      <c r="D435" s="314"/>
      <c r="E435" s="320"/>
      <c r="F435" s="315"/>
      <c r="G435" s="316"/>
      <c r="H435" s="807"/>
      <c r="I435" s="78"/>
      <c r="J435" s="44"/>
    </row>
    <row r="436" spans="1:10" ht="20.25">
      <c r="A436" s="307"/>
      <c r="B436" s="314"/>
      <c r="C436" s="314"/>
      <c r="D436" s="314"/>
      <c r="E436" s="320"/>
      <c r="F436" s="315"/>
      <c r="G436" s="316"/>
      <c r="H436" s="807"/>
      <c r="I436" s="78"/>
      <c r="J436" s="44"/>
    </row>
    <row r="437" spans="1:10" ht="20.25">
      <c r="A437" s="307"/>
      <c r="B437" s="314"/>
      <c r="C437" s="314"/>
      <c r="D437" s="314"/>
      <c r="E437" s="320"/>
      <c r="F437" s="315"/>
      <c r="G437" s="316"/>
      <c r="H437" s="807"/>
      <c r="I437" s="78"/>
      <c r="J437" s="44"/>
    </row>
    <row r="438" spans="1:10" ht="20.25">
      <c r="A438" s="307"/>
      <c r="B438" s="314"/>
      <c r="C438" s="314"/>
      <c r="D438" s="314"/>
      <c r="E438" s="320"/>
      <c r="F438" s="315"/>
      <c r="G438" s="316"/>
      <c r="H438" s="807"/>
      <c r="I438" s="78"/>
      <c r="J438" s="44"/>
    </row>
    <row r="439" spans="1:10" ht="20.25">
      <c r="A439" s="307"/>
      <c r="B439" s="314"/>
      <c r="C439" s="314"/>
      <c r="D439" s="314"/>
      <c r="E439" s="320"/>
      <c r="F439" s="315"/>
      <c r="G439" s="316"/>
      <c r="H439" s="807"/>
      <c r="I439" s="78"/>
      <c r="J439" s="44"/>
    </row>
    <row r="440" spans="1:10" ht="20.25">
      <c r="A440" s="307"/>
      <c r="B440" s="314"/>
      <c r="C440" s="314"/>
      <c r="D440" s="314"/>
      <c r="E440" s="320"/>
      <c r="F440" s="315"/>
      <c r="G440" s="316"/>
      <c r="H440" s="807"/>
      <c r="I440" s="78"/>
      <c r="J440" s="44"/>
    </row>
    <row r="441" spans="1:10" ht="20.25">
      <c r="A441" s="307"/>
      <c r="B441" s="314"/>
      <c r="C441" s="314"/>
      <c r="D441" s="314"/>
      <c r="E441" s="320"/>
      <c r="F441" s="315"/>
      <c r="G441" s="316"/>
      <c r="H441" s="807"/>
      <c r="I441" s="78"/>
      <c r="J441" s="44"/>
    </row>
    <row r="442" spans="1:10" ht="20.25">
      <c r="A442" s="307"/>
      <c r="B442" s="314"/>
      <c r="C442" s="314"/>
      <c r="D442" s="314"/>
      <c r="E442" s="320"/>
      <c r="F442" s="315"/>
      <c r="G442" s="316"/>
      <c r="H442" s="807"/>
      <c r="I442" s="78"/>
      <c r="J442" s="44"/>
    </row>
    <row r="443" spans="1:10" ht="20.25">
      <c r="A443" s="307"/>
      <c r="B443" s="314"/>
      <c r="C443" s="314"/>
      <c r="D443" s="314"/>
      <c r="E443" s="320"/>
      <c r="F443" s="315"/>
      <c r="G443" s="316"/>
      <c r="H443" s="807"/>
      <c r="I443" s="78"/>
      <c r="J443" s="44"/>
    </row>
    <row r="444" spans="1:10" ht="20.25">
      <c r="A444" s="307"/>
      <c r="B444" s="314"/>
      <c r="C444" s="314"/>
      <c r="D444" s="314"/>
      <c r="E444" s="320"/>
      <c r="F444" s="315"/>
      <c r="G444" s="316"/>
      <c r="H444" s="807"/>
      <c r="I444" s="78"/>
      <c r="J444" s="44"/>
    </row>
    <row r="445" spans="1:10" ht="20.25">
      <c r="A445" s="307"/>
      <c r="B445" s="314"/>
      <c r="C445" s="314"/>
      <c r="D445" s="314"/>
      <c r="E445" s="320"/>
      <c r="F445" s="315"/>
      <c r="G445" s="316"/>
      <c r="H445" s="807"/>
      <c r="I445" s="78"/>
      <c r="J445" s="44"/>
    </row>
    <row r="446" spans="1:10" ht="20.25">
      <c r="A446" s="307"/>
      <c r="B446" s="314"/>
      <c r="C446" s="314"/>
      <c r="D446" s="314"/>
      <c r="E446" s="320"/>
      <c r="F446" s="315"/>
      <c r="G446" s="316"/>
      <c r="H446" s="807"/>
      <c r="I446" s="78"/>
      <c r="J446" s="44"/>
    </row>
    <row r="447" spans="1:10" ht="20.25">
      <c r="A447" s="307"/>
      <c r="B447" s="314"/>
      <c r="C447" s="314"/>
      <c r="D447" s="314"/>
      <c r="E447" s="320"/>
      <c r="F447" s="315"/>
      <c r="G447" s="316"/>
      <c r="H447" s="807"/>
      <c r="I447" s="78"/>
      <c r="J447" s="44"/>
    </row>
    <row r="448" spans="1:10" ht="20.25">
      <c r="A448" s="307"/>
      <c r="B448" s="314"/>
      <c r="C448" s="314"/>
      <c r="D448" s="314"/>
      <c r="E448" s="320"/>
      <c r="F448" s="315"/>
      <c r="G448" s="316"/>
      <c r="H448" s="807"/>
      <c r="I448" s="78"/>
      <c r="J448" s="44"/>
    </row>
    <row r="449" spans="1:10" ht="20.25">
      <c r="A449" s="307"/>
      <c r="B449" s="314"/>
      <c r="C449" s="314"/>
      <c r="D449" s="314"/>
      <c r="E449" s="320"/>
      <c r="F449" s="315"/>
      <c r="G449" s="316"/>
      <c r="H449" s="807"/>
      <c r="I449" s="78"/>
      <c r="J449" s="44"/>
    </row>
    <row r="450" spans="1:10" ht="20.25">
      <c r="A450" s="307"/>
      <c r="B450" s="314"/>
      <c r="C450" s="314"/>
      <c r="D450" s="314"/>
      <c r="E450" s="320"/>
      <c r="F450" s="315"/>
      <c r="G450" s="316"/>
      <c r="H450" s="807"/>
      <c r="I450" s="78"/>
      <c r="J450" s="44"/>
    </row>
    <row r="451" spans="1:10" ht="20.25">
      <c r="A451" s="307"/>
      <c r="B451" s="314"/>
      <c r="C451" s="314"/>
      <c r="D451" s="314"/>
      <c r="E451" s="320"/>
      <c r="F451" s="315"/>
      <c r="G451" s="316"/>
      <c r="H451" s="807"/>
      <c r="I451" s="78"/>
      <c r="J451" s="44"/>
    </row>
    <row r="452" spans="1:10" ht="20.25">
      <c r="A452" s="307"/>
      <c r="B452" s="314"/>
      <c r="C452" s="314"/>
      <c r="D452" s="314"/>
      <c r="E452" s="320"/>
      <c r="F452" s="315"/>
      <c r="G452" s="316"/>
      <c r="H452" s="807"/>
      <c r="I452" s="78"/>
      <c r="J452" s="44"/>
    </row>
    <row r="453" spans="1:10" ht="20.25">
      <c r="A453" s="307"/>
      <c r="B453" s="314"/>
      <c r="C453" s="314"/>
      <c r="D453" s="314"/>
      <c r="E453" s="320"/>
      <c r="F453" s="315"/>
      <c r="G453" s="316"/>
      <c r="H453" s="807"/>
      <c r="I453" s="78"/>
      <c r="J453" s="44"/>
    </row>
    <row r="454" spans="1:10" ht="20.25">
      <c r="A454" s="307"/>
      <c r="B454" s="314"/>
      <c r="C454" s="314"/>
      <c r="D454" s="314"/>
      <c r="E454" s="320"/>
      <c r="F454" s="315"/>
      <c r="G454" s="316"/>
      <c r="H454" s="807"/>
      <c r="I454" s="78"/>
      <c r="J454" s="44"/>
    </row>
    <row r="455" spans="1:10" ht="20.25">
      <c r="A455" s="307"/>
      <c r="B455" s="314"/>
      <c r="C455" s="314"/>
      <c r="D455" s="314"/>
      <c r="E455" s="320"/>
      <c r="F455" s="315"/>
      <c r="G455" s="316"/>
      <c r="H455" s="807"/>
      <c r="I455" s="78"/>
      <c r="J455" s="44"/>
    </row>
    <row r="456" spans="1:10" ht="20.25">
      <c r="A456" s="307"/>
      <c r="B456" s="314"/>
      <c r="C456" s="314"/>
      <c r="D456" s="314"/>
      <c r="E456" s="320"/>
      <c r="F456" s="315"/>
      <c r="G456" s="316"/>
      <c r="H456" s="807"/>
      <c r="I456" s="78"/>
      <c r="J456" s="44"/>
    </row>
    <row r="457" spans="1:10" ht="20.25">
      <c r="A457" s="307"/>
      <c r="B457" s="314"/>
      <c r="C457" s="314"/>
      <c r="D457" s="314"/>
      <c r="E457" s="320"/>
      <c r="F457" s="315"/>
      <c r="G457" s="316"/>
      <c r="H457" s="807"/>
      <c r="I457" s="78"/>
      <c r="J457" s="44"/>
    </row>
    <row r="458" spans="1:10" ht="20.25">
      <c r="A458" s="307"/>
      <c r="B458" s="314"/>
      <c r="C458" s="314"/>
      <c r="D458" s="314"/>
      <c r="E458" s="320"/>
      <c r="F458" s="315"/>
      <c r="G458" s="316"/>
      <c r="H458" s="807"/>
      <c r="I458" s="78"/>
      <c r="J458" s="44"/>
    </row>
    <row r="459" spans="1:10" ht="20.25">
      <c r="A459" s="307"/>
      <c r="B459" s="314"/>
      <c r="C459" s="314"/>
      <c r="D459" s="314"/>
      <c r="E459" s="320"/>
      <c r="F459" s="315"/>
      <c r="G459" s="316"/>
      <c r="H459" s="807"/>
      <c r="I459" s="78"/>
      <c r="J459" s="44"/>
    </row>
    <row r="460" spans="1:10" ht="20.25">
      <c r="A460" s="307"/>
      <c r="B460" s="314"/>
      <c r="C460" s="314"/>
      <c r="D460" s="314"/>
      <c r="E460" s="320"/>
      <c r="F460" s="315"/>
      <c r="G460" s="316"/>
      <c r="H460" s="807"/>
      <c r="I460" s="78"/>
      <c r="J460" s="44"/>
    </row>
    <row r="461" spans="1:10" ht="20.25">
      <c r="A461" s="307"/>
      <c r="B461" s="314"/>
      <c r="C461" s="314"/>
      <c r="D461" s="314"/>
      <c r="E461" s="320"/>
      <c r="F461" s="315"/>
      <c r="G461" s="316"/>
      <c r="H461" s="807"/>
      <c r="I461" s="78"/>
      <c r="J461" s="44"/>
    </row>
    <row r="462" spans="1:10" ht="20.25">
      <c r="A462" s="307"/>
      <c r="B462" s="314"/>
      <c r="C462" s="314"/>
      <c r="D462" s="314"/>
      <c r="E462" s="320"/>
      <c r="F462" s="315"/>
      <c r="G462" s="316"/>
      <c r="H462" s="807"/>
      <c r="I462" s="78"/>
      <c r="J462" s="44"/>
    </row>
    <row r="463" spans="1:10" ht="20.25">
      <c r="A463" s="307"/>
      <c r="B463" s="314"/>
      <c r="C463" s="314"/>
      <c r="D463" s="314"/>
      <c r="E463" s="320"/>
      <c r="F463" s="315"/>
      <c r="G463" s="316"/>
      <c r="H463" s="807"/>
      <c r="I463" s="78"/>
      <c r="J463" s="44"/>
    </row>
    <row r="464" spans="1:10" ht="20.25">
      <c r="A464" s="307"/>
      <c r="B464" s="314"/>
      <c r="C464" s="314"/>
      <c r="D464" s="314"/>
      <c r="E464" s="320"/>
      <c r="F464" s="315"/>
      <c r="G464" s="316"/>
      <c r="H464" s="807"/>
      <c r="I464" s="78"/>
      <c r="J464" s="44"/>
    </row>
    <row r="465" spans="1:10" ht="20.25">
      <c r="A465" s="307"/>
      <c r="B465" s="314"/>
      <c r="C465" s="314"/>
      <c r="D465" s="314"/>
      <c r="E465" s="320"/>
      <c r="F465" s="315"/>
      <c r="G465" s="316"/>
      <c r="H465" s="807"/>
      <c r="I465" s="78"/>
      <c r="J465" s="44"/>
    </row>
    <row r="466" spans="1:10" ht="20.25">
      <c r="A466" s="307"/>
      <c r="B466" s="314"/>
      <c r="C466" s="314"/>
      <c r="D466" s="314"/>
      <c r="E466" s="320"/>
      <c r="F466" s="315"/>
      <c r="G466" s="316"/>
      <c r="H466" s="807"/>
      <c r="I466" s="78"/>
      <c r="J466" s="44"/>
    </row>
    <row r="467" spans="1:10" ht="20.25">
      <c r="A467" s="307"/>
      <c r="B467" s="314"/>
      <c r="C467" s="314"/>
      <c r="D467" s="314"/>
      <c r="E467" s="320"/>
      <c r="F467" s="315"/>
      <c r="G467" s="316"/>
      <c r="H467" s="807"/>
      <c r="I467" s="78"/>
      <c r="J467" s="44"/>
    </row>
    <row r="468" spans="1:10" ht="20.25">
      <c r="A468" s="307"/>
      <c r="B468" s="314"/>
      <c r="C468" s="314"/>
      <c r="D468" s="314"/>
      <c r="E468" s="320"/>
      <c r="F468" s="315"/>
      <c r="G468" s="316"/>
      <c r="H468" s="807"/>
      <c r="I468" s="78"/>
      <c r="J468" s="44"/>
    </row>
    <row r="469" spans="1:10" ht="20.25">
      <c r="A469" s="307"/>
      <c r="B469" s="314"/>
      <c r="C469" s="314"/>
      <c r="D469" s="314"/>
      <c r="E469" s="320"/>
      <c r="F469" s="315"/>
      <c r="G469" s="316"/>
      <c r="H469" s="807"/>
      <c r="I469" s="78"/>
      <c r="J469" s="44"/>
    </row>
    <row r="470" spans="1:10" ht="20.25">
      <c r="A470" s="307"/>
      <c r="B470" s="314"/>
      <c r="C470" s="314"/>
      <c r="D470" s="314"/>
      <c r="E470" s="320"/>
      <c r="F470" s="315"/>
      <c r="G470" s="316"/>
      <c r="H470" s="807"/>
      <c r="I470" s="78"/>
      <c r="J470" s="44"/>
    </row>
    <row r="471" spans="1:10" ht="20.25">
      <c r="A471" s="307"/>
      <c r="B471" s="314"/>
      <c r="C471" s="314"/>
      <c r="D471" s="314"/>
      <c r="E471" s="320"/>
      <c r="F471" s="315"/>
      <c r="G471" s="316"/>
      <c r="H471" s="807"/>
      <c r="I471" s="78"/>
      <c r="J471" s="44"/>
    </row>
    <row r="472" spans="1:10" ht="20.25">
      <c r="A472" s="307"/>
      <c r="B472" s="314"/>
      <c r="C472" s="314"/>
      <c r="D472" s="314"/>
      <c r="E472" s="320"/>
      <c r="F472" s="315"/>
      <c r="G472" s="316"/>
      <c r="H472" s="807"/>
      <c r="I472" s="78"/>
      <c r="J472" s="44"/>
    </row>
    <row r="473" spans="1:10" ht="20.25">
      <c r="A473" s="307"/>
      <c r="B473" s="314"/>
      <c r="C473" s="314"/>
      <c r="D473" s="314"/>
      <c r="E473" s="320"/>
      <c r="F473" s="315"/>
      <c r="G473" s="316"/>
      <c r="H473" s="807"/>
      <c r="I473" s="78"/>
      <c r="J473" s="44"/>
    </row>
    <row r="474" spans="1:10" ht="20.25">
      <c r="A474" s="307"/>
      <c r="B474" s="314"/>
      <c r="C474" s="314"/>
      <c r="D474" s="314"/>
      <c r="E474" s="320"/>
      <c r="F474" s="315"/>
      <c r="G474" s="316"/>
      <c r="H474" s="807"/>
      <c r="I474" s="78"/>
      <c r="J474" s="44"/>
    </row>
    <row r="475" spans="1:10" ht="20.25">
      <c r="A475" s="307"/>
      <c r="B475" s="314"/>
      <c r="C475" s="314"/>
      <c r="D475" s="314"/>
      <c r="E475" s="320"/>
      <c r="F475" s="315"/>
      <c r="G475" s="316"/>
      <c r="H475" s="807"/>
      <c r="I475" s="78"/>
      <c r="J475" s="44"/>
    </row>
    <row r="476" spans="1:10" ht="20.25">
      <c r="A476" s="307"/>
      <c r="B476" s="314"/>
      <c r="C476" s="314"/>
      <c r="D476" s="314"/>
      <c r="E476" s="320"/>
      <c r="F476" s="315"/>
      <c r="G476" s="316"/>
      <c r="H476" s="807"/>
      <c r="I476" s="78"/>
      <c r="J476" s="44"/>
    </row>
    <row r="477" spans="1:10" ht="20.25">
      <c r="A477" s="307"/>
      <c r="B477" s="314"/>
      <c r="C477" s="314"/>
      <c r="D477" s="314"/>
      <c r="E477" s="320"/>
      <c r="F477" s="315"/>
      <c r="G477" s="316"/>
      <c r="H477" s="807"/>
      <c r="I477" s="78"/>
      <c r="J477" s="44"/>
    </row>
    <row r="478" spans="1:10" ht="20.25">
      <c r="A478" s="307"/>
      <c r="B478" s="314"/>
      <c r="C478" s="314"/>
      <c r="D478" s="314"/>
      <c r="E478" s="320"/>
      <c r="F478" s="315"/>
      <c r="G478" s="316"/>
      <c r="H478" s="807"/>
      <c r="I478" s="78"/>
      <c r="J478" s="44"/>
    </row>
    <row r="479" spans="1:10" ht="20.25">
      <c r="A479" s="307"/>
      <c r="B479" s="314"/>
      <c r="C479" s="314"/>
      <c r="D479" s="314"/>
      <c r="E479" s="320"/>
      <c r="F479" s="315"/>
      <c r="G479" s="316"/>
      <c r="H479" s="807"/>
      <c r="I479" s="78"/>
      <c r="J479" s="44"/>
    </row>
    <row r="480" spans="1:10" ht="20.25">
      <c r="A480" s="307"/>
      <c r="B480" s="314"/>
      <c r="C480" s="314"/>
      <c r="D480" s="314"/>
      <c r="E480" s="320"/>
      <c r="F480" s="315"/>
      <c r="G480" s="316"/>
      <c r="H480" s="807"/>
      <c r="I480" s="78"/>
      <c r="J480" s="44"/>
    </row>
    <row r="481" spans="1:10" ht="20.25">
      <c r="A481" s="307"/>
      <c r="B481" s="314"/>
      <c r="C481" s="314"/>
      <c r="D481" s="314"/>
      <c r="E481" s="320"/>
      <c r="F481" s="315"/>
      <c r="G481" s="316"/>
      <c r="H481" s="807"/>
      <c r="I481" s="78"/>
      <c r="J481" s="44"/>
    </row>
    <row r="482" spans="1:10" ht="20.25">
      <c r="A482" s="307"/>
      <c r="B482" s="314"/>
      <c r="C482" s="314"/>
      <c r="D482" s="314"/>
      <c r="E482" s="320"/>
      <c r="F482" s="315"/>
      <c r="G482" s="316"/>
      <c r="H482" s="807"/>
      <c r="I482" s="78"/>
      <c r="J482" s="44"/>
    </row>
    <row r="483" spans="1:10" ht="20.25">
      <c r="A483" s="307"/>
      <c r="B483" s="314"/>
      <c r="C483" s="314"/>
      <c r="D483" s="314"/>
      <c r="E483" s="320"/>
      <c r="F483" s="315"/>
      <c r="G483" s="316"/>
      <c r="H483" s="807"/>
      <c r="I483" s="78"/>
      <c r="J483" s="44"/>
    </row>
    <row r="484" spans="1:10" ht="20.25">
      <c r="A484" s="307"/>
      <c r="B484" s="314"/>
      <c r="C484" s="314"/>
      <c r="D484" s="314"/>
      <c r="E484" s="320"/>
      <c r="F484" s="315"/>
      <c r="G484" s="316"/>
      <c r="H484" s="807"/>
      <c r="I484" s="78"/>
      <c r="J484" s="44"/>
    </row>
    <row r="485" spans="1:10" ht="20.25">
      <c r="A485" s="307"/>
      <c r="B485" s="314"/>
      <c r="C485" s="314"/>
      <c r="D485" s="314"/>
      <c r="E485" s="320"/>
      <c r="F485" s="315"/>
      <c r="G485" s="316"/>
      <c r="H485" s="807"/>
      <c r="I485" s="78"/>
      <c r="J485" s="44"/>
    </row>
    <row r="486" spans="1:10" ht="20.25">
      <c r="A486" s="307"/>
      <c r="B486" s="314"/>
      <c r="C486" s="314"/>
      <c r="D486" s="314"/>
      <c r="E486" s="320"/>
      <c r="F486" s="315"/>
      <c r="G486" s="316"/>
      <c r="H486" s="807"/>
      <c r="I486" s="78"/>
      <c r="J486" s="44"/>
    </row>
    <row r="487" spans="1:10" ht="20.25">
      <c r="A487" s="307"/>
      <c r="B487" s="314"/>
      <c r="C487" s="314"/>
      <c r="D487" s="314"/>
      <c r="E487" s="320"/>
      <c r="F487" s="315"/>
      <c r="G487" s="316"/>
      <c r="H487" s="807"/>
      <c r="I487" s="78"/>
      <c r="J487" s="44"/>
    </row>
    <row r="488" spans="1:10" ht="20.25">
      <c r="A488" s="307"/>
      <c r="B488" s="314"/>
      <c r="C488" s="314"/>
      <c r="D488" s="314"/>
      <c r="E488" s="320"/>
      <c r="F488" s="315"/>
      <c r="G488" s="316"/>
      <c r="H488" s="807"/>
      <c r="I488" s="78"/>
      <c r="J488" s="44"/>
    </row>
    <row r="489" spans="1:10" ht="20.25">
      <c r="A489" s="307"/>
      <c r="B489" s="314"/>
      <c r="C489" s="314"/>
      <c r="D489" s="314"/>
      <c r="E489" s="320"/>
      <c r="F489" s="315"/>
      <c r="G489" s="316"/>
      <c r="H489" s="807"/>
      <c r="I489" s="78"/>
      <c r="J489" s="44"/>
    </row>
    <row r="490" spans="1:10" ht="20.25">
      <c r="A490" s="307"/>
      <c r="B490" s="314"/>
      <c r="C490" s="314"/>
      <c r="D490" s="314"/>
      <c r="E490" s="320"/>
      <c r="F490" s="315"/>
      <c r="G490" s="316"/>
      <c r="H490" s="807"/>
      <c r="I490" s="78"/>
      <c r="J490" s="44"/>
    </row>
    <row r="491" spans="1:10" ht="20.25">
      <c r="A491" s="307"/>
      <c r="B491" s="314"/>
      <c r="C491" s="314"/>
      <c r="D491" s="314"/>
      <c r="E491" s="320"/>
      <c r="F491" s="315"/>
      <c r="G491" s="316"/>
      <c r="H491" s="807"/>
      <c r="I491" s="78"/>
      <c r="J491" s="44"/>
    </row>
    <row r="492" spans="1:10" ht="20.25">
      <c r="A492" s="307"/>
      <c r="B492" s="314"/>
      <c r="C492" s="314"/>
      <c r="D492" s="314"/>
      <c r="E492" s="320"/>
      <c r="F492" s="315"/>
      <c r="G492" s="316"/>
      <c r="H492" s="807"/>
      <c r="I492" s="78"/>
      <c r="J492" s="44"/>
    </row>
    <row r="493" spans="1:10" ht="20.25">
      <c r="A493" s="307"/>
      <c r="B493" s="314"/>
      <c r="C493" s="314"/>
      <c r="D493" s="314"/>
      <c r="E493" s="320"/>
      <c r="F493" s="315"/>
      <c r="G493" s="316"/>
      <c r="H493" s="807"/>
      <c r="I493" s="78"/>
      <c r="J493" s="44"/>
    </row>
    <row r="494" spans="1:10" ht="20.25">
      <c r="A494" s="307"/>
      <c r="B494" s="314"/>
      <c r="C494" s="314"/>
      <c r="D494" s="314"/>
      <c r="E494" s="320"/>
      <c r="F494" s="315"/>
      <c r="G494" s="316"/>
      <c r="H494" s="807"/>
      <c r="I494" s="78"/>
      <c r="J494" s="44"/>
    </row>
    <row r="495" spans="1:10" ht="20.25">
      <c r="A495" s="307"/>
      <c r="B495" s="314"/>
      <c r="C495" s="314"/>
      <c r="D495" s="314"/>
      <c r="E495" s="320"/>
      <c r="F495" s="315"/>
      <c r="G495" s="316"/>
      <c r="H495" s="807"/>
      <c r="I495" s="78"/>
      <c r="J495" s="44"/>
    </row>
    <row r="496" spans="1:10" ht="20.25">
      <c r="A496" s="307"/>
      <c r="B496" s="314"/>
      <c r="C496" s="314"/>
      <c r="D496" s="314"/>
      <c r="E496" s="320"/>
      <c r="F496" s="315"/>
      <c r="G496" s="316"/>
      <c r="H496" s="807"/>
      <c r="I496" s="78"/>
      <c r="J496" s="44"/>
    </row>
    <row r="497" spans="1:10" ht="20.25">
      <c r="A497" s="307"/>
      <c r="B497" s="314"/>
      <c r="C497" s="314"/>
      <c r="D497" s="314"/>
      <c r="E497" s="320"/>
      <c r="F497" s="315"/>
      <c r="G497" s="316"/>
      <c r="H497" s="807"/>
      <c r="I497" s="78"/>
      <c r="J497" s="44"/>
    </row>
    <row r="498" spans="1:10" ht="20.25">
      <c r="A498" s="307"/>
      <c r="B498" s="314"/>
      <c r="C498" s="314"/>
      <c r="D498" s="314"/>
      <c r="E498" s="320"/>
      <c r="F498" s="315"/>
      <c r="G498" s="316"/>
      <c r="H498" s="807"/>
      <c r="I498" s="78"/>
      <c r="J498" s="44"/>
    </row>
    <row r="499" spans="1:10" ht="20.25">
      <c r="A499" s="307"/>
      <c r="B499" s="314"/>
      <c r="C499" s="314"/>
      <c r="D499" s="314"/>
      <c r="E499" s="320"/>
      <c r="F499" s="315"/>
      <c r="G499" s="316"/>
      <c r="H499" s="807"/>
      <c r="I499" s="78"/>
      <c r="J499" s="44"/>
    </row>
    <row r="500" spans="1:10" ht="20.25">
      <c r="A500" s="307"/>
      <c r="B500" s="314"/>
      <c r="C500" s="314"/>
      <c r="D500" s="314"/>
      <c r="E500" s="320"/>
      <c r="F500" s="315"/>
      <c r="G500" s="316"/>
      <c r="H500" s="807"/>
      <c r="I500" s="78"/>
      <c r="J500" s="44"/>
    </row>
    <row r="501" spans="1:10" ht="20.25">
      <c r="A501" s="307"/>
      <c r="B501" s="314"/>
      <c r="C501" s="314"/>
      <c r="D501" s="314"/>
      <c r="E501" s="320"/>
      <c r="F501" s="315"/>
      <c r="G501" s="316"/>
      <c r="H501" s="807"/>
      <c r="I501" s="78"/>
      <c r="J501" s="44"/>
    </row>
    <row r="502" spans="1:10" ht="20.25">
      <c r="A502" s="307"/>
      <c r="B502" s="314"/>
      <c r="C502" s="314"/>
      <c r="D502" s="314"/>
      <c r="E502" s="320"/>
      <c r="F502" s="315"/>
      <c r="G502" s="316"/>
      <c r="H502" s="807"/>
      <c r="I502" s="78"/>
      <c r="J502" s="44"/>
    </row>
    <row r="503" spans="1:10" ht="20.25">
      <c r="A503" s="307"/>
      <c r="B503" s="314"/>
      <c r="C503" s="314"/>
      <c r="D503" s="314"/>
      <c r="E503" s="320"/>
      <c r="F503" s="315"/>
      <c r="G503" s="316"/>
      <c r="H503" s="807"/>
      <c r="I503" s="78"/>
      <c r="J503" s="44"/>
    </row>
    <row r="504" spans="1:10" ht="20.25">
      <c r="A504" s="307"/>
      <c r="B504" s="314"/>
      <c r="C504" s="314"/>
      <c r="D504" s="314"/>
      <c r="E504" s="320"/>
      <c r="F504" s="315"/>
      <c r="G504" s="316"/>
      <c r="H504" s="807"/>
      <c r="I504" s="78"/>
      <c r="J504" s="44"/>
    </row>
    <row r="505" spans="1:10" ht="20.25">
      <c r="A505" s="307"/>
      <c r="B505" s="314"/>
      <c r="C505" s="314"/>
      <c r="D505" s="314"/>
      <c r="E505" s="320"/>
      <c r="F505" s="315"/>
      <c r="G505" s="316"/>
      <c r="H505" s="807"/>
      <c r="I505" s="78"/>
      <c r="J505" s="44"/>
    </row>
    <row r="506" spans="1:10" ht="20.25">
      <c r="A506" s="307"/>
      <c r="B506" s="314"/>
      <c r="C506" s="314"/>
      <c r="D506" s="314"/>
      <c r="E506" s="320"/>
      <c r="F506" s="315"/>
      <c r="G506" s="316"/>
      <c r="H506" s="807"/>
      <c r="I506" s="78"/>
      <c r="J506" s="44"/>
    </row>
    <row r="507" spans="1:10" ht="20.25">
      <c r="A507" s="307"/>
      <c r="B507" s="314"/>
      <c r="C507" s="314"/>
      <c r="D507" s="314"/>
      <c r="E507" s="320"/>
      <c r="F507" s="315"/>
      <c r="G507" s="316"/>
      <c r="H507" s="807"/>
      <c r="I507" s="78"/>
      <c r="J507" s="44"/>
    </row>
    <row r="508" spans="1:10" ht="20.25">
      <c r="A508" s="307"/>
      <c r="B508" s="314"/>
      <c r="C508" s="314"/>
      <c r="D508" s="314"/>
      <c r="E508" s="320"/>
      <c r="F508" s="315"/>
      <c r="G508" s="316"/>
      <c r="H508" s="807"/>
      <c r="I508" s="78"/>
      <c r="J508" s="44"/>
    </row>
    <row r="509" spans="1:10" ht="20.25">
      <c r="A509" s="307"/>
      <c r="B509" s="314"/>
      <c r="C509" s="314"/>
      <c r="D509" s="314"/>
      <c r="E509" s="320"/>
      <c r="F509" s="315"/>
      <c r="G509" s="316"/>
      <c r="H509" s="807"/>
      <c r="I509" s="78"/>
      <c r="J509" s="44"/>
    </row>
    <row r="510" spans="1:10" ht="20.25">
      <c r="A510" s="307"/>
      <c r="B510" s="314"/>
      <c r="C510" s="314"/>
      <c r="D510" s="314"/>
      <c r="E510" s="320"/>
      <c r="F510" s="315"/>
      <c r="G510" s="316"/>
      <c r="H510" s="807"/>
      <c r="I510" s="78"/>
      <c r="J510" s="44"/>
    </row>
    <row r="511" spans="1:10" ht="20.25">
      <c r="A511" s="307"/>
      <c r="B511" s="314"/>
      <c r="C511" s="314"/>
      <c r="D511" s="314"/>
      <c r="E511" s="320"/>
      <c r="F511" s="315"/>
      <c r="G511" s="316"/>
      <c r="H511" s="807"/>
      <c r="I511" s="78"/>
      <c r="J511" s="44"/>
    </row>
    <row r="512" spans="1:10" ht="20.25">
      <c r="A512" s="307"/>
      <c r="B512" s="314"/>
      <c r="C512" s="314"/>
      <c r="D512" s="314"/>
      <c r="E512" s="320"/>
      <c r="F512" s="315"/>
      <c r="G512" s="316"/>
      <c r="H512" s="807"/>
      <c r="I512" s="78"/>
      <c r="J512" s="44"/>
    </row>
    <row r="513" spans="1:10" ht="20.25">
      <c r="A513" s="307"/>
      <c r="B513" s="314"/>
      <c r="C513" s="314"/>
      <c r="D513" s="314"/>
      <c r="E513" s="320"/>
      <c r="F513" s="315"/>
      <c r="G513" s="316"/>
      <c r="H513" s="807"/>
      <c r="I513" s="78"/>
      <c r="J513" s="44"/>
    </row>
    <row r="514" spans="1:10" ht="20.25">
      <c r="A514" s="307"/>
      <c r="B514" s="314"/>
      <c r="C514" s="314"/>
      <c r="D514" s="314"/>
      <c r="E514" s="320"/>
      <c r="F514" s="315"/>
      <c r="G514" s="316"/>
      <c r="H514" s="807"/>
      <c r="I514" s="78"/>
      <c r="J514" s="44"/>
    </row>
    <row r="515" spans="1:10" ht="20.25">
      <c r="A515" s="307"/>
      <c r="B515" s="314"/>
      <c r="C515" s="314"/>
      <c r="D515" s="314"/>
      <c r="E515" s="320"/>
      <c r="F515" s="315"/>
      <c r="G515" s="316"/>
      <c r="H515" s="807"/>
      <c r="I515" s="78"/>
      <c r="J515" s="44"/>
    </row>
    <row r="516" spans="1:10" ht="20.25">
      <c r="A516" s="307"/>
      <c r="B516" s="314"/>
      <c r="C516" s="314"/>
      <c r="D516" s="314"/>
      <c r="E516" s="320"/>
      <c r="F516" s="315"/>
      <c r="G516" s="316"/>
      <c r="H516" s="807"/>
      <c r="I516" s="78"/>
      <c r="J516" s="44"/>
    </row>
    <row r="517" spans="1:10" ht="20.25">
      <c r="A517" s="307"/>
      <c r="B517" s="314"/>
      <c r="C517" s="314"/>
      <c r="D517" s="314"/>
      <c r="E517" s="320"/>
      <c r="F517" s="315"/>
      <c r="G517" s="316"/>
      <c r="H517" s="807"/>
      <c r="I517" s="78"/>
      <c r="J517" s="44"/>
    </row>
    <row r="518" spans="1:10" ht="20.25">
      <c r="A518" s="307"/>
      <c r="B518" s="314"/>
      <c r="C518" s="314"/>
      <c r="D518" s="314"/>
      <c r="E518" s="320"/>
      <c r="F518" s="315"/>
      <c r="G518" s="316"/>
      <c r="H518" s="807"/>
      <c r="I518" s="78"/>
      <c r="J518" s="44"/>
    </row>
    <row r="519" spans="1:10" ht="20.25">
      <c r="A519" s="307"/>
      <c r="B519" s="314"/>
      <c r="C519" s="314"/>
      <c r="D519" s="314"/>
      <c r="E519" s="320"/>
      <c r="F519" s="315"/>
      <c r="G519" s="316"/>
      <c r="H519" s="807"/>
      <c r="I519" s="78"/>
      <c r="J519" s="44"/>
    </row>
    <row r="520" spans="1:10" ht="20.25">
      <c r="A520" s="307"/>
      <c r="B520" s="314"/>
      <c r="C520" s="314"/>
      <c r="D520" s="314"/>
      <c r="E520" s="320"/>
      <c r="F520" s="315"/>
      <c r="G520" s="316"/>
      <c r="H520" s="807"/>
      <c r="I520" s="78"/>
      <c r="J520" s="44"/>
    </row>
    <row r="521" spans="1:10" ht="20.25">
      <c r="A521" s="307"/>
      <c r="B521" s="314"/>
      <c r="C521" s="314"/>
      <c r="D521" s="314"/>
      <c r="E521" s="320"/>
      <c r="F521" s="315"/>
      <c r="G521" s="316"/>
      <c r="H521" s="807"/>
      <c r="I521" s="78"/>
      <c r="J521" s="44"/>
    </row>
    <row r="522" spans="1:10" ht="20.25">
      <c r="A522" s="307"/>
      <c r="B522" s="314"/>
      <c r="C522" s="314"/>
      <c r="D522" s="314"/>
      <c r="E522" s="320"/>
      <c r="F522" s="315"/>
      <c r="G522" s="316"/>
      <c r="H522" s="807"/>
      <c r="I522" s="78"/>
      <c r="J522" s="44"/>
    </row>
    <row r="523" spans="1:10" ht="20.25">
      <c r="A523" s="307"/>
      <c r="B523" s="314"/>
      <c r="C523" s="314"/>
      <c r="D523" s="314"/>
      <c r="E523" s="320"/>
      <c r="F523" s="315"/>
      <c r="G523" s="316"/>
      <c r="H523" s="807"/>
      <c r="I523" s="78"/>
      <c r="J523" s="44"/>
    </row>
    <row r="524" spans="1:10" ht="20.25">
      <c r="A524" s="307"/>
      <c r="B524" s="314"/>
      <c r="C524" s="314"/>
      <c r="D524" s="314"/>
      <c r="E524" s="320"/>
      <c r="F524" s="315"/>
      <c r="G524" s="316"/>
      <c r="H524" s="807"/>
      <c r="I524" s="78"/>
      <c r="J524" s="44"/>
    </row>
    <row r="525" spans="1:10" ht="20.25">
      <c r="A525" s="307"/>
      <c r="B525" s="314"/>
      <c r="C525" s="314"/>
      <c r="D525" s="314"/>
      <c r="E525" s="320"/>
      <c r="F525" s="315"/>
      <c r="G525" s="316"/>
      <c r="H525" s="807"/>
      <c r="I525" s="78"/>
      <c r="J525" s="44"/>
    </row>
    <row r="526" spans="1:10" ht="20.25">
      <c r="A526" s="307"/>
      <c r="B526" s="314"/>
      <c r="C526" s="314"/>
      <c r="D526" s="314"/>
      <c r="E526" s="320"/>
      <c r="F526" s="315"/>
      <c r="G526" s="316"/>
      <c r="H526" s="807"/>
      <c r="I526" s="78"/>
      <c r="J526" s="44"/>
    </row>
    <row r="527" spans="1:10" ht="20.25">
      <c r="A527" s="307"/>
      <c r="B527" s="314"/>
      <c r="C527" s="314"/>
      <c r="D527" s="314"/>
      <c r="E527" s="320"/>
      <c r="F527" s="315"/>
      <c r="G527" s="316"/>
      <c r="H527" s="807"/>
      <c r="I527" s="78"/>
      <c r="J527" s="44"/>
    </row>
    <row r="528" spans="1:10" ht="20.25">
      <c r="A528" s="307"/>
      <c r="B528" s="314"/>
      <c r="C528" s="314"/>
      <c r="D528" s="314"/>
      <c r="E528" s="320"/>
      <c r="F528" s="315"/>
      <c r="G528" s="316"/>
      <c r="H528" s="807"/>
      <c r="I528" s="78"/>
      <c r="J528" s="44"/>
    </row>
    <row r="529" spans="1:10" ht="20.25">
      <c r="A529" s="307"/>
      <c r="B529" s="314"/>
      <c r="C529" s="314"/>
      <c r="D529" s="314"/>
      <c r="E529" s="320"/>
      <c r="F529" s="315"/>
      <c r="G529" s="316"/>
      <c r="H529" s="807"/>
      <c r="I529" s="78"/>
      <c r="J529" s="44"/>
    </row>
    <row r="530" spans="1:10" ht="20.25">
      <c r="A530" s="307"/>
      <c r="B530" s="314"/>
      <c r="C530" s="314"/>
      <c r="D530" s="314"/>
      <c r="E530" s="320"/>
      <c r="F530" s="315"/>
      <c r="G530" s="316"/>
      <c r="H530" s="807"/>
      <c r="I530" s="78"/>
      <c r="J530" s="44"/>
    </row>
    <row r="531" spans="1:10" ht="20.25">
      <c r="A531" s="307"/>
      <c r="B531" s="314"/>
      <c r="C531" s="314"/>
      <c r="D531" s="314"/>
      <c r="E531" s="320"/>
      <c r="F531" s="315"/>
      <c r="G531" s="316"/>
      <c r="H531" s="807"/>
      <c r="I531" s="78"/>
      <c r="J531" s="44"/>
    </row>
    <row r="532" spans="1:10" ht="20.25">
      <c r="A532" s="307"/>
      <c r="B532" s="314"/>
      <c r="C532" s="314"/>
      <c r="D532" s="314"/>
      <c r="E532" s="320"/>
      <c r="F532" s="315"/>
      <c r="G532" s="316"/>
      <c r="H532" s="807"/>
      <c r="I532" s="78"/>
      <c r="J532" s="44"/>
    </row>
    <row r="533" spans="1:10" ht="20.25">
      <c r="A533" s="307"/>
      <c r="B533" s="314"/>
      <c r="C533" s="314"/>
      <c r="D533" s="314"/>
      <c r="E533" s="320"/>
      <c r="F533" s="315"/>
      <c r="G533" s="316"/>
      <c r="H533" s="807"/>
      <c r="I533" s="78"/>
      <c r="J533" s="44"/>
    </row>
    <row r="534" spans="1:10" ht="20.25">
      <c r="A534" s="307"/>
      <c r="B534" s="314"/>
      <c r="C534" s="314"/>
      <c r="D534" s="314"/>
      <c r="E534" s="320"/>
      <c r="F534" s="315"/>
      <c r="G534" s="316"/>
      <c r="H534" s="807"/>
      <c r="I534" s="78"/>
      <c r="J534" s="44"/>
    </row>
    <row r="535" spans="1:10" ht="20.25">
      <c r="A535" s="307"/>
      <c r="B535" s="314"/>
      <c r="C535" s="314"/>
      <c r="D535" s="314"/>
      <c r="E535" s="320"/>
      <c r="F535" s="315"/>
      <c r="G535" s="316"/>
      <c r="H535" s="807"/>
      <c r="I535" s="78"/>
      <c r="J535" s="44"/>
    </row>
    <row r="536" spans="1:10" ht="20.25">
      <c r="A536" s="307"/>
      <c r="B536" s="314"/>
      <c r="C536" s="314"/>
      <c r="D536" s="314"/>
      <c r="E536" s="320"/>
      <c r="F536" s="315"/>
      <c r="G536" s="316"/>
      <c r="H536" s="807"/>
      <c r="I536" s="78"/>
      <c r="J536" s="44"/>
    </row>
    <row r="537" spans="1:10" ht="20.25">
      <c r="A537" s="307"/>
      <c r="B537" s="314"/>
      <c r="C537" s="314"/>
      <c r="D537" s="314"/>
      <c r="E537" s="320"/>
      <c r="F537" s="315"/>
      <c r="G537" s="316"/>
      <c r="H537" s="807"/>
      <c r="I537" s="78"/>
      <c r="J537" s="44"/>
    </row>
    <row r="538" spans="1:10" ht="20.25">
      <c r="A538" s="307"/>
      <c r="B538" s="314"/>
      <c r="C538" s="314"/>
      <c r="D538" s="314"/>
      <c r="E538" s="320"/>
      <c r="F538" s="315"/>
      <c r="G538" s="316"/>
      <c r="H538" s="807"/>
      <c r="I538" s="78"/>
      <c r="J538" s="44"/>
    </row>
    <row r="539" spans="1:10" ht="20.25">
      <c r="A539" s="307"/>
      <c r="B539" s="314"/>
      <c r="C539" s="314"/>
      <c r="D539" s="314"/>
      <c r="E539" s="320"/>
      <c r="F539" s="315"/>
      <c r="G539" s="316"/>
      <c r="H539" s="807"/>
      <c r="I539" s="78"/>
      <c r="J539" s="44"/>
    </row>
    <row r="540" spans="1:10" ht="20.25">
      <c r="A540" s="307"/>
      <c r="B540" s="314"/>
      <c r="C540" s="314"/>
      <c r="D540" s="314"/>
      <c r="E540" s="320"/>
      <c r="F540" s="315"/>
      <c r="G540" s="316"/>
      <c r="H540" s="807"/>
      <c r="I540" s="78"/>
      <c r="J540" s="44"/>
    </row>
    <row r="541" spans="1:10" ht="20.25">
      <c r="A541" s="307"/>
      <c r="B541" s="314"/>
      <c r="C541" s="314"/>
      <c r="D541" s="314"/>
      <c r="E541" s="320"/>
      <c r="F541" s="315"/>
      <c r="G541" s="316"/>
      <c r="H541" s="807"/>
      <c r="I541" s="78"/>
      <c r="J541" s="44"/>
    </row>
    <row r="542" spans="1:10" ht="20.25">
      <c r="A542" s="307"/>
      <c r="B542" s="314"/>
      <c r="C542" s="314"/>
      <c r="D542" s="314"/>
      <c r="E542" s="320"/>
      <c r="F542" s="315"/>
      <c r="G542" s="316"/>
      <c r="H542" s="807"/>
      <c r="I542" s="78"/>
      <c r="J542" s="44"/>
    </row>
    <row r="543" spans="1:10" ht="20.25">
      <c r="A543" s="307"/>
      <c r="B543" s="314"/>
      <c r="C543" s="314"/>
      <c r="D543" s="314"/>
      <c r="E543" s="320"/>
      <c r="F543" s="315"/>
      <c r="G543" s="316"/>
      <c r="H543" s="807"/>
      <c r="I543" s="78"/>
      <c r="J543" s="44"/>
    </row>
    <row r="544" spans="1:10" ht="20.25">
      <c r="A544" s="307"/>
      <c r="B544" s="314"/>
      <c r="C544" s="314"/>
      <c r="D544" s="314"/>
      <c r="E544" s="320"/>
      <c r="F544" s="315"/>
      <c r="G544" s="316"/>
      <c r="H544" s="807"/>
      <c r="I544" s="78"/>
      <c r="J544" s="44"/>
    </row>
    <row r="545" spans="1:10" ht="20.25">
      <c r="A545" s="307"/>
      <c r="B545" s="314"/>
      <c r="C545" s="314"/>
      <c r="D545" s="314"/>
      <c r="E545" s="320"/>
      <c r="F545" s="315"/>
      <c r="G545" s="316"/>
      <c r="H545" s="807"/>
      <c r="I545" s="78"/>
      <c r="J545" s="44"/>
    </row>
    <row r="546" spans="1:10" ht="20.25">
      <c r="A546" s="307"/>
      <c r="B546" s="314"/>
      <c r="C546" s="314"/>
      <c r="D546" s="314"/>
      <c r="E546" s="320"/>
      <c r="F546" s="315"/>
      <c r="G546" s="316"/>
      <c r="H546" s="807"/>
      <c r="I546" s="78"/>
      <c r="J546" s="44"/>
    </row>
    <row r="547" spans="1:10" ht="20.25">
      <c r="A547" s="307"/>
      <c r="B547" s="314"/>
      <c r="C547" s="314"/>
      <c r="D547" s="314"/>
      <c r="E547" s="320"/>
      <c r="F547" s="315"/>
      <c r="G547" s="316"/>
      <c r="H547" s="807"/>
      <c r="I547" s="78"/>
      <c r="J547" s="44"/>
    </row>
    <row r="548" spans="1:10" ht="20.25">
      <c r="A548" s="307"/>
      <c r="B548" s="314"/>
      <c r="C548" s="314"/>
      <c r="D548" s="314"/>
      <c r="E548" s="320"/>
      <c r="F548" s="315"/>
      <c r="G548" s="316"/>
      <c r="H548" s="807"/>
      <c r="I548" s="78"/>
      <c r="J548" s="44"/>
    </row>
    <row r="549" spans="1:10" ht="20.25">
      <c r="A549" s="307"/>
      <c r="B549" s="314"/>
      <c r="C549" s="314"/>
      <c r="D549" s="314"/>
      <c r="E549" s="320"/>
      <c r="F549" s="315"/>
      <c r="G549" s="316"/>
      <c r="H549" s="807"/>
      <c r="I549" s="78"/>
      <c r="J549" s="44"/>
    </row>
    <row r="550" spans="1:10" ht="20.25">
      <c r="A550" s="307"/>
      <c r="B550" s="314"/>
      <c r="C550" s="314"/>
      <c r="D550" s="314"/>
      <c r="E550" s="320"/>
      <c r="F550" s="315"/>
      <c r="G550" s="316"/>
      <c r="H550" s="807"/>
      <c r="I550" s="78"/>
      <c r="J550" s="44"/>
    </row>
    <row r="551" spans="1:10" ht="20.25">
      <c r="A551" s="307"/>
      <c r="B551" s="314"/>
      <c r="C551" s="314"/>
      <c r="D551" s="314"/>
      <c r="E551" s="320"/>
      <c r="F551" s="315"/>
      <c r="G551" s="316"/>
      <c r="H551" s="807"/>
      <c r="I551" s="78"/>
      <c r="J551" s="44"/>
    </row>
    <row r="552" spans="1:10" ht="20.25">
      <c r="A552" s="307"/>
      <c r="B552" s="314"/>
      <c r="C552" s="314"/>
      <c r="D552" s="314"/>
      <c r="E552" s="320"/>
      <c r="F552" s="315"/>
      <c r="G552" s="316"/>
      <c r="H552" s="807"/>
      <c r="I552" s="78"/>
      <c r="J552" s="44"/>
    </row>
    <row r="553" spans="1:10" ht="20.25">
      <c r="A553" s="307"/>
      <c r="B553" s="314"/>
      <c r="C553" s="314"/>
      <c r="D553" s="314"/>
      <c r="E553" s="320"/>
      <c r="F553" s="315"/>
      <c r="G553" s="316"/>
      <c r="H553" s="807"/>
      <c r="I553" s="78"/>
      <c r="J553" s="44"/>
    </row>
    <row r="554" spans="1:10" ht="20.25">
      <c r="A554" s="307"/>
      <c r="B554" s="314"/>
      <c r="C554" s="314"/>
      <c r="D554" s="314"/>
      <c r="E554" s="320"/>
      <c r="F554" s="315"/>
      <c r="G554" s="316"/>
      <c r="H554" s="807"/>
      <c r="I554" s="78"/>
      <c r="J554" s="44"/>
    </row>
    <row r="555" spans="1:10" ht="20.25">
      <c r="A555" s="307"/>
      <c r="B555" s="314"/>
      <c r="C555" s="314"/>
      <c r="D555" s="314"/>
      <c r="E555" s="320"/>
      <c r="F555" s="315"/>
      <c r="G555" s="316"/>
      <c r="H555" s="807"/>
      <c r="I555" s="78"/>
      <c r="J555" s="44"/>
    </row>
    <row r="556" spans="1:10" ht="20.25">
      <c r="A556" s="307"/>
      <c r="B556" s="314"/>
      <c r="C556" s="314"/>
      <c r="D556" s="314"/>
      <c r="E556" s="320"/>
      <c r="F556" s="315"/>
      <c r="G556" s="316"/>
      <c r="H556" s="807"/>
      <c r="I556" s="78"/>
      <c r="J556" s="44"/>
    </row>
    <row r="557" spans="1:10" ht="20.25">
      <c r="A557" s="307"/>
      <c r="B557" s="314"/>
      <c r="C557" s="314"/>
      <c r="D557" s="314"/>
      <c r="E557" s="320"/>
      <c r="F557" s="315"/>
      <c r="G557" s="316"/>
      <c r="H557" s="807"/>
      <c r="I557" s="78"/>
      <c r="J557" s="44"/>
    </row>
    <row r="558" spans="1:10" ht="20.25">
      <c r="A558" s="307"/>
      <c r="B558" s="314"/>
      <c r="C558" s="314"/>
      <c r="D558" s="314"/>
      <c r="E558" s="320"/>
      <c r="F558" s="315"/>
      <c r="G558" s="316"/>
      <c r="H558" s="807"/>
      <c r="I558" s="78"/>
      <c r="J558" s="44"/>
    </row>
    <row r="559" spans="1:10" ht="20.25">
      <c r="A559" s="307"/>
      <c r="B559" s="314"/>
      <c r="C559" s="314"/>
      <c r="D559" s="314"/>
      <c r="E559" s="320"/>
      <c r="F559" s="315"/>
      <c r="G559" s="316"/>
      <c r="H559" s="807"/>
      <c r="I559" s="78"/>
      <c r="J559" s="44"/>
    </row>
    <row r="560" spans="1:10" ht="20.25">
      <c r="A560" s="307"/>
      <c r="B560" s="314"/>
      <c r="C560" s="314"/>
      <c r="D560" s="314"/>
      <c r="E560" s="320"/>
      <c r="F560" s="315"/>
      <c r="G560" s="316"/>
      <c r="H560" s="807"/>
      <c r="I560" s="78"/>
      <c r="J560" s="44"/>
    </row>
    <row r="561" spans="1:10" ht="20.25">
      <c r="A561" s="307"/>
      <c r="B561" s="314"/>
      <c r="C561" s="314"/>
      <c r="D561" s="314"/>
      <c r="E561" s="320"/>
      <c r="F561" s="315"/>
      <c r="G561" s="316"/>
      <c r="H561" s="807"/>
      <c r="I561" s="78"/>
      <c r="J561" s="44"/>
    </row>
    <row r="562" spans="1:10" ht="20.25">
      <c r="A562" s="307"/>
      <c r="B562" s="314"/>
      <c r="C562" s="314"/>
      <c r="D562" s="314"/>
      <c r="E562" s="320"/>
      <c r="F562" s="315"/>
      <c r="G562" s="316"/>
      <c r="H562" s="807"/>
      <c r="I562" s="78"/>
      <c r="J562" s="44"/>
    </row>
    <row r="563" spans="1:10" ht="20.25">
      <c r="A563" s="307"/>
      <c r="B563" s="314"/>
      <c r="C563" s="314"/>
      <c r="D563" s="314"/>
      <c r="E563" s="320"/>
      <c r="F563" s="315"/>
      <c r="G563" s="316"/>
      <c r="H563" s="807"/>
      <c r="I563" s="78"/>
      <c r="J563" s="44"/>
    </row>
    <row r="564" spans="1:10" ht="20.25">
      <c r="A564" s="307"/>
      <c r="B564" s="314"/>
      <c r="C564" s="314"/>
      <c r="D564" s="314"/>
      <c r="E564" s="320"/>
      <c r="F564" s="315"/>
      <c r="G564" s="316"/>
      <c r="H564" s="807"/>
      <c r="I564" s="78"/>
      <c r="J564" s="44"/>
    </row>
    <row r="565" spans="1:10" ht="20.25">
      <c r="A565" s="307"/>
      <c r="B565" s="314"/>
      <c r="C565" s="314"/>
      <c r="D565" s="314"/>
      <c r="E565" s="320"/>
      <c r="F565" s="315"/>
      <c r="G565" s="316"/>
      <c r="H565" s="807"/>
      <c r="I565" s="78"/>
      <c r="J565" s="44"/>
    </row>
    <row r="566" spans="1:10" ht="20.25">
      <c r="A566" s="307"/>
      <c r="B566" s="314"/>
      <c r="C566" s="314"/>
      <c r="D566" s="314"/>
      <c r="E566" s="320"/>
      <c r="F566" s="315"/>
      <c r="G566" s="316"/>
      <c r="H566" s="807"/>
      <c r="I566" s="78"/>
      <c r="J566" s="44"/>
    </row>
    <row r="567" spans="1:10" ht="20.25">
      <c r="A567" s="307"/>
      <c r="B567" s="314"/>
      <c r="C567" s="314"/>
      <c r="D567" s="314"/>
      <c r="E567" s="320"/>
      <c r="F567" s="315"/>
      <c r="G567" s="316"/>
      <c r="H567" s="807"/>
      <c r="I567" s="78"/>
      <c r="J567" s="44"/>
    </row>
    <row r="568" spans="1:10" ht="20.25">
      <c r="A568" s="307"/>
      <c r="B568" s="314"/>
      <c r="C568" s="314"/>
      <c r="D568" s="314"/>
      <c r="E568" s="320"/>
      <c r="F568" s="315"/>
      <c r="G568" s="316"/>
      <c r="H568" s="807"/>
      <c r="I568" s="78"/>
      <c r="J568" s="44"/>
    </row>
    <row r="569" spans="1:10" ht="20.25">
      <c r="A569" s="307"/>
      <c r="B569" s="314"/>
      <c r="C569" s="314"/>
      <c r="D569" s="314"/>
      <c r="E569" s="320"/>
      <c r="F569" s="315"/>
      <c r="G569" s="316"/>
      <c r="H569" s="807"/>
      <c r="I569" s="78"/>
      <c r="J569" s="44"/>
    </row>
    <row r="570" spans="1:10" ht="20.25">
      <c r="A570" s="307"/>
      <c r="B570" s="314"/>
      <c r="C570" s="314"/>
      <c r="D570" s="314"/>
      <c r="E570" s="320"/>
      <c r="F570" s="315"/>
      <c r="G570" s="316"/>
      <c r="H570" s="807"/>
      <c r="I570" s="78"/>
      <c r="J570" s="44"/>
    </row>
    <row r="571" spans="1:10" ht="20.25">
      <c r="A571" s="307"/>
      <c r="B571" s="314"/>
      <c r="C571" s="314"/>
      <c r="D571" s="314"/>
      <c r="E571" s="320"/>
      <c r="F571" s="315"/>
      <c r="G571" s="316"/>
      <c r="H571" s="807"/>
      <c r="I571" s="78"/>
      <c r="J571" s="44"/>
    </row>
    <row r="572" spans="1:10" ht="20.25">
      <c r="A572" s="307"/>
      <c r="B572" s="314"/>
      <c r="C572" s="314"/>
      <c r="D572" s="314"/>
      <c r="E572" s="320"/>
      <c r="F572" s="315"/>
      <c r="G572" s="316"/>
      <c r="H572" s="807"/>
      <c r="I572" s="78"/>
      <c r="J572" s="44"/>
    </row>
    <row r="573" spans="1:10" ht="20.25">
      <c r="A573" s="307"/>
      <c r="B573" s="314"/>
      <c r="C573" s="314"/>
      <c r="D573" s="314"/>
      <c r="E573" s="320"/>
      <c r="F573" s="315"/>
      <c r="G573" s="316"/>
      <c r="H573" s="807"/>
      <c r="I573" s="78"/>
      <c r="J573" s="44"/>
    </row>
    <row r="574" spans="1:10" ht="20.25">
      <c r="A574" s="307"/>
      <c r="B574" s="314"/>
      <c r="C574" s="314"/>
      <c r="D574" s="314"/>
      <c r="E574" s="320"/>
      <c r="F574" s="315"/>
      <c r="G574" s="316"/>
      <c r="H574" s="807"/>
      <c r="I574" s="78"/>
      <c r="J574" s="44"/>
    </row>
    <row r="575" spans="1:10" ht="20.25">
      <c r="A575" s="307"/>
      <c r="B575" s="314"/>
      <c r="C575" s="314"/>
      <c r="D575" s="314"/>
      <c r="E575" s="320"/>
      <c r="F575" s="315"/>
      <c r="G575" s="316"/>
      <c r="H575" s="807"/>
      <c r="I575" s="78"/>
      <c r="J575" s="44"/>
    </row>
    <row r="576" spans="1:10" ht="20.25">
      <c r="A576" s="307"/>
      <c r="B576" s="314"/>
      <c r="C576" s="314"/>
      <c r="D576" s="314"/>
      <c r="E576" s="320"/>
      <c r="F576" s="315"/>
      <c r="G576" s="316"/>
      <c r="H576" s="807"/>
      <c r="I576" s="78"/>
      <c r="J576" s="44"/>
    </row>
    <row r="577" spans="1:10" ht="20.25">
      <c r="A577" s="307"/>
      <c r="B577" s="314"/>
      <c r="C577" s="314"/>
      <c r="D577" s="314"/>
      <c r="E577" s="320"/>
      <c r="F577" s="315"/>
      <c r="G577" s="316"/>
      <c r="H577" s="807"/>
      <c r="I577" s="78"/>
      <c r="J577" s="44"/>
    </row>
    <row r="578" spans="1:10" ht="20.25">
      <c r="A578" s="307"/>
      <c r="B578" s="314"/>
      <c r="C578" s="314"/>
      <c r="D578" s="314"/>
      <c r="E578" s="320"/>
      <c r="F578" s="315"/>
      <c r="G578" s="316"/>
      <c r="H578" s="807"/>
      <c r="I578" s="78"/>
      <c r="J578" s="44"/>
    </row>
    <row r="579" spans="1:10" ht="20.25">
      <c r="A579" s="307"/>
      <c r="B579" s="314"/>
      <c r="C579" s="314"/>
      <c r="D579" s="314"/>
      <c r="E579" s="320"/>
      <c r="F579" s="315"/>
      <c r="G579" s="316"/>
      <c r="H579" s="807"/>
      <c r="I579" s="78"/>
      <c r="J579" s="44"/>
    </row>
    <row r="580" spans="1:10" ht="20.25">
      <c r="A580" s="307"/>
      <c r="B580" s="314"/>
      <c r="C580" s="314"/>
      <c r="D580" s="314"/>
      <c r="E580" s="320"/>
      <c r="F580" s="315"/>
      <c r="G580" s="316"/>
      <c r="H580" s="807"/>
      <c r="I580" s="78"/>
      <c r="J580" s="44"/>
    </row>
    <row r="581" spans="1:10" ht="20.25">
      <c r="A581" s="307"/>
      <c r="B581" s="314"/>
      <c r="C581" s="314"/>
      <c r="D581" s="314"/>
      <c r="E581" s="320"/>
      <c r="F581" s="315"/>
      <c r="G581" s="316"/>
      <c r="H581" s="807"/>
      <c r="I581" s="78"/>
      <c r="J581" s="44"/>
    </row>
    <row r="582" spans="1:10" ht="20.25">
      <c r="A582" s="307"/>
      <c r="B582" s="314"/>
      <c r="C582" s="314"/>
      <c r="D582" s="314"/>
      <c r="E582" s="320"/>
      <c r="F582" s="315"/>
      <c r="G582" s="316"/>
      <c r="H582" s="807"/>
      <c r="I582" s="78"/>
      <c r="J582" s="44"/>
    </row>
    <row r="583" spans="1:10" ht="20.25">
      <c r="A583" s="307"/>
      <c r="B583" s="314"/>
      <c r="C583" s="314"/>
      <c r="D583" s="314"/>
      <c r="E583" s="320"/>
      <c r="F583" s="315"/>
      <c r="G583" s="316"/>
      <c r="H583" s="807"/>
      <c r="I583" s="78"/>
      <c r="J583" s="44"/>
    </row>
    <row r="584" spans="1:10" ht="20.25">
      <c r="A584" s="307"/>
      <c r="B584" s="314"/>
      <c r="C584" s="314"/>
      <c r="D584" s="314"/>
      <c r="E584" s="320"/>
      <c r="F584" s="315"/>
      <c r="G584" s="316"/>
      <c r="H584" s="807"/>
      <c r="I584" s="78"/>
      <c r="J584" s="44"/>
    </row>
    <row r="585" spans="1:10" ht="20.25">
      <c r="A585" s="307"/>
      <c r="B585" s="314"/>
      <c r="C585" s="314"/>
      <c r="D585" s="314"/>
      <c r="E585" s="320"/>
      <c r="F585" s="315"/>
      <c r="G585" s="316"/>
      <c r="H585" s="807"/>
      <c r="I585" s="78"/>
      <c r="J585" s="44"/>
    </row>
    <row r="586" spans="1:10" ht="20.25">
      <c r="A586" s="307"/>
      <c r="B586" s="314"/>
      <c r="C586" s="314"/>
      <c r="D586" s="314"/>
      <c r="E586" s="320"/>
      <c r="F586" s="315"/>
      <c r="G586" s="316"/>
      <c r="H586" s="807"/>
      <c r="I586" s="78"/>
      <c r="J586" s="44"/>
    </row>
    <row r="587" spans="1:10" ht="20.25">
      <c r="A587" s="307"/>
      <c r="B587" s="314"/>
      <c r="C587" s="314"/>
      <c r="D587" s="314"/>
      <c r="E587" s="320"/>
      <c r="F587" s="315"/>
      <c r="G587" s="316"/>
      <c r="H587" s="807"/>
      <c r="I587" s="78"/>
      <c r="J587" s="44"/>
    </row>
    <row r="588" spans="1:10" ht="20.25">
      <c r="A588" s="307"/>
      <c r="B588" s="314"/>
      <c r="C588" s="314"/>
      <c r="D588" s="314"/>
      <c r="E588" s="320"/>
      <c r="F588" s="315"/>
      <c r="G588" s="316"/>
      <c r="H588" s="807"/>
      <c r="I588" s="78"/>
      <c r="J588" s="44"/>
    </row>
    <row r="589" spans="1:10" ht="20.25">
      <c r="A589" s="307"/>
      <c r="B589" s="314"/>
      <c r="C589" s="314"/>
      <c r="D589" s="314"/>
      <c r="E589" s="320"/>
      <c r="F589" s="315"/>
      <c r="G589" s="316"/>
      <c r="H589" s="807"/>
      <c r="I589" s="78"/>
      <c r="J589" s="44"/>
    </row>
    <row r="590" spans="1:10" ht="20.25">
      <c r="A590" s="307"/>
      <c r="B590" s="314"/>
      <c r="C590" s="314"/>
      <c r="D590" s="314"/>
      <c r="E590" s="320"/>
      <c r="F590" s="315"/>
      <c r="G590" s="316"/>
      <c r="H590" s="807"/>
      <c r="I590" s="78"/>
      <c r="J590" s="44"/>
    </row>
    <row r="591" spans="1:10" ht="20.25">
      <c r="A591" s="307"/>
      <c r="B591" s="314"/>
      <c r="C591" s="314"/>
      <c r="D591" s="314"/>
      <c r="E591" s="320"/>
      <c r="F591" s="315"/>
      <c r="G591" s="316"/>
      <c r="H591" s="807"/>
      <c r="I591" s="78"/>
      <c r="J591" s="44"/>
    </row>
    <row r="592" spans="1:10" ht="20.25">
      <c r="A592" s="307"/>
      <c r="B592" s="314"/>
      <c r="C592" s="314"/>
      <c r="D592" s="314"/>
      <c r="E592" s="320"/>
      <c r="F592" s="315"/>
      <c r="G592" s="316"/>
      <c r="H592" s="807"/>
      <c r="I592" s="78"/>
      <c r="J592" s="44"/>
    </row>
    <row r="593" spans="1:10" ht="20.25">
      <c r="A593" s="307"/>
      <c r="B593" s="314"/>
      <c r="C593" s="314"/>
      <c r="D593" s="314"/>
      <c r="E593" s="320"/>
      <c r="F593" s="315"/>
      <c r="G593" s="316"/>
      <c r="H593" s="807"/>
      <c r="I593" s="78"/>
      <c r="J593" s="44"/>
    </row>
    <row r="594" spans="1:10" ht="20.25">
      <c r="A594" s="307"/>
      <c r="B594" s="314"/>
      <c r="C594" s="314"/>
      <c r="D594" s="314"/>
      <c r="E594" s="320"/>
      <c r="F594" s="315"/>
      <c r="G594" s="316"/>
      <c r="H594" s="807"/>
      <c r="I594" s="78"/>
      <c r="J594" s="44"/>
    </row>
    <row r="595" spans="1:10" ht="20.25">
      <c r="A595" s="307"/>
      <c r="B595" s="314"/>
      <c r="C595" s="314"/>
      <c r="D595" s="314"/>
      <c r="E595" s="320"/>
      <c r="F595" s="315"/>
      <c r="G595" s="316"/>
      <c r="H595" s="807"/>
      <c r="I595" s="78"/>
      <c r="J595" s="44"/>
    </row>
    <row r="596" spans="1:10" ht="20.25">
      <c r="A596" s="307"/>
      <c r="B596" s="314"/>
      <c r="C596" s="314"/>
      <c r="D596" s="314"/>
      <c r="E596" s="320"/>
      <c r="F596" s="315"/>
      <c r="G596" s="316"/>
      <c r="H596" s="807"/>
      <c r="I596" s="78"/>
      <c r="J596" s="44"/>
    </row>
    <row r="597" spans="1:10" ht="20.25">
      <c r="A597" s="307"/>
      <c r="B597" s="314"/>
      <c r="C597" s="314"/>
      <c r="D597" s="314"/>
      <c r="E597" s="320"/>
      <c r="F597" s="315"/>
      <c r="G597" s="316"/>
      <c r="H597" s="807"/>
      <c r="I597" s="78"/>
      <c r="J597" s="44"/>
    </row>
    <row r="598" spans="1:10" ht="20.25">
      <c r="A598" s="307"/>
      <c r="B598" s="314"/>
      <c r="C598" s="314"/>
      <c r="D598" s="314"/>
      <c r="E598" s="320"/>
      <c r="F598" s="315"/>
      <c r="G598" s="316"/>
      <c r="H598" s="807"/>
      <c r="I598" s="78"/>
      <c r="J598" s="44"/>
    </row>
    <row r="599" spans="1:10" ht="20.25">
      <c r="A599" s="307"/>
      <c r="B599" s="314"/>
      <c r="C599" s="314"/>
      <c r="D599" s="314"/>
      <c r="E599" s="320"/>
      <c r="F599" s="315"/>
      <c r="G599" s="316"/>
      <c r="H599" s="807"/>
      <c r="I599" s="78"/>
      <c r="J599" s="44"/>
    </row>
    <row r="600" spans="1:10" ht="20.25">
      <c r="A600" s="307"/>
      <c r="B600" s="314"/>
      <c r="C600" s="314"/>
      <c r="D600" s="314"/>
      <c r="E600" s="320"/>
      <c r="F600" s="315"/>
      <c r="G600" s="316"/>
      <c r="H600" s="807"/>
      <c r="I600" s="78"/>
      <c r="J600" s="44"/>
    </row>
    <row r="601" spans="1:10" ht="20.25">
      <c r="A601" s="307"/>
      <c r="B601" s="314"/>
      <c r="C601" s="314"/>
      <c r="D601" s="314"/>
      <c r="E601" s="320"/>
      <c r="F601" s="315"/>
      <c r="G601" s="316"/>
      <c r="H601" s="807"/>
      <c r="I601" s="78"/>
      <c r="J601" s="44"/>
    </row>
    <row r="602" spans="1:10" ht="20.25">
      <c r="A602" s="307"/>
      <c r="B602" s="314"/>
      <c r="C602" s="314"/>
      <c r="D602" s="314"/>
      <c r="E602" s="320"/>
      <c r="F602" s="315"/>
      <c r="G602" s="316"/>
      <c r="H602" s="807"/>
      <c r="I602" s="78"/>
      <c r="J602" s="44"/>
    </row>
    <row r="603" spans="1:10" ht="20.25">
      <c r="A603" s="307"/>
      <c r="B603" s="314"/>
      <c r="C603" s="314"/>
      <c r="D603" s="314"/>
      <c r="E603" s="320"/>
      <c r="F603" s="315"/>
      <c r="G603" s="316"/>
      <c r="H603" s="807"/>
      <c r="I603" s="78"/>
      <c r="J603" s="44"/>
    </row>
    <row r="604" spans="1:10" ht="20.25">
      <c r="A604" s="307"/>
      <c r="B604" s="314"/>
      <c r="C604" s="314"/>
      <c r="D604" s="314"/>
      <c r="E604" s="320"/>
      <c r="F604" s="315"/>
      <c r="G604" s="316"/>
      <c r="H604" s="807"/>
      <c r="I604" s="78"/>
      <c r="J604" s="44"/>
    </row>
    <row r="605" spans="1:10" ht="20.25">
      <c r="A605" s="307"/>
      <c r="B605" s="314"/>
      <c r="C605" s="314"/>
      <c r="D605" s="314"/>
      <c r="E605" s="320"/>
      <c r="F605" s="315"/>
      <c r="G605" s="316"/>
      <c r="H605" s="807"/>
      <c r="I605" s="78"/>
      <c r="J605" s="44"/>
    </row>
    <row r="606" spans="1:10" ht="20.25">
      <c r="A606" s="307"/>
      <c r="B606" s="314"/>
      <c r="C606" s="314"/>
      <c r="D606" s="314"/>
      <c r="E606" s="320"/>
      <c r="F606" s="315"/>
      <c r="G606" s="316"/>
      <c r="H606" s="807"/>
      <c r="I606" s="78"/>
      <c r="J606" s="44"/>
    </row>
    <row r="607" spans="1:10" ht="20.25">
      <c r="A607" s="307"/>
      <c r="B607" s="314"/>
      <c r="C607" s="314"/>
      <c r="D607" s="314"/>
      <c r="E607" s="320"/>
      <c r="F607" s="315"/>
      <c r="G607" s="316"/>
      <c r="H607" s="807"/>
      <c r="I607" s="78"/>
      <c r="J607" s="44"/>
    </row>
    <row r="608" spans="1:10" ht="20.25">
      <c r="A608" s="307"/>
      <c r="B608" s="314"/>
      <c r="C608" s="314"/>
      <c r="D608" s="314"/>
      <c r="E608" s="320"/>
      <c r="F608" s="315"/>
      <c r="G608" s="316"/>
      <c r="H608" s="807"/>
      <c r="I608" s="78"/>
      <c r="J608" s="44"/>
    </row>
    <row r="609" spans="1:10" ht="20.25">
      <c r="A609" s="307"/>
      <c r="B609" s="314"/>
      <c r="C609" s="314"/>
      <c r="D609" s="314"/>
      <c r="E609" s="320"/>
      <c r="F609" s="315"/>
      <c r="G609" s="316"/>
      <c r="H609" s="807"/>
      <c r="I609" s="78"/>
      <c r="J609" s="44"/>
    </row>
    <row r="610" spans="1:10" ht="20.25">
      <c r="A610" s="307"/>
      <c r="B610" s="314"/>
      <c r="C610" s="314"/>
      <c r="D610" s="314"/>
      <c r="E610" s="320"/>
      <c r="F610" s="315"/>
      <c r="G610" s="316"/>
      <c r="H610" s="807"/>
      <c r="I610" s="78"/>
      <c r="J610" s="44"/>
    </row>
    <row r="611" spans="1:10" ht="20.25">
      <c r="A611" s="307"/>
      <c r="B611" s="314"/>
      <c r="C611" s="314"/>
      <c r="D611" s="314"/>
      <c r="E611" s="320"/>
      <c r="F611" s="315"/>
      <c r="G611" s="316"/>
      <c r="H611" s="807"/>
      <c r="I611" s="78"/>
      <c r="J611" s="44"/>
    </row>
    <row r="612" spans="1:10" ht="20.25">
      <c r="A612" s="307"/>
      <c r="B612" s="314"/>
      <c r="C612" s="314"/>
      <c r="D612" s="314"/>
      <c r="E612" s="320"/>
      <c r="F612" s="315"/>
      <c r="G612" s="316"/>
      <c r="H612" s="807"/>
      <c r="I612" s="78"/>
      <c r="J612" s="44"/>
    </row>
    <row r="613" spans="1:10" ht="20.25">
      <c r="A613" s="307"/>
      <c r="B613" s="314"/>
      <c r="C613" s="314"/>
      <c r="D613" s="314"/>
      <c r="E613" s="320"/>
      <c r="F613" s="315"/>
      <c r="G613" s="316"/>
      <c r="H613" s="807"/>
      <c r="I613" s="78"/>
      <c r="J613" s="44"/>
    </row>
    <row r="614" spans="1:10" ht="20.25">
      <c r="A614" s="307"/>
      <c r="B614" s="314"/>
      <c r="C614" s="314"/>
      <c r="D614" s="314"/>
      <c r="E614" s="320"/>
      <c r="F614" s="315"/>
      <c r="G614" s="316"/>
      <c r="H614" s="807"/>
      <c r="I614" s="78"/>
      <c r="J614" s="44"/>
    </row>
    <row r="615" spans="1:10" ht="20.25">
      <c r="A615" s="307"/>
      <c r="B615" s="314"/>
      <c r="C615" s="314"/>
      <c r="D615" s="314"/>
      <c r="E615" s="320"/>
      <c r="F615" s="315"/>
      <c r="G615" s="316"/>
      <c r="H615" s="807"/>
      <c r="I615" s="78"/>
      <c r="J615" s="44"/>
    </row>
    <row r="616" spans="1:10" ht="20.25">
      <c r="A616" s="307"/>
      <c r="B616" s="314"/>
      <c r="C616" s="314"/>
      <c r="D616" s="314"/>
      <c r="E616" s="320"/>
      <c r="F616" s="315"/>
      <c r="G616" s="316"/>
      <c r="H616" s="807"/>
      <c r="I616" s="78"/>
      <c r="J616" s="44"/>
    </row>
    <row r="617" spans="1:10" ht="20.25">
      <c r="A617" s="307"/>
      <c r="B617" s="314"/>
      <c r="C617" s="314"/>
      <c r="D617" s="314"/>
      <c r="E617" s="320"/>
      <c r="F617" s="315"/>
      <c r="G617" s="316"/>
      <c r="H617" s="807"/>
      <c r="I617" s="78"/>
      <c r="J617" s="44"/>
    </row>
    <row r="618" spans="1:10" ht="20.25">
      <c r="A618" s="307"/>
      <c r="B618" s="314"/>
      <c r="C618" s="314"/>
      <c r="D618" s="314"/>
      <c r="E618" s="320"/>
      <c r="F618" s="315"/>
      <c r="G618" s="316"/>
      <c r="H618" s="807"/>
      <c r="I618" s="78"/>
      <c r="J618" s="44"/>
    </row>
    <row r="619" spans="1:10" ht="20.25">
      <c r="A619" s="307"/>
      <c r="B619" s="314"/>
      <c r="C619" s="314"/>
      <c r="D619" s="314"/>
      <c r="E619" s="320"/>
      <c r="F619" s="315"/>
      <c r="G619" s="316"/>
      <c r="H619" s="807"/>
      <c r="I619" s="78"/>
      <c r="J619" s="44"/>
    </row>
    <row r="620" spans="1:10" ht="20.25">
      <c r="A620" s="307"/>
      <c r="B620" s="314"/>
      <c r="C620" s="314"/>
      <c r="D620" s="314"/>
      <c r="E620" s="320"/>
      <c r="F620" s="315"/>
      <c r="G620" s="316"/>
      <c r="H620" s="807"/>
      <c r="I620" s="78"/>
      <c r="J620" s="44"/>
    </row>
    <row r="621" spans="1:10" ht="20.25">
      <c r="A621" s="307"/>
      <c r="B621" s="314"/>
      <c r="C621" s="314"/>
      <c r="D621" s="314"/>
      <c r="E621" s="320"/>
      <c r="F621" s="315"/>
      <c r="G621" s="316"/>
      <c r="H621" s="807"/>
      <c r="I621" s="78"/>
      <c r="J621" s="44"/>
    </row>
    <row r="622" spans="1:10" ht="20.25">
      <c r="A622" s="307"/>
      <c r="B622" s="314"/>
      <c r="C622" s="314"/>
      <c r="D622" s="314"/>
      <c r="E622" s="320"/>
      <c r="F622" s="315"/>
      <c r="G622" s="316"/>
      <c r="H622" s="807"/>
      <c r="I622" s="78"/>
      <c r="J622" s="44"/>
    </row>
    <row r="623" spans="1:10" ht="20.25">
      <c r="A623" s="307"/>
      <c r="B623" s="314"/>
      <c r="C623" s="314"/>
      <c r="D623" s="314"/>
      <c r="E623" s="320"/>
      <c r="F623" s="315"/>
      <c r="G623" s="316"/>
      <c r="H623" s="807"/>
      <c r="I623" s="78"/>
      <c r="J623" s="44"/>
    </row>
    <row r="624" spans="1:10" ht="20.25">
      <c r="A624" s="307"/>
      <c r="B624" s="314"/>
      <c r="C624" s="314"/>
      <c r="D624" s="314"/>
      <c r="E624" s="320"/>
      <c r="F624" s="315"/>
      <c r="G624" s="316"/>
      <c r="H624" s="807"/>
      <c r="I624" s="78"/>
      <c r="J624" s="44"/>
    </row>
    <row r="625" spans="1:10" ht="20.25">
      <c r="A625" s="307"/>
      <c r="B625" s="314"/>
      <c r="C625" s="314"/>
      <c r="D625" s="314"/>
      <c r="E625" s="320"/>
      <c r="F625" s="315"/>
      <c r="G625" s="316"/>
      <c r="H625" s="807"/>
      <c r="I625" s="78"/>
      <c r="J625" s="44"/>
    </row>
    <row r="626" spans="1:10" ht="20.25">
      <c r="A626" s="307"/>
      <c r="B626" s="314"/>
      <c r="C626" s="314"/>
      <c r="D626" s="314"/>
      <c r="E626" s="320"/>
      <c r="F626" s="315"/>
      <c r="G626" s="316"/>
      <c r="H626" s="807"/>
      <c r="I626" s="78"/>
      <c r="J626" s="44"/>
    </row>
    <row r="627" spans="1:10" ht="20.25">
      <c r="A627" s="307"/>
      <c r="B627" s="314"/>
      <c r="C627" s="314"/>
      <c r="D627" s="314"/>
      <c r="E627" s="320"/>
      <c r="F627" s="315"/>
      <c r="G627" s="316"/>
      <c r="H627" s="807"/>
      <c r="I627" s="78"/>
      <c r="J627" s="44"/>
    </row>
    <row r="628" spans="1:10" ht="20.25">
      <c r="A628" s="307"/>
      <c r="B628" s="314"/>
      <c r="C628" s="314"/>
      <c r="D628" s="314"/>
      <c r="E628" s="320"/>
      <c r="F628" s="315"/>
      <c r="G628" s="316"/>
      <c r="H628" s="807"/>
      <c r="I628" s="78"/>
      <c r="J628" s="44"/>
    </row>
    <row r="629" spans="1:10" ht="20.25">
      <c r="A629" s="307"/>
      <c r="B629" s="314"/>
      <c r="C629" s="314"/>
      <c r="D629" s="314"/>
      <c r="E629" s="320"/>
      <c r="F629" s="315"/>
      <c r="G629" s="316"/>
      <c r="H629" s="807"/>
      <c r="I629" s="78"/>
      <c r="J629" s="44"/>
    </row>
    <row r="630" spans="1:10" ht="20.25">
      <c r="A630" s="307"/>
      <c r="B630" s="314"/>
      <c r="C630" s="314"/>
      <c r="D630" s="314"/>
      <c r="E630" s="320"/>
      <c r="F630" s="315"/>
      <c r="G630" s="316"/>
      <c r="H630" s="807"/>
      <c r="I630" s="78"/>
      <c r="J630" s="44"/>
    </row>
    <row r="631" spans="1:10" ht="20.25">
      <c r="A631" s="307"/>
      <c r="B631" s="314"/>
      <c r="C631" s="314"/>
      <c r="D631" s="314"/>
      <c r="E631" s="320"/>
      <c r="F631" s="315"/>
      <c r="G631" s="316"/>
      <c r="H631" s="807"/>
      <c r="I631" s="78"/>
      <c r="J631" s="44"/>
    </row>
    <row r="632" spans="1:10" ht="20.25">
      <c r="A632" s="307"/>
      <c r="B632" s="314"/>
      <c r="C632" s="314"/>
      <c r="D632" s="314"/>
      <c r="E632" s="320"/>
      <c r="F632" s="315"/>
      <c r="G632" s="316"/>
      <c r="H632" s="807"/>
      <c r="I632" s="78"/>
      <c r="J632" s="44"/>
    </row>
    <row r="633" spans="1:10" ht="20.25">
      <c r="A633" s="307"/>
      <c r="B633" s="314"/>
      <c r="C633" s="314"/>
      <c r="D633" s="314"/>
      <c r="E633" s="320"/>
      <c r="F633" s="315"/>
      <c r="G633" s="316"/>
      <c r="H633" s="807"/>
      <c r="I633" s="78"/>
      <c r="J633" s="44"/>
    </row>
    <row r="634" spans="1:10" ht="20.25">
      <c r="A634" s="307"/>
      <c r="B634" s="314"/>
      <c r="C634" s="314"/>
      <c r="D634" s="314"/>
      <c r="E634" s="320"/>
      <c r="F634" s="315"/>
      <c r="G634" s="316"/>
      <c r="H634" s="807"/>
      <c r="I634" s="78"/>
      <c r="J634" s="44"/>
    </row>
    <row r="635" spans="1:10" ht="20.25">
      <c r="A635" s="307"/>
      <c r="B635" s="314"/>
      <c r="C635" s="314"/>
      <c r="D635" s="314"/>
      <c r="E635" s="320"/>
      <c r="F635" s="315"/>
      <c r="G635" s="316"/>
      <c r="H635" s="807"/>
      <c r="I635" s="78"/>
      <c r="J635" s="44"/>
    </row>
    <row r="636" spans="1:10" ht="20.25">
      <c r="A636" s="307"/>
      <c r="B636" s="314"/>
      <c r="C636" s="314"/>
      <c r="D636" s="314"/>
      <c r="E636" s="320"/>
      <c r="F636" s="315"/>
      <c r="G636" s="316"/>
      <c r="H636" s="807"/>
      <c r="I636" s="78"/>
      <c r="J636" s="44"/>
    </row>
    <row r="637" spans="1:10" ht="20.25">
      <c r="A637" s="307"/>
      <c r="B637" s="314"/>
      <c r="C637" s="314"/>
      <c r="D637" s="314"/>
      <c r="E637" s="320"/>
      <c r="F637" s="315"/>
      <c r="G637" s="316"/>
      <c r="H637" s="807"/>
      <c r="I637" s="78"/>
      <c r="J637" s="44"/>
    </row>
    <row r="638" spans="1:10" ht="20.25">
      <c r="A638" s="307"/>
      <c r="B638" s="314"/>
      <c r="C638" s="314"/>
      <c r="D638" s="314"/>
      <c r="E638" s="320"/>
      <c r="F638" s="315"/>
      <c r="G638" s="316"/>
      <c r="H638" s="807"/>
      <c r="I638" s="78"/>
      <c r="J638" s="44"/>
    </row>
    <row r="639" spans="1:10" ht="20.25">
      <c r="A639" s="307"/>
      <c r="B639" s="314"/>
      <c r="C639" s="314"/>
      <c r="D639" s="314"/>
      <c r="E639" s="320"/>
      <c r="F639" s="315"/>
      <c r="G639" s="316"/>
      <c r="H639" s="807"/>
      <c r="I639" s="78"/>
      <c r="J639" s="44"/>
    </row>
    <row r="640" spans="1:10" ht="20.25">
      <c r="A640" s="307"/>
      <c r="B640" s="314"/>
      <c r="C640" s="314"/>
      <c r="D640" s="314"/>
      <c r="E640" s="320"/>
      <c r="F640" s="315"/>
      <c r="G640" s="316"/>
      <c r="H640" s="807"/>
      <c r="I640" s="78"/>
      <c r="J640" s="44"/>
    </row>
    <row r="641" spans="1:10" ht="20.25">
      <c r="A641" s="307"/>
      <c r="B641" s="314"/>
      <c r="C641" s="314"/>
      <c r="D641" s="314"/>
      <c r="E641" s="320"/>
      <c r="F641" s="315"/>
      <c r="G641" s="316"/>
      <c r="H641" s="807"/>
      <c r="I641" s="78"/>
      <c r="J641" s="44"/>
    </row>
    <row r="642" spans="1:10" ht="20.25">
      <c r="A642" s="307"/>
      <c r="B642" s="314"/>
      <c r="C642" s="314"/>
      <c r="D642" s="314"/>
      <c r="E642" s="320"/>
      <c r="F642" s="315"/>
      <c r="G642" s="316"/>
      <c r="H642" s="807"/>
      <c r="I642" s="78"/>
      <c r="J642" s="44"/>
    </row>
    <row r="643" spans="1:10" ht="20.25">
      <c r="A643" s="307"/>
      <c r="B643" s="314"/>
      <c r="C643" s="314"/>
      <c r="D643" s="314"/>
      <c r="E643" s="320"/>
      <c r="F643" s="315"/>
      <c r="G643" s="316"/>
      <c r="H643" s="807"/>
      <c r="I643" s="78"/>
      <c r="J643" s="44"/>
    </row>
    <row r="644" spans="1:10" ht="20.25">
      <c r="A644" s="307"/>
      <c r="B644" s="314"/>
      <c r="C644" s="314"/>
      <c r="D644" s="314"/>
      <c r="E644" s="320"/>
      <c r="F644" s="315"/>
      <c r="G644" s="316"/>
      <c r="H644" s="807"/>
      <c r="I644" s="78"/>
      <c r="J644" s="44"/>
    </row>
    <row r="645" spans="1:10" ht="20.25">
      <c r="A645" s="307"/>
      <c r="B645" s="314"/>
      <c r="C645" s="314"/>
      <c r="D645" s="314"/>
      <c r="E645" s="320"/>
      <c r="F645" s="315"/>
      <c r="G645" s="316"/>
      <c r="H645" s="807"/>
      <c r="I645" s="78"/>
      <c r="J645" s="44"/>
    </row>
    <row r="646" spans="1:10" ht="20.25">
      <c r="A646" s="307"/>
      <c r="B646" s="314"/>
      <c r="C646" s="314"/>
      <c r="D646" s="314"/>
      <c r="E646" s="320"/>
      <c r="F646" s="315"/>
      <c r="G646" s="316"/>
      <c r="H646" s="807"/>
      <c r="I646" s="78"/>
      <c r="J646" s="44"/>
    </row>
    <row r="647" spans="1:10" ht="20.25">
      <c r="A647" s="307"/>
      <c r="B647" s="314"/>
      <c r="C647" s="314"/>
      <c r="D647" s="314"/>
      <c r="E647" s="320"/>
      <c r="F647" s="315"/>
      <c r="G647" s="316"/>
      <c r="H647" s="807"/>
      <c r="I647" s="78"/>
      <c r="J647" s="44"/>
    </row>
    <row r="648" spans="1:10" ht="20.25">
      <c r="A648" s="307"/>
      <c r="B648" s="314"/>
      <c r="C648" s="314"/>
      <c r="D648" s="314"/>
      <c r="E648" s="320"/>
      <c r="F648" s="315"/>
      <c r="G648" s="316"/>
      <c r="H648" s="807"/>
      <c r="I648" s="78"/>
      <c r="J648" s="44"/>
    </row>
    <row r="649" spans="1:10" ht="20.25">
      <c r="A649" s="307"/>
      <c r="B649" s="314"/>
      <c r="C649" s="314"/>
      <c r="D649" s="314"/>
      <c r="E649" s="320"/>
      <c r="F649" s="315"/>
      <c r="G649" s="316"/>
      <c r="H649" s="807"/>
      <c r="I649" s="78"/>
      <c r="J649" s="44"/>
    </row>
    <row r="650" spans="1:10" ht="20.25">
      <c r="A650" s="307"/>
      <c r="B650" s="314"/>
      <c r="C650" s="314"/>
      <c r="D650" s="314"/>
      <c r="E650" s="320"/>
      <c r="F650" s="315"/>
      <c r="G650" s="316"/>
      <c r="H650" s="807"/>
      <c r="I650" s="78"/>
      <c r="J650" s="44"/>
    </row>
    <row r="651" spans="1:10" ht="20.25">
      <c r="A651" s="307"/>
      <c r="B651" s="314"/>
      <c r="C651" s="314"/>
      <c r="D651" s="314"/>
      <c r="E651" s="320"/>
      <c r="F651" s="315"/>
      <c r="G651" s="316"/>
      <c r="H651" s="807"/>
      <c r="I651" s="78"/>
      <c r="J651" s="44"/>
    </row>
    <row r="652" spans="1:10" ht="20.25">
      <c r="A652" s="307"/>
      <c r="B652" s="314"/>
      <c r="C652" s="314"/>
      <c r="D652" s="314"/>
      <c r="E652" s="320"/>
      <c r="F652" s="315"/>
      <c r="G652" s="316"/>
      <c r="H652" s="807"/>
    </row>
    <row r="653" spans="1:10" ht="20.25">
      <c r="A653" s="307"/>
      <c r="B653" s="314"/>
      <c r="C653" s="314"/>
      <c r="D653" s="314"/>
      <c r="E653" s="320"/>
      <c r="F653" s="315"/>
      <c r="G653" s="316"/>
      <c r="H653" s="807"/>
    </row>
    <row r="654" spans="1:10" ht="20.25">
      <c r="A654" s="307"/>
      <c r="B654" s="314"/>
      <c r="C654" s="314"/>
      <c r="D654" s="314"/>
      <c r="E654" s="320"/>
      <c r="F654" s="315"/>
      <c r="G654" s="316"/>
      <c r="H654" s="807"/>
    </row>
    <row r="655" spans="1:10" ht="20.25">
      <c r="A655" s="307"/>
      <c r="B655" s="314"/>
      <c r="C655" s="314"/>
      <c r="D655" s="314"/>
      <c r="E655" s="320"/>
      <c r="F655" s="315"/>
      <c r="G655" s="316"/>
      <c r="H655" s="807"/>
    </row>
    <row r="656" spans="1:10" ht="20.25">
      <c r="A656" s="307"/>
      <c r="B656" s="314"/>
      <c r="C656" s="314"/>
      <c r="D656" s="314"/>
      <c r="E656" s="320"/>
      <c r="F656" s="315"/>
      <c r="G656" s="316"/>
      <c r="H656" s="807"/>
    </row>
    <row r="657" spans="1:8" ht="20.25">
      <c r="A657" s="307"/>
      <c r="B657" s="314"/>
      <c r="C657" s="314"/>
      <c r="D657" s="314"/>
      <c r="E657" s="320"/>
      <c r="F657" s="315"/>
      <c r="G657" s="316"/>
      <c r="H657" s="807"/>
    </row>
    <row r="658" spans="1:8" ht="20.25">
      <c r="A658" s="307"/>
      <c r="B658" s="314"/>
      <c r="C658" s="314"/>
      <c r="D658" s="314"/>
      <c r="E658" s="320"/>
      <c r="F658" s="315"/>
      <c r="G658" s="316"/>
      <c r="H658" s="807"/>
    </row>
    <row r="659" spans="1:8" ht="20.25">
      <c r="A659" s="307"/>
      <c r="B659" s="314"/>
      <c r="C659" s="314"/>
      <c r="D659" s="314"/>
      <c r="E659" s="320"/>
      <c r="F659" s="315"/>
      <c r="G659" s="316"/>
      <c r="H659" s="807"/>
    </row>
    <row r="660" spans="1:8" ht="20.25">
      <c r="A660" s="307"/>
      <c r="B660" s="314"/>
      <c r="C660" s="314"/>
      <c r="D660" s="314"/>
      <c r="E660" s="320"/>
      <c r="F660" s="315"/>
      <c r="G660" s="316"/>
      <c r="H660" s="807"/>
    </row>
    <row r="661" spans="1:8" ht="20.25">
      <c r="A661" s="307"/>
      <c r="B661" s="314"/>
      <c r="C661" s="314"/>
      <c r="D661" s="314"/>
      <c r="E661" s="320"/>
      <c r="F661" s="315"/>
      <c r="G661" s="316"/>
      <c r="H661" s="807"/>
    </row>
    <row r="662" spans="1:8" ht="20.25">
      <c r="A662" s="307"/>
      <c r="B662" s="314"/>
      <c r="C662" s="314"/>
      <c r="D662" s="314"/>
      <c r="E662" s="320"/>
      <c r="F662" s="315"/>
      <c r="G662" s="316"/>
      <c r="H662" s="807"/>
    </row>
    <row r="663" spans="1:8" ht="20.25">
      <c r="A663" s="307"/>
      <c r="B663" s="314"/>
      <c r="C663" s="314"/>
      <c r="D663" s="314"/>
      <c r="E663" s="320"/>
      <c r="F663" s="315"/>
      <c r="G663" s="316"/>
      <c r="H663" s="807"/>
    </row>
    <row r="664" spans="1:8" ht="20.25">
      <c r="A664" s="307"/>
      <c r="B664" s="314"/>
      <c r="C664" s="314"/>
      <c r="D664" s="314"/>
      <c r="E664" s="320"/>
      <c r="F664" s="315"/>
      <c r="G664" s="316"/>
      <c r="H664" s="807"/>
    </row>
    <row r="665" spans="1:8" ht="20.25">
      <c r="A665" s="307"/>
      <c r="B665" s="314"/>
      <c r="C665" s="314"/>
      <c r="D665" s="314"/>
      <c r="E665" s="320"/>
      <c r="F665" s="315"/>
      <c r="G665" s="316"/>
      <c r="H665" s="807"/>
    </row>
    <row r="666" spans="1:8" ht="20.25">
      <c r="A666" s="307"/>
      <c r="B666" s="314"/>
      <c r="C666" s="314"/>
      <c r="D666" s="314"/>
      <c r="E666" s="320"/>
      <c r="F666" s="315"/>
      <c r="G666" s="316"/>
      <c r="H666" s="807"/>
    </row>
    <row r="667" spans="1:8" ht="20.25">
      <c r="A667" s="307"/>
      <c r="B667" s="314"/>
      <c r="C667" s="314"/>
      <c r="D667" s="314"/>
      <c r="E667" s="320"/>
      <c r="F667" s="315"/>
      <c r="G667" s="316"/>
      <c r="H667" s="807"/>
    </row>
    <row r="668" spans="1:8" ht="20.25">
      <c r="A668" s="307"/>
      <c r="B668" s="314"/>
      <c r="C668" s="314"/>
      <c r="D668" s="314"/>
      <c r="E668" s="320"/>
      <c r="F668" s="315"/>
      <c r="G668" s="316"/>
      <c r="H668" s="807"/>
    </row>
    <row r="669" spans="1:8" ht="20.25">
      <c r="A669" s="307"/>
      <c r="B669" s="314"/>
      <c r="C669" s="314"/>
      <c r="D669" s="314"/>
      <c r="E669" s="320"/>
      <c r="F669" s="315"/>
      <c r="G669" s="316"/>
      <c r="H669" s="807"/>
    </row>
    <row r="670" spans="1:8" ht="20.25">
      <c r="A670" s="307"/>
      <c r="B670" s="314"/>
      <c r="C670" s="314"/>
      <c r="D670" s="314"/>
      <c r="E670" s="320"/>
      <c r="F670" s="315"/>
      <c r="G670" s="316"/>
      <c r="H670" s="807"/>
    </row>
    <row r="671" spans="1:8" ht="20.25">
      <c r="A671" s="307"/>
      <c r="B671" s="314"/>
      <c r="C671" s="314"/>
      <c r="D671" s="314"/>
      <c r="E671" s="320"/>
      <c r="F671" s="315"/>
      <c r="G671" s="316"/>
      <c r="H671" s="807"/>
    </row>
    <row r="672" spans="1:8" ht="20.25">
      <c r="A672" s="307"/>
      <c r="B672" s="314"/>
      <c r="C672" s="314"/>
      <c r="D672" s="314"/>
      <c r="E672" s="320"/>
      <c r="F672" s="315"/>
      <c r="G672" s="316"/>
      <c r="H672" s="807"/>
    </row>
    <row r="673" spans="1:8" ht="20.25">
      <c r="A673" s="307"/>
      <c r="B673" s="314"/>
      <c r="C673" s="314"/>
      <c r="D673" s="314"/>
      <c r="E673" s="320"/>
      <c r="F673" s="315"/>
      <c r="G673" s="316"/>
      <c r="H673" s="807"/>
    </row>
    <row r="674" spans="1:8" ht="20.25">
      <c r="A674" s="307"/>
      <c r="B674" s="314"/>
      <c r="C674" s="314"/>
      <c r="D674" s="314"/>
      <c r="E674" s="320"/>
      <c r="F674" s="315"/>
      <c r="G674" s="316"/>
      <c r="H674" s="807"/>
    </row>
    <row r="675" spans="1:8" ht="20.25">
      <c r="A675" s="307"/>
      <c r="B675" s="314"/>
      <c r="C675" s="314"/>
      <c r="D675" s="314"/>
      <c r="E675" s="320"/>
      <c r="F675" s="315"/>
      <c r="G675" s="316"/>
      <c r="H675" s="807"/>
    </row>
    <row r="676" spans="1:8" ht="20.25">
      <c r="A676" s="307"/>
      <c r="B676" s="314"/>
      <c r="C676" s="314"/>
      <c r="D676" s="314"/>
      <c r="E676" s="320"/>
      <c r="F676" s="315"/>
      <c r="G676" s="316"/>
      <c r="H676" s="807"/>
    </row>
    <row r="677" spans="1:8" ht="20.25">
      <c r="A677" s="307"/>
      <c r="B677" s="314"/>
      <c r="C677" s="314"/>
      <c r="D677" s="314"/>
      <c r="E677" s="320"/>
      <c r="F677" s="315"/>
      <c r="G677" s="316"/>
      <c r="H677" s="807"/>
    </row>
    <row r="678" spans="1:8" ht="20.25">
      <c r="A678" s="307"/>
      <c r="B678" s="314"/>
      <c r="C678" s="314"/>
      <c r="D678" s="314"/>
      <c r="E678" s="320"/>
      <c r="F678" s="315"/>
      <c r="G678" s="316"/>
      <c r="H678" s="807"/>
    </row>
    <row r="679" spans="1:8" ht="20.25">
      <c r="A679" s="307"/>
      <c r="B679" s="314"/>
      <c r="C679" s="314"/>
      <c r="D679" s="314"/>
      <c r="E679" s="320"/>
      <c r="F679" s="315"/>
      <c r="G679" s="316"/>
      <c r="H679" s="807"/>
    </row>
    <row r="680" spans="1:8" ht="20.25">
      <c r="A680" s="307"/>
      <c r="B680" s="314"/>
      <c r="C680" s="314"/>
      <c r="D680" s="314"/>
      <c r="E680" s="320"/>
      <c r="F680" s="315"/>
      <c r="G680" s="316"/>
      <c r="H680" s="807"/>
    </row>
    <row r="681" spans="1:8" ht="20.25">
      <c r="A681" s="307"/>
      <c r="B681" s="314"/>
      <c r="C681" s="314"/>
      <c r="D681" s="314"/>
      <c r="E681" s="320"/>
      <c r="F681" s="315"/>
      <c r="G681" s="316"/>
      <c r="H681" s="807"/>
    </row>
    <row r="682" spans="1:8" ht="20.25">
      <c r="A682" s="307"/>
      <c r="B682" s="314"/>
      <c r="C682" s="314"/>
      <c r="D682" s="314"/>
      <c r="E682" s="320"/>
      <c r="F682" s="315"/>
      <c r="G682" s="316"/>
      <c r="H682" s="807"/>
    </row>
    <row r="683" spans="1:8" ht="20.25">
      <c r="A683" s="307"/>
      <c r="B683" s="314"/>
      <c r="C683" s="314"/>
      <c r="D683" s="314"/>
      <c r="E683" s="320"/>
      <c r="F683" s="315"/>
      <c r="G683" s="316"/>
      <c r="H683" s="807"/>
    </row>
    <row r="684" spans="1:8" ht="20.25">
      <c r="A684" s="307"/>
      <c r="B684" s="314"/>
      <c r="C684" s="314"/>
      <c r="D684" s="314"/>
      <c r="E684" s="320"/>
      <c r="F684" s="315"/>
      <c r="G684" s="316"/>
      <c r="H684" s="807"/>
    </row>
    <row r="685" spans="1:8" ht="20.25">
      <c r="A685" s="307"/>
      <c r="B685" s="314"/>
      <c r="C685" s="314"/>
      <c r="D685" s="314"/>
      <c r="E685" s="320"/>
      <c r="F685" s="315"/>
      <c r="G685" s="316"/>
      <c r="H685" s="807"/>
    </row>
    <row r="686" spans="1:8" ht="20.25">
      <c r="A686" s="307"/>
      <c r="B686" s="314"/>
      <c r="C686" s="314"/>
      <c r="D686" s="314"/>
      <c r="E686" s="320"/>
      <c r="F686" s="315"/>
      <c r="G686" s="316"/>
      <c r="H686" s="807"/>
    </row>
    <row r="687" spans="1:8" ht="20.25">
      <c r="A687" s="307"/>
      <c r="B687" s="314"/>
      <c r="C687" s="314"/>
      <c r="D687" s="314"/>
      <c r="E687" s="320"/>
      <c r="F687" s="315"/>
      <c r="G687" s="316"/>
      <c r="H687" s="807"/>
    </row>
    <row r="688" spans="1:8" ht="20.25">
      <c r="A688" s="307"/>
      <c r="B688" s="314"/>
      <c r="C688" s="314"/>
      <c r="D688" s="314"/>
      <c r="E688" s="320"/>
      <c r="F688" s="315"/>
      <c r="G688" s="316"/>
      <c r="H688" s="807"/>
    </row>
    <row r="689" spans="1:8" ht="20.25">
      <c r="A689" s="307"/>
      <c r="B689" s="314"/>
      <c r="C689" s="314"/>
      <c r="D689" s="314"/>
      <c r="E689" s="320"/>
      <c r="F689" s="315"/>
      <c r="G689" s="316"/>
      <c r="H689" s="807"/>
    </row>
    <row r="690" spans="1:8" ht="20.25">
      <c r="A690" s="307"/>
      <c r="B690" s="314"/>
      <c r="C690" s="314"/>
      <c r="D690" s="314"/>
      <c r="E690" s="320"/>
      <c r="F690" s="315"/>
      <c r="G690" s="316"/>
      <c r="H690" s="807"/>
    </row>
    <row r="691" spans="1:8" ht="20.25">
      <c r="A691" s="307"/>
      <c r="B691" s="314"/>
      <c r="C691" s="314"/>
      <c r="D691" s="314"/>
      <c r="E691" s="320"/>
      <c r="F691" s="315"/>
      <c r="G691" s="316"/>
      <c r="H691" s="807"/>
    </row>
    <row r="692" spans="1:8" ht="20.25">
      <c r="A692" s="307"/>
      <c r="B692" s="314"/>
      <c r="C692" s="314"/>
      <c r="D692" s="314"/>
      <c r="E692" s="320"/>
      <c r="F692" s="315"/>
      <c r="G692" s="316"/>
      <c r="H692" s="807"/>
    </row>
    <row r="693" spans="1:8" ht="20.25">
      <c r="A693" s="307"/>
      <c r="B693" s="314"/>
      <c r="C693" s="314"/>
      <c r="D693" s="314"/>
      <c r="E693" s="320"/>
      <c r="F693" s="315"/>
      <c r="G693" s="316"/>
      <c r="H693" s="807"/>
    </row>
    <row r="694" spans="1:8" ht="20.25">
      <c r="A694" s="307"/>
      <c r="B694" s="314"/>
      <c r="C694" s="314"/>
      <c r="D694" s="314"/>
      <c r="E694" s="320"/>
      <c r="F694" s="315"/>
      <c r="G694" s="316"/>
      <c r="H694" s="807"/>
    </row>
    <row r="695" spans="1:8" ht="20.25">
      <c r="A695" s="307"/>
      <c r="B695" s="314"/>
      <c r="C695" s="314"/>
      <c r="D695" s="314"/>
      <c r="E695" s="320"/>
      <c r="F695" s="315"/>
      <c r="G695" s="316"/>
      <c r="H695" s="807"/>
    </row>
    <row r="696" spans="1:8" ht="20.25">
      <c r="A696" s="307"/>
      <c r="B696" s="314"/>
      <c r="C696" s="314"/>
      <c r="D696" s="314"/>
      <c r="E696" s="320"/>
      <c r="F696" s="315"/>
      <c r="G696" s="316"/>
      <c r="H696" s="807"/>
    </row>
    <row r="697" spans="1:8" ht="20.25">
      <c r="A697" s="307"/>
      <c r="B697" s="314"/>
      <c r="C697" s="314"/>
      <c r="D697" s="314"/>
      <c r="E697" s="320"/>
      <c r="F697" s="315"/>
      <c r="G697" s="316"/>
      <c r="H697" s="807"/>
    </row>
    <row r="698" spans="1:8" ht="20.25">
      <c r="A698" s="307"/>
      <c r="B698" s="314"/>
      <c r="C698" s="314"/>
      <c r="D698" s="314"/>
      <c r="E698" s="320"/>
      <c r="F698" s="315"/>
      <c r="G698" s="316"/>
      <c r="H698" s="807"/>
    </row>
    <row r="699" spans="1:8" ht="20.25">
      <c r="A699" s="307"/>
      <c r="B699" s="314"/>
      <c r="C699" s="314"/>
      <c r="D699" s="314"/>
      <c r="E699" s="320"/>
      <c r="F699" s="315"/>
      <c r="G699" s="316"/>
      <c r="H699" s="807"/>
    </row>
    <row r="700" spans="1:8" ht="20.25">
      <c r="A700" s="307"/>
      <c r="B700" s="314"/>
      <c r="C700" s="314"/>
      <c r="D700" s="314"/>
      <c r="E700" s="320"/>
      <c r="F700" s="315"/>
      <c r="G700" s="316"/>
      <c r="H700" s="807"/>
    </row>
    <row r="701" spans="1:8" ht="20.25">
      <c r="A701" s="307"/>
      <c r="B701" s="314"/>
      <c r="C701" s="314"/>
      <c r="D701" s="314"/>
      <c r="E701" s="320"/>
      <c r="F701" s="315"/>
      <c r="G701" s="316"/>
      <c r="H701" s="807"/>
    </row>
    <row r="702" spans="1:8" ht="20.25">
      <c r="A702" s="307"/>
      <c r="B702" s="314"/>
      <c r="C702" s="314"/>
      <c r="D702" s="314"/>
      <c r="E702" s="320"/>
      <c r="F702" s="315"/>
      <c r="G702" s="316"/>
      <c r="H702" s="807"/>
    </row>
    <row r="703" spans="1:8" ht="20.25">
      <c r="A703" s="307"/>
      <c r="B703" s="314"/>
      <c r="C703" s="314"/>
      <c r="D703" s="314"/>
      <c r="E703" s="320"/>
      <c r="F703" s="315"/>
      <c r="G703" s="316"/>
      <c r="H703" s="807"/>
    </row>
    <row r="704" spans="1:8" ht="20.25">
      <c r="A704" s="307"/>
      <c r="B704" s="314"/>
      <c r="C704" s="314"/>
      <c r="D704" s="314"/>
      <c r="E704" s="320"/>
      <c r="F704" s="315"/>
      <c r="G704" s="316"/>
      <c r="H704" s="807"/>
    </row>
    <row r="705" spans="1:8" ht="20.25">
      <c r="A705" s="307"/>
      <c r="B705" s="314"/>
      <c r="C705" s="314"/>
      <c r="D705" s="314"/>
      <c r="E705" s="320"/>
      <c r="F705" s="315"/>
      <c r="G705" s="316"/>
      <c r="H705" s="807"/>
    </row>
    <row r="706" spans="1:8" ht="20.25">
      <c r="A706" s="307"/>
      <c r="B706" s="314"/>
      <c r="C706" s="314"/>
      <c r="D706" s="314"/>
      <c r="E706" s="320"/>
      <c r="F706" s="315"/>
      <c r="G706" s="316"/>
      <c r="H706" s="807"/>
    </row>
    <row r="707" spans="1:8" ht="20.25">
      <c r="A707" s="307"/>
      <c r="B707" s="314"/>
      <c r="C707" s="314"/>
      <c r="D707" s="314"/>
      <c r="E707" s="320"/>
      <c r="F707" s="315"/>
      <c r="G707" s="316"/>
      <c r="H707" s="807"/>
    </row>
    <row r="708" spans="1:8" ht="20.25">
      <c r="A708" s="307"/>
      <c r="B708" s="314"/>
      <c r="C708" s="314"/>
      <c r="D708" s="314"/>
      <c r="E708" s="320"/>
      <c r="F708" s="315"/>
      <c r="G708" s="316"/>
      <c r="H708" s="807"/>
    </row>
    <row r="709" spans="1:8" ht="20.25">
      <c r="A709" s="307"/>
      <c r="B709" s="314"/>
      <c r="C709" s="314"/>
      <c r="D709" s="314"/>
      <c r="E709" s="320"/>
      <c r="F709" s="315"/>
      <c r="G709" s="316"/>
      <c r="H709" s="807"/>
    </row>
    <row r="710" spans="1:8" ht="20.25">
      <c r="A710" s="307"/>
      <c r="B710" s="314"/>
      <c r="C710" s="314"/>
      <c r="D710" s="314"/>
      <c r="E710" s="320"/>
      <c r="F710" s="315"/>
      <c r="G710" s="316"/>
      <c r="H710" s="807"/>
    </row>
    <row r="711" spans="1:8" ht="20.25">
      <c r="A711" s="307"/>
      <c r="B711" s="314"/>
      <c r="C711" s="314"/>
      <c r="D711" s="314"/>
      <c r="E711" s="320"/>
      <c r="F711" s="315"/>
      <c r="G711" s="316"/>
      <c r="H711" s="807"/>
    </row>
    <row r="712" spans="1:8" ht="20.25">
      <c r="A712" s="307"/>
      <c r="B712" s="314"/>
      <c r="C712" s="314"/>
      <c r="D712" s="314"/>
      <c r="E712" s="320"/>
      <c r="F712" s="315"/>
      <c r="G712" s="316"/>
      <c r="H712" s="807"/>
    </row>
    <row r="713" spans="1:8" ht="20.25">
      <c r="A713" s="307"/>
      <c r="B713" s="314"/>
      <c r="C713" s="314"/>
      <c r="D713" s="314"/>
      <c r="E713" s="320"/>
      <c r="F713" s="315"/>
      <c r="G713" s="316"/>
      <c r="H713" s="807"/>
    </row>
    <row r="714" spans="1:8" ht="20.25">
      <c r="A714" s="307"/>
      <c r="B714" s="314"/>
      <c r="C714" s="314"/>
      <c r="D714" s="314"/>
      <c r="E714" s="320"/>
      <c r="F714" s="315"/>
      <c r="G714" s="316"/>
      <c r="H714" s="807"/>
    </row>
    <row r="715" spans="1:8" ht="20.25">
      <c r="A715" s="307"/>
      <c r="B715" s="314"/>
      <c r="C715" s="314"/>
      <c r="D715" s="314"/>
      <c r="E715" s="320"/>
      <c r="F715" s="315"/>
      <c r="G715" s="316"/>
      <c r="H715" s="807"/>
    </row>
    <row r="716" spans="1:8" ht="20.25">
      <c r="A716" s="307"/>
      <c r="B716" s="314"/>
      <c r="C716" s="314"/>
      <c r="D716" s="314"/>
      <c r="E716" s="320"/>
      <c r="F716" s="315"/>
      <c r="G716" s="316"/>
      <c r="H716" s="807"/>
    </row>
    <row r="717" spans="1:8" ht="20.25">
      <c r="A717" s="307"/>
      <c r="B717" s="314"/>
      <c r="C717" s="314"/>
      <c r="D717" s="314"/>
      <c r="E717" s="320"/>
      <c r="F717" s="315"/>
      <c r="G717" s="316"/>
      <c r="H717" s="807"/>
    </row>
    <row r="718" spans="1:8" ht="20.25">
      <c r="A718" s="307"/>
      <c r="B718" s="314"/>
      <c r="C718" s="314"/>
      <c r="D718" s="314"/>
      <c r="E718" s="320"/>
      <c r="F718" s="315"/>
      <c r="G718" s="316"/>
      <c r="H718" s="807"/>
    </row>
    <row r="719" spans="1:8" ht="20.25">
      <c r="A719" s="307"/>
      <c r="B719" s="314"/>
      <c r="C719" s="314"/>
      <c r="D719" s="314"/>
      <c r="E719" s="320"/>
      <c r="F719" s="315"/>
      <c r="G719" s="316"/>
      <c r="H719" s="807"/>
    </row>
    <row r="720" spans="1:8" ht="20.25">
      <c r="A720" s="307"/>
      <c r="B720" s="314"/>
      <c r="C720" s="314"/>
      <c r="D720" s="314"/>
      <c r="E720" s="320"/>
      <c r="F720" s="315"/>
      <c r="G720" s="316"/>
      <c r="H720" s="807"/>
    </row>
    <row r="721" spans="1:8" ht="20.25">
      <c r="A721" s="307"/>
      <c r="B721" s="314"/>
      <c r="C721" s="314"/>
      <c r="D721" s="314"/>
      <c r="E721" s="320"/>
      <c r="F721" s="315"/>
      <c r="G721" s="316"/>
      <c r="H721" s="807"/>
    </row>
    <row r="722" spans="1:8" ht="20.25">
      <c r="A722" s="307"/>
      <c r="B722" s="314"/>
      <c r="C722" s="314"/>
      <c r="D722" s="314"/>
      <c r="E722" s="320"/>
      <c r="F722" s="315"/>
      <c r="G722" s="316"/>
      <c r="H722" s="807"/>
    </row>
    <row r="723" spans="1:8" ht="20.25">
      <c r="A723" s="307"/>
      <c r="B723" s="314"/>
      <c r="C723" s="314"/>
      <c r="D723" s="314"/>
      <c r="E723" s="320"/>
      <c r="F723" s="315"/>
      <c r="G723" s="316"/>
      <c r="H723" s="807"/>
    </row>
    <row r="724" spans="1:8" ht="20.25">
      <c r="A724" s="307"/>
      <c r="B724" s="314"/>
      <c r="C724" s="314"/>
      <c r="D724" s="314"/>
      <c r="E724" s="320"/>
      <c r="F724" s="315"/>
      <c r="G724" s="316"/>
      <c r="H724" s="807"/>
    </row>
    <row r="725" spans="1:8" ht="20.25">
      <c r="A725" s="307"/>
      <c r="B725" s="314"/>
      <c r="C725" s="314"/>
      <c r="D725" s="314"/>
      <c r="E725" s="320"/>
      <c r="F725" s="315"/>
      <c r="G725" s="316"/>
      <c r="H725" s="807"/>
    </row>
    <row r="726" spans="1:8" ht="20.25">
      <c r="A726" s="307"/>
      <c r="B726" s="314"/>
      <c r="C726" s="314"/>
      <c r="D726" s="314"/>
      <c r="E726" s="320"/>
      <c r="F726" s="315"/>
      <c r="G726" s="316"/>
      <c r="H726" s="807"/>
    </row>
    <row r="727" spans="1:8" ht="20.25">
      <c r="A727" s="307"/>
      <c r="B727" s="314"/>
      <c r="C727" s="314"/>
      <c r="D727" s="314"/>
      <c r="E727" s="320"/>
      <c r="F727" s="315"/>
      <c r="G727" s="316"/>
      <c r="H727" s="807"/>
    </row>
    <row r="728" spans="1:8" ht="20.25">
      <c r="A728" s="307"/>
      <c r="B728" s="314"/>
      <c r="C728" s="314"/>
      <c r="D728" s="314"/>
      <c r="E728" s="320"/>
      <c r="F728" s="315"/>
      <c r="G728" s="316"/>
      <c r="H728" s="807"/>
    </row>
    <row r="729" spans="1:8" ht="20.25">
      <c r="A729" s="307"/>
      <c r="B729" s="314"/>
      <c r="C729" s="314"/>
      <c r="D729" s="314"/>
      <c r="E729" s="320"/>
      <c r="F729" s="315"/>
      <c r="G729" s="316"/>
      <c r="H729" s="807"/>
    </row>
    <row r="730" spans="1:8" ht="20.25">
      <c r="A730" s="307"/>
      <c r="B730" s="314"/>
      <c r="C730" s="314"/>
      <c r="D730" s="314"/>
      <c r="E730" s="320"/>
      <c r="F730" s="315"/>
      <c r="G730" s="316"/>
      <c r="H730" s="807"/>
    </row>
    <row r="731" spans="1:8" ht="20.25">
      <c r="A731" s="307"/>
      <c r="B731" s="314"/>
      <c r="C731" s="314"/>
      <c r="D731" s="314"/>
      <c r="E731" s="320"/>
      <c r="F731" s="315"/>
      <c r="G731" s="316"/>
      <c r="H731" s="807"/>
    </row>
    <row r="732" spans="1:8" ht="20.25">
      <c r="A732" s="307"/>
      <c r="B732" s="314"/>
      <c r="C732" s="314"/>
      <c r="D732" s="314"/>
      <c r="E732" s="320"/>
      <c r="F732" s="315"/>
      <c r="G732" s="316"/>
      <c r="H732" s="807"/>
    </row>
    <row r="733" spans="1:8" ht="20.25">
      <c r="A733" s="307"/>
      <c r="B733" s="314"/>
      <c r="C733" s="314"/>
      <c r="D733" s="314"/>
      <c r="E733" s="320"/>
      <c r="F733" s="315"/>
      <c r="G733" s="316"/>
      <c r="H733" s="807"/>
    </row>
    <row r="734" spans="1:8" ht="20.25">
      <c r="A734" s="307"/>
      <c r="B734" s="314"/>
      <c r="C734" s="314"/>
      <c r="D734" s="314"/>
      <c r="E734" s="320"/>
      <c r="F734" s="315"/>
      <c r="G734" s="316"/>
      <c r="H734" s="807"/>
    </row>
    <row r="735" spans="1:8" ht="20.25">
      <c r="A735" s="307"/>
      <c r="B735" s="314"/>
      <c r="C735" s="314"/>
      <c r="D735" s="314"/>
      <c r="E735" s="320"/>
      <c r="F735" s="315"/>
      <c r="G735" s="316"/>
      <c r="H735" s="807"/>
    </row>
    <row r="736" spans="1:8" ht="20.25">
      <c r="A736" s="307"/>
      <c r="B736" s="314"/>
      <c r="C736" s="314"/>
      <c r="D736" s="314"/>
      <c r="E736" s="320"/>
      <c r="F736" s="315"/>
      <c r="G736" s="316"/>
      <c r="H736" s="807"/>
    </row>
    <row r="737" spans="1:8" ht="20.25">
      <c r="A737" s="307"/>
      <c r="B737" s="314"/>
      <c r="C737" s="314"/>
      <c r="D737" s="314"/>
      <c r="E737" s="320"/>
      <c r="F737" s="315"/>
      <c r="G737" s="316"/>
      <c r="H737" s="807"/>
    </row>
    <row r="738" spans="1:8" ht="20.25">
      <c r="A738" s="307"/>
      <c r="B738" s="314"/>
      <c r="C738" s="314"/>
      <c r="D738" s="314"/>
      <c r="E738" s="320"/>
      <c r="F738" s="315"/>
      <c r="G738" s="316"/>
      <c r="H738" s="807"/>
    </row>
    <row r="739" spans="1:8" ht="20.25">
      <c r="A739" s="307"/>
      <c r="B739" s="314"/>
      <c r="C739" s="314"/>
      <c r="D739" s="314"/>
      <c r="E739" s="320"/>
      <c r="F739" s="315"/>
      <c r="G739" s="316"/>
      <c r="H739" s="807"/>
    </row>
    <row r="740" spans="1:8" ht="20.25">
      <c r="A740" s="307"/>
      <c r="B740" s="314"/>
      <c r="C740" s="314"/>
      <c r="D740" s="314"/>
      <c r="E740" s="320"/>
      <c r="F740" s="315"/>
      <c r="G740" s="316"/>
      <c r="H740" s="807"/>
    </row>
    <row r="741" spans="1:8" ht="20.25">
      <c r="A741" s="307"/>
      <c r="B741" s="314"/>
      <c r="C741" s="314"/>
      <c r="D741" s="314"/>
      <c r="E741" s="320"/>
      <c r="F741" s="315"/>
      <c r="G741" s="316"/>
      <c r="H741" s="807"/>
    </row>
    <row r="742" spans="1:8" ht="20.25">
      <c r="A742" s="307"/>
      <c r="B742" s="314"/>
      <c r="C742" s="314"/>
      <c r="D742" s="314"/>
      <c r="E742" s="320"/>
      <c r="F742" s="315"/>
      <c r="G742" s="316"/>
      <c r="H742" s="807"/>
    </row>
    <row r="743" spans="1:8" ht="20.25">
      <c r="A743" s="307"/>
      <c r="B743" s="314"/>
      <c r="C743" s="314"/>
      <c r="D743" s="314"/>
      <c r="E743" s="320"/>
      <c r="F743" s="315"/>
      <c r="G743" s="316"/>
      <c r="H743" s="807"/>
    </row>
    <row r="744" spans="1:8" ht="20.25">
      <c r="A744" s="307"/>
      <c r="B744" s="314"/>
      <c r="C744" s="314"/>
      <c r="D744" s="314"/>
      <c r="E744" s="320"/>
      <c r="F744" s="315"/>
      <c r="G744" s="316"/>
      <c r="H744" s="807"/>
    </row>
    <row r="745" spans="1:8" ht="20.25">
      <c r="A745" s="307"/>
      <c r="B745" s="314"/>
      <c r="C745" s="314"/>
      <c r="D745" s="314"/>
      <c r="E745" s="320"/>
      <c r="F745" s="315"/>
      <c r="G745" s="316"/>
      <c r="H745" s="807"/>
    </row>
    <row r="746" spans="1:8" ht="20.25">
      <c r="A746" s="307"/>
      <c r="B746" s="314"/>
      <c r="C746" s="314"/>
      <c r="D746" s="314"/>
      <c r="E746" s="320"/>
      <c r="F746" s="315"/>
      <c r="G746" s="316"/>
      <c r="H746" s="807"/>
    </row>
    <row r="747" spans="1:8" ht="20.25">
      <c r="A747" s="307"/>
      <c r="B747" s="314"/>
      <c r="C747" s="314"/>
      <c r="D747" s="314"/>
      <c r="E747" s="320"/>
      <c r="F747" s="315"/>
      <c r="G747" s="316"/>
      <c r="H747" s="807"/>
    </row>
    <row r="748" spans="1:8" ht="20.25">
      <c r="A748" s="307"/>
      <c r="B748" s="314"/>
      <c r="C748" s="314"/>
      <c r="D748" s="314"/>
      <c r="E748" s="320"/>
      <c r="F748" s="315"/>
      <c r="G748" s="316"/>
      <c r="H748" s="807"/>
    </row>
    <row r="749" spans="1:8" ht="20.25">
      <c r="A749" s="307"/>
      <c r="B749" s="314"/>
      <c r="C749" s="314"/>
      <c r="D749" s="314"/>
      <c r="E749" s="320"/>
      <c r="F749" s="315"/>
      <c r="G749" s="316"/>
      <c r="H749" s="807"/>
    </row>
    <row r="750" spans="1:8" ht="20.25">
      <c r="A750" s="307"/>
      <c r="B750" s="314"/>
      <c r="C750" s="314"/>
      <c r="D750" s="314"/>
      <c r="E750" s="320"/>
      <c r="F750" s="315"/>
      <c r="G750" s="316"/>
      <c r="H750" s="807"/>
    </row>
    <row r="751" spans="1:8" ht="20.25">
      <c r="A751" s="307"/>
      <c r="B751" s="314"/>
      <c r="C751" s="314"/>
      <c r="D751" s="314"/>
      <c r="E751" s="320"/>
      <c r="F751" s="315"/>
      <c r="G751" s="316"/>
      <c r="H751" s="807"/>
    </row>
    <row r="752" spans="1:8" ht="20.25">
      <c r="A752" s="307"/>
      <c r="B752" s="314"/>
      <c r="C752" s="314"/>
      <c r="D752" s="314"/>
      <c r="E752" s="320"/>
      <c r="F752" s="315"/>
      <c r="G752" s="316"/>
      <c r="H752" s="807"/>
    </row>
    <row r="753" spans="1:8" ht="20.25">
      <c r="A753" s="307"/>
      <c r="B753" s="314"/>
      <c r="C753" s="314"/>
      <c r="D753" s="314"/>
      <c r="E753" s="320"/>
      <c r="F753" s="315"/>
      <c r="G753" s="316"/>
      <c r="H753" s="807"/>
    </row>
    <row r="754" spans="1:8" ht="20.25">
      <c r="A754" s="307"/>
      <c r="B754" s="314"/>
      <c r="C754" s="314"/>
      <c r="D754" s="314"/>
      <c r="E754" s="320"/>
      <c r="F754" s="315"/>
      <c r="G754" s="316"/>
      <c r="H754" s="807"/>
    </row>
    <row r="755" spans="1:8" ht="20.25">
      <c r="A755" s="307"/>
      <c r="B755" s="314"/>
      <c r="C755" s="314"/>
      <c r="D755" s="314"/>
      <c r="E755" s="320"/>
      <c r="F755" s="315"/>
      <c r="G755" s="316"/>
      <c r="H755" s="807"/>
    </row>
    <row r="756" spans="1:8" ht="20.25">
      <c r="A756" s="307"/>
      <c r="B756" s="314"/>
      <c r="C756" s="314"/>
      <c r="D756" s="314"/>
      <c r="E756" s="320"/>
      <c r="F756" s="315"/>
      <c r="G756" s="316"/>
      <c r="H756" s="807"/>
    </row>
    <row r="757" spans="1:8" ht="20.25">
      <c r="A757" s="307"/>
      <c r="B757" s="314"/>
      <c r="C757" s="314"/>
      <c r="D757" s="314"/>
      <c r="E757" s="320"/>
      <c r="F757" s="315"/>
      <c r="G757" s="316"/>
      <c r="H757" s="807"/>
    </row>
    <row r="758" spans="1:8" ht="20.25">
      <c r="A758" s="307"/>
      <c r="B758" s="314"/>
      <c r="C758" s="314"/>
      <c r="D758" s="314"/>
      <c r="E758" s="320"/>
      <c r="F758" s="315"/>
      <c r="G758" s="316"/>
      <c r="H758" s="807"/>
    </row>
    <row r="759" spans="1:8" ht="20.25">
      <c r="A759" s="307"/>
      <c r="B759" s="314"/>
      <c r="C759" s="314"/>
      <c r="D759" s="314"/>
      <c r="E759" s="320"/>
      <c r="F759" s="315"/>
      <c r="G759" s="316"/>
      <c r="H759" s="807"/>
    </row>
    <row r="760" spans="1:8" ht="20.25">
      <c r="A760" s="307"/>
      <c r="B760" s="314"/>
      <c r="C760" s="314"/>
      <c r="D760" s="314"/>
      <c r="E760" s="320"/>
      <c r="F760" s="315"/>
      <c r="G760" s="316"/>
      <c r="H760" s="807"/>
    </row>
    <row r="761" spans="1:8" ht="20.25">
      <c r="A761" s="307"/>
      <c r="B761" s="314"/>
      <c r="C761" s="314"/>
      <c r="D761" s="314"/>
      <c r="E761" s="320"/>
      <c r="F761" s="315"/>
      <c r="G761" s="316"/>
      <c r="H761" s="807"/>
    </row>
    <row r="762" spans="1:8" ht="20.25">
      <c r="A762" s="307"/>
      <c r="B762" s="314"/>
      <c r="C762" s="314"/>
      <c r="D762" s="314"/>
      <c r="E762" s="320"/>
      <c r="F762" s="315"/>
      <c r="G762" s="316"/>
      <c r="H762" s="807"/>
    </row>
    <row r="763" spans="1:8" ht="20.25">
      <c r="A763" s="307"/>
      <c r="B763" s="314"/>
      <c r="C763" s="314"/>
      <c r="D763" s="314"/>
      <c r="E763" s="320"/>
      <c r="F763" s="315"/>
      <c r="G763" s="316"/>
      <c r="H763" s="807"/>
    </row>
    <row r="764" spans="1:8" ht="20.25">
      <c r="A764" s="307"/>
      <c r="B764" s="314"/>
      <c r="C764" s="314"/>
      <c r="D764" s="314"/>
      <c r="E764" s="320"/>
      <c r="F764" s="315"/>
      <c r="G764" s="316"/>
      <c r="H764" s="807"/>
    </row>
    <row r="765" spans="1:8" ht="20.25">
      <c r="A765" s="307"/>
      <c r="B765" s="314"/>
      <c r="C765" s="314"/>
      <c r="D765" s="314"/>
      <c r="E765" s="320"/>
      <c r="F765" s="315"/>
      <c r="G765" s="316"/>
      <c r="H765" s="807"/>
    </row>
    <row r="766" spans="1:8" ht="20.25">
      <c r="A766" s="307"/>
      <c r="B766" s="314"/>
      <c r="C766" s="314"/>
      <c r="D766" s="314"/>
      <c r="E766" s="320"/>
      <c r="F766" s="315"/>
      <c r="G766" s="316"/>
      <c r="H766" s="807"/>
    </row>
    <row r="767" spans="1:8" ht="20.25">
      <c r="A767" s="307"/>
      <c r="B767" s="314"/>
      <c r="C767" s="314"/>
      <c r="D767" s="314"/>
      <c r="E767" s="320"/>
      <c r="F767" s="315"/>
      <c r="G767" s="316"/>
      <c r="H767" s="807"/>
    </row>
    <row r="768" spans="1:8" ht="20.25">
      <c r="A768" s="307"/>
      <c r="B768" s="314"/>
      <c r="C768" s="314"/>
      <c r="D768" s="314"/>
      <c r="E768" s="320"/>
      <c r="F768" s="315"/>
      <c r="G768" s="316"/>
      <c r="H768" s="807"/>
    </row>
    <row r="769" spans="1:8" ht="20.25">
      <c r="A769" s="307"/>
      <c r="B769" s="314"/>
      <c r="C769" s="314"/>
      <c r="D769" s="314"/>
      <c r="E769" s="320"/>
      <c r="F769" s="315"/>
      <c r="G769" s="316"/>
      <c r="H769" s="807"/>
    </row>
    <row r="770" spans="1:8" ht="20.25">
      <c r="A770" s="307"/>
      <c r="B770" s="314"/>
      <c r="C770" s="314"/>
      <c r="D770" s="314"/>
      <c r="E770" s="320"/>
      <c r="F770" s="315"/>
      <c r="G770" s="316"/>
      <c r="H770" s="807"/>
    </row>
    <row r="771" spans="1:8" ht="20.25">
      <c r="A771" s="307"/>
      <c r="B771" s="314"/>
      <c r="C771" s="314"/>
      <c r="D771" s="314"/>
      <c r="E771" s="320"/>
      <c r="F771" s="315"/>
      <c r="G771" s="316"/>
      <c r="H771" s="807"/>
    </row>
    <row r="772" spans="1:8" ht="20.25">
      <c r="A772" s="307"/>
      <c r="B772" s="314"/>
      <c r="C772" s="314"/>
      <c r="D772" s="314"/>
      <c r="E772" s="320"/>
      <c r="F772" s="315"/>
      <c r="G772" s="316"/>
      <c r="H772" s="807"/>
    </row>
    <row r="773" spans="1:8" ht="20.25">
      <c r="A773" s="307"/>
      <c r="B773" s="314"/>
      <c r="C773" s="314"/>
      <c r="D773" s="314"/>
      <c r="E773" s="320"/>
      <c r="F773" s="315"/>
      <c r="G773" s="316"/>
      <c r="H773" s="807"/>
    </row>
    <row r="774" spans="1:8" ht="20.25">
      <c r="A774" s="307"/>
      <c r="B774" s="314"/>
      <c r="C774" s="314"/>
      <c r="D774" s="314"/>
      <c r="E774" s="320"/>
      <c r="F774" s="315"/>
      <c r="G774" s="316"/>
      <c r="H774" s="807"/>
    </row>
    <row r="775" spans="1:8" ht="20.25">
      <c r="A775" s="307"/>
      <c r="B775" s="314"/>
      <c r="C775" s="314"/>
      <c r="D775" s="314"/>
      <c r="E775" s="320"/>
      <c r="F775" s="315"/>
      <c r="G775" s="316"/>
      <c r="H775" s="807"/>
    </row>
    <row r="776" spans="1:8" ht="20.25">
      <c r="A776" s="307"/>
      <c r="B776" s="314"/>
      <c r="C776" s="314"/>
      <c r="D776" s="314"/>
      <c r="E776" s="320"/>
      <c r="F776" s="315"/>
      <c r="G776" s="316"/>
      <c r="H776" s="807"/>
    </row>
    <row r="777" spans="1:8" ht="20.25">
      <c r="A777" s="307"/>
      <c r="B777" s="314"/>
      <c r="C777" s="314"/>
      <c r="D777" s="314"/>
      <c r="E777" s="320"/>
      <c r="F777" s="315"/>
      <c r="G777" s="316"/>
      <c r="H777" s="807"/>
    </row>
    <row r="778" spans="1:8" ht="20.25">
      <c r="A778" s="307"/>
      <c r="B778" s="314"/>
      <c r="C778" s="314"/>
      <c r="D778" s="314"/>
      <c r="E778" s="320"/>
      <c r="F778" s="315"/>
      <c r="G778" s="316"/>
      <c r="H778" s="807"/>
    </row>
    <row r="779" spans="1:8" ht="20.25">
      <c r="A779" s="307"/>
      <c r="B779" s="314"/>
      <c r="C779" s="314"/>
      <c r="D779" s="314"/>
      <c r="E779" s="320"/>
      <c r="F779" s="315"/>
      <c r="G779" s="316"/>
      <c r="H779" s="807"/>
    </row>
    <row r="780" spans="1:8" ht="20.25">
      <c r="A780" s="307"/>
      <c r="B780" s="314"/>
      <c r="C780" s="314"/>
      <c r="D780" s="314"/>
      <c r="E780" s="320"/>
      <c r="F780" s="315"/>
      <c r="G780" s="316"/>
      <c r="H780" s="807"/>
    </row>
    <row r="781" spans="1:8" ht="20.25">
      <c r="A781" s="307"/>
      <c r="B781" s="314"/>
      <c r="C781" s="314"/>
      <c r="D781" s="314"/>
      <c r="E781" s="320"/>
      <c r="F781" s="315"/>
      <c r="G781" s="316"/>
      <c r="H781" s="807"/>
    </row>
    <row r="782" spans="1:8" ht="20.25">
      <c r="A782" s="307"/>
      <c r="B782" s="314"/>
      <c r="C782" s="314"/>
      <c r="D782" s="314"/>
      <c r="E782" s="320"/>
      <c r="F782" s="315"/>
      <c r="G782" s="316"/>
      <c r="H782" s="807"/>
    </row>
    <row r="783" spans="1:8" ht="20.25">
      <c r="A783" s="307"/>
      <c r="B783" s="314"/>
      <c r="C783" s="314"/>
      <c r="D783" s="314"/>
      <c r="E783" s="320"/>
      <c r="F783" s="315"/>
      <c r="G783" s="316"/>
      <c r="H783" s="807"/>
    </row>
    <row r="784" spans="1:8" ht="20.25">
      <c r="A784" s="307"/>
      <c r="B784" s="314"/>
      <c r="C784" s="314"/>
      <c r="D784" s="314"/>
      <c r="E784" s="320"/>
      <c r="F784" s="315"/>
      <c r="G784" s="316"/>
      <c r="H784" s="807"/>
    </row>
    <row r="785" spans="1:8" ht="20.25">
      <c r="A785" s="307"/>
      <c r="B785" s="314"/>
      <c r="C785" s="314"/>
      <c r="D785" s="314"/>
      <c r="E785" s="320"/>
      <c r="F785" s="315"/>
      <c r="G785" s="316"/>
      <c r="H785" s="807"/>
    </row>
    <row r="786" spans="1:8" ht="20.25">
      <c r="A786" s="307"/>
      <c r="B786" s="314"/>
      <c r="C786" s="314"/>
      <c r="D786" s="314"/>
      <c r="E786" s="320"/>
      <c r="F786" s="315"/>
      <c r="G786" s="316"/>
      <c r="H786" s="807"/>
    </row>
    <row r="787" spans="1:8" ht="20.25">
      <c r="A787" s="307"/>
      <c r="B787" s="314"/>
      <c r="C787" s="314"/>
      <c r="D787" s="314"/>
      <c r="E787" s="320"/>
      <c r="F787" s="315"/>
      <c r="G787" s="316"/>
      <c r="H787" s="807"/>
    </row>
    <row r="788" spans="1:8" ht="20.25">
      <c r="A788" s="307"/>
      <c r="B788" s="314"/>
      <c r="C788" s="314"/>
      <c r="D788" s="314"/>
      <c r="E788" s="320"/>
      <c r="F788" s="315"/>
      <c r="G788" s="316"/>
      <c r="H788" s="807"/>
    </row>
    <row r="789" spans="1:8" ht="20.25">
      <c r="A789" s="307"/>
      <c r="B789" s="314"/>
      <c r="C789" s="314"/>
      <c r="D789" s="314"/>
      <c r="E789" s="320"/>
      <c r="F789" s="315"/>
      <c r="G789" s="316"/>
      <c r="H789" s="807"/>
    </row>
    <row r="790" spans="1:8" ht="20.25">
      <c r="A790" s="307"/>
      <c r="B790" s="314"/>
      <c r="C790" s="314"/>
      <c r="D790" s="314"/>
      <c r="E790" s="320"/>
      <c r="F790" s="315"/>
      <c r="G790" s="316"/>
      <c r="H790" s="807"/>
    </row>
    <row r="791" spans="1:8" ht="20.25">
      <c r="A791" s="307"/>
      <c r="B791" s="314"/>
      <c r="C791" s="314"/>
      <c r="D791" s="314"/>
      <c r="E791" s="320"/>
      <c r="F791" s="315"/>
      <c r="G791" s="316"/>
      <c r="H791" s="807"/>
    </row>
    <row r="792" spans="1:8" ht="20.25">
      <c r="A792" s="307"/>
      <c r="B792" s="314"/>
      <c r="C792" s="314"/>
      <c r="D792" s="314"/>
      <c r="E792" s="320"/>
      <c r="F792" s="315"/>
      <c r="G792" s="316"/>
      <c r="H792" s="807"/>
    </row>
    <row r="793" spans="1:8" ht="20.25">
      <c r="A793" s="307"/>
      <c r="B793" s="314"/>
      <c r="C793" s="314"/>
      <c r="D793" s="314"/>
      <c r="E793" s="320"/>
      <c r="F793" s="315"/>
      <c r="G793" s="316"/>
      <c r="H793" s="807"/>
    </row>
    <row r="794" spans="1:8" ht="20.25">
      <c r="A794" s="307"/>
      <c r="B794" s="314"/>
      <c r="C794" s="314"/>
      <c r="D794" s="314"/>
      <c r="E794" s="320"/>
      <c r="F794" s="315"/>
      <c r="G794" s="316"/>
      <c r="H794" s="807"/>
    </row>
    <row r="795" spans="1:8" ht="20.25">
      <c r="A795" s="307"/>
      <c r="B795" s="314"/>
      <c r="C795" s="314"/>
      <c r="D795" s="314"/>
      <c r="E795" s="320"/>
      <c r="F795" s="315"/>
      <c r="G795" s="316"/>
      <c r="H795" s="807"/>
    </row>
    <row r="796" spans="1:8" ht="20.25">
      <c r="A796" s="307"/>
      <c r="B796" s="314"/>
      <c r="C796" s="314"/>
      <c r="D796" s="314"/>
      <c r="E796" s="320"/>
      <c r="F796" s="315"/>
      <c r="G796" s="316"/>
      <c r="H796" s="807"/>
    </row>
    <row r="797" spans="1:8" ht="20.25">
      <c r="A797" s="307"/>
      <c r="B797" s="314"/>
      <c r="C797" s="314"/>
      <c r="D797" s="314"/>
      <c r="E797" s="320"/>
      <c r="F797" s="315"/>
      <c r="G797" s="316"/>
      <c r="H797" s="807"/>
    </row>
    <row r="798" spans="1:8" ht="20.25">
      <c r="A798" s="307"/>
      <c r="B798" s="314"/>
      <c r="C798" s="314"/>
      <c r="D798" s="314"/>
      <c r="E798" s="320"/>
      <c r="F798" s="315"/>
      <c r="G798" s="316"/>
      <c r="H798" s="807"/>
    </row>
    <row r="799" spans="1:8" ht="20.25">
      <c r="A799" s="307"/>
      <c r="B799" s="314"/>
      <c r="C799" s="314"/>
      <c r="D799" s="314"/>
      <c r="E799" s="320"/>
      <c r="F799" s="315"/>
      <c r="G799" s="316"/>
      <c r="H799" s="807"/>
    </row>
    <row r="800" spans="1:8" ht="20.25">
      <c r="A800" s="307"/>
      <c r="B800" s="314"/>
      <c r="C800" s="314"/>
      <c r="D800" s="314"/>
      <c r="E800" s="320"/>
      <c r="F800" s="315"/>
      <c r="G800" s="316"/>
      <c r="H800" s="807"/>
    </row>
    <row r="801" spans="1:8" ht="20.25">
      <c r="A801" s="307"/>
      <c r="B801" s="314"/>
      <c r="C801" s="314"/>
      <c r="D801" s="314"/>
      <c r="E801" s="320"/>
      <c r="F801" s="315"/>
      <c r="G801" s="316"/>
      <c r="H801" s="807"/>
    </row>
    <row r="802" spans="1:8" ht="20.25">
      <c r="A802" s="307"/>
      <c r="B802" s="314"/>
      <c r="C802" s="314"/>
      <c r="D802" s="314"/>
      <c r="E802" s="320"/>
      <c r="F802" s="315"/>
      <c r="G802" s="316"/>
      <c r="H802" s="807"/>
    </row>
    <row r="803" spans="1:8" ht="20.25">
      <c r="A803" s="307"/>
      <c r="B803" s="314"/>
      <c r="C803" s="314"/>
      <c r="D803" s="314"/>
      <c r="E803" s="320"/>
      <c r="F803" s="315"/>
      <c r="G803" s="316"/>
      <c r="H803" s="807"/>
    </row>
    <row r="804" spans="1:8" ht="20.25">
      <c r="A804" s="307"/>
      <c r="B804" s="314"/>
      <c r="C804" s="314"/>
      <c r="D804" s="314"/>
      <c r="E804" s="320"/>
      <c r="F804" s="315"/>
      <c r="G804" s="316"/>
      <c r="H804" s="807"/>
    </row>
    <row r="805" spans="1:8" ht="20.25">
      <c r="A805" s="307"/>
      <c r="B805" s="314"/>
      <c r="C805" s="314"/>
      <c r="D805" s="314"/>
      <c r="E805" s="320"/>
      <c r="F805" s="315"/>
      <c r="G805" s="316"/>
      <c r="H805" s="807"/>
    </row>
    <row r="806" spans="1:8" ht="20.25">
      <c r="A806" s="307"/>
      <c r="B806" s="314"/>
      <c r="C806" s="314"/>
      <c r="D806" s="314"/>
      <c r="E806" s="320"/>
      <c r="F806" s="315"/>
      <c r="G806" s="316"/>
      <c r="H806" s="807"/>
    </row>
    <row r="807" spans="1:8" ht="20.25">
      <c r="A807" s="307"/>
      <c r="B807" s="314"/>
      <c r="C807" s="314"/>
      <c r="D807" s="314"/>
      <c r="E807" s="320"/>
      <c r="F807" s="315"/>
      <c r="G807" s="316"/>
      <c r="H807" s="807"/>
    </row>
    <row r="808" spans="1:8" ht="20.25">
      <c r="A808" s="307"/>
      <c r="B808" s="314"/>
      <c r="C808" s="314"/>
      <c r="D808" s="314"/>
      <c r="E808" s="320"/>
      <c r="F808" s="315"/>
      <c r="G808" s="316"/>
      <c r="H808" s="807"/>
    </row>
    <row r="809" spans="1:8" ht="20.25">
      <c r="A809" s="307"/>
      <c r="B809" s="314"/>
      <c r="C809" s="314"/>
      <c r="D809" s="314"/>
      <c r="E809" s="320"/>
      <c r="F809" s="315"/>
      <c r="G809" s="316"/>
      <c r="H809" s="807"/>
    </row>
    <row r="810" spans="1:8" ht="20.25">
      <c r="A810" s="307"/>
      <c r="B810" s="314"/>
      <c r="C810" s="314"/>
      <c r="D810" s="314"/>
      <c r="E810" s="320"/>
      <c r="F810" s="315"/>
      <c r="G810" s="316"/>
      <c r="H810" s="807"/>
    </row>
    <row r="811" spans="1:8" ht="20.25">
      <c r="A811" s="307"/>
      <c r="B811" s="314"/>
      <c r="C811" s="314"/>
      <c r="D811" s="314"/>
      <c r="E811" s="320"/>
      <c r="F811" s="315"/>
      <c r="G811" s="316"/>
      <c r="H811" s="807"/>
    </row>
    <row r="812" spans="1:8" ht="20.25">
      <c r="A812" s="307"/>
      <c r="B812" s="314"/>
      <c r="C812" s="314"/>
      <c r="D812" s="314"/>
      <c r="E812" s="320"/>
      <c r="F812" s="315"/>
      <c r="G812" s="316"/>
      <c r="H812" s="807"/>
    </row>
    <row r="813" spans="1:8" ht="20.25">
      <c r="A813" s="307"/>
      <c r="B813" s="314"/>
      <c r="C813" s="314"/>
      <c r="D813" s="314"/>
      <c r="E813" s="320"/>
      <c r="F813" s="315"/>
      <c r="G813" s="316"/>
      <c r="H813" s="807"/>
    </row>
    <row r="814" spans="1:8" ht="20.25">
      <c r="A814" s="307"/>
      <c r="B814" s="314"/>
      <c r="C814" s="314"/>
      <c r="D814" s="314"/>
      <c r="E814" s="320"/>
      <c r="F814" s="315"/>
      <c r="G814" s="316"/>
      <c r="H814" s="807"/>
    </row>
    <row r="815" spans="1:8" ht="20.25">
      <c r="A815" s="307"/>
      <c r="B815" s="314"/>
      <c r="C815" s="314"/>
      <c r="D815" s="314"/>
      <c r="E815" s="320"/>
      <c r="F815" s="315"/>
      <c r="G815" s="316"/>
      <c r="H815" s="807"/>
    </row>
    <row r="816" spans="1:8" ht="20.25">
      <c r="A816" s="307"/>
      <c r="B816" s="314"/>
      <c r="C816" s="314"/>
      <c r="D816" s="314"/>
      <c r="E816" s="320"/>
      <c r="F816" s="315"/>
      <c r="G816" s="316"/>
      <c r="H816" s="807"/>
    </row>
    <row r="817" spans="1:8" ht="20.25">
      <c r="A817" s="307"/>
      <c r="B817" s="314"/>
      <c r="C817" s="314"/>
      <c r="D817" s="314"/>
      <c r="E817" s="320"/>
      <c r="F817" s="315"/>
      <c r="G817" s="316"/>
      <c r="H817" s="807"/>
    </row>
    <row r="818" spans="1:8" ht="20.25">
      <c r="A818" s="307"/>
      <c r="B818" s="314"/>
      <c r="C818" s="314"/>
      <c r="D818" s="314"/>
      <c r="E818" s="320"/>
      <c r="F818" s="315"/>
      <c r="G818" s="316"/>
      <c r="H818" s="807"/>
    </row>
    <row r="819" spans="1:8" ht="20.25">
      <c r="A819" s="307"/>
      <c r="B819" s="314"/>
      <c r="C819" s="314"/>
      <c r="D819" s="314"/>
      <c r="E819" s="320"/>
      <c r="F819" s="315"/>
      <c r="G819" s="316"/>
      <c r="H819" s="807"/>
    </row>
    <row r="820" spans="1:8" ht="20.25">
      <c r="A820" s="307"/>
      <c r="B820" s="314"/>
      <c r="C820" s="314"/>
      <c r="D820" s="314"/>
      <c r="E820" s="320"/>
      <c r="F820" s="315"/>
      <c r="G820" s="316"/>
      <c r="H820" s="807"/>
    </row>
    <row r="821" spans="1:8" ht="20.25">
      <c r="A821" s="307"/>
      <c r="B821" s="314"/>
      <c r="C821" s="314"/>
      <c r="D821" s="314"/>
      <c r="E821" s="320"/>
      <c r="F821" s="315"/>
      <c r="G821" s="316"/>
      <c r="H821" s="807"/>
    </row>
    <row r="822" spans="1:8" ht="20.25">
      <c r="A822" s="307"/>
      <c r="B822" s="314"/>
      <c r="C822" s="314"/>
      <c r="D822" s="314"/>
      <c r="E822" s="320"/>
      <c r="F822" s="315"/>
      <c r="G822" s="316"/>
      <c r="H822" s="807"/>
    </row>
    <row r="823" spans="1:8" ht="20.25">
      <c r="A823" s="307"/>
      <c r="B823" s="314"/>
      <c r="C823" s="314"/>
      <c r="D823" s="314"/>
      <c r="E823" s="320"/>
      <c r="F823" s="315"/>
      <c r="G823" s="316"/>
      <c r="H823" s="807"/>
    </row>
    <row r="824" spans="1:8" ht="20.25">
      <c r="A824" s="307"/>
      <c r="B824" s="314"/>
      <c r="C824" s="314"/>
      <c r="D824" s="314"/>
      <c r="E824" s="320"/>
      <c r="F824" s="315"/>
      <c r="G824" s="316"/>
      <c r="H824" s="807"/>
    </row>
    <row r="825" spans="1:8" ht="20.25">
      <c r="A825" s="307"/>
      <c r="B825" s="314"/>
      <c r="C825" s="314"/>
      <c r="D825" s="314"/>
      <c r="E825" s="320"/>
      <c r="F825" s="315"/>
      <c r="G825" s="316"/>
      <c r="H825" s="807"/>
    </row>
    <row r="826" spans="1:8" ht="20.25">
      <c r="A826" s="307"/>
      <c r="B826" s="314"/>
      <c r="C826" s="314"/>
      <c r="D826" s="314"/>
      <c r="E826" s="320"/>
      <c r="F826" s="315"/>
      <c r="G826" s="316"/>
      <c r="H826" s="807"/>
    </row>
    <row r="827" spans="1:8" ht="20.25">
      <c r="A827" s="307"/>
      <c r="B827" s="314"/>
      <c r="C827" s="314"/>
      <c r="D827" s="314"/>
      <c r="E827" s="320"/>
      <c r="F827" s="315"/>
      <c r="G827" s="316"/>
      <c r="H827" s="807"/>
    </row>
    <row r="828" spans="1:8" ht="20.25">
      <c r="A828" s="307"/>
      <c r="B828" s="314"/>
      <c r="C828" s="314"/>
      <c r="D828" s="314"/>
      <c r="E828" s="320"/>
      <c r="F828" s="315"/>
      <c r="G828" s="316"/>
      <c r="H828" s="807"/>
    </row>
    <row r="829" spans="1:8" ht="20.25">
      <c r="A829" s="307"/>
      <c r="B829" s="314"/>
      <c r="C829" s="314"/>
      <c r="D829" s="314"/>
      <c r="E829" s="320"/>
      <c r="F829" s="315"/>
      <c r="G829" s="316"/>
      <c r="H829" s="807"/>
    </row>
    <row r="830" spans="1:8" ht="20.25">
      <c r="A830" s="307"/>
      <c r="B830" s="314"/>
      <c r="C830" s="314"/>
      <c r="D830" s="314"/>
      <c r="E830" s="320"/>
      <c r="F830" s="315"/>
      <c r="G830" s="316"/>
      <c r="H830" s="807"/>
    </row>
    <row r="831" spans="1:8" ht="20.25">
      <c r="A831" s="307"/>
      <c r="B831" s="314"/>
      <c r="C831" s="314"/>
      <c r="D831" s="314"/>
      <c r="E831" s="320"/>
      <c r="F831" s="315"/>
      <c r="G831" s="316"/>
      <c r="H831" s="807"/>
    </row>
    <row r="832" spans="1:8" ht="20.25">
      <c r="A832" s="307"/>
      <c r="B832" s="314"/>
      <c r="C832" s="314"/>
      <c r="D832" s="314"/>
      <c r="E832" s="320"/>
      <c r="F832" s="315"/>
      <c r="G832" s="316"/>
      <c r="H832" s="807"/>
    </row>
    <row r="833" spans="1:8" ht="20.25">
      <c r="A833" s="307"/>
      <c r="B833" s="314"/>
      <c r="C833" s="314"/>
      <c r="D833" s="314"/>
      <c r="E833" s="320"/>
      <c r="F833" s="315"/>
      <c r="G833" s="316"/>
      <c r="H833" s="807"/>
    </row>
    <row r="834" spans="1:8" ht="20.25">
      <c r="A834" s="307"/>
      <c r="B834" s="314"/>
      <c r="C834" s="314"/>
      <c r="D834" s="314"/>
      <c r="E834" s="320"/>
      <c r="F834" s="315"/>
      <c r="G834" s="316"/>
      <c r="H834" s="807"/>
    </row>
    <row r="835" spans="1:8" ht="20.25">
      <c r="A835" s="307"/>
      <c r="B835" s="314"/>
      <c r="C835" s="314"/>
      <c r="D835" s="314"/>
      <c r="E835" s="320"/>
      <c r="F835" s="315"/>
      <c r="G835" s="316"/>
      <c r="H835" s="807"/>
    </row>
    <row r="836" spans="1:8" ht="20.25">
      <c r="A836" s="307"/>
      <c r="B836" s="314"/>
      <c r="C836" s="314"/>
      <c r="D836" s="314"/>
      <c r="E836" s="320"/>
      <c r="F836" s="315"/>
      <c r="G836" s="316"/>
      <c r="H836" s="807"/>
    </row>
    <row r="837" spans="1:8" ht="20.25">
      <c r="A837" s="307"/>
      <c r="B837" s="314"/>
      <c r="C837" s="314"/>
      <c r="D837" s="314"/>
      <c r="E837" s="320"/>
      <c r="F837" s="315"/>
      <c r="G837" s="316"/>
      <c r="H837" s="807"/>
    </row>
    <row r="838" spans="1:8" ht="20.25">
      <c r="A838" s="307"/>
      <c r="B838" s="314"/>
      <c r="C838" s="314"/>
      <c r="D838" s="314"/>
      <c r="E838" s="320"/>
      <c r="F838" s="315"/>
      <c r="G838" s="316"/>
      <c r="H838" s="807"/>
    </row>
    <row r="839" spans="1:8" ht="20.25">
      <c r="A839" s="307"/>
      <c r="B839" s="314"/>
      <c r="C839" s="314"/>
      <c r="D839" s="314"/>
      <c r="E839" s="320"/>
      <c r="F839" s="315"/>
      <c r="G839" s="316"/>
      <c r="H839" s="807"/>
    </row>
    <row r="840" spans="1:8" ht="20.25">
      <c r="A840" s="307"/>
      <c r="B840" s="314"/>
      <c r="C840" s="314"/>
      <c r="D840" s="314"/>
      <c r="E840" s="320"/>
      <c r="F840" s="315"/>
      <c r="G840" s="316"/>
      <c r="H840" s="807"/>
    </row>
    <row r="841" spans="1:8" ht="20.25">
      <c r="A841" s="307"/>
      <c r="B841" s="314"/>
      <c r="C841" s="314"/>
      <c r="D841" s="314"/>
      <c r="E841" s="320"/>
      <c r="F841" s="315"/>
      <c r="G841" s="316"/>
      <c r="H841" s="807"/>
    </row>
    <row r="842" spans="1:8" ht="20.25">
      <c r="A842" s="307"/>
      <c r="B842" s="314"/>
      <c r="C842" s="314"/>
      <c r="D842" s="314"/>
      <c r="E842" s="320"/>
      <c r="F842" s="315"/>
      <c r="G842" s="316"/>
      <c r="H842" s="807"/>
    </row>
    <row r="843" spans="1:8" ht="20.25">
      <c r="A843" s="307"/>
      <c r="B843" s="314"/>
      <c r="C843" s="314"/>
      <c r="D843" s="314"/>
      <c r="E843" s="320"/>
      <c r="F843" s="315"/>
      <c r="G843" s="316"/>
      <c r="H843" s="807"/>
    </row>
    <row r="844" spans="1:8" ht="20.25">
      <c r="A844" s="307"/>
      <c r="B844" s="314"/>
      <c r="C844" s="314"/>
      <c r="D844" s="314"/>
      <c r="E844" s="320"/>
      <c r="F844" s="315"/>
      <c r="G844" s="316"/>
      <c r="H844" s="807"/>
    </row>
    <row r="845" spans="1:8" ht="20.25">
      <c r="A845" s="307"/>
      <c r="B845" s="314"/>
      <c r="C845" s="314"/>
      <c r="D845" s="314"/>
      <c r="E845" s="320"/>
      <c r="F845" s="315"/>
      <c r="G845" s="316"/>
      <c r="H845" s="807"/>
    </row>
    <row r="846" spans="1:8" ht="20.25">
      <c r="A846" s="307"/>
      <c r="B846" s="314"/>
      <c r="C846" s="314"/>
      <c r="D846" s="314"/>
      <c r="E846" s="320"/>
      <c r="F846" s="315"/>
      <c r="G846" s="316"/>
      <c r="H846" s="807"/>
    </row>
    <row r="847" spans="1:8" ht="20.25">
      <c r="A847" s="307"/>
      <c r="B847" s="314"/>
      <c r="C847" s="314"/>
      <c r="D847" s="314"/>
      <c r="E847" s="320"/>
      <c r="F847" s="315"/>
      <c r="G847" s="316"/>
      <c r="H847" s="807"/>
    </row>
    <row r="848" spans="1:8" ht="20.25">
      <c r="A848" s="307"/>
      <c r="B848" s="314"/>
      <c r="C848" s="314"/>
      <c r="D848" s="314"/>
      <c r="E848" s="320"/>
      <c r="F848" s="315"/>
      <c r="G848" s="316"/>
      <c r="H848" s="807"/>
    </row>
    <row r="849" spans="1:8" ht="20.25">
      <c r="A849" s="307"/>
      <c r="B849" s="314"/>
      <c r="C849" s="314"/>
      <c r="D849" s="314"/>
      <c r="E849" s="320"/>
      <c r="F849" s="315"/>
      <c r="G849" s="316"/>
      <c r="H849" s="807"/>
    </row>
    <row r="850" spans="1:8" ht="20.25">
      <c r="A850" s="307"/>
      <c r="B850" s="314"/>
      <c r="C850" s="314"/>
      <c r="D850" s="314"/>
      <c r="E850" s="320"/>
      <c r="F850" s="315"/>
      <c r="G850" s="316"/>
      <c r="H850" s="807"/>
    </row>
    <row r="851" spans="1:8" ht="20.25">
      <c r="A851" s="307"/>
      <c r="B851" s="314"/>
      <c r="C851" s="314"/>
      <c r="D851" s="314"/>
      <c r="E851" s="320"/>
      <c r="F851" s="315"/>
      <c r="G851" s="316"/>
      <c r="H851" s="807"/>
    </row>
    <row r="852" spans="1:8" ht="20.25">
      <c r="A852" s="307"/>
      <c r="B852" s="314"/>
      <c r="C852" s="314"/>
      <c r="D852" s="314"/>
      <c r="E852" s="320"/>
      <c r="F852" s="315"/>
      <c r="G852" s="316"/>
      <c r="H852" s="807"/>
    </row>
    <row r="853" spans="1:8" ht="20.25">
      <c r="A853" s="307"/>
      <c r="B853" s="314"/>
      <c r="C853" s="314"/>
      <c r="D853" s="314"/>
      <c r="E853" s="320"/>
      <c r="F853" s="315"/>
      <c r="G853" s="316"/>
      <c r="H853" s="807"/>
    </row>
    <row r="854" spans="1:8" ht="20.25">
      <c r="A854" s="307"/>
      <c r="B854" s="314"/>
      <c r="C854" s="314"/>
      <c r="D854" s="314"/>
      <c r="E854" s="320"/>
      <c r="F854" s="315"/>
      <c r="G854" s="316"/>
      <c r="H854" s="807"/>
    </row>
    <row r="855" spans="1:8" ht="20.25">
      <c r="A855" s="307"/>
      <c r="B855" s="314"/>
      <c r="C855" s="314"/>
      <c r="D855" s="314"/>
      <c r="E855" s="320"/>
      <c r="F855" s="315"/>
      <c r="G855" s="316"/>
      <c r="H855" s="807"/>
    </row>
    <row r="856" spans="1:8" ht="20.25">
      <c r="A856" s="307"/>
      <c r="B856" s="314"/>
      <c r="C856" s="314"/>
      <c r="D856" s="314"/>
      <c r="E856" s="320"/>
      <c r="F856" s="315"/>
      <c r="G856" s="316"/>
      <c r="H856" s="807"/>
    </row>
    <row r="857" spans="1:8" ht="20.25">
      <c r="A857" s="307"/>
      <c r="B857" s="314"/>
      <c r="C857" s="314"/>
      <c r="D857" s="314"/>
      <c r="E857" s="320"/>
      <c r="F857" s="315"/>
      <c r="G857" s="316"/>
      <c r="H857" s="807"/>
    </row>
    <row r="858" spans="1:8" ht="20.25">
      <c r="A858" s="307"/>
      <c r="B858" s="304"/>
      <c r="C858" s="304"/>
      <c r="D858" s="304"/>
      <c r="E858" s="308"/>
      <c r="F858" s="306"/>
    </row>
    <row r="859" spans="1:8" ht="20.25">
      <c r="A859" s="307"/>
      <c r="B859" s="304"/>
      <c r="C859" s="304"/>
      <c r="D859" s="304"/>
      <c r="E859" s="308"/>
      <c r="F859" s="306"/>
    </row>
    <row r="860" spans="1:8" ht="20.25">
      <c r="A860" s="307"/>
      <c r="B860" s="304"/>
      <c r="C860" s="304"/>
      <c r="D860" s="304"/>
      <c r="E860" s="308"/>
      <c r="F860" s="306"/>
    </row>
    <row r="861" spans="1:8" ht="20.25">
      <c r="A861" s="307"/>
      <c r="B861" s="304"/>
      <c r="C861" s="304"/>
      <c r="D861" s="304"/>
      <c r="E861" s="308"/>
      <c r="F861" s="306"/>
    </row>
    <row r="862" spans="1:8" ht="20.25">
      <c r="A862" s="307"/>
      <c r="B862" s="304"/>
      <c r="C862" s="304"/>
      <c r="D862" s="304"/>
      <c r="E862" s="308"/>
      <c r="F862" s="306"/>
    </row>
    <row r="863" spans="1:8" ht="20.25">
      <c r="A863" s="307"/>
      <c r="B863" s="304"/>
      <c r="C863" s="304"/>
      <c r="D863" s="304"/>
      <c r="E863" s="308"/>
      <c r="F863" s="306"/>
    </row>
    <row r="864" spans="1:8" ht="20.25">
      <c r="A864" s="307"/>
      <c r="B864" s="304"/>
      <c r="C864" s="304"/>
      <c r="D864" s="304"/>
      <c r="E864" s="308"/>
      <c r="F864" s="306"/>
    </row>
    <row r="865" spans="1:6" ht="20.25">
      <c r="A865" s="307"/>
      <c r="B865" s="304"/>
      <c r="C865" s="304"/>
      <c r="D865" s="304"/>
      <c r="E865" s="308"/>
      <c r="F865" s="306"/>
    </row>
    <row r="866" spans="1:6" ht="20.25">
      <c r="A866" s="307"/>
      <c r="B866" s="304"/>
      <c r="C866" s="304"/>
      <c r="D866" s="304"/>
      <c r="E866" s="308"/>
      <c r="F866" s="306"/>
    </row>
    <row r="867" spans="1:6" ht="20.25">
      <c r="A867" s="307"/>
      <c r="B867" s="304"/>
      <c r="C867" s="304"/>
      <c r="D867" s="304"/>
      <c r="E867" s="308"/>
      <c r="F867" s="306"/>
    </row>
    <row r="868" spans="1:6" ht="20.25">
      <c r="A868" s="307"/>
      <c r="B868" s="304"/>
      <c r="C868" s="304"/>
      <c r="D868" s="304"/>
      <c r="E868" s="308"/>
      <c r="F868" s="306"/>
    </row>
    <row r="869" spans="1:6" ht="20.25">
      <c r="A869" s="307"/>
      <c r="B869" s="304"/>
      <c r="C869" s="304"/>
      <c r="D869" s="304"/>
      <c r="E869" s="308"/>
      <c r="F869" s="306"/>
    </row>
    <row r="870" spans="1:6" ht="20.25">
      <c r="A870" s="307"/>
      <c r="B870" s="304"/>
      <c r="C870" s="304"/>
      <c r="D870" s="304"/>
      <c r="E870" s="308"/>
      <c r="F870" s="306"/>
    </row>
    <row r="871" spans="1:6" ht="20.25">
      <c r="A871" s="307"/>
      <c r="B871" s="304"/>
      <c r="C871" s="304"/>
      <c r="D871" s="304"/>
      <c r="E871" s="308"/>
      <c r="F871" s="306"/>
    </row>
    <row r="872" spans="1:6" ht="20.25">
      <c r="A872" s="307"/>
      <c r="B872" s="304"/>
      <c r="C872" s="304"/>
      <c r="D872" s="304"/>
      <c r="E872" s="308"/>
      <c r="F872" s="306"/>
    </row>
    <row r="873" spans="1:6" ht="20.25">
      <c r="A873" s="307"/>
      <c r="B873" s="304"/>
      <c r="C873" s="304"/>
      <c r="D873" s="304"/>
      <c r="E873" s="308"/>
      <c r="F873" s="306"/>
    </row>
    <row r="874" spans="1:6" ht="20.25">
      <c r="A874" s="307"/>
      <c r="B874" s="304"/>
      <c r="C874" s="304"/>
      <c r="D874" s="304"/>
      <c r="E874" s="308"/>
      <c r="F874" s="306"/>
    </row>
    <row r="875" spans="1:6" ht="20.25">
      <c r="A875" s="307"/>
      <c r="B875" s="304"/>
      <c r="C875" s="304"/>
      <c r="D875" s="304"/>
      <c r="E875" s="308"/>
      <c r="F875" s="306"/>
    </row>
    <row r="876" spans="1:6" ht="20.25">
      <c r="A876" s="307"/>
      <c r="B876" s="304"/>
      <c r="C876" s="304"/>
      <c r="D876" s="304"/>
      <c r="E876" s="308"/>
      <c r="F876" s="306"/>
    </row>
    <row r="877" spans="1:6" ht="20.25">
      <c r="A877" s="307"/>
      <c r="B877" s="304"/>
      <c r="C877" s="304"/>
      <c r="D877" s="304"/>
      <c r="E877" s="308"/>
      <c r="F877" s="306"/>
    </row>
    <row r="878" spans="1:6" ht="20.25">
      <c r="A878" s="307"/>
      <c r="B878" s="304"/>
      <c r="C878" s="304"/>
      <c r="D878" s="304"/>
      <c r="E878" s="308"/>
      <c r="F878" s="306"/>
    </row>
    <row r="879" spans="1:6" ht="20.25">
      <c r="A879" s="307"/>
      <c r="B879" s="304"/>
      <c r="C879" s="304"/>
      <c r="D879" s="304"/>
      <c r="E879" s="308"/>
      <c r="F879" s="306"/>
    </row>
    <row r="880" spans="1:6" ht="20.25">
      <c r="A880" s="307"/>
      <c r="B880" s="304"/>
      <c r="C880" s="304"/>
      <c r="D880" s="304"/>
      <c r="E880" s="308"/>
      <c r="F880" s="306"/>
    </row>
    <row r="881" spans="1:6" ht="20.25">
      <c r="A881" s="307"/>
      <c r="B881" s="304"/>
      <c r="C881" s="304"/>
      <c r="D881" s="304"/>
      <c r="E881" s="308"/>
      <c r="F881" s="306"/>
    </row>
    <row r="882" spans="1:6" ht="20.25">
      <c r="A882" s="307"/>
      <c r="B882" s="304"/>
      <c r="C882" s="304"/>
      <c r="D882" s="304"/>
      <c r="E882" s="308"/>
      <c r="F882" s="306"/>
    </row>
    <row r="883" spans="1:6" ht="20.25">
      <c r="A883" s="307"/>
      <c r="B883" s="304"/>
      <c r="C883" s="304"/>
      <c r="D883" s="304"/>
      <c r="E883" s="308"/>
      <c r="F883" s="306"/>
    </row>
    <row r="884" spans="1:6" ht="20.25">
      <c r="A884" s="307"/>
      <c r="B884" s="304"/>
      <c r="C884" s="304"/>
      <c r="D884" s="304"/>
      <c r="E884" s="308"/>
      <c r="F884" s="306"/>
    </row>
    <row r="885" spans="1:6" ht="20.25">
      <c r="A885" s="307"/>
      <c r="B885" s="304"/>
      <c r="C885" s="304"/>
      <c r="D885" s="304"/>
      <c r="E885" s="308"/>
      <c r="F885" s="306"/>
    </row>
    <row r="886" spans="1:6" ht="20.25">
      <c r="A886" s="307"/>
      <c r="B886" s="304"/>
      <c r="C886" s="304"/>
      <c r="D886" s="304"/>
      <c r="E886" s="308"/>
      <c r="F886" s="306"/>
    </row>
    <row r="887" spans="1:6" ht="20.25">
      <c r="A887" s="307"/>
      <c r="B887" s="304"/>
      <c r="C887" s="304"/>
      <c r="D887" s="304"/>
      <c r="E887" s="308"/>
      <c r="F887" s="306"/>
    </row>
    <row r="888" spans="1:6" ht="20.25">
      <c r="A888" s="307"/>
      <c r="B888" s="304"/>
      <c r="C888" s="304"/>
      <c r="D888" s="304"/>
      <c r="E888" s="308"/>
      <c r="F888" s="306"/>
    </row>
    <row r="889" spans="1:6" ht="20.25">
      <c r="A889" s="307"/>
      <c r="B889" s="304"/>
      <c r="C889" s="304"/>
      <c r="D889" s="304"/>
      <c r="E889" s="308"/>
      <c r="F889" s="306"/>
    </row>
    <row r="890" spans="1:6" ht="20.25">
      <c r="A890" s="307"/>
      <c r="B890" s="304"/>
      <c r="C890" s="304"/>
      <c r="D890" s="304"/>
      <c r="E890" s="308"/>
      <c r="F890" s="306"/>
    </row>
    <row r="891" spans="1:6" ht="20.25">
      <c r="A891" s="307"/>
      <c r="B891" s="304"/>
      <c r="C891" s="304"/>
      <c r="D891" s="304"/>
      <c r="E891" s="308"/>
      <c r="F891" s="306"/>
    </row>
    <row r="892" spans="1:6" ht="20.25">
      <c r="A892" s="307"/>
      <c r="B892" s="304"/>
      <c r="C892" s="304"/>
      <c r="D892" s="304"/>
      <c r="E892" s="308"/>
      <c r="F892" s="306"/>
    </row>
    <row r="893" spans="1:6" ht="20.25">
      <c r="A893" s="307"/>
      <c r="B893" s="304"/>
      <c r="C893" s="304"/>
      <c r="D893" s="304"/>
      <c r="E893" s="308"/>
      <c r="F893" s="306"/>
    </row>
    <row r="894" spans="1:6" ht="20.25">
      <c r="A894" s="307"/>
      <c r="B894" s="304"/>
      <c r="C894" s="304"/>
      <c r="D894" s="304"/>
      <c r="E894" s="308"/>
      <c r="F894" s="306"/>
    </row>
    <row r="895" spans="1:6" ht="20.25">
      <c r="A895" s="307"/>
      <c r="B895" s="304"/>
      <c r="C895" s="304"/>
      <c r="D895" s="304"/>
      <c r="E895" s="308"/>
      <c r="F895" s="306"/>
    </row>
    <row r="896" spans="1:6" ht="20.25">
      <c r="A896" s="307"/>
      <c r="B896" s="304"/>
      <c r="C896" s="304"/>
      <c r="D896" s="304"/>
      <c r="E896" s="308"/>
      <c r="F896" s="306"/>
    </row>
    <row r="897" spans="1:6" ht="20.25">
      <c r="A897" s="307"/>
      <c r="B897" s="304"/>
      <c r="C897" s="304"/>
      <c r="D897" s="304"/>
      <c r="E897" s="308"/>
      <c r="F897" s="306"/>
    </row>
    <row r="898" spans="1:6" ht="20.25">
      <c r="A898" s="307"/>
      <c r="B898" s="304"/>
      <c r="C898" s="304"/>
      <c r="D898" s="304"/>
      <c r="E898" s="308"/>
      <c r="F898" s="306"/>
    </row>
    <row r="899" spans="1:6" ht="20.25">
      <c r="A899" s="307"/>
      <c r="B899" s="304"/>
      <c r="C899" s="304"/>
      <c r="D899" s="304"/>
      <c r="E899" s="308"/>
      <c r="F899" s="306"/>
    </row>
    <row r="900" spans="1:6" ht="20.25">
      <c r="A900" s="307"/>
      <c r="B900" s="304"/>
      <c r="C900" s="304"/>
      <c r="D900" s="304"/>
      <c r="E900" s="308"/>
      <c r="F900" s="306"/>
    </row>
    <row r="901" spans="1:6" ht="20.25">
      <c r="A901" s="307"/>
      <c r="B901" s="304"/>
      <c r="C901" s="304"/>
      <c r="D901" s="304"/>
      <c r="E901" s="308"/>
      <c r="F901" s="306"/>
    </row>
    <row r="902" spans="1:6" ht="20.25">
      <c r="A902" s="307"/>
      <c r="B902" s="304"/>
      <c r="C902" s="304"/>
      <c r="D902" s="304"/>
      <c r="E902" s="308"/>
      <c r="F902" s="306"/>
    </row>
    <row r="903" spans="1:6" ht="20.25">
      <c r="A903" s="307"/>
      <c r="B903" s="304"/>
      <c r="C903" s="304"/>
      <c r="D903" s="304"/>
      <c r="E903" s="308"/>
      <c r="F903" s="306"/>
    </row>
    <row r="904" spans="1:6" ht="20.25">
      <c r="A904" s="307"/>
      <c r="B904" s="304"/>
      <c r="C904" s="304"/>
      <c r="D904" s="304"/>
      <c r="E904" s="308"/>
      <c r="F904" s="306"/>
    </row>
    <row r="905" spans="1:6" ht="20.25">
      <c r="A905" s="307"/>
      <c r="B905" s="304"/>
      <c r="C905" s="304"/>
      <c r="D905" s="304"/>
      <c r="E905" s="308"/>
      <c r="F905" s="306"/>
    </row>
    <row r="906" spans="1:6" ht="20.25">
      <c r="A906" s="307"/>
      <c r="B906" s="304"/>
      <c r="C906" s="304"/>
      <c r="D906" s="304"/>
      <c r="E906" s="308"/>
      <c r="F906" s="306"/>
    </row>
    <row r="907" spans="1:6" ht="20.25">
      <c r="A907" s="307"/>
      <c r="B907" s="304"/>
      <c r="C907" s="304"/>
      <c r="D907" s="304"/>
      <c r="E907" s="308"/>
      <c r="F907" s="306"/>
    </row>
    <row r="908" spans="1:6" ht="20.25">
      <c r="A908" s="307"/>
      <c r="B908" s="304"/>
      <c r="C908" s="304"/>
      <c r="D908" s="304"/>
      <c r="E908" s="308"/>
      <c r="F908" s="306"/>
    </row>
    <row r="909" spans="1:6" ht="20.25">
      <c r="A909" s="307"/>
      <c r="B909" s="304"/>
      <c r="C909" s="304"/>
      <c r="D909" s="304"/>
      <c r="E909" s="308"/>
      <c r="F909" s="306"/>
    </row>
    <row r="910" spans="1:6" ht="20.25">
      <c r="A910" s="307"/>
      <c r="B910" s="304"/>
      <c r="C910" s="304"/>
      <c r="D910" s="304"/>
      <c r="E910" s="308"/>
      <c r="F910" s="306"/>
    </row>
    <row r="911" spans="1:6" ht="20.25">
      <c r="A911" s="307"/>
      <c r="B911" s="304"/>
      <c r="C911" s="304"/>
      <c r="D911" s="304"/>
      <c r="E911" s="308"/>
      <c r="F911" s="306"/>
    </row>
    <row r="912" spans="1:6" ht="20.25">
      <c r="A912" s="307"/>
      <c r="B912" s="304"/>
      <c r="C912" s="304"/>
      <c r="D912" s="304"/>
      <c r="E912" s="308"/>
      <c r="F912" s="306"/>
    </row>
    <row r="913" spans="1:6" ht="20.25">
      <c r="A913" s="307"/>
      <c r="B913" s="304"/>
      <c r="C913" s="304"/>
      <c r="D913" s="304"/>
      <c r="E913" s="308"/>
      <c r="F913" s="306"/>
    </row>
    <row r="914" spans="1:6" ht="20.25">
      <c r="A914" s="307"/>
      <c r="B914" s="304"/>
      <c r="C914" s="304"/>
      <c r="D914" s="304"/>
      <c r="E914" s="308"/>
      <c r="F914" s="306"/>
    </row>
    <row r="915" spans="1:6" ht="20.25">
      <c r="A915" s="307"/>
      <c r="B915" s="304"/>
      <c r="C915" s="304"/>
      <c r="D915" s="304"/>
      <c r="E915" s="308"/>
      <c r="F915" s="306"/>
    </row>
    <row r="916" spans="1:6" ht="20.25">
      <c r="A916" s="307"/>
      <c r="B916" s="304"/>
      <c r="C916" s="304"/>
      <c r="D916" s="304"/>
      <c r="E916" s="308"/>
      <c r="F916" s="306"/>
    </row>
    <row r="917" spans="1:6" ht="20.25">
      <c r="A917" s="307"/>
      <c r="B917" s="304"/>
      <c r="C917" s="304"/>
      <c r="D917" s="304"/>
      <c r="E917" s="308"/>
      <c r="F917" s="306"/>
    </row>
    <row r="918" spans="1:6" ht="20.25">
      <c r="A918" s="307"/>
      <c r="B918" s="304"/>
      <c r="C918" s="304"/>
      <c r="D918" s="304"/>
      <c r="E918" s="308"/>
      <c r="F918" s="306"/>
    </row>
    <row r="919" spans="1:6" ht="20.25">
      <c r="A919" s="307"/>
      <c r="B919" s="304"/>
      <c r="C919" s="304"/>
      <c r="D919" s="304"/>
      <c r="E919" s="308"/>
      <c r="F919" s="306"/>
    </row>
    <row r="920" spans="1:6" ht="20.25">
      <c r="A920" s="307"/>
      <c r="B920" s="304"/>
      <c r="C920" s="304"/>
      <c r="D920" s="304"/>
      <c r="E920" s="308"/>
      <c r="F920" s="306"/>
    </row>
    <row r="921" spans="1:6" ht="20.25">
      <c r="A921" s="307"/>
      <c r="B921" s="304"/>
      <c r="C921" s="304"/>
      <c r="D921" s="304"/>
      <c r="E921" s="308"/>
      <c r="F921" s="306"/>
    </row>
    <row r="922" spans="1:6" ht="20.25">
      <c r="A922" s="307"/>
      <c r="B922" s="304"/>
      <c r="C922" s="304"/>
      <c r="D922" s="304"/>
      <c r="E922" s="308"/>
      <c r="F922" s="306"/>
    </row>
    <row r="923" spans="1:6" ht="20.25">
      <c r="A923" s="307"/>
      <c r="B923" s="304"/>
      <c r="C923" s="304"/>
      <c r="D923" s="304"/>
      <c r="E923" s="308"/>
      <c r="F923" s="306"/>
    </row>
    <row r="924" spans="1:6" ht="20.25">
      <c r="A924" s="307"/>
      <c r="B924" s="304"/>
      <c r="C924" s="304"/>
      <c r="D924" s="304"/>
      <c r="E924" s="308"/>
      <c r="F924" s="306"/>
    </row>
    <row r="925" spans="1:6" ht="20.25">
      <c r="A925" s="307"/>
      <c r="B925" s="304"/>
      <c r="C925" s="304"/>
      <c r="D925" s="304"/>
      <c r="E925" s="308"/>
      <c r="F925" s="306"/>
    </row>
    <row r="926" spans="1:6" ht="20.25">
      <c r="A926" s="307"/>
      <c r="B926" s="304"/>
      <c r="C926" s="304"/>
      <c r="D926" s="304"/>
      <c r="E926" s="308"/>
      <c r="F926" s="306"/>
    </row>
    <row r="927" spans="1:6" ht="20.25">
      <c r="A927" s="307"/>
      <c r="B927" s="304"/>
      <c r="C927" s="304"/>
      <c r="D927" s="304"/>
      <c r="E927" s="308"/>
      <c r="F927" s="306"/>
    </row>
    <row r="928" spans="1:6" ht="20.25">
      <c r="A928" s="307"/>
      <c r="B928" s="304"/>
      <c r="C928" s="304"/>
      <c r="D928" s="304"/>
      <c r="E928" s="308"/>
      <c r="F928" s="306"/>
    </row>
    <row r="929" spans="1:6" ht="20.25">
      <c r="A929" s="307"/>
      <c r="B929" s="304"/>
      <c r="C929" s="304"/>
      <c r="D929" s="304"/>
      <c r="E929" s="308"/>
      <c r="F929" s="306"/>
    </row>
    <row r="930" spans="1:6" ht="20.25">
      <c r="A930" s="307"/>
      <c r="B930" s="304"/>
      <c r="C930" s="304"/>
      <c r="D930" s="304"/>
      <c r="E930" s="308"/>
      <c r="F930" s="306"/>
    </row>
    <row r="931" spans="1:6" ht="20.25">
      <c r="A931" s="307"/>
      <c r="B931" s="304"/>
      <c r="C931" s="304"/>
      <c r="D931" s="304"/>
      <c r="E931" s="308"/>
      <c r="F931" s="306"/>
    </row>
    <row r="932" spans="1:6" ht="20.25">
      <c r="A932" s="307"/>
      <c r="B932" s="304"/>
      <c r="C932" s="304"/>
      <c r="D932" s="304"/>
      <c r="E932" s="308"/>
      <c r="F932" s="306"/>
    </row>
    <row r="933" spans="1:6" ht="20.25">
      <c r="A933" s="307"/>
      <c r="B933" s="304"/>
      <c r="C933" s="304"/>
      <c r="D933" s="304"/>
      <c r="E933" s="308"/>
      <c r="F933" s="306"/>
    </row>
    <row r="934" spans="1:6" ht="20.25">
      <c r="A934" s="307"/>
      <c r="B934" s="304"/>
      <c r="C934" s="304"/>
      <c r="D934" s="304"/>
      <c r="E934" s="308"/>
      <c r="F934" s="306"/>
    </row>
    <row r="935" spans="1:6" ht="20.25">
      <c r="A935" s="307"/>
      <c r="B935" s="304"/>
      <c r="C935" s="304"/>
      <c r="D935" s="304"/>
      <c r="E935" s="308"/>
      <c r="F935" s="306"/>
    </row>
    <row r="936" spans="1:6" ht="20.25">
      <c r="A936" s="307"/>
      <c r="B936" s="304"/>
      <c r="C936" s="304"/>
      <c r="D936" s="304"/>
      <c r="E936" s="308"/>
      <c r="F936" s="306"/>
    </row>
    <row r="937" spans="1:6" ht="20.25">
      <c r="A937" s="307"/>
      <c r="B937" s="304"/>
      <c r="C937" s="304"/>
      <c r="D937" s="304"/>
      <c r="E937" s="308"/>
      <c r="F937" s="306"/>
    </row>
    <row r="938" spans="1:6" ht="20.25">
      <c r="A938" s="307"/>
      <c r="B938" s="304"/>
      <c r="C938" s="304"/>
      <c r="D938" s="304"/>
      <c r="E938" s="308"/>
      <c r="F938" s="306"/>
    </row>
    <row r="939" spans="1:6" ht="20.25">
      <c r="A939" s="307"/>
      <c r="B939" s="304"/>
      <c r="C939" s="304"/>
      <c r="D939" s="304"/>
      <c r="E939" s="308"/>
      <c r="F939" s="306"/>
    </row>
    <row r="940" spans="1:6" ht="20.25">
      <c r="A940" s="307"/>
      <c r="B940" s="304"/>
      <c r="C940" s="304"/>
      <c r="D940" s="304"/>
      <c r="E940" s="308"/>
      <c r="F940" s="306"/>
    </row>
    <row r="941" spans="1:6" ht="20.25">
      <c r="A941" s="307"/>
      <c r="B941" s="304"/>
      <c r="C941" s="304"/>
      <c r="D941" s="304"/>
      <c r="E941" s="308"/>
      <c r="F941" s="306"/>
    </row>
    <row r="942" spans="1:6" ht="20.25">
      <c r="A942" s="307"/>
      <c r="B942" s="304"/>
      <c r="C942" s="304"/>
      <c r="D942" s="304"/>
      <c r="E942" s="308"/>
      <c r="F942" s="306"/>
    </row>
    <row r="943" spans="1:6" ht="20.25">
      <c r="A943" s="307"/>
      <c r="B943" s="304"/>
      <c r="C943" s="304"/>
      <c r="D943" s="304"/>
      <c r="E943" s="308"/>
      <c r="F943" s="306"/>
    </row>
    <row r="944" spans="1:6" ht="20.25">
      <c r="A944" s="307"/>
      <c r="B944" s="304"/>
      <c r="C944" s="304"/>
      <c r="D944" s="304"/>
      <c r="E944" s="308"/>
      <c r="F944" s="306"/>
    </row>
    <row r="945" spans="1:6" ht="20.25">
      <c r="A945" s="307"/>
      <c r="B945" s="304"/>
      <c r="C945" s="304"/>
      <c r="D945" s="304"/>
      <c r="E945" s="308"/>
      <c r="F945" s="306"/>
    </row>
    <row r="946" spans="1:6" ht="20.25">
      <c r="A946" s="307"/>
      <c r="B946" s="304"/>
      <c r="C946" s="304"/>
      <c r="D946" s="304"/>
      <c r="E946" s="308"/>
      <c r="F946" s="306"/>
    </row>
    <row r="947" spans="1:6" ht="20.25">
      <c r="A947" s="307"/>
      <c r="B947" s="304"/>
      <c r="C947" s="304"/>
      <c r="D947" s="304"/>
      <c r="E947" s="308"/>
      <c r="F947" s="306"/>
    </row>
    <row r="948" spans="1:6" ht="20.25">
      <c r="A948" s="307"/>
      <c r="B948" s="304"/>
      <c r="C948" s="304"/>
      <c r="D948" s="304"/>
      <c r="E948" s="308"/>
      <c r="F948" s="306"/>
    </row>
    <row r="949" spans="1:6" ht="20.25">
      <c r="A949" s="307"/>
      <c r="B949" s="304"/>
      <c r="C949" s="304"/>
      <c r="D949" s="304"/>
      <c r="E949" s="308"/>
      <c r="F949" s="306"/>
    </row>
    <row r="950" spans="1:6" ht="20.25">
      <c r="A950" s="307"/>
      <c r="B950" s="304"/>
      <c r="C950" s="304"/>
      <c r="D950" s="304"/>
      <c r="E950" s="308"/>
      <c r="F950" s="306"/>
    </row>
    <row r="951" spans="1:6" ht="20.25">
      <c r="A951" s="307"/>
      <c r="B951" s="304"/>
      <c r="C951" s="304"/>
      <c r="D951" s="304"/>
      <c r="E951" s="308"/>
      <c r="F951" s="306"/>
    </row>
    <row r="952" spans="1:6" ht="20.25">
      <c r="A952" s="307"/>
      <c r="B952" s="304"/>
      <c r="C952" s="304"/>
      <c r="D952" s="304"/>
      <c r="E952" s="308"/>
      <c r="F952" s="306"/>
    </row>
    <row r="953" spans="1:6" ht="20.25">
      <c r="A953" s="307"/>
      <c r="B953" s="304"/>
      <c r="C953" s="304"/>
      <c r="D953" s="304"/>
      <c r="E953" s="308"/>
      <c r="F953" s="306"/>
    </row>
    <row r="954" spans="1:6" ht="20.25">
      <c r="A954" s="307"/>
      <c r="B954" s="304"/>
      <c r="C954" s="304"/>
      <c r="D954" s="304"/>
      <c r="E954" s="308"/>
      <c r="F954" s="306"/>
    </row>
    <row r="955" spans="1:6" ht="20.25">
      <c r="A955" s="307"/>
      <c r="B955" s="304"/>
      <c r="C955" s="304"/>
      <c r="D955" s="304"/>
      <c r="E955" s="308"/>
      <c r="F955" s="306"/>
    </row>
    <row r="956" spans="1:6" ht="20.25">
      <c r="A956" s="307"/>
      <c r="B956" s="304"/>
      <c r="C956" s="304"/>
      <c r="D956" s="304"/>
      <c r="E956" s="308"/>
      <c r="F956" s="306"/>
    </row>
    <row r="957" spans="1:6" ht="20.25">
      <c r="A957" s="307"/>
      <c r="B957" s="304"/>
      <c r="C957" s="304"/>
      <c r="D957" s="304"/>
      <c r="E957" s="308"/>
      <c r="F957" s="306"/>
    </row>
    <row r="958" spans="1:6" ht="20.25">
      <c r="A958" s="307"/>
      <c r="B958" s="304"/>
      <c r="C958" s="304"/>
      <c r="D958" s="304"/>
      <c r="E958" s="308"/>
      <c r="F958" s="306"/>
    </row>
    <row r="959" spans="1:6" ht="20.25">
      <c r="A959" s="307"/>
      <c r="B959" s="304"/>
      <c r="C959" s="304"/>
      <c r="D959" s="304"/>
      <c r="E959" s="308"/>
      <c r="F959" s="306"/>
    </row>
    <row r="960" spans="1:6" ht="20.25">
      <c r="A960" s="307"/>
      <c r="B960" s="304"/>
      <c r="C960" s="304"/>
      <c r="D960" s="304"/>
      <c r="E960" s="308"/>
      <c r="F960" s="306"/>
    </row>
    <row r="961" spans="1:6" ht="20.25">
      <c r="A961" s="307"/>
      <c r="B961" s="304"/>
      <c r="C961" s="304"/>
      <c r="D961" s="304"/>
      <c r="E961" s="308"/>
      <c r="F961" s="306"/>
    </row>
    <row r="962" spans="1:6" ht="20.25">
      <c r="A962" s="307"/>
      <c r="B962" s="304"/>
      <c r="C962" s="304"/>
      <c r="D962" s="304"/>
      <c r="E962" s="308"/>
      <c r="F962" s="306"/>
    </row>
    <row r="963" spans="1:6" ht="20.25">
      <c r="A963" s="307"/>
      <c r="B963" s="304"/>
      <c r="C963" s="304"/>
      <c r="D963" s="304"/>
      <c r="E963" s="308"/>
      <c r="F963" s="306"/>
    </row>
    <row r="964" spans="1:6" ht="20.25">
      <c r="A964" s="307"/>
      <c r="B964" s="304"/>
      <c r="C964" s="304"/>
      <c r="D964" s="304"/>
      <c r="E964" s="308"/>
      <c r="F964" s="306"/>
    </row>
    <row r="965" spans="1:6" ht="20.25">
      <c r="A965" s="307"/>
      <c r="B965" s="304"/>
      <c r="C965" s="304"/>
      <c r="D965" s="304"/>
      <c r="E965" s="308"/>
      <c r="F965" s="306"/>
    </row>
    <row r="966" spans="1:6" ht="20.25">
      <c r="A966" s="307"/>
      <c r="B966" s="304"/>
      <c r="C966" s="304"/>
      <c r="D966" s="304"/>
      <c r="E966" s="308"/>
      <c r="F966" s="306"/>
    </row>
    <row r="967" spans="1:6" ht="20.25">
      <c r="A967" s="307"/>
      <c r="B967" s="304"/>
      <c r="C967" s="304"/>
      <c r="D967" s="304"/>
      <c r="E967" s="308"/>
      <c r="F967" s="306"/>
    </row>
    <row r="968" spans="1:6" ht="20.25">
      <c r="A968" s="307"/>
      <c r="B968" s="304"/>
      <c r="C968" s="304"/>
      <c r="D968" s="304"/>
      <c r="E968" s="308"/>
      <c r="F968" s="306"/>
    </row>
    <row r="969" spans="1:6" ht="20.25">
      <c r="A969" s="307"/>
      <c r="B969" s="304"/>
      <c r="C969" s="304"/>
      <c r="D969" s="304"/>
      <c r="E969" s="308"/>
      <c r="F969" s="306"/>
    </row>
    <row r="970" spans="1:6" ht="20.25">
      <c r="A970" s="307"/>
      <c r="B970" s="304"/>
      <c r="C970" s="304"/>
      <c r="D970" s="304"/>
      <c r="E970" s="308"/>
      <c r="F970" s="306"/>
    </row>
    <row r="971" spans="1:6" ht="20.25">
      <c r="A971" s="307"/>
      <c r="B971" s="304"/>
      <c r="C971" s="304"/>
      <c r="D971" s="304"/>
      <c r="E971" s="308"/>
      <c r="F971" s="306"/>
    </row>
    <row r="972" spans="1:6" ht="20.25">
      <c r="A972" s="307"/>
      <c r="B972" s="304"/>
      <c r="C972" s="304"/>
      <c r="D972" s="304"/>
      <c r="E972" s="308"/>
      <c r="F972" s="306"/>
    </row>
    <row r="973" spans="1:6" ht="20.25">
      <c r="A973" s="307"/>
      <c r="B973" s="304"/>
      <c r="C973" s="304"/>
      <c r="D973" s="304"/>
      <c r="E973" s="308"/>
      <c r="F973" s="306"/>
    </row>
    <row r="974" spans="1:6" ht="20.25">
      <c r="A974" s="307"/>
      <c r="B974" s="304"/>
      <c r="C974" s="304"/>
      <c r="D974" s="304"/>
      <c r="E974" s="308"/>
      <c r="F974" s="306"/>
    </row>
    <row r="975" spans="1:6" ht="20.25">
      <c r="A975" s="307"/>
      <c r="B975" s="304"/>
      <c r="C975" s="304"/>
      <c r="D975" s="304"/>
      <c r="E975" s="308"/>
      <c r="F975" s="306"/>
    </row>
    <row r="976" spans="1:6" ht="20.25">
      <c r="A976" s="307"/>
      <c r="B976" s="304"/>
      <c r="C976" s="304"/>
      <c r="D976" s="304"/>
      <c r="E976" s="308"/>
      <c r="F976" s="306"/>
    </row>
    <row r="977" spans="1:6" ht="20.25">
      <c r="A977" s="307"/>
      <c r="B977" s="304"/>
      <c r="C977" s="304"/>
      <c r="D977" s="304"/>
      <c r="E977" s="308"/>
      <c r="F977" s="306"/>
    </row>
    <row r="978" spans="1:6" ht="20.25">
      <c r="A978" s="307"/>
      <c r="B978" s="304"/>
      <c r="C978" s="304"/>
      <c r="D978" s="304"/>
      <c r="E978" s="308"/>
      <c r="F978" s="306"/>
    </row>
    <row r="979" spans="1:6" ht="20.25">
      <c r="A979" s="307"/>
      <c r="B979" s="304"/>
      <c r="C979" s="304"/>
      <c r="D979" s="304"/>
      <c r="E979" s="308"/>
      <c r="F979" s="306"/>
    </row>
    <row r="980" spans="1:6" ht="20.25">
      <c r="A980" s="307"/>
      <c r="B980" s="304"/>
      <c r="C980" s="304"/>
      <c r="D980" s="304"/>
      <c r="E980" s="308"/>
      <c r="F980" s="306"/>
    </row>
    <row r="981" spans="1:6" ht="20.25">
      <c r="A981" s="307"/>
      <c r="B981" s="304"/>
      <c r="C981" s="304"/>
      <c r="D981" s="304"/>
      <c r="E981" s="308"/>
      <c r="F981" s="306"/>
    </row>
    <row r="982" spans="1:6" ht="20.25">
      <c r="A982" s="307"/>
      <c r="B982" s="304"/>
      <c r="C982" s="304"/>
      <c r="D982" s="304"/>
      <c r="E982" s="308"/>
      <c r="F982" s="306"/>
    </row>
    <row r="983" spans="1:6" ht="20.25">
      <c r="A983" s="307"/>
      <c r="B983" s="304"/>
      <c r="C983" s="304"/>
      <c r="D983" s="304"/>
      <c r="E983" s="308"/>
      <c r="F983" s="306"/>
    </row>
    <row r="984" spans="1:6" ht="20.25">
      <c r="A984" s="307"/>
      <c r="B984" s="304"/>
      <c r="C984" s="304"/>
      <c r="D984" s="304"/>
      <c r="E984" s="308"/>
      <c r="F984" s="306"/>
    </row>
    <row r="985" spans="1:6" ht="20.25">
      <c r="A985" s="307"/>
      <c r="B985" s="304"/>
      <c r="C985" s="304"/>
      <c r="D985" s="304"/>
      <c r="E985" s="308"/>
      <c r="F985" s="306"/>
    </row>
    <row r="986" spans="1:6" ht="20.25">
      <c r="A986" s="307"/>
      <c r="B986" s="304"/>
      <c r="C986" s="304"/>
      <c r="D986" s="304"/>
      <c r="E986" s="308"/>
      <c r="F986" s="306"/>
    </row>
    <row r="987" spans="1:6" ht="20.25">
      <c r="A987" s="307"/>
      <c r="B987" s="304"/>
      <c r="C987" s="304"/>
      <c r="D987" s="304"/>
      <c r="E987" s="308"/>
      <c r="F987" s="306"/>
    </row>
    <row r="988" spans="1:6" ht="20.25">
      <c r="A988" s="307"/>
      <c r="B988" s="304"/>
      <c r="C988" s="304"/>
      <c r="D988" s="304"/>
      <c r="E988" s="308"/>
      <c r="F988" s="306"/>
    </row>
    <row r="989" spans="1:6" ht="20.25">
      <c r="A989" s="307"/>
      <c r="B989" s="304"/>
      <c r="C989" s="304"/>
      <c r="D989" s="304"/>
      <c r="E989" s="308"/>
      <c r="F989" s="306"/>
    </row>
    <row r="990" spans="1:6" ht="20.25">
      <c r="A990" s="307"/>
      <c r="B990" s="304"/>
      <c r="C990" s="304"/>
      <c r="D990" s="304"/>
      <c r="E990" s="308"/>
      <c r="F990" s="306"/>
    </row>
    <row r="991" spans="1:6" ht="20.25">
      <c r="A991" s="307"/>
      <c r="B991" s="304"/>
      <c r="C991" s="304"/>
      <c r="D991" s="304"/>
      <c r="E991" s="308"/>
      <c r="F991" s="306"/>
    </row>
    <row r="992" spans="1:6" ht="20.25">
      <c r="A992" s="307"/>
      <c r="B992" s="304"/>
      <c r="C992" s="304"/>
      <c r="D992" s="304"/>
      <c r="E992" s="308"/>
      <c r="F992" s="306"/>
    </row>
    <row r="993" spans="1:6" ht="20.25">
      <c r="A993" s="307"/>
      <c r="B993" s="304"/>
      <c r="C993" s="304"/>
      <c r="D993" s="304"/>
      <c r="E993" s="308"/>
      <c r="F993" s="306"/>
    </row>
    <row r="994" spans="1:6" ht="20.25">
      <c r="A994" s="307"/>
      <c r="B994" s="304"/>
      <c r="C994" s="304"/>
      <c r="D994" s="304"/>
      <c r="E994" s="308"/>
      <c r="F994" s="306"/>
    </row>
    <row r="995" spans="1:6" ht="20.25">
      <c r="A995" s="307"/>
      <c r="B995" s="304"/>
      <c r="C995" s="304"/>
      <c r="D995" s="304"/>
      <c r="E995" s="308"/>
      <c r="F995" s="306"/>
    </row>
    <row r="996" spans="1:6" ht="20.25">
      <c r="A996" s="307"/>
      <c r="B996" s="304"/>
      <c r="C996" s="304"/>
      <c r="D996" s="304"/>
      <c r="E996" s="308"/>
      <c r="F996" s="306"/>
    </row>
    <row r="997" spans="1:6" ht="20.25">
      <c r="A997" s="307"/>
      <c r="B997" s="304"/>
      <c r="C997" s="304"/>
      <c r="D997" s="304"/>
      <c r="E997" s="308"/>
      <c r="F997" s="306"/>
    </row>
    <row r="998" spans="1:6" ht="20.25">
      <c r="A998" s="307"/>
      <c r="B998" s="304"/>
      <c r="C998" s="304"/>
      <c r="D998" s="304"/>
      <c r="E998" s="308"/>
      <c r="F998" s="306"/>
    </row>
    <row r="999" spans="1:6" ht="20.25">
      <c r="A999" s="307"/>
      <c r="B999" s="304"/>
      <c r="C999" s="304"/>
      <c r="D999" s="304"/>
      <c r="E999" s="308"/>
      <c r="F999" s="306"/>
    </row>
    <row r="1000" spans="1:6" ht="20.25">
      <c r="A1000" s="307"/>
      <c r="B1000" s="304"/>
      <c r="C1000" s="304"/>
      <c r="D1000" s="304"/>
      <c r="E1000" s="308"/>
      <c r="F1000" s="306"/>
    </row>
    <row r="1001" spans="1:6" ht="20.25">
      <c r="A1001" s="307"/>
      <c r="B1001" s="304"/>
      <c r="C1001" s="304"/>
      <c r="D1001" s="304"/>
      <c r="E1001" s="308"/>
      <c r="F1001" s="306"/>
    </row>
    <row r="1002" spans="1:6" ht="20.25">
      <c r="A1002" s="307"/>
      <c r="B1002" s="304"/>
      <c r="C1002" s="304"/>
      <c r="D1002" s="304"/>
      <c r="E1002" s="308"/>
      <c r="F1002" s="306"/>
    </row>
    <row r="1003" spans="1:6" ht="20.25">
      <c r="A1003" s="307"/>
      <c r="B1003" s="304"/>
      <c r="C1003" s="304"/>
      <c r="D1003" s="304"/>
      <c r="E1003" s="308"/>
      <c r="F1003" s="306"/>
    </row>
    <row r="1004" spans="1:6" ht="20.25">
      <c r="A1004" s="307"/>
      <c r="B1004" s="304"/>
      <c r="C1004" s="304"/>
      <c r="D1004" s="304"/>
      <c r="E1004" s="308"/>
      <c r="F1004" s="306"/>
    </row>
    <row r="1005" spans="1:6" ht="20.25">
      <c r="A1005" s="307"/>
      <c r="B1005" s="304"/>
      <c r="C1005" s="304"/>
      <c r="D1005" s="304"/>
      <c r="E1005" s="308"/>
      <c r="F1005" s="306"/>
    </row>
    <row r="1006" spans="1:6" ht="20.25">
      <c r="A1006" s="307"/>
      <c r="B1006" s="304"/>
      <c r="C1006" s="304"/>
      <c r="D1006" s="304"/>
      <c r="E1006" s="308"/>
      <c r="F1006" s="306"/>
    </row>
    <row r="1007" spans="1:6" ht="20.25">
      <c r="A1007" s="307"/>
      <c r="B1007" s="304"/>
      <c r="C1007" s="304"/>
      <c r="D1007" s="304"/>
      <c r="E1007" s="308"/>
      <c r="F1007" s="306"/>
    </row>
    <row r="1008" spans="1:6" ht="20.25">
      <c r="A1008" s="307"/>
      <c r="B1008" s="304"/>
      <c r="C1008" s="304"/>
      <c r="D1008" s="304"/>
      <c r="E1008" s="308"/>
      <c r="F1008" s="306"/>
    </row>
    <row r="1009" spans="1:6" ht="20.25">
      <c r="A1009" s="307"/>
      <c r="B1009" s="304"/>
      <c r="C1009" s="304"/>
      <c r="D1009" s="304"/>
      <c r="E1009" s="308"/>
      <c r="F1009" s="306"/>
    </row>
    <row r="1010" spans="1:6" ht="20.25">
      <c r="A1010" s="307"/>
      <c r="B1010" s="304"/>
      <c r="C1010" s="304"/>
      <c r="D1010" s="304"/>
      <c r="E1010" s="308"/>
      <c r="F1010" s="306"/>
    </row>
    <row r="1011" spans="1:6" ht="20.25">
      <c r="A1011" s="307"/>
      <c r="B1011" s="304"/>
      <c r="C1011" s="304"/>
      <c r="D1011" s="304"/>
      <c r="E1011" s="308"/>
      <c r="F1011" s="306"/>
    </row>
    <row r="1012" spans="1:6" ht="20.25">
      <c r="A1012" s="307"/>
      <c r="B1012" s="304"/>
      <c r="C1012" s="304"/>
      <c r="D1012" s="304"/>
      <c r="E1012" s="308"/>
      <c r="F1012" s="306"/>
    </row>
    <row r="1013" spans="1:6" ht="20.25">
      <c r="A1013" s="307"/>
      <c r="B1013" s="304"/>
      <c r="C1013" s="304"/>
      <c r="D1013" s="304"/>
      <c r="E1013" s="308"/>
      <c r="F1013" s="306"/>
    </row>
    <row r="1014" spans="1:6" ht="20.25">
      <c r="A1014" s="307"/>
      <c r="B1014" s="304"/>
      <c r="C1014" s="304"/>
      <c r="D1014" s="304"/>
      <c r="E1014" s="308"/>
      <c r="F1014" s="306"/>
    </row>
    <row r="1015" spans="1:6" ht="20.25">
      <c r="A1015" s="307"/>
      <c r="B1015" s="304"/>
      <c r="C1015" s="304"/>
      <c r="D1015" s="304"/>
      <c r="E1015" s="308"/>
      <c r="F1015" s="306"/>
    </row>
    <row r="1016" spans="1:6" ht="20.25">
      <c r="A1016" s="307"/>
      <c r="B1016" s="304"/>
      <c r="C1016" s="304"/>
      <c r="D1016" s="304"/>
      <c r="E1016" s="308"/>
      <c r="F1016" s="306"/>
    </row>
    <row r="1017" spans="1:6" ht="20.25">
      <c r="A1017" s="307"/>
      <c r="B1017" s="304"/>
      <c r="C1017" s="304"/>
      <c r="D1017" s="304"/>
      <c r="E1017" s="308"/>
      <c r="F1017" s="306"/>
    </row>
    <row r="1018" spans="1:6" ht="20.25">
      <c r="A1018" s="307"/>
      <c r="B1018" s="304"/>
      <c r="C1018" s="304"/>
      <c r="D1018" s="304"/>
      <c r="E1018" s="308"/>
      <c r="F1018" s="306"/>
    </row>
    <row r="1019" spans="1:6" ht="20.25">
      <c r="A1019" s="307"/>
      <c r="B1019" s="304"/>
      <c r="C1019" s="304"/>
      <c r="D1019" s="304"/>
      <c r="E1019" s="308"/>
      <c r="F1019" s="306"/>
    </row>
    <row r="1020" spans="1:6" ht="20.25">
      <c r="A1020" s="307"/>
      <c r="B1020" s="304"/>
      <c r="C1020" s="304"/>
      <c r="D1020" s="304"/>
      <c r="E1020" s="308"/>
      <c r="F1020" s="306"/>
    </row>
    <row r="1021" spans="1:6" ht="20.25">
      <c r="A1021" s="307"/>
      <c r="B1021" s="304"/>
      <c r="C1021" s="304"/>
      <c r="D1021" s="304"/>
      <c r="E1021" s="308"/>
      <c r="F1021" s="306"/>
    </row>
    <row r="1022" spans="1:6" ht="20.25">
      <c r="A1022" s="307"/>
      <c r="B1022" s="304"/>
      <c r="C1022" s="304"/>
      <c r="D1022" s="304"/>
      <c r="E1022" s="308"/>
      <c r="F1022" s="306"/>
    </row>
    <row r="1023" spans="1:6" ht="20.25">
      <c r="A1023" s="307"/>
      <c r="B1023" s="304"/>
      <c r="C1023" s="304"/>
      <c r="D1023" s="304"/>
      <c r="E1023" s="308"/>
      <c r="F1023" s="306"/>
    </row>
    <row r="1024" spans="1:6" ht="20.25">
      <c r="A1024" s="307"/>
      <c r="B1024" s="304"/>
      <c r="C1024" s="304"/>
      <c r="D1024" s="304"/>
      <c r="E1024" s="308"/>
      <c r="F1024" s="306"/>
    </row>
    <row r="1025" spans="1:6" ht="20.25">
      <c r="A1025" s="307"/>
      <c r="B1025" s="304"/>
      <c r="C1025" s="304"/>
      <c r="D1025" s="304"/>
      <c r="E1025" s="308"/>
      <c r="F1025" s="306"/>
    </row>
    <row r="1026" spans="1:6" ht="20.25">
      <c r="A1026" s="307"/>
      <c r="B1026" s="304"/>
      <c r="C1026" s="304"/>
      <c r="D1026" s="304"/>
      <c r="E1026" s="308"/>
      <c r="F1026" s="306"/>
    </row>
    <row r="1027" spans="1:6" ht="20.25">
      <c r="A1027" s="307"/>
      <c r="B1027" s="304"/>
      <c r="C1027" s="304"/>
      <c r="D1027" s="304"/>
      <c r="E1027" s="308"/>
      <c r="F1027" s="306"/>
    </row>
    <row r="1028" spans="1:6" ht="20.25">
      <c r="A1028" s="307"/>
      <c r="B1028" s="304"/>
      <c r="C1028" s="304"/>
      <c r="D1028" s="304"/>
      <c r="E1028" s="308"/>
      <c r="F1028" s="306"/>
    </row>
    <row r="1029" spans="1:6" ht="20.25">
      <c r="A1029" s="307"/>
      <c r="B1029" s="304"/>
      <c r="C1029" s="304"/>
      <c r="D1029" s="304"/>
      <c r="E1029" s="308"/>
      <c r="F1029" s="306"/>
    </row>
    <row r="1030" spans="1:6" ht="20.25">
      <c r="A1030" s="307"/>
      <c r="B1030" s="304"/>
      <c r="C1030" s="304"/>
      <c r="D1030" s="304"/>
      <c r="E1030" s="308"/>
      <c r="F1030" s="306"/>
    </row>
    <row r="1031" spans="1:6" ht="20.25">
      <c r="A1031" s="307"/>
      <c r="B1031" s="304"/>
      <c r="C1031" s="304"/>
      <c r="D1031" s="304"/>
      <c r="E1031" s="308"/>
      <c r="F1031" s="306"/>
    </row>
    <row r="1032" spans="1:6" ht="20.25">
      <c r="A1032" s="307"/>
      <c r="B1032" s="304"/>
      <c r="C1032" s="304"/>
      <c r="D1032" s="304"/>
      <c r="E1032" s="308"/>
      <c r="F1032" s="306"/>
    </row>
    <row r="1033" spans="1:6" ht="20.25">
      <c r="A1033" s="307"/>
      <c r="B1033" s="304"/>
      <c r="C1033" s="304"/>
      <c r="D1033" s="304"/>
      <c r="E1033" s="308"/>
      <c r="F1033" s="306"/>
    </row>
    <row r="1034" spans="1:6" ht="20.25">
      <c r="A1034" s="307"/>
      <c r="B1034" s="304"/>
      <c r="C1034" s="304"/>
      <c r="D1034" s="304"/>
      <c r="E1034" s="308"/>
      <c r="F1034" s="306"/>
    </row>
    <row r="1035" spans="1:6" ht="20.25">
      <c r="A1035" s="307"/>
      <c r="B1035" s="304"/>
      <c r="C1035" s="304"/>
      <c r="D1035" s="304"/>
      <c r="E1035" s="308"/>
      <c r="F1035" s="306"/>
    </row>
    <row r="1036" spans="1:6" ht="20.25">
      <c r="A1036" s="307"/>
      <c r="B1036" s="304"/>
      <c r="C1036" s="304"/>
      <c r="D1036" s="304"/>
      <c r="E1036" s="308"/>
      <c r="F1036" s="306"/>
    </row>
    <row r="1037" spans="1:6" ht="20.25">
      <c r="A1037" s="307"/>
      <c r="B1037" s="304"/>
      <c r="C1037" s="304"/>
      <c r="D1037" s="304"/>
      <c r="E1037" s="308"/>
      <c r="F1037" s="306"/>
    </row>
    <row r="1038" spans="1:6" ht="20.25">
      <c r="A1038" s="307"/>
      <c r="B1038" s="304"/>
      <c r="C1038" s="304"/>
      <c r="D1038" s="304"/>
      <c r="E1038" s="308"/>
      <c r="F1038" s="306"/>
    </row>
    <row r="1039" spans="1:6" ht="20.25">
      <c r="A1039" s="307"/>
      <c r="B1039" s="304"/>
      <c r="C1039" s="304"/>
      <c r="D1039" s="304"/>
      <c r="E1039" s="308"/>
      <c r="F1039" s="306"/>
    </row>
    <row r="1040" spans="1:6" ht="20.25">
      <c r="A1040" s="307"/>
      <c r="B1040" s="304"/>
      <c r="C1040" s="304"/>
      <c r="D1040" s="304"/>
      <c r="E1040" s="308"/>
      <c r="F1040" s="306"/>
    </row>
    <row r="1041" spans="1:6" ht="20.25">
      <c r="A1041" s="307"/>
      <c r="B1041" s="304"/>
      <c r="C1041" s="304"/>
      <c r="D1041" s="304"/>
      <c r="E1041" s="308"/>
      <c r="F1041" s="306"/>
    </row>
    <row r="1042" spans="1:6" ht="20.25">
      <c r="A1042" s="307"/>
      <c r="B1042" s="304"/>
      <c r="C1042" s="304"/>
      <c r="D1042" s="304"/>
      <c r="E1042" s="308"/>
      <c r="F1042" s="306"/>
    </row>
    <row r="1043" spans="1:6" ht="20.25">
      <c r="A1043" s="307"/>
      <c r="B1043" s="304"/>
      <c r="C1043" s="304"/>
      <c r="D1043" s="304"/>
      <c r="E1043" s="308"/>
      <c r="F1043" s="306"/>
    </row>
    <row r="1044" spans="1:6" ht="20.25">
      <c r="A1044" s="307"/>
      <c r="B1044" s="304"/>
      <c r="C1044" s="304"/>
      <c r="D1044" s="304"/>
      <c r="E1044" s="308"/>
      <c r="F1044" s="306"/>
    </row>
    <row r="1045" spans="1:6" ht="20.25">
      <c r="A1045" s="307"/>
      <c r="B1045" s="304"/>
      <c r="C1045" s="304"/>
      <c r="D1045" s="304"/>
      <c r="E1045" s="308"/>
      <c r="F1045" s="306"/>
    </row>
    <row r="1046" spans="1:6" ht="20.25">
      <c r="A1046" s="307"/>
      <c r="B1046" s="304"/>
      <c r="C1046" s="304"/>
      <c r="D1046" s="304"/>
      <c r="E1046" s="308"/>
      <c r="F1046" s="306"/>
    </row>
    <row r="1047" spans="1:6" ht="20.25">
      <c r="A1047" s="307"/>
      <c r="B1047" s="304"/>
      <c r="C1047" s="304"/>
      <c r="D1047" s="304"/>
      <c r="E1047" s="308"/>
      <c r="F1047" s="306"/>
    </row>
    <row r="1048" spans="1:6" ht="20.25">
      <c r="A1048" s="307"/>
      <c r="B1048" s="304"/>
      <c r="C1048" s="304"/>
      <c r="D1048" s="304"/>
      <c r="E1048" s="308"/>
      <c r="F1048" s="306"/>
    </row>
    <row r="1049" spans="1:6" ht="20.25">
      <c r="A1049" s="307"/>
      <c r="B1049" s="304"/>
      <c r="C1049" s="304"/>
      <c r="D1049" s="304"/>
      <c r="E1049" s="308"/>
      <c r="F1049" s="306"/>
    </row>
    <row r="1050" spans="1:6" ht="20.25">
      <c r="A1050" s="307"/>
      <c r="B1050" s="304"/>
      <c r="C1050" s="304"/>
      <c r="D1050" s="304"/>
      <c r="E1050" s="308"/>
      <c r="F1050" s="306"/>
    </row>
    <row r="1051" spans="1:6" ht="20.25">
      <c r="A1051" s="307"/>
      <c r="B1051" s="304"/>
      <c r="C1051" s="304"/>
      <c r="D1051" s="304"/>
      <c r="E1051" s="308"/>
      <c r="F1051" s="306"/>
    </row>
    <row r="1052" spans="1:6" ht="20.25">
      <c r="A1052" s="307"/>
      <c r="B1052" s="304"/>
      <c r="C1052" s="304"/>
      <c r="D1052" s="304"/>
      <c r="E1052" s="308"/>
      <c r="F1052" s="306"/>
    </row>
    <row r="1053" spans="1:6" ht="20.25">
      <c r="A1053" s="307"/>
      <c r="B1053" s="304"/>
      <c r="C1053" s="304"/>
      <c r="D1053" s="304"/>
      <c r="E1053" s="308"/>
      <c r="F1053" s="306"/>
    </row>
    <row r="1054" spans="1:6" ht="20.25">
      <c r="A1054" s="307"/>
      <c r="B1054" s="304"/>
      <c r="C1054" s="304"/>
      <c r="D1054" s="304"/>
      <c r="E1054" s="308"/>
      <c r="F1054" s="306"/>
    </row>
    <row r="1055" spans="1:6" ht="20.25">
      <c r="A1055" s="307"/>
      <c r="B1055" s="304"/>
      <c r="C1055" s="304"/>
      <c r="D1055" s="304"/>
      <c r="E1055" s="308"/>
      <c r="F1055" s="306"/>
    </row>
    <row r="1056" spans="1:6" ht="20.25">
      <c r="A1056" s="307"/>
      <c r="B1056" s="304"/>
      <c r="C1056" s="304"/>
      <c r="D1056" s="304"/>
      <c r="E1056" s="308"/>
      <c r="F1056" s="306"/>
    </row>
    <row r="1057" spans="1:6" ht="20.25">
      <c r="A1057" s="307"/>
      <c r="B1057" s="304"/>
      <c r="C1057" s="304"/>
      <c r="D1057" s="304"/>
      <c r="E1057" s="308"/>
      <c r="F1057" s="306"/>
    </row>
    <row r="1058" spans="1:6" ht="20.25">
      <c r="A1058" s="307"/>
      <c r="B1058" s="304"/>
      <c r="C1058" s="304"/>
      <c r="D1058" s="304"/>
      <c r="E1058" s="308"/>
      <c r="F1058" s="306"/>
    </row>
    <row r="1059" spans="1:6" ht="20.25">
      <c r="A1059" s="307"/>
      <c r="B1059" s="304"/>
      <c r="C1059" s="304"/>
      <c r="D1059" s="304"/>
      <c r="E1059" s="308"/>
      <c r="F1059" s="306"/>
    </row>
    <row r="1060" spans="1:6" ht="20.25">
      <c r="A1060" s="307"/>
      <c r="B1060" s="304"/>
      <c r="C1060" s="304"/>
      <c r="D1060" s="304"/>
      <c r="E1060" s="308"/>
      <c r="F1060" s="306"/>
    </row>
    <row r="1061" spans="1:6" ht="20.25">
      <c r="A1061" s="307"/>
      <c r="B1061" s="304"/>
      <c r="C1061" s="304"/>
      <c r="D1061" s="304"/>
      <c r="E1061" s="308"/>
      <c r="F1061" s="306"/>
    </row>
    <row r="1062" spans="1:6" ht="20.25">
      <c r="A1062" s="307"/>
      <c r="B1062" s="304"/>
      <c r="C1062" s="304"/>
      <c r="D1062" s="304"/>
      <c r="E1062" s="308"/>
      <c r="F1062" s="306"/>
    </row>
    <row r="1063" spans="1:6" ht="20.25">
      <c r="A1063" s="307"/>
      <c r="B1063" s="304"/>
      <c r="C1063" s="304"/>
      <c r="D1063" s="304"/>
      <c r="E1063" s="308"/>
      <c r="F1063" s="306"/>
    </row>
    <row r="1064" spans="1:6" ht="20.25">
      <c r="A1064" s="307"/>
      <c r="B1064" s="304"/>
      <c r="C1064" s="304"/>
      <c r="D1064" s="304"/>
      <c r="E1064" s="308"/>
      <c r="F1064" s="306"/>
    </row>
    <row r="1065" spans="1:6" ht="20.25">
      <c r="A1065" s="307"/>
      <c r="B1065" s="304"/>
      <c r="C1065" s="304"/>
      <c r="D1065" s="304"/>
      <c r="E1065" s="308"/>
      <c r="F1065" s="306"/>
    </row>
    <row r="1066" spans="1:6" ht="20.25">
      <c r="A1066" s="307"/>
      <c r="B1066" s="304"/>
      <c r="C1066" s="304"/>
      <c r="D1066" s="304"/>
      <c r="E1066" s="308"/>
      <c r="F1066" s="306"/>
    </row>
    <row r="1067" spans="1:6" ht="20.25">
      <c r="A1067" s="307"/>
      <c r="B1067" s="304"/>
      <c r="C1067" s="304"/>
      <c r="D1067" s="304"/>
      <c r="E1067" s="308"/>
      <c r="F1067" s="306"/>
    </row>
    <row r="1068" spans="1:6" ht="20.25">
      <c r="A1068" s="307"/>
      <c r="B1068" s="304"/>
      <c r="C1068" s="304"/>
      <c r="D1068" s="304"/>
      <c r="E1068" s="308"/>
      <c r="F1068" s="306"/>
    </row>
    <row r="1069" spans="1:6" ht="20.25">
      <c r="A1069" s="307"/>
      <c r="B1069" s="304"/>
      <c r="C1069" s="304"/>
      <c r="D1069" s="304"/>
      <c r="E1069" s="308"/>
      <c r="F1069" s="306"/>
    </row>
    <row r="1070" spans="1:6" ht="20.25">
      <c r="A1070" s="307"/>
      <c r="B1070" s="304"/>
      <c r="C1070" s="304"/>
      <c r="D1070" s="304"/>
      <c r="E1070" s="308"/>
      <c r="F1070" s="306"/>
    </row>
    <row r="1071" spans="1:6" ht="20.25">
      <c r="A1071" s="307"/>
      <c r="B1071" s="304"/>
      <c r="C1071" s="304"/>
      <c r="D1071" s="304"/>
      <c r="E1071" s="308"/>
      <c r="F1071" s="306"/>
    </row>
    <row r="1072" spans="1:6" ht="20.25">
      <c r="A1072" s="307"/>
      <c r="B1072" s="304"/>
      <c r="C1072" s="304"/>
      <c r="D1072" s="304"/>
      <c r="E1072" s="308"/>
      <c r="F1072" s="306"/>
    </row>
    <row r="1073" spans="1:6" ht="20.25">
      <c r="A1073" s="307"/>
      <c r="B1073" s="304"/>
      <c r="C1073" s="304"/>
      <c r="D1073" s="304"/>
      <c r="E1073" s="308"/>
      <c r="F1073" s="306"/>
    </row>
    <row r="1074" spans="1:6" ht="20.25">
      <c r="A1074" s="307"/>
      <c r="B1074" s="304"/>
      <c r="C1074" s="304"/>
      <c r="D1074" s="304"/>
      <c r="E1074" s="308"/>
      <c r="F1074" s="306"/>
    </row>
    <row r="1075" spans="1:6" ht="20.25">
      <c r="A1075" s="307"/>
      <c r="B1075" s="304"/>
      <c r="C1075" s="304"/>
      <c r="D1075" s="304"/>
      <c r="E1075" s="308"/>
      <c r="F1075" s="306"/>
    </row>
    <row r="1076" spans="1:6" ht="20.25">
      <c r="A1076" s="307"/>
      <c r="B1076" s="304"/>
      <c r="C1076" s="304"/>
      <c r="D1076" s="304"/>
      <c r="E1076" s="308"/>
      <c r="F1076" s="306"/>
    </row>
    <row r="1077" spans="1:6" ht="20.25">
      <c r="A1077" s="307"/>
      <c r="B1077" s="304"/>
      <c r="C1077" s="304"/>
      <c r="D1077" s="304"/>
      <c r="E1077" s="308"/>
      <c r="F1077" s="306"/>
    </row>
    <row r="1078" spans="1:6" ht="20.25">
      <c r="A1078" s="307"/>
      <c r="B1078" s="304"/>
      <c r="C1078" s="304"/>
      <c r="D1078" s="304"/>
      <c r="E1078" s="308"/>
      <c r="F1078" s="306"/>
    </row>
    <row r="1079" spans="1:6" ht="20.25">
      <c r="A1079" s="307"/>
      <c r="B1079" s="304"/>
      <c r="C1079" s="304"/>
      <c r="D1079" s="304"/>
      <c r="E1079" s="308"/>
      <c r="F1079" s="306"/>
    </row>
    <row r="1080" spans="1:6" ht="20.25">
      <c r="A1080" s="307"/>
      <c r="B1080" s="304"/>
      <c r="C1080" s="304"/>
      <c r="D1080" s="304"/>
      <c r="E1080" s="308"/>
      <c r="F1080" s="306"/>
    </row>
    <row r="1081" spans="1:6" ht="20.25">
      <c r="A1081" s="307"/>
      <c r="B1081" s="304"/>
      <c r="C1081" s="304"/>
      <c r="D1081" s="304"/>
      <c r="E1081" s="308"/>
      <c r="F1081" s="306"/>
    </row>
    <row r="1082" spans="1:6" ht="20.25">
      <c r="A1082" s="307"/>
      <c r="B1082" s="304"/>
      <c r="C1082" s="304"/>
      <c r="D1082" s="304"/>
      <c r="E1082" s="308"/>
      <c r="F1082" s="306"/>
    </row>
    <row r="1083" spans="1:6" ht="20.25">
      <c r="A1083" s="307"/>
      <c r="B1083" s="304"/>
      <c r="C1083" s="304"/>
      <c r="D1083" s="304"/>
      <c r="E1083" s="308"/>
      <c r="F1083" s="306"/>
    </row>
    <row r="1084" spans="1:6" ht="20.25">
      <c r="A1084" s="307"/>
      <c r="B1084" s="304"/>
      <c r="C1084" s="304"/>
      <c r="D1084" s="304"/>
      <c r="E1084" s="308"/>
      <c r="F1084" s="306"/>
    </row>
    <row r="1085" spans="1:6" ht="20.25">
      <c r="A1085" s="307"/>
      <c r="B1085" s="304"/>
      <c r="C1085" s="304"/>
      <c r="D1085" s="304"/>
      <c r="E1085" s="308"/>
      <c r="F1085" s="306"/>
    </row>
    <row r="1086" spans="1:6" ht="20.25">
      <c r="A1086" s="307"/>
      <c r="B1086" s="304"/>
      <c r="C1086" s="304"/>
      <c r="D1086" s="304"/>
      <c r="E1086" s="308"/>
      <c r="F1086" s="306"/>
    </row>
    <row r="1087" spans="1:6" ht="20.25">
      <c r="A1087" s="307"/>
      <c r="B1087" s="304"/>
      <c r="C1087" s="304"/>
      <c r="D1087" s="304"/>
      <c r="E1087" s="308"/>
      <c r="F1087" s="306"/>
    </row>
    <row r="1088" spans="1:6" ht="20.25">
      <c r="A1088" s="307"/>
      <c r="B1088" s="304"/>
      <c r="C1088" s="304"/>
      <c r="D1088" s="304"/>
      <c r="E1088" s="308"/>
      <c r="F1088" s="306"/>
    </row>
    <row r="1089" spans="1:6" ht="20.25">
      <c r="A1089" s="307"/>
      <c r="B1089" s="304"/>
      <c r="C1089" s="304"/>
      <c r="D1089" s="304"/>
      <c r="E1089" s="308"/>
      <c r="F1089" s="306"/>
    </row>
    <row r="1090" spans="1:6" ht="20.25">
      <c r="A1090" s="307"/>
      <c r="B1090" s="304"/>
      <c r="C1090" s="304"/>
      <c r="D1090" s="304"/>
      <c r="E1090" s="308"/>
      <c r="F1090" s="306"/>
    </row>
    <row r="1091" spans="1:6" ht="20.25">
      <c r="A1091" s="307"/>
      <c r="B1091" s="304"/>
      <c r="C1091" s="304"/>
      <c r="D1091" s="304"/>
      <c r="E1091" s="308"/>
      <c r="F1091" s="306"/>
    </row>
    <row r="1092" spans="1:6" ht="20.25">
      <c r="A1092" s="307"/>
      <c r="B1092" s="304"/>
      <c r="C1092" s="304"/>
      <c r="D1092" s="304"/>
      <c r="E1092" s="308"/>
      <c r="F1092" s="306"/>
    </row>
    <row r="1093" spans="1:6" ht="20.25">
      <c r="A1093" s="307"/>
      <c r="B1093" s="304"/>
      <c r="C1093" s="304"/>
      <c r="D1093" s="304"/>
      <c r="E1093" s="308"/>
      <c r="F1093" s="306"/>
    </row>
    <row r="1094" spans="1:6" ht="20.25">
      <c r="A1094" s="307"/>
      <c r="B1094" s="304"/>
      <c r="C1094" s="304"/>
      <c r="D1094" s="304"/>
      <c r="E1094" s="308"/>
      <c r="F1094" s="306"/>
    </row>
    <row r="1095" spans="1:6" ht="20.25">
      <c r="A1095" s="307"/>
      <c r="B1095" s="304"/>
      <c r="C1095" s="304"/>
      <c r="D1095" s="304"/>
      <c r="E1095" s="308"/>
      <c r="F1095" s="306"/>
    </row>
    <row r="1096" spans="1:6" ht="20.25">
      <c r="A1096" s="307"/>
      <c r="B1096" s="304"/>
      <c r="C1096" s="304"/>
      <c r="D1096" s="304"/>
      <c r="E1096" s="308"/>
      <c r="F1096" s="306"/>
    </row>
    <row r="1097" spans="1:6" ht="20.25">
      <c r="A1097" s="307"/>
      <c r="B1097" s="304"/>
      <c r="C1097" s="304"/>
      <c r="D1097" s="304"/>
      <c r="E1097" s="308"/>
      <c r="F1097" s="306"/>
    </row>
    <row r="1098" spans="1:6" ht="20.25">
      <c r="A1098" s="307"/>
      <c r="B1098" s="304"/>
      <c r="C1098" s="304"/>
      <c r="D1098" s="304"/>
      <c r="E1098" s="308"/>
      <c r="F1098" s="306"/>
    </row>
    <row r="1099" spans="1:6" ht="20.25">
      <c r="A1099" s="307"/>
      <c r="B1099" s="304"/>
      <c r="C1099" s="304"/>
      <c r="D1099" s="304"/>
      <c r="E1099" s="308"/>
      <c r="F1099" s="306"/>
    </row>
    <row r="1100" spans="1:6" ht="20.25">
      <c r="A1100" s="307"/>
      <c r="B1100" s="304"/>
      <c r="C1100" s="304"/>
      <c r="D1100" s="304"/>
      <c r="E1100" s="308"/>
      <c r="F1100" s="306"/>
    </row>
    <row r="1101" spans="1:6" ht="20.25">
      <c r="A1101" s="307"/>
      <c r="B1101" s="304"/>
      <c r="C1101" s="304"/>
      <c r="D1101" s="304"/>
      <c r="E1101" s="308"/>
      <c r="F1101" s="306"/>
    </row>
    <row r="1102" spans="1:6" ht="20.25">
      <c r="A1102" s="307"/>
      <c r="B1102" s="304"/>
      <c r="C1102" s="304"/>
      <c r="D1102" s="304"/>
      <c r="E1102" s="308"/>
      <c r="F1102" s="306"/>
    </row>
    <row r="1103" spans="1:6" ht="20.25">
      <c r="A1103" s="307"/>
      <c r="B1103" s="304"/>
      <c r="C1103" s="304"/>
      <c r="D1103" s="304"/>
      <c r="E1103" s="308"/>
      <c r="F1103" s="306"/>
    </row>
    <row r="1104" spans="1:6" ht="20.25">
      <c r="A1104" s="307"/>
      <c r="B1104" s="304"/>
      <c r="C1104" s="304"/>
      <c r="D1104" s="304"/>
      <c r="E1104" s="308"/>
      <c r="F1104" s="306"/>
    </row>
    <row r="1105" spans="1:6" ht="20.25">
      <c r="A1105" s="307"/>
      <c r="B1105" s="304"/>
      <c r="C1105" s="304"/>
      <c r="D1105" s="304"/>
      <c r="E1105" s="308"/>
      <c r="F1105" s="306"/>
    </row>
    <row r="1106" spans="1:6" ht="20.25">
      <c r="A1106" s="307"/>
      <c r="B1106" s="304"/>
      <c r="C1106" s="304"/>
      <c r="D1106" s="304"/>
      <c r="E1106" s="308"/>
      <c r="F1106" s="306"/>
    </row>
    <row r="1107" spans="1:6" ht="20.25">
      <c r="A1107" s="307"/>
      <c r="B1107" s="304"/>
      <c r="C1107" s="304"/>
      <c r="D1107" s="304"/>
      <c r="E1107" s="308"/>
      <c r="F1107" s="306"/>
    </row>
    <row r="1108" spans="1:6" ht="20.25">
      <c r="A1108" s="307"/>
      <c r="B1108" s="304"/>
      <c r="C1108" s="304"/>
      <c r="D1108" s="304"/>
      <c r="E1108" s="308"/>
      <c r="F1108" s="306"/>
    </row>
    <row r="1109" spans="1:6" ht="20.25">
      <c r="A1109" s="307"/>
      <c r="B1109" s="304"/>
      <c r="C1109" s="304"/>
      <c r="D1109" s="304"/>
      <c r="E1109" s="308"/>
      <c r="F1109" s="306"/>
    </row>
    <row r="1110" spans="1:6" ht="20.25">
      <c r="A1110" s="307"/>
      <c r="B1110" s="304"/>
      <c r="C1110" s="304"/>
      <c r="D1110" s="304"/>
      <c r="E1110" s="308"/>
      <c r="F1110" s="306"/>
    </row>
    <row r="1111" spans="1:6" ht="20.25">
      <c r="A1111" s="307"/>
      <c r="B1111" s="304"/>
      <c r="C1111" s="304"/>
      <c r="D1111" s="304"/>
      <c r="E1111" s="308"/>
      <c r="F1111" s="306"/>
    </row>
    <row r="1112" spans="1:6" ht="20.25">
      <c r="A1112" s="307"/>
      <c r="B1112" s="304"/>
      <c r="C1112" s="304"/>
      <c r="D1112" s="304"/>
      <c r="E1112" s="308"/>
      <c r="F1112" s="306"/>
    </row>
    <row r="1113" spans="1:6" ht="20.25">
      <c r="A1113" s="307"/>
      <c r="B1113" s="304"/>
      <c r="C1113" s="304"/>
      <c r="D1113" s="304"/>
      <c r="E1113" s="308"/>
      <c r="F1113" s="306"/>
    </row>
    <row r="1114" spans="1:6" ht="20.25">
      <c r="A1114" s="307"/>
      <c r="B1114" s="304"/>
      <c r="C1114" s="304"/>
      <c r="D1114" s="304"/>
      <c r="E1114" s="308"/>
      <c r="F1114" s="306"/>
    </row>
    <row r="1115" spans="1:6" ht="20.25">
      <c r="A1115" s="307"/>
      <c r="B1115" s="304"/>
      <c r="C1115" s="304"/>
      <c r="D1115" s="304"/>
      <c r="E1115" s="308"/>
      <c r="F1115" s="306"/>
    </row>
    <row r="1116" spans="1:6" ht="20.25">
      <c r="A1116" s="307"/>
      <c r="B1116" s="304"/>
      <c r="C1116" s="304"/>
      <c r="D1116" s="304"/>
      <c r="E1116" s="308"/>
      <c r="F1116" s="306"/>
    </row>
    <row r="1117" spans="1:6" ht="20.25">
      <c r="A1117" s="307"/>
      <c r="B1117" s="304"/>
      <c r="C1117" s="304"/>
      <c r="D1117" s="304"/>
      <c r="E1117" s="308"/>
      <c r="F1117" s="306"/>
    </row>
    <row r="1118" spans="1:6" ht="20.25">
      <c r="A1118" s="307"/>
      <c r="B1118" s="304"/>
      <c r="C1118" s="304"/>
      <c r="D1118" s="304"/>
      <c r="E1118" s="308"/>
      <c r="F1118" s="306"/>
    </row>
    <row r="1119" spans="1:6" ht="20.25">
      <c r="A1119" s="307"/>
      <c r="B1119" s="304"/>
      <c r="C1119" s="304"/>
      <c r="D1119" s="304"/>
      <c r="E1119" s="308"/>
      <c r="F1119" s="306"/>
    </row>
    <row r="1120" spans="1:6" ht="20.25">
      <c r="A1120" s="307"/>
      <c r="B1120" s="304"/>
      <c r="C1120" s="304"/>
      <c r="D1120" s="304"/>
      <c r="E1120" s="308"/>
      <c r="F1120" s="306"/>
    </row>
    <row r="1121" spans="1:6" ht="20.25">
      <c r="A1121" s="307"/>
      <c r="B1121" s="304"/>
      <c r="C1121" s="304"/>
      <c r="D1121" s="304"/>
      <c r="E1121" s="308"/>
      <c r="F1121" s="306"/>
    </row>
    <row r="1122" spans="1:6" ht="20.25">
      <c r="A1122" s="307"/>
      <c r="B1122" s="304"/>
      <c r="C1122" s="304"/>
      <c r="D1122" s="304"/>
      <c r="E1122" s="308"/>
      <c r="F1122" s="306"/>
    </row>
    <row r="1123" spans="1:6" ht="20.25">
      <c r="A1123" s="307"/>
      <c r="B1123" s="304"/>
      <c r="C1123" s="304"/>
      <c r="D1123" s="304"/>
      <c r="E1123" s="308"/>
      <c r="F1123" s="306"/>
    </row>
    <row r="1124" spans="1:6" ht="20.25">
      <c r="A1124" s="307"/>
      <c r="B1124" s="304"/>
      <c r="C1124" s="304"/>
      <c r="D1124" s="304"/>
      <c r="E1124" s="308"/>
      <c r="F1124" s="306"/>
    </row>
    <row r="1125" spans="1:6" ht="20.25">
      <c r="A1125" s="307"/>
      <c r="B1125" s="304"/>
      <c r="C1125" s="304"/>
      <c r="D1125" s="304"/>
      <c r="E1125" s="308"/>
      <c r="F1125" s="306"/>
    </row>
    <row r="1126" spans="1:6" ht="20.25">
      <c r="A1126" s="307"/>
      <c r="B1126" s="304"/>
      <c r="C1126" s="304"/>
      <c r="D1126" s="304"/>
      <c r="E1126" s="308"/>
      <c r="F1126" s="306"/>
    </row>
    <row r="1127" spans="1:6" ht="20.25">
      <c r="A1127" s="307"/>
      <c r="B1127" s="304"/>
      <c r="C1127" s="304"/>
      <c r="D1127" s="304"/>
      <c r="E1127" s="308"/>
      <c r="F1127" s="306"/>
    </row>
    <row r="1128" spans="1:6" ht="20.25">
      <c r="A1128" s="307"/>
      <c r="B1128" s="304"/>
      <c r="C1128" s="304"/>
      <c r="D1128" s="304"/>
      <c r="E1128" s="308"/>
      <c r="F1128" s="306"/>
    </row>
    <row r="1129" spans="1:6" ht="20.25">
      <c r="A1129" s="307"/>
      <c r="B1129" s="304"/>
      <c r="C1129" s="304"/>
      <c r="D1129" s="304"/>
      <c r="E1129" s="308"/>
      <c r="F1129" s="306"/>
    </row>
    <row r="1130" spans="1:6" ht="20.25">
      <c r="A1130" s="307"/>
      <c r="B1130" s="304"/>
      <c r="C1130" s="304"/>
      <c r="D1130" s="304"/>
      <c r="E1130" s="308"/>
      <c r="F1130" s="306"/>
    </row>
    <row r="1131" spans="1:6" ht="20.25">
      <c r="A1131" s="307"/>
      <c r="B1131" s="304"/>
      <c r="C1131" s="304"/>
      <c r="D1131" s="304"/>
      <c r="E1131" s="308"/>
      <c r="F1131" s="306"/>
    </row>
    <row r="1132" spans="1:6" ht="20.25">
      <c r="A1132" s="307"/>
      <c r="B1132" s="304"/>
      <c r="C1132" s="304"/>
      <c r="D1132" s="304"/>
      <c r="E1132" s="308"/>
      <c r="F1132" s="306"/>
    </row>
    <row r="1133" spans="1:6" ht="20.25">
      <c r="A1133" s="307"/>
      <c r="B1133" s="304"/>
      <c r="C1133" s="304"/>
      <c r="D1133" s="304"/>
      <c r="E1133" s="308"/>
      <c r="F1133" s="306"/>
    </row>
    <row r="1134" spans="1:6" ht="20.25">
      <c r="A1134" s="307"/>
      <c r="B1134" s="304"/>
      <c r="C1134" s="304"/>
      <c r="D1134" s="304"/>
      <c r="E1134" s="308"/>
      <c r="F1134" s="306"/>
    </row>
    <row r="1135" spans="1:6" ht="20.25">
      <c r="A1135" s="307"/>
      <c r="B1135" s="304"/>
      <c r="C1135" s="304"/>
      <c r="D1135" s="304"/>
      <c r="E1135" s="308"/>
      <c r="F1135" s="306"/>
    </row>
    <row r="1136" spans="1:6" ht="20.25">
      <c r="A1136" s="307"/>
      <c r="B1136" s="304"/>
      <c r="C1136" s="304"/>
      <c r="D1136" s="304"/>
      <c r="E1136" s="308"/>
      <c r="F1136" s="306"/>
    </row>
    <row r="1137" spans="1:6" ht="20.25">
      <c r="A1137" s="307"/>
      <c r="B1137" s="304"/>
      <c r="C1137" s="304"/>
      <c r="D1137" s="304"/>
      <c r="E1137" s="308"/>
      <c r="F1137" s="306"/>
    </row>
    <row r="1138" spans="1:6" ht="20.25">
      <c r="A1138" s="307"/>
      <c r="B1138" s="304"/>
      <c r="C1138" s="304"/>
      <c r="D1138" s="304"/>
      <c r="E1138" s="308"/>
      <c r="F1138" s="306"/>
    </row>
    <row r="1139" spans="1:6" ht="20.25">
      <c r="A1139" s="307"/>
      <c r="B1139" s="304"/>
      <c r="C1139" s="304"/>
      <c r="D1139" s="304"/>
      <c r="E1139" s="308"/>
      <c r="F1139" s="306"/>
    </row>
    <row r="1140" spans="1:6" ht="20.25">
      <c r="A1140" s="307"/>
      <c r="B1140" s="304"/>
      <c r="C1140" s="304"/>
      <c r="D1140" s="304"/>
      <c r="E1140" s="308"/>
      <c r="F1140" s="306"/>
    </row>
    <row r="1141" spans="1:6" ht="20.25">
      <c r="A1141" s="307"/>
      <c r="B1141" s="304"/>
      <c r="C1141" s="304"/>
      <c r="D1141" s="304"/>
      <c r="E1141" s="308"/>
      <c r="F1141" s="306"/>
    </row>
    <row r="1142" spans="1:6" ht="20.25">
      <c r="A1142" s="307"/>
      <c r="B1142" s="304"/>
      <c r="C1142" s="304"/>
      <c r="D1142" s="304"/>
      <c r="E1142" s="308"/>
      <c r="F1142" s="306"/>
    </row>
    <row r="1143" spans="1:6" ht="20.25">
      <c r="A1143" s="307"/>
      <c r="B1143" s="304"/>
      <c r="C1143" s="304"/>
      <c r="D1143" s="304"/>
      <c r="E1143" s="308"/>
      <c r="F1143" s="306"/>
    </row>
    <row r="1144" spans="1:6" ht="20.25">
      <c r="A1144" s="307"/>
      <c r="B1144" s="304"/>
      <c r="C1144" s="304"/>
      <c r="D1144" s="304"/>
      <c r="E1144" s="308"/>
      <c r="F1144" s="306"/>
    </row>
    <row r="1145" spans="1:6" ht="20.25">
      <c r="A1145" s="307"/>
      <c r="B1145" s="304"/>
      <c r="C1145" s="304"/>
      <c r="D1145" s="304"/>
      <c r="E1145" s="308"/>
      <c r="F1145" s="306"/>
    </row>
    <row r="1146" spans="1:6" ht="20.25">
      <c r="A1146" s="307"/>
      <c r="B1146" s="304"/>
      <c r="C1146" s="304"/>
      <c r="D1146" s="304"/>
      <c r="E1146" s="308"/>
      <c r="F1146" s="306"/>
    </row>
    <row r="1147" spans="1:6" ht="20.25">
      <c r="A1147" s="307"/>
      <c r="B1147" s="304"/>
      <c r="C1147" s="304"/>
      <c r="D1147" s="304"/>
      <c r="E1147" s="308"/>
      <c r="F1147" s="306"/>
    </row>
    <row r="1148" spans="1:6" ht="20.25">
      <c r="A1148" s="307"/>
      <c r="B1148" s="304"/>
      <c r="C1148" s="304"/>
      <c r="D1148" s="304"/>
      <c r="E1148" s="308"/>
      <c r="F1148" s="306"/>
    </row>
    <row r="1149" spans="1:6" ht="20.25">
      <c r="A1149" s="307"/>
      <c r="B1149" s="304"/>
      <c r="C1149" s="304"/>
      <c r="D1149" s="304"/>
      <c r="E1149" s="308"/>
      <c r="F1149" s="306"/>
    </row>
    <row r="1150" spans="1:6" ht="20.25">
      <c r="A1150" s="307"/>
      <c r="B1150" s="304"/>
      <c r="C1150" s="304"/>
      <c r="D1150" s="304"/>
      <c r="E1150" s="308"/>
      <c r="F1150" s="306"/>
    </row>
    <row r="1151" spans="1:6" ht="20.25">
      <c r="A1151" s="307"/>
      <c r="B1151" s="304"/>
      <c r="C1151" s="304"/>
      <c r="D1151" s="304"/>
      <c r="E1151" s="308"/>
      <c r="F1151" s="306"/>
    </row>
    <row r="1152" spans="1:6" ht="20.25">
      <c r="A1152" s="307"/>
      <c r="B1152" s="304"/>
      <c r="C1152" s="304"/>
      <c r="D1152" s="304"/>
      <c r="E1152" s="308"/>
      <c r="F1152" s="306"/>
    </row>
    <row r="1153" spans="1:6" ht="20.25">
      <c r="A1153" s="307"/>
      <c r="B1153" s="304"/>
      <c r="C1153" s="304"/>
      <c r="D1153" s="304"/>
      <c r="E1153" s="308"/>
      <c r="F1153" s="306"/>
    </row>
    <row r="1154" spans="1:6" ht="20.25">
      <c r="A1154" s="307"/>
      <c r="B1154" s="304"/>
      <c r="C1154" s="304"/>
      <c r="D1154" s="304"/>
      <c r="E1154" s="308"/>
      <c r="F1154" s="306"/>
    </row>
    <row r="1155" spans="1:6" ht="20.25">
      <c r="A1155" s="307"/>
      <c r="B1155" s="304"/>
      <c r="C1155" s="304"/>
      <c r="D1155" s="304"/>
      <c r="E1155" s="308"/>
      <c r="F1155" s="306"/>
    </row>
    <row r="1156" spans="1:6" ht="20.25">
      <c r="A1156" s="307"/>
      <c r="B1156" s="304"/>
      <c r="C1156" s="304"/>
      <c r="D1156" s="304"/>
      <c r="E1156" s="308"/>
      <c r="F1156" s="306"/>
    </row>
    <row r="1157" spans="1:6" ht="20.25">
      <c r="A1157" s="307"/>
      <c r="B1157" s="304"/>
      <c r="C1157" s="304"/>
      <c r="D1157" s="304"/>
      <c r="E1157" s="308"/>
      <c r="F1157" s="306"/>
    </row>
    <row r="1158" spans="1:6" ht="20.25">
      <c r="A1158" s="307"/>
      <c r="B1158" s="304"/>
      <c r="C1158" s="304"/>
      <c r="D1158" s="304"/>
      <c r="E1158" s="308"/>
      <c r="F1158" s="306"/>
    </row>
    <row r="1159" spans="1:6" ht="20.25">
      <c r="A1159" s="307"/>
      <c r="B1159" s="304"/>
      <c r="C1159" s="304"/>
      <c r="D1159" s="304"/>
      <c r="E1159" s="308"/>
      <c r="F1159" s="306"/>
    </row>
    <row r="1160" spans="1:6" ht="20.25">
      <c r="A1160" s="307"/>
      <c r="B1160" s="304"/>
      <c r="C1160" s="304"/>
      <c r="D1160" s="304"/>
      <c r="E1160" s="308"/>
      <c r="F1160" s="306"/>
    </row>
    <row r="1161" spans="1:6" ht="20.25">
      <c r="A1161" s="307"/>
      <c r="B1161" s="304"/>
      <c r="C1161" s="304"/>
      <c r="D1161" s="304"/>
      <c r="E1161" s="308"/>
      <c r="F1161" s="306"/>
    </row>
    <row r="1162" spans="1:6" ht="20.25">
      <c r="A1162" s="307"/>
      <c r="B1162" s="304"/>
      <c r="C1162" s="304"/>
      <c r="D1162" s="304"/>
      <c r="E1162" s="308"/>
      <c r="F1162" s="306"/>
    </row>
    <row r="1163" spans="1:6" ht="20.25">
      <c r="A1163" s="307"/>
      <c r="B1163" s="304"/>
      <c r="C1163" s="304"/>
      <c r="D1163" s="304"/>
      <c r="E1163" s="308"/>
      <c r="F1163" s="306"/>
    </row>
    <row r="1164" spans="1:6" ht="20.25">
      <c r="A1164" s="307"/>
      <c r="B1164" s="304"/>
      <c r="C1164" s="304"/>
      <c r="D1164" s="304"/>
      <c r="E1164" s="308"/>
      <c r="F1164" s="306"/>
    </row>
    <row r="1165" spans="1:6" ht="20.25">
      <c r="A1165" s="307"/>
      <c r="B1165" s="304"/>
      <c r="C1165" s="304"/>
      <c r="D1165" s="304"/>
      <c r="E1165" s="308"/>
      <c r="F1165" s="306"/>
    </row>
    <row r="1166" spans="1:6" ht="20.25">
      <c r="A1166" s="307"/>
      <c r="B1166" s="304"/>
      <c r="C1166" s="304"/>
      <c r="D1166" s="304"/>
      <c r="E1166" s="308"/>
      <c r="F1166" s="306"/>
    </row>
    <row r="1167" spans="1:6" ht="20.25">
      <c r="A1167" s="307"/>
      <c r="B1167" s="304"/>
      <c r="C1167" s="304"/>
      <c r="D1167" s="304"/>
      <c r="E1167" s="308"/>
      <c r="F1167" s="306"/>
    </row>
    <row r="1168" spans="1:6" ht="20.25">
      <c r="A1168" s="307"/>
      <c r="B1168" s="304"/>
      <c r="C1168" s="304"/>
      <c r="D1168" s="304"/>
      <c r="E1168" s="308"/>
      <c r="F1168" s="306"/>
    </row>
    <row r="1169" spans="1:6" ht="20.25">
      <c r="A1169" s="307"/>
      <c r="B1169" s="304"/>
      <c r="C1169" s="304"/>
      <c r="D1169" s="304"/>
      <c r="E1169" s="308"/>
      <c r="F1169" s="306"/>
    </row>
    <row r="1170" spans="1:6" ht="20.25">
      <c r="A1170" s="307"/>
      <c r="B1170" s="304"/>
      <c r="C1170" s="304"/>
      <c r="D1170" s="304"/>
      <c r="E1170" s="308"/>
      <c r="F1170" s="306"/>
    </row>
    <row r="1171" spans="1:6" ht="20.25">
      <c r="A1171" s="307"/>
      <c r="B1171" s="304"/>
      <c r="C1171" s="304"/>
      <c r="D1171" s="304"/>
      <c r="E1171" s="308"/>
      <c r="F1171" s="306"/>
    </row>
    <row r="1172" spans="1:6" ht="20.25">
      <c r="A1172" s="307"/>
      <c r="B1172" s="304"/>
      <c r="C1172" s="304"/>
      <c r="D1172" s="304"/>
      <c r="E1172" s="308"/>
      <c r="F1172" s="306"/>
    </row>
    <row r="1173" spans="1:6" ht="20.25">
      <c r="A1173" s="307"/>
      <c r="B1173" s="304"/>
      <c r="C1173" s="304"/>
      <c r="D1173" s="304"/>
      <c r="E1173" s="308"/>
      <c r="F1173" s="306"/>
    </row>
    <row r="1174" spans="1:6" ht="20.25">
      <c r="A1174" s="307"/>
      <c r="B1174" s="304"/>
      <c r="C1174" s="304"/>
      <c r="D1174" s="304"/>
      <c r="E1174" s="308"/>
      <c r="F1174" s="306"/>
    </row>
    <row r="1175" spans="1:6" ht="20.25">
      <c r="A1175" s="307"/>
      <c r="B1175" s="304"/>
      <c r="C1175" s="304"/>
      <c r="D1175" s="304"/>
      <c r="E1175" s="308"/>
      <c r="F1175" s="306"/>
    </row>
    <row r="1176" spans="1:6" ht="20.25">
      <c r="A1176" s="307"/>
      <c r="B1176" s="304"/>
      <c r="C1176" s="304"/>
      <c r="D1176" s="304"/>
      <c r="E1176" s="308"/>
      <c r="F1176" s="306"/>
    </row>
    <row r="1177" spans="1:6" ht="20.25">
      <c r="A1177" s="307"/>
      <c r="B1177" s="304"/>
      <c r="C1177" s="304"/>
      <c r="D1177" s="304"/>
      <c r="E1177" s="308"/>
      <c r="F1177" s="306"/>
    </row>
    <row r="1178" spans="1:6" ht="20.25">
      <c r="A1178" s="307"/>
      <c r="B1178" s="304"/>
      <c r="C1178" s="304"/>
      <c r="D1178" s="304"/>
      <c r="E1178" s="308"/>
      <c r="F1178" s="306"/>
    </row>
    <row r="1179" spans="1:6" ht="20.25">
      <c r="A1179" s="307"/>
      <c r="B1179" s="304"/>
      <c r="C1179" s="304"/>
      <c r="D1179" s="304"/>
      <c r="E1179" s="308"/>
      <c r="F1179" s="306"/>
    </row>
    <row r="1180" spans="1:6" ht="20.25">
      <c r="A1180" s="307"/>
      <c r="B1180" s="304"/>
      <c r="C1180" s="304"/>
      <c r="D1180" s="304"/>
      <c r="E1180" s="308"/>
      <c r="F1180" s="306"/>
    </row>
    <row r="1181" spans="1:6" ht="20.25">
      <c r="A1181" s="307"/>
      <c r="B1181" s="304"/>
      <c r="C1181" s="304"/>
      <c r="D1181" s="304"/>
      <c r="E1181" s="308"/>
      <c r="F1181" s="306"/>
    </row>
    <row r="1182" spans="1:6" ht="20.25">
      <c r="A1182" s="307"/>
      <c r="B1182" s="304"/>
      <c r="C1182" s="304"/>
      <c r="D1182" s="304"/>
      <c r="E1182" s="308"/>
      <c r="F1182" s="306"/>
    </row>
    <row r="1183" spans="1:6" ht="20.25">
      <c r="A1183" s="307"/>
      <c r="B1183" s="304"/>
      <c r="C1183" s="304"/>
      <c r="D1183" s="304"/>
      <c r="E1183" s="308"/>
      <c r="F1183" s="306"/>
    </row>
    <row r="1184" spans="1:6" ht="20.25">
      <c r="A1184" s="307"/>
      <c r="B1184" s="304"/>
      <c r="C1184" s="304"/>
      <c r="D1184" s="304"/>
      <c r="E1184" s="308"/>
      <c r="F1184" s="306"/>
    </row>
    <row r="1185" spans="1:6" ht="20.25">
      <c r="A1185" s="307"/>
      <c r="B1185" s="304"/>
      <c r="C1185" s="304"/>
      <c r="D1185" s="304"/>
      <c r="E1185" s="308"/>
      <c r="F1185" s="306"/>
    </row>
    <row r="1186" spans="1:6" ht="20.25">
      <c r="A1186" s="307"/>
      <c r="B1186" s="304"/>
      <c r="C1186" s="304"/>
      <c r="D1186" s="304"/>
      <c r="E1186" s="308"/>
      <c r="F1186" s="306"/>
    </row>
    <row r="1187" spans="1:6" ht="20.25">
      <c r="A1187" s="307"/>
      <c r="B1187" s="304"/>
      <c r="C1187" s="304"/>
      <c r="D1187" s="304"/>
      <c r="E1187" s="308"/>
      <c r="F1187" s="306"/>
    </row>
    <row r="1188" spans="1:6" ht="20.25">
      <c r="A1188" s="307"/>
      <c r="B1188" s="304"/>
      <c r="C1188" s="304"/>
      <c r="D1188" s="304"/>
      <c r="E1188" s="308"/>
      <c r="F1188" s="306"/>
    </row>
    <row r="1189" spans="1:6" ht="20.25">
      <c r="A1189" s="307"/>
      <c r="B1189" s="304"/>
      <c r="C1189" s="304"/>
      <c r="D1189" s="304"/>
      <c r="E1189" s="308"/>
      <c r="F1189" s="306"/>
    </row>
    <row r="1190" spans="1:6" ht="20.25">
      <c r="A1190" s="307"/>
      <c r="B1190" s="304"/>
      <c r="C1190" s="304"/>
      <c r="D1190" s="304"/>
      <c r="E1190" s="308"/>
      <c r="F1190" s="306"/>
    </row>
    <row r="1191" spans="1:6" ht="20.25">
      <c r="A1191" s="307"/>
      <c r="B1191" s="304"/>
      <c r="C1191" s="304"/>
      <c r="D1191" s="304"/>
      <c r="E1191" s="308"/>
      <c r="F1191" s="306"/>
    </row>
    <row r="1192" spans="1:6" ht="20.25">
      <c r="A1192" s="307"/>
      <c r="B1192" s="304"/>
      <c r="C1192" s="304"/>
      <c r="D1192" s="304"/>
      <c r="E1192" s="308"/>
      <c r="F1192" s="306"/>
    </row>
    <row r="1193" spans="1:6" ht="20.25">
      <c r="A1193" s="307"/>
      <c r="B1193" s="304"/>
      <c r="C1193" s="304"/>
      <c r="D1193" s="304"/>
      <c r="E1193" s="308"/>
      <c r="F1193" s="306"/>
    </row>
    <row r="1194" spans="1:6" ht="20.25">
      <c r="A1194" s="307"/>
      <c r="B1194" s="304"/>
      <c r="C1194" s="304"/>
      <c r="D1194" s="304"/>
      <c r="E1194" s="308"/>
      <c r="F1194" s="306"/>
    </row>
    <row r="1195" spans="1:6" ht="20.25">
      <c r="A1195" s="307"/>
      <c r="B1195" s="304"/>
      <c r="C1195" s="304"/>
      <c r="D1195" s="304"/>
      <c r="E1195" s="308"/>
      <c r="F1195" s="306"/>
    </row>
    <row r="1196" spans="1:6" ht="20.25">
      <c r="A1196" s="307"/>
      <c r="B1196" s="304"/>
      <c r="C1196" s="304"/>
      <c r="D1196" s="304"/>
      <c r="E1196" s="308"/>
      <c r="F1196" s="306"/>
    </row>
    <row r="1197" spans="1:6" ht="20.25">
      <c r="A1197" s="307"/>
      <c r="B1197" s="304"/>
      <c r="C1197" s="304"/>
      <c r="D1197" s="304"/>
      <c r="E1197" s="308"/>
      <c r="F1197" s="306"/>
    </row>
    <row r="1198" spans="1:6" ht="20.25">
      <c r="A1198" s="307"/>
      <c r="B1198" s="304"/>
      <c r="C1198" s="304"/>
      <c r="D1198" s="304"/>
      <c r="E1198" s="308"/>
      <c r="F1198" s="306"/>
    </row>
    <row r="1199" spans="1:6" ht="20.25">
      <c r="A1199" s="307"/>
      <c r="B1199" s="304"/>
      <c r="C1199" s="304"/>
      <c r="D1199" s="304"/>
      <c r="E1199" s="308"/>
      <c r="F1199" s="306"/>
    </row>
    <row r="1200" spans="1:6" ht="20.25">
      <c r="A1200" s="307"/>
      <c r="B1200" s="304"/>
      <c r="C1200" s="304"/>
      <c r="D1200" s="304"/>
      <c r="E1200" s="308"/>
      <c r="F1200" s="306"/>
    </row>
    <row r="1201" spans="1:6" ht="20.25">
      <c r="A1201" s="307"/>
      <c r="B1201" s="304"/>
      <c r="C1201" s="304"/>
      <c r="D1201" s="304"/>
      <c r="E1201" s="308"/>
      <c r="F1201" s="306"/>
    </row>
    <row r="1202" spans="1:6" ht="20.25">
      <c r="A1202" s="307"/>
      <c r="B1202" s="304"/>
      <c r="C1202" s="304"/>
      <c r="D1202" s="304"/>
      <c r="E1202" s="308"/>
      <c r="F1202" s="306"/>
    </row>
    <row r="1203" spans="1:6" ht="20.25">
      <c r="A1203" s="307"/>
      <c r="B1203" s="304"/>
      <c r="C1203" s="304"/>
      <c r="D1203" s="304"/>
      <c r="E1203" s="308"/>
      <c r="F1203" s="306"/>
    </row>
    <row r="1204" spans="1:6" ht="20.25">
      <c r="A1204" s="307"/>
      <c r="B1204" s="304"/>
      <c r="C1204" s="304"/>
      <c r="D1204" s="304"/>
      <c r="E1204" s="308"/>
      <c r="F1204" s="306"/>
    </row>
    <row r="1205" spans="1:6" ht="20.25">
      <c r="A1205" s="307"/>
      <c r="B1205" s="304"/>
      <c r="C1205" s="304"/>
      <c r="D1205" s="304"/>
      <c r="E1205" s="308"/>
      <c r="F1205" s="306"/>
    </row>
    <row r="1206" spans="1:6" ht="20.25">
      <c r="A1206" s="307"/>
      <c r="B1206" s="304"/>
      <c r="C1206" s="304"/>
      <c r="D1206" s="304"/>
      <c r="E1206" s="308"/>
      <c r="F1206" s="306"/>
    </row>
    <row r="1207" spans="1:6" ht="20.25">
      <c r="A1207" s="307"/>
      <c r="B1207" s="304"/>
      <c r="C1207" s="304"/>
      <c r="D1207" s="304"/>
      <c r="E1207" s="308"/>
      <c r="F1207" s="306"/>
    </row>
    <row r="1208" spans="1:6" ht="20.25">
      <c r="A1208" s="307"/>
      <c r="B1208" s="304"/>
      <c r="C1208" s="304"/>
      <c r="D1208" s="304"/>
      <c r="E1208" s="308"/>
      <c r="F1208" s="306"/>
    </row>
    <row r="1209" spans="1:6" ht="20.25">
      <c r="A1209" s="307"/>
      <c r="B1209" s="304"/>
      <c r="C1209" s="304"/>
      <c r="D1209" s="304"/>
      <c r="E1209" s="308"/>
      <c r="F1209" s="306"/>
    </row>
    <row r="1210" spans="1:6" ht="20.25">
      <c r="A1210" s="307"/>
      <c r="B1210" s="304"/>
      <c r="C1210" s="304"/>
      <c r="D1210" s="304"/>
      <c r="E1210" s="308"/>
      <c r="F1210" s="306"/>
    </row>
    <row r="1211" spans="1:6" ht="20.25">
      <c r="A1211" s="307"/>
      <c r="B1211" s="304"/>
      <c r="C1211" s="304"/>
      <c r="D1211" s="304"/>
      <c r="E1211" s="308"/>
      <c r="F1211" s="306"/>
    </row>
    <row r="1212" spans="1:6" ht="20.25">
      <c r="A1212" s="307"/>
      <c r="B1212" s="304"/>
      <c r="C1212" s="304"/>
      <c r="D1212" s="304"/>
      <c r="E1212" s="308"/>
      <c r="F1212" s="306"/>
    </row>
    <row r="1213" spans="1:6" ht="20.25">
      <c r="A1213" s="307"/>
      <c r="B1213" s="304"/>
      <c r="C1213" s="304"/>
      <c r="D1213" s="304"/>
      <c r="E1213" s="308"/>
      <c r="F1213" s="306"/>
    </row>
    <row r="1214" spans="1:6" ht="20.25">
      <c r="A1214" s="307"/>
      <c r="B1214" s="304"/>
      <c r="C1214" s="304"/>
      <c r="D1214" s="304"/>
      <c r="E1214" s="308"/>
      <c r="F1214" s="306"/>
    </row>
    <row r="1215" spans="1:6" ht="20.25">
      <c r="A1215" s="307"/>
      <c r="B1215" s="304"/>
      <c r="C1215" s="304"/>
      <c r="D1215" s="304"/>
      <c r="E1215" s="308"/>
      <c r="F1215" s="306"/>
    </row>
    <row r="1216" spans="1:6" ht="20.25">
      <c r="A1216" s="307"/>
      <c r="B1216" s="304"/>
      <c r="C1216" s="304"/>
      <c r="D1216" s="304"/>
      <c r="E1216" s="308"/>
      <c r="F1216" s="306"/>
    </row>
    <row r="1217" spans="1:6" ht="20.25">
      <c r="A1217" s="307"/>
      <c r="B1217" s="304"/>
      <c r="C1217" s="304"/>
      <c r="D1217" s="304"/>
      <c r="E1217" s="308"/>
      <c r="F1217" s="306"/>
    </row>
    <row r="1218" spans="1:6" ht="20.25">
      <c r="A1218" s="307"/>
      <c r="B1218" s="304"/>
      <c r="C1218" s="304"/>
      <c r="D1218" s="304"/>
      <c r="E1218" s="308"/>
      <c r="F1218" s="306"/>
    </row>
    <row r="1219" spans="1:6" ht="20.25">
      <c r="A1219" s="307"/>
      <c r="B1219" s="304"/>
      <c r="C1219" s="304"/>
      <c r="D1219" s="304"/>
      <c r="E1219" s="308"/>
      <c r="F1219" s="306"/>
    </row>
    <row r="1220" spans="1:6" ht="20.25">
      <c r="A1220" s="307"/>
      <c r="B1220" s="304"/>
      <c r="C1220" s="304"/>
      <c r="D1220" s="304"/>
      <c r="E1220" s="308"/>
      <c r="F1220" s="306"/>
    </row>
    <row r="1221" spans="1:6" ht="20.25">
      <c r="A1221" s="307"/>
      <c r="B1221" s="304"/>
      <c r="C1221" s="304"/>
      <c r="D1221" s="304"/>
      <c r="E1221" s="308"/>
      <c r="F1221" s="306"/>
    </row>
    <row r="1222" spans="1:6" ht="20.25">
      <c r="A1222" s="307"/>
      <c r="B1222" s="304"/>
      <c r="C1222" s="304"/>
      <c r="D1222" s="304"/>
      <c r="E1222" s="308"/>
      <c r="F1222" s="306"/>
    </row>
    <row r="1223" spans="1:6" ht="20.25">
      <c r="A1223" s="307"/>
      <c r="B1223" s="304"/>
      <c r="C1223" s="304"/>
      <c r="D1223" s="304"/>
      <c r="E1223" s="308"/>
      <c r="F1223" s="306"/>
    </row>
    <row r="1224" spans="1:6" ht="20.25">
      <c r="A1224" s="307"/>
      <c r="B1224" s="304"/>
      <c r="C1224" s="304"/>
      <c r="D1224" s="304"/>
      <c r="E1224" s="308"/>
      <c r="F1224" s="306"/>
    </row>
    <row r="1225" spans="1:6" ht="20.25">
      <c r="A1225" s="307"/>
      <c r="B1225" s="304"/>
      <c r="C1225" s="304"/>
      <c r="D1225" s="304"/>
      <c r="E1225" s="308"/>
      <c r="F1225" s="306"/>
    </row>
    <row r="1226" spans="1:6" ht="20.25">
      <c r="A1226" s="307"/>
      <c r="B1226" s="304"/>
      <c r="C1226" s="304"/>
      <c r="D1226" s="304"/>
      <c r="E1226" s="308"/>
      <c r="F1226" s="306"/>
    </row>
    <row r="1227" spans="1:6" ht="20.25">
      <c r="A1227" s="307"/>
      <c r="B1227" s="304"/>
      <c r="C1227" s="304"/>
      <c r="D1227" s="304"/>
      <c r="E1227" s="308"/>
      <c r="F1227" s="306"/>
    </row>
    <row r="1228" spans="1:6" ht="20.25">
      <c r="A1228" s="307"/>
      <c r="B1228" s="304"/>
      <c r="C1228" s="304"/>
      <c r="D1228" s="304"/>
      <c r="E1228" s="308"/>
      <c r="F1228" s="306"/>
    </row>
    <row r="1229" spans="1:6" ht="20.25">
      <c r="A1229" s="307"/>
      <c r="B1229" s="304"/>
      <c r="C1229" s="304"/>
      <c r="D1229" s="304"/>
      <c r="E1229" s="308"/>
      <c r="F1229" s="306"/>
    </row>
    <row r="1230" spans="1:6" ht="20.25">
      <c r="A1230" s="307"/>
      <c r="B1230" s="304"/>
      <c r="C1230" s="304"/>
      <c r="D1230" s="304"/>
      <c r="E1230" s="308"/>
      <c r="F1230" s="306"/>
    </row>
    <row r="1231" spans="1:6" ht="20.25">
      <c r="A1231" s="307"/>
      <c r="B1231" s="304"/>
      <c r="C1231" s="304"/>
      <c r="D1231" s="304"/>
      <c r="E1231" s="308"/>
      <c r="F1231" s="306"/>
    </row>
    <row r="1232" spans="1:6" ht="20.25">
      <c r="A1232" s="307"/>
      <c r="B1232" s="304"/>
      <c r="C1232" s="304"/>
      <c r="D1232" s="304"/>
      <c r="E1232" s="308"/>
      <c r="F1232" s="306"/>
    </row>
    <row r="1233" spans="1:6" ht="20.25">
      <c r="A1233" s="307"/>
      <c r="B1233" s="304"/>
      <c r="C1233" s="304"/>
      <c r="D1233" s="304"/>
      <c r="E1233" s="308"/>
      <c r="F1233" s="306"/>
    </row>
    <row r="1234" spans="1:6" ht="20.25">
      <c r="A1234" s="307"/>
      <c r="B1234" s="304"/>
      <c r="C1234" s="304"/>
      <c r="D1234" s="304"/>
      <c r="E1234" s="308"/>
      <c r="F1234" s="306"/>
    </row>
    <row r="1235" spans="1:6" ht="20.25">
      <c r="A1235" s="307"/>
      <c r="B1235" s="304"/>
      <c r="C1235" s="304"/>
      <c r="D1235" s="304"/>
      <c r="E1235" s="308"/>
      <c r="F1235" s="306"/>
    </row>
    <row r="1236" spans="1:6" ht="20.25">
      <c r="A1236" s="307"/>
      <c r="B1236" s="304"/>
      <c r="C1236" s="304"/>
      <c r="D1236" s="304"/>
      <c r="E1236" s="308"/>
      <c r="F1236" s="306"/>
    </row>
    <row r="1237" spans="1:6" ht="20.25">
      <c r="A1237" s="307"/>
      <c r="B1237" s="304"/>
      <c r="C1237" s="304"/>
      <c r="D1237" s="304"/>
      <c r="E1237" s="308"/>
      <c r="F1237" s="306"/>
    </row>
    <row r="1238" spans="1:6" ht="20.25">
      <c r="A1238" s="307"/>
      <c r="B1238" s="304"/>
      <c r="C1238" s="304"/>
      <c r="D1238" s="304"/>
      <c r="E1238" s="308"/>
      <c r="F1238" s="306"/>
    </row>
    <row r="1239" spans="1:6" ht="20.25">
      <c r="A1239" s="307"/>
      <c r="B1239" s="304"/>
      <c r="C1239" s="304"/>
      <c r="D1239" s="304"/>
      <c r="E1239" s="308"/>
      <c r="F1239" s="306"/>
    </row>
    <row r="1240" spans="1:6" ht="20.25">
      <c r="A1240" s="307"/>
      <c r="B1240" s="304"/>
      <c r="C1240" s="304"/>
      <c r="D1240" s="304"/>
      <c r="E1240" s="308"/>
      <c r="F1240" s="306"/>
    </row>
    <row r="1241" spans="1:6" ht="20.25">
      <c r="A1241" s="307"/>
      <c r="B1241" s="304"/>
      <c r="C1241" s="304"/>
      <c r="D1241" s="304"/>
      <c r="E1241" s="308"/>
      <c r="F1241" s="306"/>
    </row>
    <row r="1242" spans="1:6" ht="20.25">
      <c r="A1242" s="307"/>
      <c r="B1242" s="304"/>
      <c r="C1242" s="304"/>
      <c r="D1242" s="304"/>
      <c r="E1242" s="308"/>
      <c r="F1242" s="306"/>
    </row>
    <row r="1243" spans="1:6" ht="20.25">
      <c r="A1243" s="307"/>
      <c r="B1243" s="304"/>
      <c r="C1243" s="304"/>
      <c r="D1243" s="304"/>
      <c r="E1243" s="308"/>
      <c r="F1243" s="306"/>
    </row>
    <row r="1244" spans="1:6" ht="20.25">
      <c r="A1244" s="307"/>
      <c r="B1244" s="304"/>
      <c r="C1244" s="304"/>
      <c r="D1244" s="304"/>
      <c r="E1244" s="308"/>
      <c r="F1244" s="306"/>
    </row>
    <row r="1245" spans="1:6" ht="20.25">
      <c r="A1245" s="307"/>
      <c r="B1245" s="304"/>
      <c r="C1245" s="304"/>
      <c r="D1245" s="304"/>
      <c r="E1245" s="308"/>
      <c r="F1245" s="306"/>
    </row>
    <row r="1246" spans="1:6" ht="20.25">
      <c r="A1246" s="307"/>
      <c r="B1246" s="304"/>
      <c r="C1246" s="304"/>
      <c r="D1246" s="304"/>
      <c r="E1246" s="308"/>
      <c r="F1246" s="306"/>
    </row>
    <row r="1247" spans="1:6" ht="20.25">
      <c r="A1247" s="307"/>
      <c r="B1247" s="304"/>
      <c r="C1247" s="304"/>
      <c r="D1247" s="304"/>
      <c r="E1247" s="308"/>
      <c r="F1247" s="306"/>
    </row>
    <row r="1248" spans="1:6" ht="20.25">
      <c r="A1248" s="307"/>
      <c r="B1248" s="304"/>
      <c r="C1248" s="304"/>
      <c r="D1248" s="304"/>
      <c r="E1248" s="308"/>
      <c r="F1248" s="306"/>
    </row>
    <row r="1249" spans="1:6" ht="20.25">
      <c r="A1249" s="307"/>
      <c r="B1249" s="304"/>
      <c r="C1249" s="304"/>
      <c r="D1249" s="304"/>
      <c r="E1249" s="308"/>
      <c r="F1249" s="306"/>
    </row>
    <row r="1250" spans="1:6" ht="20.25">
      <c r="A1250" s="307"/>
      <c r="B1250" s="304"/>
      <c r="C1250" s="304"/>
      <c r="D1250" s="304"/>
      <c r="E1250" s="308"/>
      <c r="F1250" s="306"/>
    </row>
    <row r="1251" spans="1:6" ht="20.25">
      <c r="A1251" s="307"/>
      <c r="B1251" s="304"/>
      <c r="C1251" s="304"/>
      <c r="D1251" s="304"/>
      <c r="E1251" s="308"/>
      <c r="F1251" s="306"/>
    </row>
    <row r="1252" spans="1:6" ht="20.25">
      <c r="A1252" s="307"/>
      <c r="B1252" s="304"/>
      <c r="C1252" s="304"/>
      <c r="D1252" s="304"/>
      <c r="E1252" s="308"/>
      <c r="F1252" s="306"/>
    </row>
    <row r="1253" spans="1:6" ht="20.25">
      <c r="A1253" s="307"/>
      <c r="B1253" s="304"/>
      <c r="C1253" s="304"/>
      <c r="D1253" s="304"/>
      <c r="E1253" s="308"/>
      <c r="F1253" s="306"/>
    </row>
    <row r="1254" spans="1:6" ht="20.25">
      <c r="A1254" s="307"/>
      <c r="B1254" s="304"/>
      <c r="C1254" s="304"/>
      <c r="D1254" s="304"/>
      <c r="E1254" s="308"/>
      <c r="F1254" s="306"/>
    </row>
    <row r="1255" spans="1:6" ht="20.25">
      <c r="A1255" s="307"/>
      <c r="B1255" s="304"/>
      <c r="C1255" s="304"/>
      <c r="D1255" s="304"/>
      <c r="E1255" s="308"/>
      <c r="F1255" s="306"/>
    </row>
    <row r="1256" spans="1:6" ht="20.25">
      <c r="A1256" s="307"/>
      <c r="B1256" s="304"/>
      <c r="C1256" s="304"/>
      <c r="D1256" s="304"/>
      <c r="E1256" s="308"/>
      <c r="F1256" s="306"/>
    </row>
    <row r="1257" spans="1:6" ht="20.25">
      <c r="A1257" s="307"/>
      <c r="B1257" s="304"/>
      <c r="C1257" s="304"/>
      <c r="D1257" s="304"/>
      <c r="E1257" s="308"/>
      <c r="F1257" s="306"/>
    </row>
    <row r="1258" spans="1:6" ht="20.25">
      <c r="A1258" s="307"/>
      <c r="B1258" s="304"/>
      <c r="C1258" s="304"/>
      <c r="D1258" s="304"/>
      <c r="E1258" s="308"/>
      <c r="F1258" s="306"/>
    </row>
    <row r="1259" spans="1:6" ht="20.25">
      <c r="A1259" s="307"/>
      <c r="B1259" s="304"/>
      <c r="C1259" s="304"/>
      <c r="D1259" s="304"/>
      <c r="E1259" s="308"/>
      <c r="F1259" s="306"/>
    </row>
    <row r="1260" spans="1:6" ht="20.25">
      <c r="A1260" s="307"/>
      <c r="B1260" s="304"/>
      <c r="C1260" s="304"/>
      <c r="D1260" s="304"/>
      <c r="E1260" s="308"/>
      <c r="F1260" s="306"/>
    </row>
    <row r="1261" spans="1:6" ht="20.25">
      <c r="A1261" s="307"/>
      <c r="B1261" s="304"/>
      <c r="C1261" s="304"/>
      <c r="D1261" s="304"/>
      <c r="E1261" s="308"/>
      <c r="F1261" s="306"/>
    </row>
    <row r="1262" spans="1:6" ht="20.25">
      <c r="A1262" s="307"/>
      <c r="B1262" s="304"/>
      <c r="C1262" s="304"/>
      <c r="D1262" s="304"/>
      <c r="E1262" s="308"/>
      <c r="F1262" s="306"/>
    </row>
    <row r="1263" spans="1:6" ht="20.25">
      <c r="A1263" s="307"/>
      <c r="B1263" s="304"/>
      <c r="C1263" s="304"/>
      <c r="D1263" s="304"/>
      <c r="E1263" s="308"/>
      <c r="F1263" s="306"/>
    </row>
    <row r="1264" spans="1:6" ht="20.25">
      <c r="A1264" s="307"/>
      <c r="B1264" s="304"/>
      <c r="C1264" s="304"/>
      <c r="D1264" s="304"/>
      <c r="E1264" s="308"/>
      <c r="F1264" s="306"/>
    </row>
    <row r="1265" spans="1:6" ht="20.25">
      <c r="A1265" s="307"/>
      <c r="B1265" s="304"/>
      <c r="C1265" s="304"/>
      <c r="D1265" s="304"/>
      <c r="E1265" s="308"/>
      <c r="F1265" s="306"/>
    </row>
    <row r="1266" spans="1:6" ht="20.25">
      <c r="A1266" s="307"/>
      <c r="B1266" s="304"/>
      <c r="C1266" s="304"/>
      <c r="D1266" s="304"/>
      <c r="E1266" s="308"/>
      <c r="F1266" s="306"/>
    </row>
    <row r="1267" spans="1:6" ht="20.25">
      <c r="A1267" s="307"/>
      <c r="B1267" s="304"/>
      <c r="C1267" s="304"/>
      <c r="D1267" s="304"/>
      <c r="E1267" s="308"/>
      <c r="F1267" s="306"/>
    </row>
    <row r="1268" spans="1:6" ht="20.25">
      <c r="A1268" s="307"/>
      <c r="B1268" s="304"/>
      <c r="C1268" s="304"/>
      <c r="D1268" s="304"/>
      <c r="E1268" s="308"/>
      <c r="F1268" s="306"/>
    </row>
    <row r="1269" spans="1:6" ht="20.25">
      <c r="A1269" s="307"/>
      <c r="B1269" s="304"/>
      <c r="C1269" s="304"/>
      <c r="D1269" s="304"/>
      <c r="E1269" s="308"/>
      <c r="F1269" s="306"/>
    </row>
    <row r="1270" spans="1:6" ht="20.25">
      <c r="A1270" s="307"/>
      <c r="B1270" s="304"/>
      <c r="C1270" s="304"/>
      <c r="D1270" s="304"/>
      <c r="E1270" s="308"/>
      <c r="F1270" s="306"/>
    </row>
    <row r="1271" spans="1:6" ht="20.25">
      <c r="A1271" s="307"/>
      <c r="B1271" s="304"/>
      <c r="C1271" s="304"/>
      <c r="D1271" s="304"/>
      <c r="E1271" s="308"/>
      <c r="F1271" s="306"/>
    </row>
    <row r="1272" spans="1:6" ht="20.25">
      <c r="A1272" s="307"/>
      <c r="B1272" s="304"/>
      <c r="C1272" s="304"/>
      <c r="D1272" s="304"/>
      <c r="E1272" s="308"/>
      <c r="F1272" s="306"/>
    </row>
    <row r="1273" spans="1:6" ht="20.25">
      <c r="A1273" s="307"/>
      <c r="B1273" s="304"/>
      <c r="C1273" s="304"/>
      <c r="D1273" s="304"/>
      <c r="E1273" s="308"/>
      <c r="F1273" s="306"/>
    </row>
    <row r="1274" spans="1:6" ht="20.25">
      <c r="A1274" s="307"/>
      <c r="B1274" s="304"/>
      <c r="C1274" s="304"/>
      <c r="D1274" s="304"/>
      <c r="E1274" s="308"/>
      <c r="F1274" s="306"/>
    </row>
    <row r="1275" spans="1:6" ht="20.25">
      <c r="A1275" s="307"/>
      <c r="B1275" s="304"/>
      <c r="C1275" s="304"/>
      <c r="D1275" s="304"/>
      <c r="E1275" s="308"/>
      <c r="F1275" s="306"/>
    </row>
    <row r="1276" spans="1:6" ht="20.25">
      <c r="A1276" s="307"/>
      <c r="B1276" s="304"/>
      <c r="C1276" s="304"/>
      <c r="D1276" s="304"/>
      <c r="E1276" s="308"/>
      <c r="F1276" s="306"/>
    </row>
    <row r="1277" spans="1:6" ht="20.25">
      <c r="A1277" s="307"/>
      <c r="B1277" s="304"/>
      <c r="C1277" s="304"/>
      <c r="D1277" s="304"/>
      <c r="E1277" s="308"/>
      <c r="F1277" s="306"/>
    </row>
    <row r="1278" spans="1:6" ht="20.25">
      <c r="A1278" s="307"/>
      <c r="B1278" s="304"/>
      <c r="C1278" s="304"/>
      <c r="D1278" s="304"/>
      <c r="E1278" s="308"/>
      <c r="F1278" s="306"/>
    </row>
    <row r="1279" spans="1:6" ht="20.25">
      <c r="A1279" s="307"/>
      <c r="B1279" s="304"/>
      <c r="C1279" s="304"/>
      <c r="D1279" s="304"/>
      <c r="E1279" s="308"/>
      <c r="F1279" s="306"/>
    </row>
    <row r="1280" spans="1:6" ht="20.25">
      <c r="A1280" s="307"/>
      <c r="B1280" s="304"/>
      <c r="C1280" s="304"/>
      <c r="D1280" s="304"/>
      <c r="E1280" s="308"/>
      <c r="F1280" s="306"/>
    </row>
    <row r="1281" spans="1:6" ht="20.25">
      <c r="A1281" s="307"/>
      <c r="B1281" s="304"/>
      <c r="C1281" s="304"/>
      <c r="D1281" s="304"/>
      <c r="E1281" s="308"/>
      <c r="F1281" s="306"/>
    </row>
    <row r="1282" spans="1:6" ht="20.25">
      <c r="A1282" s="307"/>
      <c r="B1282" s="304"/>
      <c r="C1282" s="304"/>
      <c r="D1282" s="304"/>
      <c r="E1282" s="308"/>
      <c r="F1282" s="306"/>
    </row>
    <row r="1283" spans="1:6" ht="20.25">
      <c r="A1283" s="307"/>
      <c r="B1283" s="304"/>
      <c r="C1283" s="304"/>
      <c r="D1283" s="304"/>
      <c r="E1283" s="308"/>
      <c r="F1283" s="306"/>
    </row>
    <row r="1284" spans="1:6" ht="20.25">
      <c r="A1284" s="307"/>
      <c r="B1284" s="304"/>
      <c r="C1284" s="304"/>
      <c r="D1284" s="304"/>
      <c r="E1284" s="308"/>
      <c r="F1284" s="306"/>
    </row>
    <row r="1285" spans="1:6" ht="20.25">
      <c r="A1285" s="307"/>
      <c r="B1285" s="304"/>
      <c r="C1285" s="304"/>
      <c r="D1285" s="304"/>
      <c r="E1285" s="308"/>
      <c r="F1285" s="306"/>
    </row>
    <row r="1286" spans="1:6" ht="20.25">
      <c r="A1286" s="307"/>
      <c r="B1286" s="304"/>
      <c r="C1286" s="304"/>
      <c r="D1286" s="304"/>
      <c r="E1286" s="308"/>
      <c r="F1286" s="306"/>
    </row>
    <row r="1287" spans="1:6" ht="20.25">
      <c r="A1287" s="307"/>
      <c r="B1287" s="304"/>
      <c r="C1287" s="304"/>
      <c r="D1287" s="304"/>
      <c r="E1287" s="308"/>
      <c r="F1287" s="306"/>
    </row>
    <row r="1288" spans="1:6" ht="20.25">
      <c r="A1288" s="307"/>
      <c r="B1288" s="304"/>
      <c r="C1288" s="304"/>
      <c r="D1288" s="304"/>
      <c r="E1288" s="308"/>
      <c r="F1288" s="306"/>
    </row>
    <row r="1289" spans="1:6" ht="20.25">
      <c r="A1289" s="307"/>
      <c r="B1289" s="304"/>
      <c r="C1289" s="304"/>
      <c r="D1289" s="304"/>
      <c r="E1289" s="308"/>
      <c r="F1289" s="306"/>
    </row>
    <row r="1290" spans="1:6" ht="20.25">
      <c r="A1290" s="307"/>
      <c r="B1290" s="304"/>
      <c r="C1290" s="304"/>
      <c r="D1290" s="304"/>
      <c r="E1290" s="308"/>
      <c r="F1290" s="306"/>
    </row>
    <row r="1291" spans="1:6" ht="20.25">
      <c r="A1291" s="307"/>
      <c r="B1291" s="304"/>
      <c r="C1291" s="304"/>
      <c r="D1291" s="304"/>
      <c r="E1291" s="308"/>
      <c r="F1291" s="306"/>
    </row>
    <row r="1292" spans="1:6" ht="20.25">
      <c r="A1292" s="307"/>
      <c r="B1292" s="304"/>
      <c r="C1292" s="304"/>
      <c r="D1292" s="304"/>
      <c r="E1292" s="308"/>
      <c r="F1292" s="306"/>
    </row>
    <row r="1293" spans="1:6" ht="20.25">
      <c r="A1293" s="307"/>
      <c r="B1293" s="304"/>
      <c r="C1293" s="304"/>
      <c r="D1293" s="304"/>
      <c r="E1293" s="308"/>
      <c r="F1293" s="306"/>
    </row>
    <row r="1294" spans="1:6" ht="20.25">
      <c r="A1294" s="307"/>
      <c r="B1294" s="304"/>
      <c r="C1294" s="304"/>
      <c r="D1294" s="304"/>
      <c r="E1294" s="308"/>
      <c r="F1294" s="306"/>
    </row>
    <row r="1295" spans="1:6" ht="20.25">
      <c r="A1295" s="307"/>
      <c r="B1295" s="304"/>
      <c r="C1295" s="304"/>
      <c r="D1295" s="304"/>
      <c r="E1295" s="308"/>
      <c r="F1295" s="306"/>
    </row>
    <row r="1296" spans="1:6" ht="20.25">
      <c r="A1296" s="307"/>
      <c r="B1296" s="304"/>
      <c r="C1296" s="304"/>
      <c r="D1296" s="304"/>
      <c r="E1296" s="308"/>
      <c r="F1296" s="306"/>
    </row>
    <row r="1297" spans="1:6" ht="20.25">
      <c r="A1297" s="307"/>
      <c r="B1297" s="304"/>
      <c r="C1297" s="304"/>
      <c r="D1297" s="304"/>
      <c r="E1297" s="308"/>
      <c r="F1297" s="306"/>
    </row>
    <row r="1298" spans="1:6" ht="20.25">
      <c r="A1298" s="307"/>
      <c r="B1298" s="304"/>
      <c r="C1298" s="304"/>
      <c r="D1298" s="304"/>
      <c r="E1298" s="308"/>
      <c r="F1298" s="306"/>
    </row>
    <row r="1299" spans="1:6" ht="20.25">
      <c r="A1299" s="307"/>
      <c r="B1299" s="304"/>
      <c r="C1299" s="304"/>
      <c r="D1299" s="304"/>
      <c r="E1299" s="308"/>
      <c r="F1299" s="306"/>
    </row>
    <row r="1300" spans="1:6" ht="20.25">
      <c r="A1300" s="307"/>
      <c r="B1300" s="304"/>
      <c r="C1300" s="304"/>
      <c r="D1300" s="304"/>
      <c r="E1300" s="308"/>
      <c r="F1300" s="306"/>
    </row>
    <row r="1301" spans="1:6" ht="20.25">
      <c r="A1301" s="307"/>
      <c r="B1301" s="304"/>
      <c r="C1301" s="304"/>
      <c r="D1301" s="304"/>
      <c r="E1301" s="308"/>
      <c r="F1301" s="306"/>
    </row>
    <row r="1302" spans="1:6" ht="20.25">
      <c r="A1302" s="307"/>
      <c r="B1302" s="304"/>
      <c r="C1302" s="304"/>
      <c r="D1302" s="304"/>
      <c r="E1302" s="308"/>
      <c r="F1302" s="306"/>
    </row>
    <row r="1303" spans="1:6" ht="20.25">
      <c r="A1303" s="307"/>
      <c r="B1303" s="304"/>
      <c r="C1303" s="304"/>
      <c r="D1303" s="304"/>
      <c r="E1303" s="308"/>
      <c r="F1303" s="306"/>
    </row>
    <row r="1304" spans="1:6" ht="20.25">
      <c r="A1304" s="307"/>
      <c r="B1304" s="304"/>
      <c r="C1304" s="304"/>
      <c r="D1304" s="304"/>
      <c r="E1304" s="308"/>
      <c r="F1304" s="306"/>
    </row>
    <row r="1305" spans="1:6" ht="20.25">
      <c r="A1305" s="307"/>
      <c r="B1305" s="304"/>
      <c r="C1305" s="304"/>
      <c r="D1305" s="304"/>
      <c r="E1305" s="308"/>
      <c r="F1305" s="306"/>
    </row>
    <row r="1306" spans="1:6" ht="20.25">
      <c r="A1306" s="307"/>
      <c r="B1306" s="304"/>
      <c r="C1306" s="304"/>
      <c r="D1306" s="304"/>
      <c r="E1306" s="308"/>
      <c r="F1306" s="306"/>
    </row>
    <row r="1307" spans="1:6" ht="20.25">
      <c r="A1307" s="307"/>
      <c r="B1307" s="304"/>
      <c r="C1307" s="304"/>
      <c r="D1307" s="304"/>
      <c r="E1307" s="308"/>
      <c r="F1307" s="306"/>
    </row>
    <row r="1308" spans="1:6" ht="20.25">
      <c r="A1308" s="307"/>
      <c r="B1308" s="304"/>
      <c r="C1308" s="304"/>
      <c r="D1308" s="304"/>
      <c r="E1308" s="308"/>
      <c r="F1308" s="306"/>
    </row>
    <row r="1309" spans="1:6" ht="20.25">
      <c r="A1309" s="307"/>
      <c r="B1309" s="304"/>
      <c r="C1309" s="304"/>
      <c r="D1309" s="304"/>
      <c r="E1309" s="308"/>
      <c r="F1309" s="306"/>
    </row>
    <row r="1310" spans="1:6" ht="20.25">
      <c r="A1310" s="307"/>
      <c r="B1310" s="304"/>
      <c r="C1310" s="304"/>
      <c r="D1310" s="304"/>
      <c r="E1310" s="308"/>
      <c r="F1310" s="306"/>
    </row>
    <row r="1311" spans="1:6" ht="20.25">
      <c r="A1311" s="307"/>
      <c r="B1311" s="304"/>
      <c r="C1311" s="304"/>
      <c r="D1311" s="304"/>
      <c r="E1311" s="308"/>
      <c r="F1311" s="306"/>
    </row>
    <row r="1312" spans="1:6" ht="20.25">
      <c r="A1312" s="307"/>
      <c r="B1312" s="304"/>
      <c r="C1312" s="304"/>
      <c r="D1312" s="304"/>
      <c r="E1312" s="308"/>
      <c r="F1312" s="306"/>
    </row>
    <row r="1313" spans="1:6" ht="20.25">
      <c r="A1313" s="307"/>
      <c r="B1313" s="304"/>
      <c r="C1313" s="304"/>
      <c r="D1313" s="304"/>
      <c r="E1313" s="308"/>
      <c r="F1313" s="306"/>
    </row>
    <row r="1314" spans="1:6" ht="20.25">
      <c r="A1314" s="307"/>
      <c r="B1314" s="304"/>
      <c r="C1314" s="304"/>
      <c r="D1314" s="304"/>
      <c r="E1314" s="308"/>
      <c r="F1314" s="306"/>
    </row>
    <row r="1315" spans="1:6" ht="20.25">
      <c r="A1315" s="307"/>
      <c r="B1315" s="304"/>
      <c r="C1315" s="304"/>
      <c r="D1315" s="304"/>
      <c r="E1315" s="308"/>
      <c r="F1315" s="306"/>
    </row>
    <row r="1316" spans="1:6" ht="20.25">
      <c r="A1316" s="307"/>
      <c r="B1316" s="304"/>
      <c r="C1316" s="304"/>
      <c r="D1316" s="304"/>
      <c r="E1316" s="308"/>
      <c r="F1316" s="306"/>
    </row>
    <row r="1317" spans="1:6" ht="20.25">
      <c r="A1317" s="307"/>
      <c r="B1317" s="304"/>
      <c r="C1317" s="304"/>
      <c r="D1317" s="304"/>
      <c r="E1317" s="308"/>
      <c r="F1317" s="306"/>
    </row>
    <row r="1318" spans="1:6" ht="20.25">
      <c r="A1318" s="307"/>
      <c r="B1318" s="304"/>
      <c r="C1318" s="304"/>
      <c r="D1318" s="304"/>
      <c r="E1318" s="308"/>
      <c r="F1318" s="306"/>
    </row>
    <row r="1319" spans="1:6" ht="20.25">
      <c r="A1319" s="307"/>
      <c r="B1319" s="304"/>
      <c r="C1319" s="304"/>
      <c r="D1319" s="304"/>
      <c r="E1319" s="308"/>
      <c r="F1319" s="306"/>
    </row>
    <row r="1320" spans="1:6" ht="20.25">
      <c r="A1320" s="307"/>
      <c r="B1320" s="304"/>
      <c r="C1320" s="304"/>
      <c r="D1320" s="304"/>
      <c r="E1320" s="308"/>
      <c r="F1320" s="306"/>
    </row>
    <row r="1321" spans="1:6" ht="20.25">
      <c r="A1321" s="307"/>
      <c r="B1321" s="304"/>
      <c r="C1321" s="304"/>
      <c r="D1321" s="304"/>
      <c r="E1321" s="308"/>
      <c r="F1321" s="306"/>
    </row>
    <row r="1322" spans="1:6" ht="20.25">
      <c r="A1322" s="307"/>
      <c r="B1322" s="304"/>
      <c r="C1322" s="304"/>
      <c r="D1322" s="304"/>
      <c r="E1322" s="308"/>
      <c r="F1322" s="306"/>
    </row>
    <row r="1323" spans="1:6" ht="20.25">
      <c r="A1323" s="307"/>
      <c r="B1323" s="304"/>
      <c r="C1323" s="304"/>
      <c r="D1323" s="304"/>
      <c r="E1323" s="308"/>
      <c r="F1323" s="306"/>
    </row>
    <row r="1324" spans="1:6" ht="20.25">
      <c r="A1324" s="307"/>
      <c r="B1324" s="304"/>
      <c r="C1324" s="304"/>
      <c r="D1324" s="304"/>
      <c r="E1324" s="308"/>
      <c r="F1324" s="306"/>
    </row>
    <row r="1325" spans="1:6" ht="20.25">
      <c r="A1325" s="307"/>
      <c r="B1325" s="304"/>
      <c r="C1325" s="304"/>
      <c r="D1325" s="304"/>
      <c r="E1325" s="308"/>
      <c r="F1325" s="306"/>
    </row>
    <row r="1326" spans="1:6" ht="20.25">
      <c r="A1326" s="307"/>
      <c r="B1326" s="304"/>
      <c r="C1326" s="304"/>
      <c r="D1326" s="304"/>
      <c r="E1326" s="308"/>
      <c r="F1326" s="306"/>
    </row>
    <row r="1327" spans="1:6" ht="20.25">
      <c r="A1327" s="307"/>
      <c r="B1327" s="304"/>
      <c r="C1327" s="304"/>
      <c r="D1327" s="304"/>
      <c r="E1327" s="308"/>
      <c r="F1327" s="306"/>
    </row>
    <row r="1328" spans="1:6" ht="20.25">
      <c r="A1328" s="307"/>
      <c r="B1328" s="304"/>
      <c r="C1328" s="304"/>
      <c r="D1328" s="304"/>
      <c r="E1328" s="308"/>
      <c r="F1328" s="306"/>
    </row>
    <row r="1329" spans="1:6" ht="20.25">
      <c r="A1329" s="307"/>
      <c r="B1329" s="304"/>
      <c r="C1329" s="304"/>
      <c r="D1329" s="304"/>
      <c r="E1329" s="308"/>
      <c r="F1329" s="306"/>
    </row>
    <row r="1330" spans="1:6" ht="20.25">
      <c r="A1330" s="307"/>
      <c r="B1330" s="304"/>
      <c r="C1330" s="304"/>
      <c r="D1330" s="304"/>
      <c r="E1330" s="308"/>
      <c r="F1330" s="306"/>
    </row>
    <row r="1331" spans="1:6" ht="20.25">
      <c r="A1331" s="307"/>
      <c r="B1331" s="304"/>
      <c r="C1331" s="304"/>
      <c r="D1331" s="304"/>
      <c r="E1331" s="308"/>
      <c r="F1331" s="306"/>
    </row>
    <row r="1332" spans="1:6" ht="20.25">
      <c r="A1332" s="307"/>
      <c r="B1332" s="304"/>
      <c r="C1332" s="304"/>
      <c r="D1332" s="304"/>
      <c r="E1332" s="308"/>
      <c r="F1332" s="306"/>
    </row>
    <row r="1333" spans="1:6" ht="20.25">
      <c r="A1333" s="307"/>
      <c r="B1333" s="304"/>
      <c r="C1333" s="304"/>
      <c r="D1333" s="304"/>
      <c r="E1333" s="308"/>
      <c r="F1333" s="306"/>
    </row>
    <row r="1334" spans="1:6" ht="20.25">
      <c r="A1334" s="307"/>
      <c r="B1334" s="304"/>
      <c r="C1334" s="304"/>
      <c r="D1334" s="304"/>
      <c r="E1334" s="308"/>
      <c r="F1334" s="306"/>
    </row>
    <row r="1335" spans="1:6" ht="20.25">
      <c r="A1335" s="307"/>
      <c r="B1335" s="304"/>
      <c r="C1335" s="304"/>
      <c r="D1335" s="304"/>
      <c r="E1335" s="308"/>
      <c r="F1335" s="306"/>
    </row>
    <row r="1336" spans="1:6" ht="20.25">
      <c r="A1336" s="307"/>
      <c r="B1336" s="304"/>
      <c r="C1336" s="304"/>
      <c r="D1336" s="304"/>
      <c r="E1336" s="308"/>
      <c r="F1336" s="306"/>
    </row>
    <row r="1337" spans="1:6" ht="20.25">
      <c r="A1337" s="307"/>
      <c r="B1337" s="304"/>
      <c r="C1337" s="304"/>
      <c r="D1337" s="304"/>
      <c r="E1337" s="308"/>
      <c r="F1337" s="306"/>
    </row>
    <row r="1338" spans="1:6" ht="20.25">
      <c r="A1338" s="307"/>
      <c r="B1338" s="304"/>
      <c r="C1338" s="304"/>
      <c r="D1338" s="304"/>
      <c r="E1338" s="308"/>
      <c r="F1338" s="306"/>
    </row>
    <row r="1339" spans="1:6" ht="20.25">
      <c r="A1339" s="307"/>
      <c r="B1339" s="304"/>
      <c r="C1339" s="304"/>
      <c r="D1339" s="304"/>
      <c r="E1339" s="308"/>
      <c r="F1339" s="306"/>
    </row>
    <row r="1340" spans="1:6" ht="20.25">
      <c r="A1340" s="307"/>
      <c r="B1340" s="304"/>
      <c r="C1340" s="304"/>
      <c r="D1340" s="304"/>
      <c r="E1340" s="308"/>
      <c r="F1340" s="306"/>
    </row>
    <row r="1341" spans="1:6" ht="20.25">
      <c r="A1341" s="307"/>
      <c r="B1341" s="304"/>
      <c r="C1341" s="304"/>
      <c r="D1341" s="304"/>
      <c r="E1341" s="308"/>
      <c r="F1341" s="306"/>
    </row>
    <row r="1342" spans="1:6" ht="20.25">
      <c r="A1342" s="307"/>
      <c r="B1342" s="304"/>
      <c r="C1342" s="304"/>
      <c r="D1342" s="304"/>
      <c r="E1342" s="308"/>
      <c r="F1342" s="306"/>
    </row>
    <row r="1343" spans="1:6" ht="20.25">
      <c r="A1343" s="307"/>
      <c r="B1343" s="304"/>
      <c r="C1343" s="304"/>
      <c r="D1343" s="304"/>
      <c r="E1343" s="308"/>
      <c r="F1343" s="306"/>
    </row>
    <row r="1344" spans="1:6" ht="20.25">
      <c r="A1344" s="307"/>
      <c r="B1344" s="304"/>
      <c r="C1344" s="304"/>
      <c r="D1344" s="304"/>
      <c r="E1344" s="308"/>
      <c r="F1344" s="306"/>
    </row>
    <row r="1345" spans="1:6" ht="20.25">
      <c r="A1345" s="307"/>
      <c r="B1345" s="304"/>
      <c r="C1345" s="304"/>
      <c r="D1345" s="304"/>
      <c r="E1345" s="308"/>
      <c r="F1345" s="306"/>
    </row>
    <row r="1346" spans="1:6" ht="20.25">
      <c r="A1346" s="307"/>
      <c r="B1346" s="304"/>
      <c r="C1346" s="304"/>
      <c r="D1346" s="304"/>
      <c r="E1346" s="308"/>
      <c r="F1346" s="306"/>
    </row>
    <row r="1347" spans="1:6" ht="20.25">
      <c r="A1347" s="307"/>
      <c r="B1347" s="304"/>
      <c r="C1347" s="304"/>
      <c r="D1347" s="304"/>
      <c r="E1347" s="308"/>
      <c r="F1347" s="306"/>
    </row>
    <row r="1348" spans="1:6" ht="20.25">
      <c r="A1348" s="307"/>
      <c r="B1348" s="304"/>
      <c r="C1348" s="304"/>
      <c r="D1348" s="304"/>
      <c r="E1348" s="308"/>
      <c r="F1348" s="306"/>
    </row>
    <row r="1349" spans="1:6" ht="20.25">
      <c r="A1349" s="307"/>
      <c r="B1349" s="304"/>
      <c r="C1349" s="304"/>
      <c r="D1349" s="304"/>
      <c r="E1349" s="308"/>
      <c r="F1349" s="306"/>
    </row>
    <row r="1350" spans="1:6" ht="20.25">
      <c r="A1350" s="307"/>
      <c r="B1350" s="304"/>
      <c r="C1350" s="304"/>
      <c r="D1350" s="304"/>
      <c r="E1350" s="308"/>
      <c r="F1350" s="306"/>
    </row>
    <row r="1351" spans="1:6" ht="20.25">
      <c r="A1351" s="307"/>
      <c r="B1351" s="304"/>
      <c r="C1351" s="304"/>
      <c r="D1351" s="304"/>
      <c r="E1351" s="308"/>
      <c r="F1351" s="306"/>
    </row>
    <row r="1352" spans="1:6" ht="20.25">
      <c r="A1352" s="307"/>
      <c r="B1352" s="304"/>
      <c r="C1352" s="304"/>
      <c r="D1352" s="304"/>
      <c r="E1352" s="308"/>
      <c r="F1352" s="306"/>
    </row>
    <row r="1353" spans="1:6" ht="20.25">
      <c r="A1353" s="307"/>
      <c r="B1353" s="304"/>
      <c r="C1353" s="304"/>
      <c r="D1353" s="304"/>
      <c r="E1353" s="308"/>
      <c r="F1353" s="306"/>
    </row>
    <row r="1354" spans="1:6" ht="20.25">
      <c r="A1354" s="307"/>
      <c r="B1354" s="304"/>
      <c r="C1354" s="304"/>
      <c r="D1354" s="304"/>
      <c r="E1354" s="308"/>
      <c r="F1354" s="306"/>
    </row>
    <row r="1355" spans="1:6" ht="20.25">
      <c r="A1355" s="307"/>
      <c r="B1355" s="304"/>
      <c r="C1355" s="304"/>
      <c r="D1355" s="304"/>
      <c r="E1355" s="308"/>
      <c r="F1355" s="306"/>
    </row>
    <row r="1356" spans="1:6" ht="20.25">
      <c r="A1356" s="307"/>
      <c r="B1356" s="304"/>
      <c r="C1356" s="304"/>
      <c r="D1356" s="304"/>
      <c r="E1356" s="308"/>
      <c r="F1356" s="306"/>
    </row>
    <row r="1357" spans="1:6" ht="20.25">
      <c r="A1357" s="307"/>
      <c r="B1357" s="304"/>
      <c r="C1357" s="304"/>
      <c r="D1357" s="304"/>
      <c r="E1357" s="308"/>
      <c r="F1357" s="306"/>
    </row>
    <row r="1358" spans="1:6" ht="20.25">
      <c r="A1358" s="307"/>
      <c r="B1358" s="304"/>
      <c r="C1358" s="304"/>
      <c r="D1358" s="304"/>
      <c r="E1358" s="308"/>
      <c r="F1358" s="306"/>
    </row>
    <row r="1359" spans="1:6" ht="20.25">
      <c r="A1359" s="307"/>
      <c r="B1359" s="304"/>
      <c r="C1359" s="304"/>
      <c r="D1359" s="304"/>
      <c r="E1359" s="308"/>
      <c r="F1359" s="306"/>
    </row>
    <row r="1360" spans="1:6" ht="20.25">
      <c r="A1360" s="307"/>
      <c r="B1360" s="304"/>
      <c r="C1360" s="304"/>
      <c r="D1360" s="304"/>
      <c r="E1360" s="308"/>
      <c r="F1360" s="306"/>
    </row>
    <row r="1361" spans="1:6" ht="20.25">
      <c r="A1361" s="307"/>
      <c r="B1361" s="304"/>
      <c r="C1361" s="304"/>
      <c r="D1361" s="304"/>
      <c r="E1361" s="308"/>
      <c r="F1361" s="306"/>
    </row>
    <row r="1362" spans="1:6" ht="20.25">
      <c r="A1362" s="307"/>
      <c r="B1362" s="304"/>
      <c r="C1362" s="304"/>
      <c r="D1362" s="304"/>
      <c r="E1362" s="308"/>
      <c r="F1362" s="306"/>
    </row>
    <row r="1363" spans="1:6" ht="20.25">
      <c r="A1363" s="307"/>
      <c r="B1363" s="304"/>
      <c r="C1363" s="304"/>
      <c r="D1363" s="304"/>
      <c r="E1363" s="308"/>
      <c r="F1363" s="306"/>
    </row>
    <row r="1364" spans="1:6" ht="20.25">
      <c r="A1364" s="307"/>
      <c r="B1364" s="304"/>
      <c r="C1364" s="304"/>
      <c r="D1364" s="304"/>
      <c r="E1364" s="308"/>
      <c r="F1364" s="306"/>
    </row>
    <row r="1365" spans="1:6" ht="20.25">
      <c r="A1365" s="307"/>
      <c r="B1365" s="304"/>
      <c r="C1365" s="304"/>
      <c r="D1365" s="304"/>
      <c r="E1365" s="308"/>
      <c r="F1365" s="306"/>
    </row>
    <row r="1366" spans="1:6" ht="20.25">
      <c r="A1366" s="307"/>
      <c r="B1366" s="304"/>
      <c r="C1366" s="304"/>
      <c r="D1366" s="304"/>
      <c r="E1366" s="308"/>
      <c r="F1366" s="306"/>
    </row>
    <row r="1367" spans="1:6" ht="20.25">
      <c r="A1367" s="307"/>
      <c r="B1367" s="304"/>
      <c r="C1367" s="304"/>
      <c r="D1367" s="304"/>
      <c r="E1367" s="308"/>
      <c r="F1367" s="306"/>
    </row>
    <row r="1368" spans="1:6" ht="20.25">
      <c r="A1368" s="307"/>
      <c r="B1368" s="304"/>
      <c r="C1368" s="304"/>
      <c r="D1368" s="304"/>
      <c r="E1368" s="308"/>
      <c r="F1368" s="306"/>
    </row>
    <row r="1369" spans="1:6" ht="20.25">
      <c r="A1369" s="307"/>
      <c r="B1369" s="304"/>
      <c r="C1369" s="304"/>
      <c r="D1369" s="304"/>
      <c r="E1369" s="308"/>
      <c r="F1369" s="306"/>
    </row>
    <row r="1370" spans="1:6" ht="20.25">
      <c r="A1370" s="307"/>
      <c r="B1370" s="304"/>
      <c r="C1370" s="304"/>
      <c r="D1370" s="304"/>
      <c r="E1370" s="308"/>
      <c r="F1370" s="306"/>
    </row>
    <row r="1371" spans="1:6" ht="20.25">
      <c r="A1371" s="307"/>
      <c r="B1371" s="304"/>
      <c r="C1371" s="304"/>
      <c r="D1371" s="304"/>
      <c r="E1371" s="308"/>
      <c r="F1371" s="306"/>
    </row>
    <row r="1372" spans="1:6" ht="20.25">
      <c r="A1372" s="307"/>
      <c r="B1372" s="304"/>
      <c r="C1372" s="304"/>
      <c r="D1372" s="304"/>
      <c r="E1372" s="308"/>
      <c r="F1372" s="306"/>
    </row>
    <row r="1373" spans="1:6" ht="20.25">
      <c r="A1373" s="307"/>
      <c r="B1373" s="304"/>
      <c r="C1373" s="304"/>
      <c r="D1373" s="304"/>
      <c r="E1373" s="308"/>
      <c r="F1373" s="306"/>
    </row>
    <row r="1374" spans="1:6" ht="20.25">
      <c r="A1374" s="307"/>
      <c r="B1374" s="304"/>
      <c r="C1374" s="304"/>
      <c r="D1374" s="304"/>
      <c r="E1374" s="308"/>
      <c r="F1374" s="306"/>
    </row>
    <row r="1375" spans="1:6" ht="20.25">
      <c r="A1375" s="307"/>
      <c r="B1375" s="304"/>
      <c r="C1375" s="304"/>
      <c r="D1375" s="304"/>
      <c r="E1375" s="308"/>
      <c r="F1375" s="306"/>
    </row>
    <row r="1376" spans="1:6" ht="20.25">
      <c r="A1376" s="307"/>
      <c r="B1376" s="304"/>
      <c r="C1376" s="304"/>
      <c r="D1376" s="304"/>
      <c r="E1376" s="308"/>
      <c r="F1376" s="306"/>
    </row>
    <row r="1377" spans="1:6" ht="20.25">
      <c r="A1377" s="307"/>
      <c r="B1377" s="304"/>
      <c r="C1377" s="304"/>
      <c r="D1377" s="304"/>
      <c r="E1377" s="308"/>
      <c r="F1377" s="306"/>
    </row>
    <row r="1378" spans="1:6" ht="20.25">
      <c r="A1378" s="307"/>
      <c r="B1378" s="304"/>
      <c r="C1378" s="304"/>
      <c r="D1378" s="304"/>
      <c r="E1378" s="308"/>
      <c r="F1378" s="306"/>
    </row>
    <row r="1379" spans="1:6" ht="20.25">
      <c r="A1379" s="307"/>
      <c r="B1379" s="304"/>
      <c r="C1379" s="304"/>
      <c r="D1379" s="304"/>
      <c r="E1379" s="308"/>
      <c r="F1379" s="306"/>
    </row>
    <row r="1380" spans="1:6" ht="20.25">
      <c r="A1380" s="307"/>
      <c r="B1380" s="304"/>
      <c r="C1380" s="304"/>
      <c r="D1380" s="304"/>
      <c r="E1380" s="308"/>
      <c r="F1380" s="306"/>
    </row>
    <row r="1381" spans="1:6" ht="20.25">
      <c r="A1381" s="307"/>
      <c r="B1381" s="304"/>
      <c r="C1381" s="304"/>
      <c r="D1381" s="304"/>
      <c r="E1381" s="308"/>
      <c r="F1381" s="306"/>
    </row>
    <row r="1382" spans="1:6" ht="20.25">
      <c r="A1382" s="307"/>
      <c r="B1382" s="304"/>
      <c r="C1382" s="304"/>
      <c r="D1382" s="304"/>
      <c r="E1382" s="308"/>
      <c r="F1382" s="306"/>
    </row>
    <row r="1383" spans="1:6" ht="20.25">
      <c r="A1383" s="307"/>
      <c r="B1383" s="304"/>
      <c r="C1383" s="304"/>
      <c r="D1383" s="304"/>
      <c r="E1383" s="308"/>
      <c r="F1383" s="306"/>
    </row>
    <row r="1384" spans="1:6" ht="20.25">
      <c r="A1384" s="307"/>
      <c r="B1384" s="304"/>
      <c r="C1384" s="304"/>
      <c r="D1384" s="304"/>
      <c r="E1384" s="308"/>
      <c r="F1384" s="306"/>
    </row>
    <row r="1385" spans="1:6" ht="20.25">
      <c r="A1385" s="307"/>
      <c r="B1385" s="304"/>
      <c r="C1385" s="304"/>
      <c r="D1385" s="304"/>
      <c r="E1385" s="308"/>
      <c r="F1385" s="306"/>
    </row>
    <row r="1386" spans="1:6" ht="20.25">
      <c r="A1386" s="307"/>
      <c r="B1386" s="304"/>
      <c r="C1386" s="304"/>
      <c r="D1386" s="304"/>
      <c r="E1386" s="308"/>
      <c r="F1386" s="306"/>
    </row>
    <row r="1387" spans="1:6" ht="20.25">
      <c r="A1387" s="307"/>
      <c r="B1387" s="304"/>
      <c r="C1387" s="304"/>
      <c r="D1387" s="304"/>
      <c r="E1387" s="308"/>
      <c r="F1387" s="306"/>
    </row>
    <row r="1388" spans="1:6" ht="20.25">
      <c r="A1388" s="307"/>
      <c r="B1388" s="304"/>
      <c r="C1388" s="304"/>
      <c r="D1388" s="304"/>
      <c r="E1388" s="308"/>
      <c r="F1388" s="306"/>
    </row>
    <row r="1389" spans="1:6" ht="20.25">
      <c r="A1389" s="307"/>
      <c r="B1389" s="304"/>
      <c r="C1389" s="304"/>
      <c r="D1389" s="304"/>
      <c r="E1389" s="308"/>
      <c r="F1389" s="306"/>
    </row>
    <row r="1390" spans="1:6" ht="20.25">
      <c r="A1390" s="307"/>
      <c r="B1390" s="304"/>
      <c r="C1390" s="304"/>
      <c r="D1390" s="304"/>
      <c r="E1390" s="308"/>
      <c r="F1390" s="306"/>
    </row>
    <row r="1391" spans="1:6" ht="20.25">
      <c r="A1391" s="307"/>
      <c r="B1391" s="304"/>
      <c r="C1391" s="304"/>
      <c r="D1391" s="304"/>
      <c r="E1391" s="308"/>
      <c r="F1391" s="306"/>
    </row>
    <row r="1392" spans="1:6" ht="20.25">
      <c r="A1392" s="307"/>
      <c r="B1392" s="304"/>
      <c r="C1392" s="304"/>
      <c r="D1392" s="304"/>
      <c r="E1392" s="308"/>
      <c r="F1392" s="306"/>
    </row>
    <row r="1393" spans="1:6" ht="20.25">
      <c r="A1393" s="307"/>
      <c r="B1393" s="304"/>
      <c r="C1393" s="304"/>
      <c r="D1393" s="304"/>
      <c r="E1393" s="308"/>
      <c r="F1393" s="306"/>
    </row>
    <row r="1394" spans="1:6" ht="20.25">
      <c r="A1394" s="307"/>
      <c r="B1394" s="304"/>
      <c r="C1394" s="304"/>
      <c r="D1394" s="304"/>
      <c r="E1394" s="308"/>
      <c r="F1394" s="306"/>
    </row>
    <row r="1395" spans="1:6" ht="20.25">
      <c r="A1395" s="307"/>
      <c r="B1395" s="304"/>
      <c r="C1395" s="304"/>
      <c r="D1395" s="304"/>
      <c r="E1395" s="308"/>
      <c r="F1395" s="306"/>
    </row>
    <row r="1396" spans="1:6" ht="20.25">
      <c r="A1396" s="307"/>
      <c r="B1396" s="304"/>
      <c r="C1396" s="304"/>
      <c r="D1396" s="304"/>
      <c r="E1396" s="308"/>
      <c r="F1396" s="306"/>
    </row>
    <row r="1397" spans="1:6" ht="20.25">
      <c r="A1397" s="307"/>
      <c r="B1397" s="304"/>
      <c r="C1397" s="304"/>
      <c r="D1397" s="304"/>
      <c r="E1397" s="308"/>
      <c r="F1397" s="306"/>
    </row>
    <row r="1398" spans="1:6" ht="20.25">
      <c r="A1398" s="307"/>
      <c r="B1398" s="304"/>
      <c r="C1398" s="304"/>
      <c r="D1398" s="304"/>
      <c r="E1398" s="308"/>
      <c r="F1398" s="306"/>
    </row>
    <row r="1399" spans="1:6" ht="20.25">
      <c r="A1399" s="307"/>
      <c r="B1399" s="304"/>
      <c r="C1399" s="304"/>
      <c r="D1399" s="304"/>
      <c r="E1399" s="308"/>
      <c r="F1399" s="306"/>
    </row>
    <row r="1400" spans="1:6" ht="20.25">
      <c r="A1400" s="307"/>
      <c r="B1400" s="304"/>
      <c r="C1400" s="304"/>
      <c r="D1400" s="304"/>
      <c r="E1400" s="308"/>
      <c r="F1400" s="306"/>
    </row>
    <row r="1401" spans="1:6" ht="20.25">
      <c r="A1401" s="307"/>
      <c r="B1401" s="304"/>
      <c r="C1401" s="304"/>
      <c r="D1401" s="304"/>
      <c r="E1401" s="308"/>
      <c r="F1401" s="306"/>
    </row>
    <row r="1402" spans="1:6" ht="20.25">
      <c r="A1402" s="307"/>
      <c r="B1402" s="304"/>
      <c r="C1402" s="304"/>
      <c r="D1402" s="304"/>
      <c r="E1402" s="308"/>
      <c r="F1402" s="306"/>
    </row>
    <row r="1403" spans="1:6" ht="20.25">
      <c r="A1403" s="307"/>
      <c r="B1403" s="304"/>
      <c r="C1403" s="304"/>
      <c r="D1403" s="304"/>
      <c r="E1403" s="308"/>
      <c r="F1403" s="306"/>
    </row>
    <row r="1404" spans="1:6" ht="20.25">
      <c r="A1404" s="307"/>
      <c r="B1404" s="304"/>
      <c r="C1404" s="304"/>
      <c r="D1404" s="304"/>
      <c r="E1404" s="308"/>
      <c r="F1404" s="306"/>
    </row>
    <row r="1405" spans="1:6" ht="20.25">
      <c r="A1405" s="307"/>
      <c r="B1405" s="304"/>
      <c r="C1405" s="304"/>
      <c r="D1405" s="304"/>
      <c r="E1405" s="308"/>
      <c r="F1405" s="306"/>
    </row>
    <row r="1406" spans="1:6" ht="20.25">
      <c r="A1406" s="307"/>
      <c r="B1406" s="304"/>
      <c r="C1406" s="304"/>
      <c r="D1406" s="304"/>
      <c r="E1406" s="308"/>
      <c r="F1406" s="306"/>
    </row>
    <row r="1407" spans="1:6" ht="20.25">
      <c r="A1407" s="307"/>
      <c r="B1407" s="304"/>
      <c r="C1407" s="304"/>
      <c r="D1407" s="304"/>
      <c r="E1407" s="308"/>
      <c r="F1407" s="306"/>
    </row>
    <row r="1408" spans="1:6" ht="20.25">
      <c r="A1408" s="307"/>
      <c r="B1408" s="304"/>
      <c r="C1408" s="304"/>
      <c r="D1408" s="304"/>
      <c r="E1408" s="308"/>
      <c r="F1408" s="306"/>
    </row>
    <row r="1409" spans="1:6" ht="20.25">
      <c r="A1409" s="307"/>
      <c r="B1409" s="304"/>
      <c r="C1409" s="304"/>
      <c r="D1409" s="304"/>
      <c r="E1409" s="308"/>
      <c r="F1409" s="306"/>
    </row>
    <row r="1410" spans="1:6" ht="20.25">
      <c r="A1410" s="307"/>
      <c r="B1410" s="304"/>
      <c r="C1410" s="304"/>
      <c r="D1410" s="304"/>
      <c r="E1410" s="308"/>
      <c r="F1410" s="306"/>
    </row>
    <row r="1411" spans="1:6" ht="20.25">
      <c r="A1411" s="307"/>
      <c r="B1411" s="304"/>
      <c r="C1411" s="304"/>
      <c r="D1411" s="304"/>
      <c r="E1411" s="308"/>
      <c r="F1411" s="306"/>
    </row>
    <row r="1412" spans="1:6" ht="20.25">
      <c r="A1412" s="307"/>
      <c r="B1412" s="304"/>
      <c r="C1412" s="304"/>
      <c r="D1412" s="304"/>
      <c r="E1412" s="308"/>
      <c r="F1412" s="306"/>
    </row>
    <row r="1413" spans="1:6" ht="20.25">
      <c r="A1413" s="307"/>
      <c r="B1413" s="304"/>
      <c r="C1413" s="304"/>
      <c r="D1413" s="304"/>
      <c r="E1413" s="308"/>
      <c r="F1413" s="306"/>
    </row>
    <row r="1414" spans="1:6" ht="20.25">
      <c r="A1414" s="307"/>
      <c r="B1414" s="304"/>
      <c r="C1414" s="304"/>
      <c r="D1414" s="304"/>
      <c r="E1414" s="308"/>
      <c r="F1414" s="306"/>
    </row>
    <row r="1415" spans="1:6" ht="20.25">
      <c r="A1415" s="307"/>
      <c r="B1415" s="304"/>
      <c r="C1415" s="304"/>
      <c r="D1415" s="304"/>
      <c r="E1415" s="308"/>
      <c r="F1415" s="306"/>
    </row>
    <row r="1416" spans="1:6" ht="20.25">
      <c r="A1416" s="307"/>
      <c r="B1416" s="304"/>
      <c r="C1416" s="304"/>
      <c r="D1416" s="304"/>
      <c r="E1416" s="308"/>
      <c r="F1416" s="306"/>
    </row>
    <row r="1417" spans="1:6" ht="20.25">
      <c r="A1417" s="307"/>
      <c r="B1417" s="304"/>
      <c r="C1417" s="304"/>
      <c r="D1417" s="304"/>
      <c r="E1417" s="308"/>
      <c r="F1417" s="306"/>
    </row>
    <row r="1418" spans="1:6" ht="20.25">
      <c r="A1418" s="307"/>
      <c r="B1418" s="304"/>
      <c r="C1418" s="304"/>
      <c r="D1418" s="304"/>
      <c r="E1418" s="308"/>
      <c r="F1418" s="306"/>
    </row>
    <row r="1419" spans="1:6" ht="20.25">
      <c r="A1419" s="307"/>
      <c r="B1419" s="304"/>
      <c r="C1419" s="304"/>
      <c r="D1419" s="304"/>
      <c r="E1419" s="308"/>
      <c r="F1419" s="306"/>
    </row>
    <row r="1420" spans="1:6" ht="20.25">
      <c r="A1420" s="307"/>
      <c r="B1420" s="304"/>
      <c r="C1420" s="304"/>
      <c r="D1420" s="304"/>
      <c r="E1420" s="308"/>
      <c r="F1420" s="306"/>
    </row>
    <row r="1421" spans="1:6" ht="20.25">
      <c r="A1421" s="307"/>
      <c r="B1421" s="304"/>
      <c r="C1421" s="304"/>
      <c r="D1421" s="304"/>
      <c r="E1421" s="308"/>
      <c r="F1421" s="306"/>
    </row>
    <row r="1422" spans="1:6" ht="20.25">
      <c r="A1422" s="307"/>
      <c r="B1422" s="304"/>
      <c r="C1422" s="304"/>
      <c r="D1422" s="304"/>
      <c r="E1422" s="308"/>
      <c r="F1422" s="306"/>
    </row>
    <row r="1423" spans="1:6" ht="20.25">
      <c r="A1423" s="307"/>
      <c r="B1423" s="304"/>
      <c r="C1423" s="304"/>
      <c r="D1423" s="304"/>
      <c r="E1423" s="308"/>
      <c r="F1423" s="306"/>
    </row>
    <row r="1424" spans="1:6" ht="20.25">
      <c r="A1424" s="307"/>
      <c r="B1424" s="304"/>
      <c r="C1424" s="304"/>
      <c r="D1424" s="304"/>
      <c r="E1424" s="308"/>
      <c r="F1424" s="306"/>
    </row>
    <row r="1425" spans="1:6" ht="20.25">
      <c r="A1425" s="307"/>
      <c r="B1425" s="304"/>
      <c r="C1425" s="304"/>
      <c r="D1425" s="304"/>
      <c r="E1425" s="308"/>
      <c r="F1425" s="306"/>
    </row>
    <row r="1426" spans="1:6" ht="20.25">
      <c r="A1426" s="307"/>
      <c r="B1426" s="304"/>
      <c r="C1426" s="304"/>
      <c r="D1426" s="304"/>
      <c r="E1426" s="308"/>
      <c r="F1426" s="306"/>
    </row>
    <row r="1427" spans="1:6" ht="20.25">
      <c r="A1427" s="307"/>
      <c r="B1427" s="304"/>
      <c r="C1427" s="304"/>
      <c r="D1427" s="304"/>
      <c r="E1427" s="308"/>
      <c r="F1427" s="306"/>
    </row>
    <row r="1428" spans="1:6" ht="20.25">
      <c r="A1428" s="307"/>
      <c r="B1428" s="304"/>
      <c r="C1428" s="304"/>
      <c r="D1428" s="304"/>
      <c r="E1428" s="308"/>
      <c r="F1428" s="306"/>
    </row>
    <row r="1429" spans="1:6" ht="20.25">
      <c r="A1429" s="307"/>
      <c r="B1429" s="304"/>
      <c r="C1429" s="304"/>
      <c r="D1429" s="304"/>
      <c r="E1429" s="308"/>
      <c r="F1429" s="306"/>
    </row>
    <row r="1430" spans="1:6" ht="20.25">
      <c r="A1430" s="307"/>
      <c r="B1430" s="304"/>
      <c r="C1430" s="304"/>
      <c r="D1430" s="304"/>
      <c r="E1430" s="308"/>
      <c r="F1430" s="306"/>
    </row>
    <row r="1431" spans="1:6" ht="20.25">
      <c r="A1431" s="307"/>
      <c r="B1431" s="304"/>
      <c r="C1431" s="304"/>
      <c r="D1431" s="304"/>
      <c r="E1431" s="308"/>
      <c r="F1431" s="306"/>
    </row>
    <row r="1432" spans="1:6" ht="20.25">
      <c r="A1432" s="307"/>
      <c r="B1432" s="304"/>
      <c r="C1432" s="304"/>
      <c r="D1432" s="304"/>
      <c r="E1432" s="308"/>
      <c r="F1432" s="306"/>
    </row>
    <row r="1433" spans="1:6" ht="20.25">
      <c r="A1433" s="307"/>
      <c r="B1433" s="304"/>
      <c r="C1433" s="304"/>
      <c r="D1433" s="304"/>
      <c r="E1433" s="308"/>
      <c r="F1433" s="306"/>
    </row>
    <row r="1434" spans="1:6" ht="20.25">
      <c r="A1434" s="307"/>
      <c r="B1434" s="304"/>
      <c r="C1434" s="304"/>
      <c r="D1434" s="304"/>
      <c r="E1434" s="308"/>
      <c r="F1434" s="306"/>
    </row>
    <row r="1435" spans="1:6" ht="20.25">
      <c r="A1435" s="307"/>
      <c r="B1435" s="304"/>
      <c r="C1435" s="304"/>
      <c r="D1435" s="304"/>
      <c r="E1435" s="308"/>
      <c r="F1435" s="306"/>
    </row>
    <row r="1436" spans="1:6" ht="20.25">
      <c r="A1436" s="307"/>
      <c r="B1436" s="304"/>
      <c r="C1436" s="304"/>
      <c r="D1436" s="304"/>
      <c r="E1436" s="308"/>
      <c r="F1436" s="306"/>
    </row>
    <row r="1437" spans="1:6" ht="20.25">
      <c r="A1437" s="307"/>
      <c r="B1437" s="304"/>
      <c r="C1437" s="304"/>
      <c r="D1437" s="304"/>
      <c r="E1437" s="308"/>
      <c r="F1437" s="306"/>
    </row>
    <row r="1438" spans="1:6" ht="20.25">
      <c r="A1438" s="307"/>
      <c r="B1438" s="304"/>
      <c r="C1438" s="304"/>
      <c r="D1438" s="304"/>
      <c r="E1438" s="308"/>
      <c r="F1438" s="306"/>
    </row>
    <row r="1439" spans="1:6" ht="20.25">
      <c r="A1439" s="307"/>
      <c r="B1439" s="304"/>
      <c r="C1439" s="304"/>
      <c r="D1439" s="304"/>
      <c r="E1439" s="308"/>
      <c r="F1439" s="306"/>
    </row>
    <row r="1440" spans="1:6" ht="20.25">
      <c r="A1440" s="307"/>
      <c r="B1440" s="304"/>
      <c r="C1440" s="304"/>
      <c r="D1440" s="304"/>
      <c r="E1440" s="308"/>
      <c r="F1440" s="306"/>
    </row>
    <row r="1441" spans="1:6" ht="20.25">
      <c r="A1441" s="307"/>
      <c r="B1441" s="304"/>
      <c r="C1441" s="304"/>
      <c r="D1441" s="304"/>
      <c r="E1441" s="308"/>
      <c r="F1441" s="306"/>
    </row>
    <row r="1442" spans="1:6" ht="20.25">
      <c r="A1442" s="307"/>
      <c r="B1442" s="304"/>
      <c r="C1442" s="304"/>
      <c r="D1442" s="304"/>
      <c r="E1442" s="308"/>
      <c r="F1442" s="306"/>
    </row>
    <row r="1443" spans="1:6" ht="20.25">
      <c r="A1443" s="307"/>
      <c r="B1443" s="304"/>
      <c r="C1443" s="304"/>
      <c r="D1443" s="304"/>
      <c r="E1443" s="308"/>
      <c r="F1443" s="306"/>
    </row>
    <row r="1444" spans="1:6" ht="20.25">
      <c r="A1444" s="307"/>
      <c r="B1444" s="304"/>
      <c r="C1444" s="304"/>
      <c r="D1444" s="304"/>
      <c r="E1444" s="308"/>
      <c r="F1444" s="306"/>
    </row>
    <row r="1445" spans="1:6" ht="20.25">
      <c r="A1445" s="307"/>
      <c r="B1445" s="304"/>
      <c r="C1445" s="304"/>
      <c r="D1445" s="304"/>
      <c r="E1445" s="308"/>
      <c r="F1445" s="306"/>
    </row>
    <row r="1446" spans="1:6" ht="20.25">
      <c r="A1446" s="307"/>
      <c r="B1446" s="304"/>
      <c r="C1446" s="304"/>
      <c r="D1446" s="304"/>
      <c r="E1446" s="308"/>
      <c r="F1446" s="306"/>
    </row>
    <row r="1447" spans="1:6" ht="20.25">
      <c r="A1447" s="307"/>
      <c r="B1447" s="304"/>
      <c r="C1447" s="304"/>
      <c r="D1447" s="304"/>
      <c r="E1447" s="308"/>
      <c r="F1447" s="306"/>
    </row>
    <row r="1448" spans="1:6" ht="20.25">
      <c r="A1448" s="307"/>
      <c r="B1448" s="304"/>
      <c r="C1448" s="304"/>
      <c r="D1448" s="304"/>
      <c r="E1448" s="308"/>
      <c r="F1448" s="306"/>
    </row>
    <row r="1449" spans="1:6" ht="20.25">
      <c r="A1449" s="307"/>
      <c r="B1449" s="304"/>
      <c r="C1449" s="304"/>
      <c r="D1449" s="304"/>
      <c r="E1449" s="308"/>
      <c r="F1449" s="306"/>
    </row>
    <row r="1450" spans="1:6" ht="20.25">
      <c r="A1450" s="307"/>
      <c r="B1450" s="304"/>
      <c r="C1450" s="304"/>
      <c r="D1450" s="304"/>
      <c r="E1450" s="308"/>
      <c r="F1450" s="306"/>
    </row>
    <row r="1451" spans="1:6" ht="20.25">
      <c r="A1451" s="307"/>
      <c r="B1451" s="304"/>
      <c r="C1451" s="304"/>
      <c r="D1451" s="304"/>
      <c r="E1451" s="308"/>
      <c r="F1451" s="306"/>
    </row>
    <row r="1452" spans="1:6" ht="20.25">
      <c r="A1452" s="307"/>
      <c r="B1452" s="304"/>
      <c r="C1452" s="304"/>
      <c r="D1452" s="304"/>
      <c r="E1452" s="308"/>
      <c r="F1452" s="306"/>
    </row>
    <row r="1453" spans="1:6" ht="20.25">
      <c r="A1453" s="307"/>
      <c r="B1453" s="304"/>
      <c r="C1453" s="304"/>
      <c r="D1453" s="304"/>
      <c r="E1453" s="308"/>
      <c r="F1453" s="306"/>
    </row>
    <row r="1454" spans="1:6" ht="20.25">
      <c r="A1454" s="307"/>
      <c r="B1454" s="304"/>
      <c r="C1454" s="304"/>
      <c r="D1454" s="304"/>
      <c r="E1454" s="308"/>
      <c r="F1454" s="306"/>
    </row>
    <row r="1455" spans="1:6" ht="20.25">
      <c r="A1455" s="307"/>
      <c r="B1455" s="304"/>
      <c r="C1455" s="304"/>
      <c r="D1455" s="304"/>
      <c r="E1455" s="308"/>
      <c r="F1455" s="306"/>
    </row>
    <row r="1456" spans="1:6" ht="20.25">
      <c r="A1456" s="307"/>
      <c r="B1456" s="304"/>
      <c r="C1456" s="304"/>
      <c r="D1456" s="304"/>
      <c r="E1456" s="308"/>
      <c r="F1456" s="306"/>
    </row>
    <row r="1457" spans="1:6" ht="20.25">
      <c r="A1457" s="307"/>
      <c r="B1457" s="304"/>
      <c r="C1457" s="304"/>
      <c r="D1457" s="304"/>
      <c r="E1457" s="308"/>
      <c r="F1457" s="306"/>
    </row>
    <row r="1458" spans="1:6" ht="20.25">
      <c r="A1458" s="307"/>
      <c r="B1458" s="304"/>
      <c r="C1458" s="304"/>
      <c r="D1458" s="304"/>
      <c r="E1458" s="308"/>
      <c r="F1458" s="306"/>
    </row>
    <row r="1459" spans="1:6" ht="20.25">
      <c r="A1459" s="307"/>
      <c r="B1459" s="304"/>
      <c r="C1459" s="304"/>
      <c r="D1459" s="304"/>
      <c r="E1459" s="308"/>
      <c r="F1459" s="306"/>
    </row>
    <row r="1460" spans="1:6" ht="20.25">
      <c r="A1460" s="307"/>
      <c r="B1460" s="304"/>
      <c r="C1460" s="304"/>
      <c r="D1460" s="304"/>
      <c r="E1460" s="308"/>
      <c r="F1460" s="306"/>
    </row>
    <row r="1461" spans="1:6" ht="20.25">
      <c r="A1461" s="307"/>
      <c r="B1461" s="304"/>
      <c r="C1461" s="304"/>
      <c r="D1461" s="304"/>
      <c r="E1461" s="308"/>
      <c r="F1461" s="306"/>
    </row>
    <row r="1462" spans="1:6" ht="20.25">
      <c r="A1462" s="307"/>
      <c r="B1462" s="304"/>
      <c r="C1462" s="304"/>
      <c r="D1462" s="304"/>
      <c r="E1462" s="308"/>
      <c r="F1462" s="306"/>
    </row>
    <row r="1463" spans="1:6" ht="20.25">
      <c r="A1463" s="307"/>
      <c r="B1463" s="304"/>
      <c r="C1463" s="304"/>
      <c r="D1463" s="304"/>
      <c r="E1463" s="308"/>
      <c r="F1463" s="306"/>
    </row>
    <row r="1464" spans="1:6" ht="20.25">
      <c r="A1464" s="307"/>
      <c r="B1464" s="304"/>
      <c r="C1464" s="304"/>
      <c r="D1464" s="304"/>
      <c r="E1464" s="308"/>
      <c r="F1464" s="306"/>
    </row>
    <row r="1465" spans="1:6" ht="20.25">
      <c r="A1465" s="307"/>
      <c r="B1465" s="304"/>
      <c r="C1465" s="304"/>
      <c r="D1465" s="304"/>
      <c r="E1465" s="308"/>
      <c r="F1465" s="306"/>
    </row>
    <row r="1466" spans="1:6" ht="20.25">
      <c r="A1466" s="307"/>
      <c r="B1466" s="304"/>
      <c r="C1466" s="304"/>
      <c r="D1466" s="304"/>
      <c r="E1466" s="308"/>
      <c r="F1466" s="306"/>
    </row>
    <row r="1467" spans="1:6" ht="20.25">
      <c r="A1467" s="307"/>
      <c r="B1467" s="304"/>
      <c r="C1467" s="304"/>
      <c r="D1467" s="304"/>
      <c r="E1467" s="308"/>
      <c r="F1467" s="306"/>
    </row>
    <row r="1468" spans="1:6" ht="20.25">
      <c r="A1468" s="307"/>
      <c r="B1468" s="304"/>
      <c r="C1468" s="304"/>
      <c r="D1468" s="304"/>
      <c r="E1468" s="308"/>
      <c r="F1468" s="306"/>
    </row>
    <row r="1469" spans="1:6" ht="20.25">
      <c r="A1469" s="307"/>
      <c r="B1469" s="304"/>
      <c r="C1469" s="304"/>
      <c r="D1469" s="304"/>
      <c r="E1469" s="308"/>
      <c r="F1469" s="306"/>
    </row>
    <row r="1470" spans="1:6" ht="20.25">
      <c r="A1470" s="307"/>
      <c r="B1470" s="304"/>
      <c r="C1470" s="304"/>
      <c r="D1470" s="304"/>
      <c r="E1470" s="308"/>
      <c r="F1470" s="306"/>
    </row>
    <row r="1471" spans="1:6" ht="20.25">
      <c r="A1471" s="307"/>
      <c r="B1471" s="304"/>
      <c r="C1471" s="304"/>
      <c r="D1471" s="304"/>
      <c r="E1471" s="308"/>
      <c r="F1471" s="306"/>
    </row>
    <row r="1472" spans="1:6" ht="20.25">
      <c r="A1472" s="307"/>
      <c r="B1472" s="304"/>
      <c r="C1472" s="304"/>
      <c r="D1472" s="304"/>
      <c r="E1472" s="308"/>
      <c r="F1472" s="306"/>
    </row>
    <row r="1473" spans="1:6" ht="20.25">
      <c r="A1473" s="307"/>
      <c r="B1473" s="304"/>
      <c r="C1473" s="304"/>
      <c r="D1473" s="304"/>
      <c r="E1473" s="308"/>
      <c r="F1473" s="306"/>
    </row>
    <row r="1474" spans="1:6" ht="20.25">
      <c r="A1474" s="307"/>
      <c r="B1474" s="304"/>
      <c r="C1474" s="304"/>
      <c r="D1474" s="304"/>
      <c r="E1474" s="308"/>
      <c r="F1474" s="306"/>
    </row>
    <row r="1475" spans="1:6" ht="20.25">
      <c r="A1475" s="307"/>
      <c r="B1475" s="304"/>
      <c r="C1475" s="304"/>
      <c r="D1475" s="304"/>
      <c r="E1475" s="308"/>
      <c r="F1475" s="306"/>
    </row>
    <row r="1476" spans="1:6" ht="20.25">
      <c r="A1476" s="307"/>
      <c r="B1476" s="304"/>
      <c r="C1476" s="304"/>
      <c r="D1476" s="304"/>
      <c r="E1476" s="308"/>
      <c r="F1476" s="306"/>
    </row>
    <row r="1477" spans="1:6" ht="20.25">
      <c r="A1477" s="307"/>
      <c r="B1477" s="304"/>
      <c r="C1477" s="304"/>
      <c r="D1477" s="304"/>
      <c r="E1477" s="308"/>
      <c r="F1477" s="306"/>
    </row>
    <row r="1478" spans="1:6" ht="20.25">
      <c r="A1478" s="307"/>
      <c r="B1478" s="304"/>
      <c r="C1478" s="304"/>
      <c r="D1478" s="304"/>
      <c r="E1478" s="308"/>
      <c r="F1478" s="306"/>
    </row>
    <row r="1479" spans="1:6" ht="20.25">
      <c r="A1479" s="307"/>
      <c r="B1479" s="304"/>
      <c r="C1479" s="304"/>
      <c r="D1479" s="304"/>
      <c r="E1479" s="308"/>
      <c r="F1479" s="306"/>
    </row>
    <row r="1480" spans="1:6" ht="20.25">
      <c r="A1480" s="307"/>
      <c r="B1480" s="304"/>
      <c r="C1480" s="304"/>
      <c r="D1480" s="304"/>
      <c r="E1480" s="308"/>
      <c r="F1480" s="306"/>
    </row>
    <row r="1481" spans="1:6" ht="20.25">
      <c r="A1481" s="307"/>
      <c r="B1481" s="304"/>
      <c r="C1481" s="304"/>
      <c r="D1481" s="304"/>
      <c r="E1481" s="308"/>
      <c r="F1481" s="306"/>
    </row>
    <row r="1482" spans="1:6" ht="20.25">
      <c r="A1482" s="307"/>
      <c r="B1482" s="304"/>
      <c r="C1482" s="304"/>
      <c r="D1482" s="304"/>
      <c r="E1482" s="308"/>
      <c r="F1482" s="306"/>
    </row>
    <row r="1483" spans="1:6" ht="20.25">
      <c r="A1483" s="307"/>
      <c r="B1483" s="304"/>
      <c r="C1483" s="304"/>
      <c r="D1483" s="304"/>
      <c r="E1483" s="308"/>
      <c r="F1483" s="306"/>
    </row>
    <row r="1484" spans="1:6" ht="20.25">
      <c r="A1484" s="307"/>
      <c r="B1484" s="304"/>
      <c r="C1484" s="304"/>
      <c r="D1484" s="304"/>
      <c r="E1484" s="308"/>
      <c r="F1484" s="306"/>
    </row>
    <row r="1485" spans="1:6" ht="20.25">
      <c r="A1485" s="307"/>
      <c r="B1485" s="304"/>
      <c r="C1485" s="304"/>
      <c r="D1485" s="304"/>
      <c r="E1485" s="308"/>
      <c r="F1485" s="306"/>
    </row>
    <row r="1486" spans="1:6" ht="20.25">
      <c r="A1486" s="307"/>
      <c r="B1486" s="304"/>
      <c r="C1486" s="304"/>
      <c r="D1486" s="304"/>
      <c r="E1486" s="308"/>
      <c r="F1486" s="306"/>
    </row>
    <row r="1487" spans="1:6" ht="20.25">
      <c r="A1487" s="307"/>
      <c r="B1487" s="304"/>
      <c r="C1487" s="304"/>
      <c r="D1487" s="304"/>
      <c r="E1487" s="308"/>
      <c r="F1487" s="306"/>
    </row>
    <row r="1488" spans="1:6" ht="20.25">
      <c r="A1488" s="307"/>
      <c r="B1488" s="304"/>
      <c r="C1488" s="304"/>
      <c r="D1488" s="304"/>
      <c r="E1488" s="308"/>
      <c r="F1488" s="306"/>
    </row>
    <row r="1489" spans="1:6" ht="20.25">
      <c r="A1489" s="307"/>
      <c r="B1489" s="304"/>
      <c r="C1489" s="304"/>
      <c r="D1489" s="304"/>
      <c r="E1489" s="308"/>
      <c r="F1489" s="306"/>
    </row>
    <row r="1490" spans="1:6" ht="20.25">
      <c r="A1490" s="307"/>
      <c r="B1490" s="304"/>
      <c r="C1490" s="304"/>
      <c r="D1490" s="304"/>
      <c r="E1490" s="308"/>
      <c r="F1490" s="306"/>
    </row>
    <row r="1491" spans="1:6" ht="20.25">
      <c r="A1491" s="307"/>
      <c r="B1491" s="304"/>
      <c r="C1491" s="304"/>
      <c r="D1491" s="304"/>
      <c r="E1491" s="308"/>
      <c r="F1491" s="306"/>
    </row>
    <row r="1492" spans="1:6" ht="20.25">
      <c r="A1492" s="307"/>
      <c r="B1492" s="304"/>
      <c r="C1492" s="304"/>
      <c r="D1492" s="304"/>
      <c r="E1492" s="308"/>
      <c r="F1492" s="306"/>
    </row>
    <row r="1493" spans="1:6" ht="20.25">
      <c r="A1493" s="307"/>
      <c r="B1493" s="304"/>
      <c r="C1493" s="304"/>
      <c r="D1493" s="304"/>
      <c r="E1493" s="308"/>
      <c r="F1493" s="306"/>
    </row>
    <row r="1494" spans="1:6" ht="20.25">
      <c r="A1494" s="307"/>
      <c r="B1494" s="304"/>
      <c r="C1494" s="304"/>
      <c r="D1494" s="304"/>
      <c r="E1494" s="308"/>
      <c r="F1494" s="306"/>
    </row>
    <row r="1495" spans="1:6" ht="20.25">
      <c r="A1495" s="307"/>
      <c r="B1495" s="304"/>
      <c r="C1495" s="304"/>
      <c r="D1495" s="304"/>
      <c r="E1495" s="308"/>
      <c r="F1495" s="306"/>
    </row>
    <row r="1496" spans="1:6" ht="20.25">
      <c r="A1496" s="307"/>
      <c r="B1496" s="304"/>
      <c r="C1496" s="304"/>
      <c r="D1496" s="304"/>
      <c r="E1496" s="308"/>
      <c r="F1496" s="306"/>
    </row>
    <row r="1497" spans="1:6" ht="20.25">
      <c r="A1497" s="307"/>
      <c r="B1497" s="304"/>
      <c r="C1497" s="304"/>
      <c r="D1497" s="304"/>
      <c r="E1497" s="308"/>
      <c r="F1497" s="306"/>
    </row>
    <row r="1498" spans="1:6" ht="20.25">
      <c r="A1498" s="307"/>
      <c r="B1498" s="304"/>
      <c r="C1498" s="304"/>
      <c r="D1498" s="304"/>
      <c r="E1498" s="308"/>
      <c r="F1498" s="306"/>
    </row>
    <row r="1499" spans="1:6" ht="20.25">
      <c r="A1499" s="307"/>
      <c r="B1499" s="304"/>
      <c r="C1499" s="304"/>
      <c r="D1499" s="304"/>
      <c r="E1499" s="308"/>
      <c r="F1499" s="306"/>
    </row>
    <row r="1500" spans="1:6" ht="20.25">
      <c r="A1500" s="307"/>
      <c r="B1500" s="304"/>
      <c r="C1500" s="304"/>
      <c r="D1500" s="304"/>
      <c r="E1500" s="308"/>
      <c r="F1500" s="306"/>
    </row>
    <row r="1501" spans="1:6" ht="20.25">
      <c r="A1501" s="307"/>
      <c r="B1501" s="304"/>
      <c r="C1501" s="304"/>
      <c r="D1501" s="304"/>
      <c r="E1501" s="308"/>
      <c r="F1501" s="306"/>
    </row>
    <row r="1502" spans="1:6" ht="20.25">
      <c r="A1502" s="307"/>
      <c r="B1502" s="304"/>
      <c r="C1502" s="304"/>
      <c r="D1502" s="304"/>
      <c r="E1502" s="308"/>
      <c r="F1502" s="306"/>
    </row>
    <row r="1503" spans="1:6" ht="20.25">
      <c r="A1503" s="307"/>
      <c r="B1503" s="304"/>
      <c r="C1503" s="304"/>
      <c r="D1503" s="304"/>
      <c r="E1503" s="308"/>
      <c r="F1503" s="306"/>
    </row>
    <row r="1504" spans="1:6" ht="20.25">
      <c r="A1504" s="307"/>
      <c r="B1504" s="304"/>
      <c r="C1504" s="304"/>
      <c r="D1504" s="304"/>
      <c r="E1504" s="308"/>
      <c r="F1504" s="306"/>
    </row>
    <row r="1505" spans="1:6" ht="20.25">
      <c r="A1505" s="307"/>
      <c r="B1505" s="304"/>
      <c r="C1505" s="304"/>
      <c r="D1505" s="304"/>
      <c r="E1505" s="308"/>
      <c r="F1505" s="306"/>
    </row>
    <row r="1506" spans="1:6" ht="20.25">
      <c r="A1506" s="307"/>
      <c r="B1506" s="304"/>
      <c r="C1506" s="304"/>
      <c r="D1506" s="304"/>
      <c r="E1506" s="308"/>
      <c r="F1506" s="306"/>
    </row>
    <row r="1507" spans="1:6" ht="20.25">
      <c r="A1507" s="307"/>
      <c r="B1507" s="304"/>
      <c r="C1507" s="304"/>
      <c r="D1507" s="304"/>
      <c r="E1507" s="308"/>
      <c r="F1507" s="306"/>
    </row>
    <row r="1508" spans="1:6" ht="20.25">
      <c r="A1508" s="307"/>
      <c r="B1508" s="304"/>
      <c r="C1508" s="304"/>
      <c r="D1508" s="304"/>
      <c r="E1508" s="308"/>
      <c r="F1508" s="306"/>
    </row>
    <row r="1509" spans="1:6" ht="20.25">
      <c r="A1509" s="307"/>
      <c r="B1509" s="304"/>
      <c r="C1509" s="304"/>
      <c r="D1509" s="304"/>
      <c r="E1509" s="308"/>
      <c r="F1509" s="306"/>
    </row>
    <row r="1510" spans="1:6" ht="20.25">
      <c r="A1510" s="307"/>
      <c r="B1510" s="304"/>
      <c r="C1510" s="304"/>
      <c r="D1510" s="304"/>
      <c r="E1510" s="308"/>
      <c r="F1510" s="306"/>
    </row>
    <row r="1511" spans="1:6" ht="20.25">
      <c r="A1511" s="307"/>
      <c r="B1511" s="304"/>
      <c r="C1511" s="304"/>
      <c r="D1511" s="304"/>
      <c r="E1511" s="308"/>
      <c r="F1511" s="306"/>
    </row>
    <row r="1512" spans="1:6" ht="20.25">
      <c r="A1512" s="307"/>
      <c r="B1512" s="304"/>
      <c r="C1512" s="304"/>
      <c r="D1512" s="304"/>
      <c r="E1512" s="308"/>
      <c r="F1512" s="306"/>
    </row>
    <row r="1513" spans="1:6" ht="20.25">
      <c r="A1513" s="307"/>
      <c r="B1513" s="304"/>
      <c r="C1513" s="304"/>
      <c r="D1513" s="304"/>
      <c r="E1513" s="308"/>
      <c r="F1513" s="306"/>
    </row>
    <row r="1514" spans="1:6" ht="20.25">
      <c r="A1514" s="307"/>
      <c r="B1514" s="304"/>
      <c r="C1514" s="304"/>
      <c r="D1514" s="304"/>
      <c r="E1514" s="308"/>
      <c r="F1514" s="306"/>
    </row>
    <row r="1515" spans="1:6" ht="20.25">
      <c r="A1515" s="307"/>
      <c r="B1515" s="304"/>
      <c r="C1515" s="304"/>
      <c r="D1515" s="304"/>
      <c r="E1515" s="308"/>
      <c r="F1515" s="306"/>
    </row>
    <row r="1516" spans="1:6" ht="20.25">
      <c r="A1516" s="307"/>
      <c r="B1516" s="304"/>
      <c r="C1516" s="304"/>
      <c r="D1516" s="304"/>
      <c r="E1516" s="308"/>
      <c r="F1516" s="306"/>
    </row>
    <row r="1517" spans="1:6" ht="20.25">
      <c r="A1517" s="307"/>
      <c r="B1517" s="304"/>
      <c r="C1517" s="304"/>
      <c r="D1517" s="304"/>
      <c r="E1517" s="308"/>
      <c r="F1517" s="306"/>
    </row>
    <row r="1518" spans="1:6" ht="20.25">
      <c r="A1518" s="309"/>
      <c r="B1518" s="310"/>
      <c r="C1518" s="310"/>
      <c r="D1518" s="310"/>
      <c r="E1518" s="311"/>
      <c r="F1518" s="312"/>
    </row>
    <row r="1519" spans="1:6" ht="20.25">
      <c r="A1519" s="309"/>
      <c r="B1519" s="310"/>
      <c r="C1519" s="310"/>
      <c r="D1519" s="310"/>
      <c r="E1519" s="311"/>
      <c r="F1519" s="312"/>
    </row>
    <row r="1520" spans="1:6" ht="20.25">
      <c r="A1520" s="309"/>
      <c r="B1520" s="310"/>
      <c r="C1520" s="310"/>
      <c r="D1520" s="310"/>
      <c r="E1520" s="311"/>
      <c r="F1520" s="312"/>
    </row>
    <row r="1521" spans="1:6" ht="20.25">
      <c r="A1521" s="309"/>
      <c r="B1521" s="310"/>
      <c r="C1521" s="310"/>
      <c r="D1521" s="310"/>
      <c r="E1521" s="311"/>
      <c r="F1521" s="312"/>
    </row>
    <row r="1522" spans="1:6" ht="20.25">
      <c r="A1522" s="309"/>
      <c r="B1522" s="310"/>
      <c r="C1522" s="310"/>
      <c r="D1522" s="310"/>
      <c r="E1522" s="311"/>
      <c r="F1522" s="312"/>
    </row>
    <row r="1523" spans="1:6" ht="20.25">
      <c r="A1523" s="309"/>
      <c r="B1523" s="310"/>
      <c r="C1523" s="310"/>
      <c r="D1523" s="310"/>
      <c r="E1523" s="311"/>
      <c r="F1523" s="312"/>
    </row>
    <row r="1524" spans="1:6" ht="20.25">
      <c r="A1524" s="309"/>
      <c r="B1524" s="310"/>
      <c r="C1524" s="310"/>
      <c r="D1524" s="310"/>
      <c r="E1524" s="311"/>
      <c r="F1524" s="312"/>
    </row>
    <row r="1525" spans="1:6" ht="20.25">
      <c r="A1525" s="309"/>
      <c r="B1525" s="310"/>
      <c r="C1525" s="310"/>
      <c r="D1525" s="310"/>
      <c r="E1525" s="311"/>
      <c r="F1525" s="312"/>
    </row>
    <row r="1526" spans="1:6" ht="20.25">
      <c r="A1526" s="309"/>
      <c r="B1526" s="310"/>
      <c r="C1526" s="310"/>
      <c r="D1526" s="310"/>
      <c r="E1526" s="311"/>
      <c r="F1526" s="312"/>
    </row>
    <row r="1527" spans="1:6" ht="20.25">
      <c r="A1527" s="309"/>
      <c r="B1527" s="310"/>
      <c r="C1527" s="310"/>
      <c r="D1527" s="310"/>
      <c r="E1527" s="311"/>
      <c r="F1527" s="312"/>
    </row>
    <row r="1528" spans="1:6" ht="20.25">
      <c r="A1528" s="309"/>
      <c r="B1528" s="310"/>
      <c r="C1528" s="310"/>
      <c r="D1528" s="310"/>
      <c r="E1528" s="311"/>
      <c r="F1528" s="312"/>
    </row>
    <row r="1529" spans="1:6" ht="20.25">
      <c r="A1529" s="309"/>
      <c r="B1529" s="310"/>
      <c r="C1529" s="310"/>
      <c r="D1529" s="310"/>
      <c r="E1529" s="311"/>
      <c r="F1529" s="312"/>
    </row>
    <row r="1530" spans="1:6" ht="20.25">
      <c r="A1530" s="309"/>
      <c r="B1530" s="310"/>
      <c r="C1530" s="310"/>
      <c r="D1530" s="310"/>
      <c r="E1530" s="311"/>
      <c r="F1530" s="312"/>
    </row>
    <row r="1531" spans="1:6" ht="20.25">
      <c r="A1531" s="309"/>
      <c r="B1531" s="310"/>
      <c r="C1531" s="310"/>
      <c r="D1531" s="310"/>
      <c r="E1531" s="311"/>
      <c r="F1531" s="312"/>
    </row>
    <row r="1532" spans="1:6" ht="20.25">
      <c r="A1532" s="309"/>
      <c r="B1532" s="310"/>
      <c r="C1532" s="310"/>
      <c r="D1532" s="310"/>
      <c r="E1532" s="311"/>
      <c r="F1532" s="312"/>
    </row>
    <row r="1533" spans="1:6" ht="20.25">
      <c r="A1533" s="309"/>
      <c r="B1533" s="310"/>
      <c r="C1533" s="310"/>
      <c r="D1533" s="310"/>
      <c r="E1533" s="311"/>
      <c r="F1533" s="312"/>
    </row>
    <row r="1534" spans="1:6" ht="20.25">
      <c r="A1534" s="309"/>
      <c r="B1534" s="310"/>
      <c r="C1534" s="310"/>
      <c r="D1534" s="310"/>
      <c r="E1534" s="311"/>
      <c r="F1534" s="312"/>
    </row>
    <row r="1535" spans="1:6" ht="20.25">
      <c r="A1535" s="309"/>
      <c r="B1535" s="310"/>
      <c r="C1535" s="310"/>
      <c r="D1535" s="310"/>
      <c r="E1535" s="311"/>
      <c r="F1535" s="312"/>
    </row>
    <row r="1536" spans="1:6" ht="20.25">
      <c r="A1536" s="309"/>
      <c r="B1536" s="310"/>
      <c r="C1536" s="310"/>
      <c r="D1536" s="310"/>
      <c r="E1536" s="311"/>
      <c r="F1536" s="312"/>
    </row>
    <row r="1537" spans="1:6" ht="20.25">
      <c r="A1537" s="309"/>
      <c r="B1537" s="310"/>
      <c r="C1537" s="310"/>
      <c r="D1537" s="310"/>
      <c r="E1537" s="311"/>
      <c r="F1537" s="312"/>
    </row>
    <row r="1538" spans="1:6" ht="20.25">
      <c r="A1538" s="309"/>
      <c r="B1538" s="310"/>
      <c r="C1538" s="310"/>
      <c r="D1538" s="310"/>
      <c r="E1538" s="311"/>
      <c r="F1538" s="312"/>
    </row>
    <row r="1539" spans="1:6" ht="20.25">
      <c r="A1539" s="309"/>
      <c r="B1539" s="310"/>
      <c r="C1539" s="310"/>
      <c r="D1539" s="310"/>
      <c r="E1539" s="311"/>
      <c r="F1539" s="312"/>
    </row>
    <row r="1540" spans="1:6" ht="20.25">
      <c r="A1540" s="309"/>
      <c r="B1540" s="310"/>
      <c r="C1540" s="310"/>
      <c r="D1540" s="310"/>
      <c r="E1540" s="311"/>
      <c r="F1540" s="312"/>
    </row>
    <row r="1541" spans="1:6" ht="20.25">
      <c r="A1541" s="309"/>
      <c r="B1541" s="310"/>
      <c r="C1541" s="310"/>
      <c r="D1541" s="310"/>
      <c r="E1541" s="311"/>
      <c r="F1541" s="312"/>
    </row>
    <row r="1542" spans="1:6" ht="20.25">
      <c r="A1542" s="309"/>
      <c r="B1542" s="310"/>
      <c r="C1542" s="310"/>
      <c r="D1542" s="310"/>
      <c r="E1542" s="311"/>
      <c r="F1542" s="312"/>
    </row>
    <row r="1543" spans="1:6" ht="20.25">
      <c r="A1543" s="309"/>
      <c r="B1543" s="310"/>
      <c r="C1543" s="310"/>
      <c r="D1543" s="310"/>
      <c r="E1543" s="311"/>
      <c r="F1543" s="312"/>
    </row>
    <row r="1544" spans="1:6" ht="20.25">
      <c r="A1544" s="309"/>
      <c r="B1544" s="310"/>
      <c r="C1544" s="310"/>
      <c r="D1544" s="310"/>
      <c r="E1544" s="311"/>
      <c r="F1544" s="312"/>
    </row>
    <row r="1545" spans="1:6" ht="20.25">
      <c r="A1545" s="309"/>
      <c r="B1545" s="310"/>
      <c r="C1545" s="310"/>
      <c r="D1545" s="310"/>
      <c r="E1545" s="311"/>
      <c r="F1545" s="312"/>
    </row>
    <row r="1546" spans="1:6" ht="20.25">
      <c r="A1546" s="309"/>
      <c r="B1546" s="310"/>
      <c r="C1546" s="310"/>
      <c r="D1546" s="310"/>
      <c r="E1546" s="311"/>
      <c r="F1546" s="312"/>
    </row>
    <row r="1547" spans="1:6" ht="20.25">
      <c r="A1547" s="309"/>
      <c r="B1547" s="310"/>
      <c r="C1547" s="310"/>
      <c r="D1547" s="310"/>
      <c r="E1547" s="311"/>
      <c r="F1547" s="312"/>
    </row>
    <row r="1548" spans="1:6" ht="20.25">
      <c r="A1548" s="309"/>
      <c r="B1548" s="310"/>
      <c r="C1548" s="310"/>
      <c r="D1548" s="310"/>
      <c r="E1548" s="311"/>
      <c r="F1548" s="312"/>
    </row>
    <row r="1549" spans="1:6" ht="20.25">
      <c r="A1549" s="309"/>
      <c r="B1549" s="310"/>
      <c r="C1549" s="310"/>
      <c r="D1549" s="310"/>
      <c r="E1549" s="311"/>
      <c r="F1549" s="312"/>
    </row>
    <row r="1550" spans="1:6" ht="20.25">
      <c r="A1550" s="309"/>
      <c r="B1550" s="310"/>
      <c r="C1550" s="310"/>
      <c r="D1550" s="310"/>
      <c r="E1550" s="311"/>
      <c r="F1550" s="312"/>
    </row>
    <row r="1551" spans="1:6" ht="20.25">
      <c r="A1551" s="309"/>
      <c r="B1551" s="310"/>
      <c r="C1551" s="310"/>
      <c r="D1551" s="310"/>
      <c r="E1551" s="311"/>
      <c r="F1551" s="312"/>
    </row>
    <row r="1552" spans="1:6" ht="20.25">
      <c r="A1552" s="309"/>
      <c r="B1552" s="310"/>
      <c r="C1552" s="310"/>
      <c r="D1552" s="310"/>
      <c r="E1552" s="311"/>
      <c r="F1552" s="312"/>
    </row>
    <row r="1553" spans="1:6" ht="20.25">
      <c r="A1553" s="309"/>
      <c r="B1553" s="310"/>
      <c r="C1553" s="310"/>
      <c r="D1553" s="310"/>
      <c r="E1553" s="311"/>
      <c r="F1553" s="312"/>
    </row>
    <row r="1554" spans="1:6" ht="20.25">
      <c r="A1554" s="309"/>
      <c r="B1554" s="310"/>
      <c r="C1554" s="310"/>
      <c r="D1554" s="310"/>
      <c r="E1554" s="311"/>
      <c r="F1554" s="312"/>
    </row>
    <row r="1555" spans="1:6" ht="20.25">
      <c r="A1555" s="309"/>
      <c r="B1555" s="310"/>
      <c r="C1555" s="310"/>
      <c r="D1555" s="310"/>
      <c r="E1555" s="311"/>
      <c r="F1555" s="312"/>
    </row>
    <row r="1556" spans="1:6" ht="20.25">
      <c r="A1556" s="309"/>
      <c r="B1556" s="310"/>
      <c r="C1556" s="310"/>
      <c r="D1556" s="310"/>
      <c r="E1556" s="311"/>
      <c r="F1556" s="312"/>
    </row>
    <row r="1557" spans="1:6" ht="20.25">
      <c r="A1557" s="309"/>
      <c r="B1557" s="310"/>
      <c r="C1557" s="310"/>
      <c r="D1557" s="310"/>
      <c r="E1557" s="311"/>
      <c r="F1557" s="312"/>
    </row>
    <row r="1558" spans="1:6" ht="20.25">
      <c r="A1558" s="309"/>
      <c r="B1558" s="310"/>
      <c r="C1558" s="310"/>
      <c r="D1558" s="310"/>
      <c r="E1558" s="311"/>
      <c r="F1558" s="312"/>
    </row>
    <row r="1559" spans="1:6" ht="20.25">
      <c r="A1559" s="309"/>
      <c r="B1559" s="310"/>
      <c r="C1559" s="310"/>
      <c r="D1559" s="310"/>
      <c r="E1559" s="311"/>
      <c r="F1559" s="312"/>
    </row>
    <row r="1560" spans="1:6" ht="20.25">
      <c r="A1560" s="309"/>
      <c r="B1560" s="310"/>
      <c r="C1560" s="310"/>
      <c r="D1560" s="310"/>
      <c r="E1560" s="311"/>
      <c r="F1560" s="312"/>
    </row>
    <row r="1561" spans="1:6" ht="20.25">
      <c r="A1561" s="309"/>
      <c r="B1561" s="310"/>
      <c r="C1561" s="310"/>
      <c r="D1561" s="310"/>
      <c r="E1561" s="311"/>
      <c r="F1561" s="312"/>
    </row>
    <row r="1562" spans="1:6" ht="20.25">
      <c r="A1562" s="309"/>
      <c r="B1562" s="310"/>
      <c r="C1562" s="310"/>
      <c r="D1562" s="310"/>
      <c r="E1562" s="311"/>
      <c r="F1562" s="312"/>
    </row>
    <row r="1563" spans="1:6" ht="20.25">
      <c r="A1563" s="309"/>
      <c r="B1563" s="310"/>
      <c r="C1563" s="310"/>
      <c r="D1563" s="310"/>
      <c r="E1563" s="311"/>
      <c r="F1563" s="312"/>
    </row>
    <row r="1564" spans="1:6" ht="20.25">
      <c r="A1564" s="309"/>
      <c r="B1564" s="310"/>
      <c r="C1564" s="310"/>
      <c r="D1564" s="310"/>
      <c r="E1564" s="311"/>
      <c r="F1564" s="312"/>
    </row>
    <row r="1565" spans="1:6" ht="20.25">
      <c r="A1565" s="309"/>
      <c r="B1565" s="310"/>
      <c r="C1565" s="310"/>
      <c r="D1565" s="310"/>
      <c r="E1565" s="311"/>
      <c r="F1565" s="312"/>
    </row>
    <row r="1566" spans="1:6" ht="20.25">
      <c r="A1566" s="309"/>
      <c r="B1566" s="310"/>
      <c r="C1566" s="310"/>
      <c r="D1566" s="310"/>
      <c r="E1566" s="311"/>
      <c r="F1566" s="312"/>
    </row>
    <row r="1567" spans="1:6" ht="20.25">
      <c r="A1567" s="309"/>
      <c r="B1567" s="310"/>
      <c r="C1567" s="310"/>
      <c r="D1567" s="310"/>
      <c r="E1567" s="311"/>
      <c r="F1567" s="312"/>
    </row>
    <row r="1568" spans="1:6" ht="20.25">
      <c r="A1568" s="309"/>
      <c r="B1568" s="310"/>
      <c r="C1568" s="310"/>
      <c r="D1568" s="310"/>
      <c r="E1568" s="311"/>
      <c r="F1568" s="312"/>
    </row>
    <row r="1569" spans="1:6" ht="20.25">
      <c r="A1569" s="309"/>
      <c r="B1569" s="310"/>
      <c r="C1569" s="310"/>
      <c r="D1569" s="310"/>
      <c r="E1569" s="311"/>
      <c r="F1569" s="312"/>
    </row>
    <row r="1570" spans="1:6" ht="20.25">
      <c r="A1570" s="309"/>
      <c r="B1570" s="310"/>
      <c r="C1570" s="310"/>
      <c r="D1570" s="310"/>
      <c r="E1570" s="311"/>
      <c r="F1570" s="312"/>
    </row>
    <row r="1571" spans="1:6" ht="20.25">
      <c r="A1571" s="309"/>
      <c r="B1571" s="310"/>
      <c r="C1571" s="310"/>
      <c r="D1571" s="310"/>
      <c r="E1571" s="311"/>
      <c r="F1571" s="312"/>
    </row>
    <row r="1572" spans="1:6" ht="20.25">
      <c r="A1572" s="309"/>
      <c r="B1572" s="310"/>
      <c r="C1572" s="310"/>
      <c r="D1572" s="310"/>
      <c r="E1572" s="311"/>
      <c r="F1572" s="312"/>
    </row>
    <row r="1573" spans="1:6" ht="20.25">
      <c r="A1573" s="309"/>
      <c r="B1573" s="310"/>
      <c r="C1573" s="310"/>
      <c r="D1573" s="310"/>
      <c r="E1573" s="311"/>
      <c r="F1573" s="312"/>
    </row>
    <row r="1574" spans="1:6" ht="20.25">
      <c r="A1574" s="309"/>
      <c r="B1574" s="310"/>
      <c r="C1574" s="310"/>
      <c r="D1574" s="310"/>
      <c r="E1574" s="311"/>
      <c r="F1574" s="312"/>
    </row>
    <row r="1575" spans="1:6" ht="20.25">
      <c r="A1575" s="309"/>
      <c r="B1575" s="310"/>
      <c r="C1575" s="310"/>
      <c r="D1575" s="310"/>
      <c r="E1575" s="311"/>
      <c r="F1575" s="312"/>
    </row>
    <row r="1576" spans="1:6" ht="20.25">
      <c r="A1576" s="309"/>
      <c r="B1576" s="310"/>
      <c r="C1576" s="310"/>
      <c r="D1576" s="310"/>
      <c r="E1576" s="311"/>
      <c r="F1576" s="312"/>
    </row>
    <row r="1577" spans="1:6" ht="20.25">
      <c r="A1577" s="309"/>
      <c r="B1577" s="310"/>
      <c r="C1577" s="310"/>
      <c r="D1577" s="310"/>
      <c r="E1577" s="311"/>
      <c r="F1577" s="312"/>
    </row>
    <row r="1578" spans="1:6" ht="20.25">
      <c r="A1578" s="309"/>
      <c r="B1578" s="310"/>
      <c r="C1578" s="310"/>
      <c r="D1578" s="310"/>
      <c r="E1578" s="311"/>
      <c r="F1578" s="312"/>
    </row>
    <row r="1579" spans="1:6" ht="20.25">
      <c r="A1579" s="309"/>
      <c r="B1579" s="310"/>
      <c r="C1579" s="310"/>
      <c r="D1579" s="310"/>
      <c r="E1579" s="311"/>
      <c r="F1579" s="312"/>
    </row>
    <row r="1580" spans="1:6" ht="20.25">
      <c r="A1580" s="309"/>
      <c r="B1580" s="310"/>
      <c r="C1580" s="310"/>
      <c r="D1580" s="310"/>
      <c r="E1580" s="311"/>
      <c r="F1580" s="312"/>
    </row>
    <row r="1581" spans="1:6" ht="20.25">
      <c r="A1581" s="309"/>
      <c r="B1581" s="310"/>
      <c r="C1581" s="310"/>
      <c r="D1581" s="310"/>
      <c r="E1581" s="311"/>
      <c r="F1581" s="312"/>
    </row>
    <row r="1582" spans="1:6" ht="20.25">
      <c r="A1582" s="309"/>
      <c r="B1582" s="310"/>
      <c r="C1582" s="310"/>
      <c r="D1582" s="310"/>
      <c r="E1582" s="311"/>
      <c r="F1582" s="312"/>
    </row>
    <row r="1583" spans="1:6" ht="20.25">
      <c r="A1583" s="309"/>
      <c r="B1583" s="310"/>
      <c r="C1583" s="310"/>
      <c r="D1583" s="310"/>
      <c r="E1583" s="311"/>
      <c r="F1583" s="312"/>
    </row>
    <row r="1584" spans="1:6" ht="20.25">
      <c r="A1584" s="309"/>
      <c r="B1584" s="310"/>
      <c r="C1584" s="310"/>
      <c r="D1584" s="310"/>
      <c r="E1584" s="311"/>
      <c r="F1584" s="312"/>
    </row>
    <row r="1585" spans="1:6" ht="20.25">
      <c r="A1585" s="309"/>
      <c r="B1585" s="310"/>
      <c r="C1585" s="310"/>
      <c r="D1585" s="310"/>
      <c r="E1585" s="311"/>
      <c r="F1585" s="312"/>
    </row>
    <row r="1586" spans="1:6" ht="20.25">
      <c r="A1586" s="309"/>
      <c r="B1586" s="310"/>
      <c r="C1586" s="310"/>
      <c r="D1586" s="310"/>
      <c r="E1586" s="311"/>
      <c r="F1586" s="312"/>
    </row>
    <row r="1587" spans="1:6" ht="20.25">
      <c r="A1587" s="309"/>
      <c r="B1587" s="310"/>
      <c r="C1587" s="310"/>
      <c r="D1587" s="310"/>
      <c r="E1587" s="311"/>
      <c r="F1587" s="312"/>
    </row>
    <row r="1588" spans="1:6" ht="20.25">
      <c r="A1588" s="309"/>
      <c r="B1588" s="310"/>
      <c r="C1588" s="310"/>
      <c r="D1588" s="310"/>
      <c r="E1588" s="311"/>
      <c r="F1588" s="312"/>
    </row>
    <row r="1589" spans="1:6" ht="20.25">
      <c r="A1589" s="309"/>
      <c r="B1589" s="310"/>
      <c r="C1589" s="310"/>
      <c r="D1589" s="310"/>
      <c r="E1589" s="311"/>
      <c r="F1589" s="312"/>
    </row>
    <row r="1590" spans="1:6" ht="20.25">
      <c r="A1590" s="309"/>
      <c r="B1590" s="310"/>
      <c r="C1590" s="310"/>
      <c r="D1590" s="310"/>
      <c r="E1590" s="311"/>
      <c r="F1590" s="312"/>
    </row>
    <row r="1591" spans="1:6" ht="20.25">
      <c r="A1591" s="309"/>
      <c r="B1591" s="310"/>
      <c r="C1591" s="310"/>
      <c r="D1591" s="310"/>
      <c r="E1591" s="311"/>
      <c r="F1591" s="312"/>
    </row>
    <row r="1592" spans="1:6" ht="20.25">
      <c r="A1592" s="309"/>
      <c r="B1592" s="310"/>
      <c r="C1592" s="310"/>
      <c r="D1592" s="310"/>
      <c r="E1592" s="311"/>
      <c r="F1592" s="312"/>
    </row>
    <row r="1593" spans="1:6" ht="20.25">
      <c r="A1593" s="309"/>
      <c r="B1593" s="310"/>
      <c r="C1593" s="310"/>
      <c r="D1593" s="310"/>
      <c r="E1593" s="311"/>
      <c r="F1593" s="312"/>
    </row>
    <row r="1594" spans="1:6" ht="20.25">
      <c r="A1594" s="309"/>
      <c r="B1594" s="310"/>
      <c r="C1594" s="310"/>
      <c r="D1594" s="310"/>
      <c r="E1594" s="311"/>
      <c r="F1594" s="312"/>
    </row>
    <row r="1595" spans="1:6" ht="20.25">
      <c r="A1595" s="309"/>
      <c r="B1595" s="310"/>
      <c r="C1595" s="310"/>
      <c r="D1595" s="310"/>
      <c r="E1595" s="311"/>
      <c r="F1595" s="312"/>
    </row>
    <row r="1596" spans="1:6" ht="20.25">
      <c r="A1596" s="309"/>
      <c r="B1596" s="310"/>
      <c r="C1596" s="310"/>
      <c r="D1596" s="310"/>
      <c r="E1596" s="311"/>
      <c r="F1596" s="312"/>
    </row>
    <row r="1597" spans="1:6" ht="20.25">
      <c r="A1597" s="309"/>
      <c r="B1597" s="310"/>
      <c r="C1597" s="310"/>
      <c r="D1597" s="310"/>
      <c r="E1597" s="311"/>
      <c r="F1597" s="312"/>
    </row>
    <row r="1598" spans="1:6" ht="20.25">
      <c r="A1598" s="309"/>
      <c r="B1598" s="310"/>
      <c r="C1598" s="310"/>
      <c r="D1598" s="310"/>
      <c r="E1598" s="311"/>
      <c r="F1598" s="312"/>
    </row>
    <row r="1599" spans="1:6" ht="20.25">
      <c r="A1599" s="309"/>
      <c r="B1599" s="310"/>
      <c r="C1599" s="310"/>
      <c r="D1599" s="310"/>
      <c r="E1599" s="311"/>
      <c r="F1599" s="312"/>
    </row>
    <row r="1600" spans="1:6" ht="20.25">
      <c r="A1600" s="309"/>
      <c r="B1600" s="310"/>
      <c r="C1600" s="310"/>
      <c r="D1600" s="310"/>
      <c r="E1600" s="311"/>
      <c r="F1600" s="312"/>
    </row>
    <row r="1601" spans="1:6" ht="20.25">
      <c r="A1601" s="309"/>
      <c r="B1601" s="310"/>
      <c r="C1601" s="310"/>
      <c r="D1601" s="310"/>
      <c r="E1601" s="311"/>
      <c r="F1601" s="312"/>
    </row>
    <row r="1602" spans="1:6" ht="20.25">
      <c r="A1602" s="309"/>
      <c r="B1602" s="310"/>
      <c r="C1602" s="310"/>
      <c r="D1602" s="310"/>
      <c r="E1602" s="311"/>
      <c r="F1602" s="312"/>
    </row>
    <row r="1603" spans="1:6" ht="20.25">
      <c r="A1603" s="309"/>
      <c r="B1603" s="310"/>
      <c r="C1603" s="310"/>
      <c r="D1603" s="310"/>
      <c r="E1603" s="311"/>
      <c r="F1603" s="312"/>
    </row>
    <row r="1604" spans="1:6" ht="20.25">
      <c r="A1604" s="309"/>
      <c r="B1604" s="310"/>
      <c r="C1604" s="310"/>
      <c r="D1604" s="310"/>
      <c r="E1604" s="311"/>
      <c r="F1604" s="312"/>
    </row>
    <row r="1605" spans="1:6" ht="20.25">
      <c r="A1605" s="309"/>
      <c r="B1605" s="310"/>
      <c r="C1605" s="310"/>
      <c r="D1605" s="310"/>
      <c r="E1605" s="311"/>
      <c r="F1605" s="312"/>
    </row>
    <row r="1606" spans="1:6" ht="20.25">
      <c r="A1606" s="309"/>
      <c r="B1606" s="310"/>
      <c r="C1606" s="310"/>
      <c r="D1606" s="310"/>
      <c r="E1606" s="311"/>
      <c r="F1606" s="312"/>
    </row>
    <row r="1607" spans="1:6" ht="20.25">
      <c r="A1607" s="309"/>
      <c r="B1607" s="310"/>
      <c r="C1607" s="310"/>
      <c r="D1607" s="310"/>
      <c r="E1607" s="311"/>
      <c r="F1607" s="312"/>
    </row>
    <row r="1608" spans="1:6" ht="20.25">
      <c r="A1608" s="309"/>
      <c r="B1608" s="310"/>
      <c r="C1608" s="310"/>
      <c r="D1608" s="310"/>
      <c r="E1608" s="311"/>
      <c r="F1608" s="312"/>
    </row>
    <row r="1609" spans="1:6" ht="20.25">
      <c r="A1609" s="309"/>
      <c r="B1609" s="310"/>
      <c r="C1609" s="310"/>
      <c r="D1609" s="310"/>
      <c r="E1609" s="311"/>
      <c r="F1609" s="312"/>
    </row>
    <row r="1610" spans="1:6" ht="20.25">
      <c r="A1610" s="309"/>
      <c r="B1610" s="310"/>
      <c r="C1610" s="310"/>
      <c r="D1610" s="310"/>
      <c r="E1610" s="311"/>
      <c r="F1610" s="312"/>
    </row>
    <row r="1611" spans="1:6" ht="20.25">
      <c r="A1611" s="309"/>
      <c r="B1611" s="310"/>
      <c r="C1611" s="310"/>
      <c r="D1611" s="310"/>
      <c r="E1611" s="311"/>
      <c r="F1611" s="312"/>
    </row>
    <row r="1612" spans="1:6" ht="20.25">
      <c r="A1612" s="309"/>
      <c r="B1612" s="310"/>
      <c r="C1612" s="310"/>
      <c r="D1612" s="310"/>
      <c r="E1612" s="311"/>
      <c r="F1612" s="312"/>
    </row>
    <row r="1613" spans="1:6" ht="20.25">
      <c r="A1613" s="309"/>
      <c r="B1613" s="310"/>
      <c r="C1613" s="310"/>
      <c r="D1613" s="310"/>
      <c r="E1613" s="311"/>
      <c r="F1613" s="312"/>
    </row>
    <row r="1614" spans="1:6" ht="20.25">
      <c r="A1614" s="309"/>
      <c r="B1614" s="310"/>
      <c r="C1614" s="310"/>
      <c r="D1614" s="310"/>
      <c r="E1614" s="311"/>
      <c r="F1614" s="312"/>
    </row>
    <row r="1615" spans="1:6" ht="20.25">
      <c r="A1615" s="309"/>
      <c r="B1615" s="310"/>
      <c r="C1615" s="310"/>
      <c r="D1615" s="310"/>
      <c r="E1615" s="311"/>
      <c r="F1615" s="312"/>
    </row>
    <row r="1616" spans="1:6" ht="20.25">
      <c r="A1616" s="309"/>
      <c r="B1616" s="310"/>
      <c r="C1616" s="310"/>
      <c r="D1616" s="310"/>
      <c r="E1616" s="311"/>
      <c r="F1616" s="312"/>
    </row>
    <row r="1617" spans="1:6" ht="20.25">
      <c r="A1617" s="309"/>
      <c r="B1617" s="310"/>
      <c r="C1617" s="310"/>
      <c r="D1617" s="310"/>
      <c r="E1617" s="311"/>
      <c r="F1617" s="312"/>
    </row>
    <row r="1618" spans="1:6" ht="20.25">
      <c r="A1618" s="309"/>
      <c r="B1618" s="310"/>
      <c r="C1618" s="310"/>
      <c r="D1618" s="310"/>
      <c r="E1618" s="311"/>
      <c r="F1618" s="312"/>
    </row>
    <row r="1619" spans="1:6" ht="20.25">
      <c r="A1619" s="309"/>
      <c r="B1619" s="310"/>
      <c r="C1619" s="310"/>
      <c r="D1619" s="310"/>
      <c r="E1619" s="311"/>
      <c r="F1619" s="312"/>
    </row>
    <row r="1620" spans="1:6" ht="20.25">
      <c r="A1620" s="309"/>
      <c r="B1620" s="310"/>
      <c r="C1620" s="310"/>
      <c r="D1620" s="310"/>
      <c r="E1620" s="311"/>
      <c r="F1620" s="312"/>
    </row>
    <row r="1621" spans="1:6" ht="20.25">
      <c r="A1621" s="309"/>
      <c r="B1621" s="310"/>
      <c r="C1621" s="310"/>
      <c r="D1621" s="310"/>
      <c r="E1621" s="311"/>
      <c r="F1621" s="312"/>
    </row>
    <row r="1622" spans="1:6" ht="20.25">
      <c r="A1622" s="309"/>
      <c r="B1622" s="310"/>
      <c r="C1622" s="310"/>
      <c r="D1622" s="310"/>
      <c r="E1622" s="311"/>
      <c r="F1622" s="312"/>
    </row>
    <row r="1623" spans="1:6" ht="20.25">
      <c r="A1623" s="309"/>
      <c r="B1623" s="310"/>
      <c r="C1623" s="310"/>
      <c r="D1623" s="310"/>
      <c r="E1623" s="311"/>
      <c r="F1623" s="312"/>
    </row>
    <row r="1624" spans="1:6" ht="20.25">
      <c r="A1624" s="309"/>
      <c r="B1624" s="310"/>
      <c r="C1624" s="310"/>
      <c r="D1624" s="310"/>
      <c r="E1624" s="311"/>
      <c r="F1624" s="312"/>
    </row>
    <row r="1625" spans="1:6" ht="20.25">
      <c r="A1625" s="309"/>
      <c r="B1625" s="310"/>
      <c r="C1625" s="310"/>
      <c r="D1625" s="310"/>
      <c r="E1625" s="311"/>
      <c r="F1625" s="312"/>
    </row>
    <row r="1626" spans="1:6" ht="20.25">
      <c r="A1626" s="309"/>
      <c r="B1626" s="310"/>
      <c r="C1626" s="310"/>
      <c r="D1626" s="310"/>
      <c r="E1626" s="311"/>
      <c r="F1626" s="312"/>
    </row>
    <row r="1627" spans="1:6" ht="20.25">
      <c r="A1627" s="309"/>
      <c r="B1627" s="310"/>
      <c r="C1627" s="310"/>
      <c r="D1627" s="310"/>
      <c r="E1627" s="311"/>
      <c r="F1627" s="312"/>
    </row>
    <row r="1628" spans="1:6" ht="20.25">
      <c r="A1628" s="309"/>
      <c r="B1628" s="310"/>
      <c r="C1628" s="310"/>
      <c r="D1628" s="310"/>
      <c r="E1628" s="311"/>
      <c r="F1628" s="312"/>
    </row>
    <row r="1629" spans="1:6" ht="20.25">
      <c r="A1629" s="309"/>
      <c r="B1629" s="310"/>
      <c r="C1629" s="310"/>
      <c r="D1629" s="310"/>
      <c r="E1629" s="311"/>
      <c r="F1629" s="312"/>
    </row>
    <row r="1630" spans="1:6" ht="20.25">
      <c r="A1630" s="309"/>
      <c r="B1630" s="310"/>
      <c r="C1630" s="310"/>
      <c r="D1630" s="310"/>
      <c r="E1630" s="311"/>
      <c r="F1630" s="312"/>
    </row>
    <row r="1631" spans="1:6" ht="20.25">
      <c r="A1631" s="309"/>
      <c r="B1631" s="310"/>
      <c r="C1631" s="310"/>
      <c r="D1631" s="310"/>
      <c r="E1631" s="311"/>
      <c r="F1631" s="312"/>
    </row>
    <row r="1632" spans="1:6" ht="20.25">
      <c r="A1632" s="309"/>
      <c r="B1632" s="310"/>
      <c r="C1632" s="310"/>
      <c r="D1632" s="310"/>
      <c r="E1632" s="311"/>
      <c r="F1632" s="312"/>
    </row>
    <row r="1633" spans="1:6" ht="20.25">
      <c r="A1633" s="309"/>
      <c r="B1633" s="310"/>
      <c r="C1633" s="310"/>
      <c r="D1633" s="310"/>
      <c r="E1633" s="311"/>
      <c r="F1633" s="312"/>
    </row>
    <row r="1634" spans="1:6" ht="20.25">
      <c r="A1634" s="309"/>
      <c r="B1634" s="310"/>
      <c r="C1634" s="310"/>
      <c r="D1634" s="310"/>
      <c r="E1634" s="311"/>
      <c r="F1634" s="312"/>
    </row>
    <row r="1635" spans="1:6" ht="20.25">
      <c r="A1635" s="309"/>
      <c r="B1635" s="310"/>
      <c r="C1635" s="310"/>
      <c r="D1635" s="310"/>
      <c r="E1635" s="311"/>
      <c r="F1635" s="312"/>
    </row>
    <row r="1636" spans="1:6" ht="20.25">
      <c r="A1636" s="309"/>
      <c r="B1636" s="310"/>
      <c r="C1636" s="310"/>
      <c r="D1636" s="310"/>
      <c r="E1636" s="311"/>
      <c r="F1636" s="312"/>
    </row>
    <row r="1637" spans="1:6" ht="20.25">
      <c r="A1637" s="309"/>
      <c r="B1637" s="310"/>
      <c r="C1637" s="310"/>
      <c r="D1637" s="310"/>
      <c r="E1637" s="311"/>
      <c r="F1637" s="312"/>
    </row>
    <row r="1638" spans="1:6" ht="20.25">
      <c r="A1638" s="309"/>
      <c r="B1638" s="310"/>
      <c r="C1638" s="310"/>
      <c r="D1638" s="310"/>
      <c r="E1638" s="311"/>
      <c r="F1638" s="312"/>
    </row>
    <row r="1639" spans="1:6" ht="20.25">
      <c r="A1639" s="309"/>
      <c r="B1639" s="310"/>
      <c r="C1639" s="310"/>
      <c r="D1639" s="310"/>
      <c r="E1639" s="311"/>
      <c r="F1639" s="312"/>
    </row>
    <row r="1640" spans="1:6" ht="20.25">
      <c r="A1640" s="309"/>
      <c r="B1640" s="310"/>
      <c r="C1640" s="310"/>
      <c r="D1640" s="310"/>
      <c r="E1640" s="311"/>
      <c r="F1640" s="312"/>
    </row>
    <row r="1641" spans="1:6" ht="20.25">
      <c r="A1641" s="309"/>
      <c r="B1641" s="310"/>
      <c r="C1641" s="310"/>
      <c r="D1641" s="310"/>
      <c r="E1641" s="311"/>
      <c r="F1641" s="312"/>
    </row>
    <row r="1642" spans="1:6" ht="20.25">
      <c r="A1642" s="309"/>
      <c r="B1642" s="310"/>
      <c r="C1642" s="310"/>
      <c r="D1642" s="310"/>
      <c r="E1642" s="311"/>
      <c r="F1642" s="312"/>
    </row>
    <row r="1643" spans="1:6" ht="20.25">
      <c r="A1643" s="309"/>
      <c r="B1643" s="310"/>
      <c r="C1643" s="310"/>
      <c r="D1643" s="310"/>
      <c r="E1643" s="311"/>
      <c r="F1643" s="312"/>
    </row>
    <row r="1644" spans="1:6" ht="20.25">
      <c r="A1644" s="309"/>
      <c r="B1644" s="310"/>
      <c r="C1644" s="310"/>
      <c r="D1644" s="310"/>
      <c r="E1644" s="311"/>
      <c r="F1644" s="312"/>
    </row>
    <row r="1645" spans="1:6" ht="20.25">
      <c r="A1645" s="309"/>
      <c r="B1645" s="310"/>
      <c r="C1645" s="310"/>
      <c r="D1645" s="310"/>
      <c r="E1645" s="311"/>
      <c r="F1645" s="312"/>
    </row>
    <row r="1646" spans="1:6" ht="20.25">
      <c r="A1646" s="309"/>
      <c r="B1646" s="310"/>
      <c r="C1646" s="310"/>
      <c r="D1646" s="310"/>
      <c r="E1646" s="311"/>
      <c r="F1646" s="312"/>
    </row>
    <row r="1647" spans="1:6" ht="20.25">
      <c r="A1647" s="309"/>
      <c r="B1647" s="310"/>
      <c r="C1647" s="310"/>
      <c r="D1647" s="310"/>
      <c r="E1647" s="311"/>
      <c r="F1647" s="312"/>
    </row>
    <row r="1648" spans="1:6" ht="20.25">
      <c r="A1648" s="309"/>
      <c r="B1648" s="310"/>
      <c r="C1648" s="310"/>
      <c r="D1648" s="310"/>
      <c r="E1648" s="311"/>
      <c r="F1648" s="312"/>
    </row>
    <row r="1649" spans="1:6" ht="20.25">
      <c r="A1649" s="309"/>
      <c r="B1649" s="310"/>
      <c r="C1649" s="310"/>
      <c r="D1649" s="310"/>
      <c r="E1649" s="311"/>
      <c r="F1649" s="312"/>
    </row>
    <row r="1650" spans="1:6" ht="20.25">
      <c r="A1650" s="309"/>
      <c r="B1650" s="310"/>
      <c r="C1650" s="310"/>
      <c r="D1650" s="310"/>
      <c r="E1650" s="311"/>
      <c r="F1650" s="312"/>
    </row>
    <row r="1651" spans="1:6" ht="20.25">
      <c r="A1651" s="309"/>
      <c r="B1651" s="310"/>
      <c r="C1651" s="310"/>
      <c r="D1651" s="310"/>
      <c r="E1651" s="311"/>
      <c r="F1651" s="312"/>
    </row>
    <row r="1652" spans="1:6" ht="20.25">
      <c r="A1652" s="309"/>
      <c r="B1652" s="310"/>
      <c r="C1652" s="310"/>
      <c r="D1652" s="310"/>
      <c r="E1652" s="311"/>
      <c r="F1652" s="312"/>
    </row>
    <row r="1653" spans="1:6" ht="20.25">
      <c r="A1653" s="309"/>
      <c r="B1653" s="310"/>
      <c r="C1653" s="310"/>
      <c r="D1653" s="310"/>
      <c r="E1653" s="311"/>
      <c r="F1653" s="312"/>
    </row>
    <row r="1654" spans="1:6" ht="20.25">
      <c r="A1654" s="309"/>
      <c r="B1654" s="310"/>
      <c r="C1654" s="310"/>
      <c r="D1654" s="310"/>
      <c r="E1654" s="311"/>
      <c r="F1654" s="312"/>
    </row>
    <row r="1655" spans="1:6" ht="20.25">
      <c r="A1655" s="309"/>
      <c r="B1655" s="310"/>
      <c r="C1655" s="310"/>
      <c r="D1655" s="310"/>
      <c r="E1655" s="311"/>
      <c r="F1655" s="312"/>
    </row>
    <row r="1656" spans="1:6" ht="20.25">
      <c r="A1656" s="309"/>
      <c r="B1656" s="310"/>
      <c r="C1656" s="310"/>
      <c r="D1656" s="310"/>
      <c r="E1656" s="311"/>
      <c r="F1656" s="312"/>
    </row>
    <row r="1657" spans="1:6" ht="20.25">
      <c r="A1657" s="309"/>
      <c r="B1657" s="310"/>
      <c r="C1657" s="310"/>
      <c r="D1657" s="310"/>
      <c r="E1657" s="311"/>
      <c r="F1657" s="312"/>
    </row>
    <row r="1658" spans="1:6" ht="20.25">
      <c r="A1658" s="309"/>
      <c r="B1658" s="310"/>
      <c r="C1658" s="310"/>
      <c r="D1658" s="310"/>
      <c r="E1658" s="311"/>
      <c r="F1658" s="312"/>
    </row>
    <row r="1659" spans="1:6" ht="20.25">
      <c r="A1659" s="309"/>
      <c r="B1659" s="310"/>
      <c r="C1659" s="310"/>
      <c r="D1659" s="310"/>
      <c r="E1659" s="311"/>
      <c r="F1659" s="312"/>
    </row>
    <row r="1660" spans="1:6" ht="20.25">
      <c r="A1660" s="309"/>
      <c r="B1660" s="310"/>
      <c r="C1660" s="310"/>
      <c r="D1660" s="310"/>
      <c r="E1660" s="311"/>
      <c r="F1660" s="312"/>
    </row>
    <row r="1661" spans="1:6" ht="20.25">
      <c r="A1661" s="309"/>
      <c r="B1661" s="310"/>
      <c r="C1661" s="310"/>
      <c r="D1661" s="310"/>
      <c r="E1661" s="311"/>
      <c r="F1661" s="312"/>
    </row>
    <row r="1662" spans="1:6" ht="20.25">
      <c r="A1662" s="309"/>
      <c r="B1662" s="310"/>
      <c r="C1662" s="310"/>
      <c r="D1662" s="310"/>
      <c r="E1662" s="311"/>
      <c r="F1662" s="312"/>
    </row>
    <row r="1663" spans="1:6" ht="20.25">
      <c r="A1663" s="309"/>
      <c r="B1663" s="310"/>
      <c r="C1663" s="310"/>
      <c r="D1663" s="310"/>
      <c r="E1663" s="311"/>
      <c r="F1663" s="312"/>
    </row>
    <row r="1664" spans="1:6" ht="20.25">
      <c r="A1664" s="309"/>
      <c r="B1664" s="310"/>
      <c r="C1664" s="310"/>
      <c r="D1664" s="310"/>
      <c r="E1664" s="311"/>
      <c r="F1664" s="312"/>
    </row>
    <row r="1665" spans="1:6" ht="20.25">
      <c r="A1665" s="309"/>
      <c r="B1665" s="310"/>
      <c r="C1665" s="310"/>
      <c r="D1665" s="310"/>
      <c r="E1665" s="311"/>
      <c r="F1665" s="312"/>
    </row>
    <row r="1666" spans="1:6" ht="20.25">
      <c r="A1666" s="309"/>
      <c r="B1666" s="310"/>
      <c r="C1666" s="310"/>
      <c r="D1666" s="310"/>
      <c r="E1666" s="311"/>
      <c r="F1666" s="312"/>
    </row>
    <row r="1667" spans="1:6" ht="20.25">
      <c r="A1667" s="309"/>
      <c r="B1667" s="310"/>
      <c r="C1667" s="310"/>
      <c r="D1667" s="310"/>
      <c r="E1667" s="311"/>
      <c r="F1667" s="312"/>
    </row>
    <row r="1668" spans="1:6" ht="20.25">
      <c r="A1668" s="309"/>
      <c r="B1668" s="310"/>
      <c r="C1668" s="310"/>
      <c r="D1668" s="310"/>
      <c r="E1668" s="311"/>
      <c r="F1668" s="312"/>
    </row>
    <row r="1669" spans="1:6" ht="20.25">
      <c r="A1669" s="309"/>
      <c r="B1669" s="310"/>
      <c r="C1669" s="310"/>
      <c r="D1669" s="310"/>
      <c r="E1669" s="311"/>
      <c r="F1669" s="312"/>
    </row>
    <row r="1670" spans="1:6" ht="20.25">
      <c r="A1670" s="309"/>
      <c r="B1670" s="310"/>
      <c r="C1670" s="310"/>
      <c r="D1670" s="310"/>
      <c r="E1670" s="311"/>
      <c r="F1670" s="312"/>
    </row>
    <row r="1671" spans="1:6" ht="20.25">
      <c r="A1671" s="309"/>
      <c r="B1671" s="310"/>
      <c r="C1671" s="310"/>
      <c r="D1671" s="310"/>
      <c r="E1671" s="311"/>
      <c r="F1671" s="312"/>
    </row>
    <row r="1672" spans="1:6" ht="20.25">
      <c r="A1672" s="309"/>
      <c r="B1672" s="310"/>
      <c r="C1672" s="310"/>
      <c r="D1672" s="310"/>
      <c r="E1672" s="311"/>
      <c r="F1672" s="312"/>
    </row>
    <row r="1673" spans="1:6" ht="20.25">
      <c r="A1673" s="309"/>
      <c r="B1673" s="310"/>
      <c r="C1673" s="310"/>
      <c r="D1673" s="310"/>
      <c r="E1673" s="311"/>
      <c r="F1673" s="312"/>
    </row>
    <row r="1674" spans="1:6" ht="20.25">
      <c r="A1674" s="309"/>
      <c r="B1674" s="310"/>
      <c r="C1674" s="310"/>
      <c r="D1674" s="310"/>
      <c r="E1674" s="311"/>
      <c r="F1674" s="312"/>
    </row>
    <row r="1675" spans="1:6" ht="20.25">
      <c r="A1675" s="309"/>
      <c r="B1675" s="310"/>
      <c r="C1675" s="310"/>
      <c r="D1675" s="310"/>
      <c r="E1675" s="311"/>
      <c r="F1675" s="312"/>
    </row>
    <row r="1676" spans="1:6" ht="20.25">
      <c r="A1676" s="309"/>
      <c r="B1676" s="310"/>
      <c r="C1676" s="310"/>
      <c r="D1676" s="310"/>
      <c r="E1676" s="311"/>
      <c r="F1676" s="312"/>
    </row>
    <row r="1677" spans="1:6" ht="20.25">
      <c r="A1677" s="309"/>
      <c r="B1677" s="310"/>
      <c r="C1677" s="310"/>
      <c r="D1677" s="310"/>
      <c r="E1677" s="311"/>
      <c r="F1677" s="312"/>
    </row>
    <row r="1678" spans="1:6" ht="20.25">
      <c r="A1678" s="309"/>
      <c r="B1678" s="310"/>
      <c r="C1678" s="310"/>
      <c r="D1678" s="310"/>
      <c r="E1678" s="311"/>
      <c r="F1678" s="312"/>
    </row>
    <row r="1679" spans="1:6" ht="20.25">
      <c r="A1679" s="309"/>
      <c r="B1679" s="310"/>
      <c r="C1679" s="310"/>
      <c r="D1679" s="310"/>
      <c r="E1679" s="311"/>
      <c r="F1679" s="312"/>
    </row>
    <row r="1680" spans="1:6" ht="20.25">
      <c r="A1680" s="309"/>
      <c r="B1680" s="310"/>
      <c r="C1680" s="310"/>
      <c r="D1680" s="310"/>
      <c r="E1680" s="311"/>
      <c r="F1680" s="312"/>
    </row>
    <row r="1681" spans="1:6" ht="20.25">
      <c r="A1681" s="309"/>
      <c r="B1681" s="310"/>
      <c r="C1681" s="310"/>
      <c r="D1681" s="310"/>
      <c r="E1681" s="311"/>
      <c r="F1681" s="312"/>
    </row>
    <row r="1682" spans="1:6" ht="20.25">
      <c r="A1682" s="309"/>
      <c r="B1682" s="310"/>
      <c r="C1682" s="310"/>
      <c r="D1682" s="310"/>
      <c r="E1682" s="311"/>
      <c r="F1682" s="312"/>
    </row>
    <row r="1683" spans="1:6" ht="20.25">
      <c r="A1683" s="309"/>
      <c r="B1683" s="310"/>
      <c r="C1683" s="310"/>
      <c r="D1683" s="310"/>
      <c r="E1683" s="311"/>
      <c r="F1683" s="312"/>
    </row>
    <row r="1684" spans="1:6" ht="20.25">
      <c r="A1684" s="309"/>
      <c r="B1684" s="310"/>
      <c r="C1684" s="310"/>
      <c r="D1684" s="310"/>
      <c r="E1684" s="311"/>
      <c r="F1684" s="312"/>
    </row>
    <row r="1685" spans="1:6" ht="20.25">
      <c r="A1685" s="309"/>
      <c r="B1685" s="310"/>
      <c r="C1685" s="310"/>
      <c r="D1685" s="310"/>
      <c r="E1685" s="311"/>
      <c r="F1685" s="312"/>
    </row>
    <row r="1686" spans="1:6" ht="20.25">
      <c r="A1686" s="309"/>
      <c r="B1686" s="310"/>
      <c r="C1686" s="310"/>
      <c r="D1686" s="310"/>
      <c r="E1686" s="311"/>
      <c r="F1686" s="312"/>
    </row>
    <row r="1687" spans="1:6" ht="20.25">
      <c r="A1687" s="309"/>
      <c r="B1687" s="310"/>
      <c r="C1687" s="310"/>
      <c r="D1687" s="310"/>
      <c r="E1687" s="311"/>
      <c r="F1687" s="312"/>
    </row>
    <row r="1688" spans="1:6" ht="20.25">
      <c r="A1688" s="309"/>
      <c r="B1688" s="310"/>
      <c r="C1688" s="310"/>
      <c r="D1688" s="310"/>
      <c r="E1688" s="311"/>
      <c r="F1688" s="312"/>
    </row>
    <row r="1689" spans="1:6" ht="20.25">
      <c r="A1689" s="309"/>
      <c r="B1689" s="310"/>
      <c r="C1689" s="310"/>
      <c r="D1689" s="310"/>
      <c r="E1689" s="311"/>
      <c r="F1689" s="312"/>
    </row>
    <row r="1690" spans="1:6" ht="20.25">
      <c r="A1690" s="309"/>
      <c r="B1690" s="310"/>
      <c r="C1690" s="310"/>
      <c r="D1690" s="310"/>
      <c r="E1690" s="311"/>
      <c r="F1690" s="312"/>
    </row>
    <row r="1691" spans="1:6" ht="20.25">
      <c r="A1691" s="309"/>
      <c r="B1691" s="310"/>
      <c r="C1691" s="310"/>
      <c r="D1691" s="310"/>
      <c r="E1691" s="311"/>
      <c r="F1691" s="312"/>
    </row>
    <row r="1692" spans="1:6" ht="20.25">
      <c r="A1692" s="309"/>
      <c r="B1692" s="310"/>
      <c r="C1692" s="310"/>
      <c r="D1692" s="310"/>
      <c r="E1692" s="311"/>
      <c r="F1692" s="312"/>
    </row>
    <row r="1693" spans="1:6" ht="20.25">
      <c r="A1693" s="309"/>
      <c r="B1693" s="310"/>
      <c r="C1693" s="310"/>
      <c r="D1693" s="310"/>
      <c r="E1693" s="311"/>
      <c r="F1693" s="312"/>
    </row>
    <row r="1694" spans="1:6" ht="20.25">
      <c r="A1694" s="309"/>
      <c r="B1694" s="310"/>
      <c r="C1694" s="310"/>
      <c r="D1694" s="310"/>
      <c r="E1694" s="311"/>
      <c r="F1694" s="312"/>
    </row>
    <row r="1695" spans="1:6" ht="20.25">
      <c r="A1695" s="309"/>
      <c r="B1695" s="310"/>
      <c r="C1695" s="310"/>
      <c r="D1695" s="310"/>
      <c r="E1695" s="311"/>
      <c r="F1695" s="312"/>
    </row>
    <row r="1696" spans="1:6" ht="20.25">
      <c r="A1696" s="309"/>
      <c r="B1696" s="310"/>
      <c r="C1696" s="310"/>
      <c r="D1696" s="310"/>
      <c r="E1696" s="311"/>
      <c r="F1696" s="312"/>
    </row>
    <row r="1697" spans="1:6" ht="20.25">
      <c r="A1697" s="309"/>
      <c r="B1697" s="310"/>
      <c r="C1697" s="310"/>
      <c r="D1697" s="310"/>
      <c r="E1697" s="311"/>
      <c r="F1697" s="312"/>
    </row>
    <row r="1698" spans="1:6" ht="20.25">
      <c r="A1698" s="309"/>
      <c r="B1698" s="310"/>
      <c r="C1698" s="310"/>
      <c r="D1698" s="310"/>
      <c r="E1698" s="311"/>
      <c r="F1698" s="312"/>
    </row>
    <row r="1699" spans="1:6" ht="20.25">
      <c r="A1699" s="309"/>
      <c r="B1699" s="310"/>
      <c r="C1699" s="310"/>
      <c r="D1699" s="310"/>
      <c r="E1699" s="311"/>
      <c r="F1699" s="312"/>
    </row>
    <row r="1700" spans="1:6" ht="20.25">
      <c r="A1700" s="309"/>
      <c r="B1700" s="310"/>
      <c r="C1700" s="310"/>
      <c r="D1700" s="310"/>
      <c r="E1700" s="311"/>
      <c r="F1700" s="312"/>
    </row>
    <row r="1701" spans="1:6" ht="20.25">
      <c r="A1701" s="309"/>
      <c r="B1701" s="310"/>
      <c r="C1701" s="310"/>
      <c r="D1701" s="310"/>
      <c r="E1701" s="311"/>
      <c r="F1701" s="312"/>
    </row>
    <row r="1702" spans="1:6" ht="20.25">
      <c r="A1702" s="309"/>
      <c r="B1702" s="310"/>
      <c r="C1702" s="310"/>
      <c r="D1702" s="310"/>
      <c r="E1702" s="311"/>
      <c r="F1702" s="312"/>
    </row>
    <row r="1703" spans="1:6" ht="20.25">
      <c r="A1703" s="309"/>
      <c r="B1703" s="310"/>
      <c r="C1703" s="310"/>
      <c r="D1703" s="310"/>
      <c r="E1703" s="311"/>
      <c r="F1703" s="312"/>
    </row>
    <row r="1704" spans="1:6" ht="20.25">
      <c r="A1704" s="309"/>
      <c r="B1704" s="310"/>
      <c r="C1704" s="310"/>
      <c r="D1704" s="310"/>
      <c r="E1704" s="311"/>
      <c r="F1704" s="312"/>
    </row>
    <row r="1705" spans="1:6" ht="20.25">
      <c r="A1705" s="309"/>
      <c r="B1705" s="310"/>
      <c r="C1705" s="310"/>
      <c r="D1705" s="310"/>
      <c r="E1705" s="311"/>
      <c r="F1705" s="312"/>
    </row>
    <row r="1706" spans="1:6" ht="20.25">
      <c r="A1706" s="309"/>
      <c r="B1706" s="310"/>
      <c r="C1706" s="310"/>
      <c r="D1706" s="310"/>
      <c r="E1706" s="311"/>
      <c r="F1706" s="312"/>
    </row>
    <row r="1707" spans="1:6" ht="20.25">
      <c r="A1707" s="309"/>
      <c r="B1707" s="310"/>
      <c r="C1707" s="310"/>
      <c r="D1707" s="310"/>
      <c r="E1707" s="311"/>
      <c r="F1707" s="312"/>
    </row>
    <row r="1708" spans="1:6" ht="20.25">
      <c r="A1708" s="309"/>
      <c r="B1708" s="310"/>
      <c r="C1708" s="310"/>
      <c r="D1708" s="310"/>
      <c r="E1708" s="311"/>
      <c r="F1708" s="312"/>
    </row>
    <row r="1709" spans="1:6" ht="20.25">
      <c r="A1709" s="309"/>
      <c r="B1709" s="310"/>
      <c r="C1709" s="310"/>
      <c r="D1709" s="310"/>
      <c r="E1709" s="311"/>
      <c r="F1709" s="312"/>
    </row>
    <row r="1710" spans="1:6" ht="20.25">
      <c r="A1710" s="309"/>
      <c r="B1710" s="310"/>
      <c r="C1710" s="310"/>
      <c r="D1710" s="310"/>
      <c r="E1710" s="311"/>
      <c r="F1710" s="312"/>
    </row>
    <row r="1711" spans="1:6" ht="20.25">
      <c r="A1711" s="309"/>
      <c r="B1711" s="310"/>
      <c r="C1711" s="310"/>
      <c r="D1711" s="310"/>
      <c r="E1711" s="311"/>
      <c r="F1711" s="312"/>
    </row>
    <row r="1712" spans="1:6" ht="20.25">
      <c r="A1712" s="309"/>
      <c r="B1712" s="310"/>
      <c r="C1712" s="310"/>
      <c r="D1712" s="310"/>
      <c r="E1712" s="311"/>
      <c r="F1712" s="312"/>
    </row>
    <row r="1713" spans="1:6" ht="20.25">
      <c r="A1713" s="309"/>
      <c r="B1713" s="310"/>
      <c r="C1713" s="310"/>
      <c r="D1713" s="310"/>
      <c r="E1713" s="311"/>
      <c r="F1713" s="312"/>
    </row>
    <row r="1714" spans="1:6" ht="20.25">
      <c r="A1714" s="309"/>
      <c r="B1714" s="310"/>
      <c r="C1714" s="310"/>
      <c r="D1714" s="310"/>
      <c r="E1714" s="311"/>
      <c r="F1714" s="312"/>
    </row>
    <row r="1715" spans="1:6" ht="20.25">
      <c r="A1715" s="309"/>
      <c r="B1715" s="310"/>
      <c r="C1715" s="310"/>
      <c r="D1715" s="310"/>
      <c r="E1715" s="311"/>
      <c r="F1715" s="312"/>
    </row>
    <row r="1716" spans="1:6" ht="20.25">
      <c r="A1716" s="309"/>
      <c r="B1716" s="310"/>
      <c r="C1716" s="310"/>
      <c r="D1716" s="310"/>
      <c r="E1716" s="311"/>
      <c r="F1716" s="312"/>
    </row>
    <row r="1717" spans="1:6" ht="20.25">
      <c r="A1717" s="309"/>
      <c r="B1717" s="310"/>
      <c r="C1717" s="310"/>
      <c r="D1717" s="310"/>
      <c r="E1717" s="311"/>
      <c r="F1717" s="312"/>
    </row>
    <row r="1718" spans="1:6" ht="20.25">
      <c r="A1718" s="309"/>
      <c r="B1718" s="310"/>
      <c r="C1718" s="310"/>
      <c r="D1718" s="310"/>
      <c r="E1718" s="311"/>
      <c r="F1718" s="312"/>
    </row>
    <row r="1719" spans="1:6" ht="20.25">
      <c r="A1719" s="309"/>
      <c r="B1719" s="310"/>
      <c r="C1719" s="310"/>
      <c r="D1719" s="310"/>
      <c r="E1719" s="311"/>
      <c r="F1719" s="312"/>
    </row>
    <row r="1720" spans="1:6" ht="20.25">
      <c r="A1720" s="309"/>
      <c r="B1720" s="310"/>
      <c r="C1720" s="310"/>
      <c r="D1720" s="310"/>
      <c r="E1720" s="311"/>
      <c r="F1720" s="312"/>
    </row>
    <row r="1721" spans="1:6" ht="20.25">
      <c r="A1721" s="309"/>
      <c r="B1721" s="310"/>
      <c r="C1721" s="310"/>
      <c r="D1721" s="310"/>
      <c r="E1721" s="311"/>
      <c r="F1721" s="312"/>
    </row>
    <row r="1722" spans="1:6" ht="20.25">
      <c r="A1722" s="309"/>
      <c r="B1722" s="310"/>
      <c r="C1722" s="310"/>
      <c r="D1722" s="310"/>
      <c r="E1722" s="311"/>
      <c r="F1722" s="312"/>
    </row>
    <row r="1723" spans="1:6" ht="20.25">
      <c r="A1723" s="309"/>
      <c r="B1723" s="310"/>
      <c r="C1723" s="310"/>
      <c r="D1723" s="310"/>
      <c r="E1723" s="311"/>
      <c r="F1723" s="312"/>
    </row>
    <row r="1724" spans="1:6" ht="20.25">
      <c r="A1724" s="309"/>
      <c r="B1724" s="310"/>
      <c r="C1724" s="310"/>
      <c r="D1724" s="310"/>
      <c r="E1724" s="311"/>
      <c r="F1724" s="312"/>
    </row>
    <row r="1725" spans="1:6" ht="20.25">
      <c r="A1725" s="309"/>
      <c r="B1725" s="310"/>
      <c r="C1725" s="310"/>
      <c r="D1725" s="310"/>
      <c r="E1725" s="311"/>
      <c r="F1725" s="312"/>
    </row>
    <row r="1726" spans="1:6" ht="20.25">
      <c r="A1726" s="309"/>
      <c r="B1726" s="310"/>
      <c r="C1726" s="310"/>
      <c r="D1726" s="310"/>
      <c r="E1726" s="311"/>
      <c r="F1726" s="312"/>
    </row>
    <row r="1727" spans="1:6" ht="20.25">
      <c r="A1727" s="309"/>
      <c r="B1727" s="310"/>
      <c r="C1727" s="310"/>
      <c r="D1727" s="310"/>
      <c r="E1727" s="311"/>
      <c r="F1727" s="312"/>
    </row>
    <row r="1728" spans="1:6" ht="20.25">
      <c r="A1728" s="309"/>
      <c r="B1728" s="310"/>
      <c r="C1728" s="310"/>
      <c r="D1728" s="310"/>
      <c r="E1728" s="311"/>
      <c r="F1728" s="312"/>
    </row>
    <row r="1729" spans="1:6" ht="20.25">
      <c r="A1729" s="309"/>
      <c r="B1729" s="310"/>
      <c r="C1729" s="310"/>
      <c r="D1729" s="310"/>
      <c r="E1729" s="311"/>
      <c r="F1729" s="312"/>
    </row>
    <row r="1730" spans="1:6" ht="20.25">
      <c r="A1730" s="309"/>
      <c r="B1730" s="310"/>
      <c r="C1730" s="310"/>
      <c r="D1730" s="310"/>
      <c r="E1730" s="311"/>
      <c r="F1730" s="312"/>
    </row>
    <row r="1731" spans="1:6" ht="20.25">
      <c r="A1731" s="309"/>
      <c r="B1731" s="310"/>
      <c r="C1731" s="310"/>
      <c r="D1731" s="310"/>
      <c r="E1731" s="311"/>
      <c r="F1731" s="312"/>
    </row>
    <row r="1732" spans="1:6" ht="20.25">
      <c r="A1732" s="309"/>
      <c r="B1732" s="310"/>
      <c r="C1732" s="310"/>
      <c r="D1732" s="310"/>
      <c r="E1732" s="311"/>
      <c r="F1732" s="312"/>
    </row>
    <row r="1733" spans="1:6" ht="20.25">
      <c r="A1733" s="309"/>
      <c r="B1733" s="310"/>
      <c r="C1733" s="310"/>
      <c r="D1733" s="310"/>
      <c r="E1733" s="311"/>
      <c r="F1733" s="312"/>
    </row>
    <row r="1734" spans="1:6" ht="20.25">
      <c r="A1734" s="309"/>
      <c r="B1734" s="310"/>
      <c r="C1734" s="310"/>
      <c r="D1734" s="310"/>
      <c r="E1734" s="311"/>
      <c r="F1734" s="312"/>
    </row>
    <row r="1735" spans="1:6" ht="20.25">
      <c r="A1735" s="309"/>
      <c r="B1735" s="310"/>
      <c r="C1735" s="310"/>
      <c r="D1735" s="310"/>
      <c r="E1735" s="311"/>
      <c r="F1735" s="312"/>
    </row>
    <row r="1736" spans="1:6" ht="20.25">
      <c r="A1736" s="309"/>
      <c r="B1736" s="310"/>
      <c r="C1736" s="310"/>
      <c r="D1736" s="310"/>
      <c r="E1736" s="311"/>
      <c r="F1736" s="312"/>
    </row>
    <row r="1737" spans="1:6" ht="20.25">
      <c r="A1737" s="309"/>
      <c r="B1737" s="310"/>
      <c r="C1737" s="310"/>
      <c r="D1737" s="310"/>
      <c r="E1737" s="311"/>
      <c r="F1737" s="312"/>
    </row>
    <row r="1738" spans="1:6" ht="20.25">
      <c r="A1738" s="309"/>
      <c r="B1738" s="310"/>
      <c r="C1738" s="310"/>
      <c r="D1738" s="310"/>
      <c r="E1738" s="311"/>
      <c r="F1738" s="312"/>
    </row>
    <row r="1739" spans="1:6" ht="20.25">
      <c r="A1739" s="309"/>
      <c r="B1739" s="310"/>
      <c r="C1739" s="310"/>
      <c r="D1739" s="310"/>
      <c r="E1739" s="311"/>
      <c r="F1739" s="312"/>
    </row>
    <row r="1740" spans="1:6" ht="20.25">
      <c r="A1740" s="309"/>
      <c r="B1740" s="310"/>
      <c r="C1740" s="310"/>
      <c r="D1740" s="310"/>
      <c r="E1740" s="311"/>
      <c r="F1740" s="312"/>
    </row>
    <row r="1741" spans="1:6" ht="20.25">
      <c r="A1741" s="309"/>
      <c r="B1741" s="310"/>
      <c r="C1741" s="310"/>
      <c r="D1741" s="310"/>
      <c r="E1741" s="311"/>
      <c r="F1741" s="312"/>
    </row>
    <row r="1742" spans="1:6" ht="20.25">
      <c r="A1742" s="309"/>
      <c r="B1742" s="310"/>
      <c r="C1742" s="310"/>
      <c r="D1742" s="310"/>
      <c r="E1742" s="311"/>
      <c r="F1742" s="312"/>
    </row>
    <row r="1743" spans="1:6" ht="20.25">
      <c r="A1743" s="309"/>
      <c r="B1743" s="310"/>
      <c r="C1743" s="310"/>
      <c r="D1743" s="310"/>
      <c r="E1743" s="311"/>
      <c r="F1743" s="312"/>
    </row>
    <row r="1744" spans="1:6" ht="20.25">
      <c r="A1744" s="309"/>
      <c r="B1744" s="310"/>
      <c r="C1744" s="310"/>
      <c r="D1744" s="310"/>
      <c r="E1744" s="311"/>
      <c r="F1744" s="312"/>
    </row>
    <row r="1745" spans="1:6" ht="20.25">
      <c r="A1745" s="309"/>
      <c r="B1745" s="310"/>
      <c r="C1745" s="310"/>
      <c r="D1745" s="310"/>
      <c r="E1745" s="311"/>
      <c r="F1745" s="312"/>
    </row>
    <row r="1746" spans="1:6" ht="20.25">
      <c r="A1746" s="309"/>
      <c r="B1746" s="310"/>
      <c r="C1746" s="310"/>
      <c r="D1746" s="310"/>
      <c r="E1746" s="311"/>
      <c r="F1746" s="312"/>
    </row>
    <row r="1747" spans="1:6" ht="20.25">
      <c r="A1747" s="309"/>
      <c r="B1747" s="310"/>
      <c r="C1747" s="310"/>
      <c r="D1747" s="310"/>
      <c r="E1747" s="311"/>
      <c r="F1747" s="312"/>
    </row>
    <row r="1748" spans="1:6" ht="20.25">
      <c r="A1748" s="309"/>
      <c r="B1748" s="310"/>
      <c r="C1748" s="310"/>
      <c r="D1748" s="310"/>
      <c r="E1748" s="311"/>
      <c r="F1748" s="312"/>
    </row>
    <row r="1749" spans="1:6" ht="20.25">
      <c r="A1749" s="309"/>
      <c r="B1749" s="310"/>
      <c r="C1749" s="310"/>
      <c r="D1749" s="310"/>
      <c r="E1749" s="311"/>
      <c r="F1749" s="312"/>
    </row>
    <row r="1750" spans="1:6" ht="20.25">
      <c r="A1750" s="309"/>
      <c r="B1750" s="310"/>
      <c r="C1750" s="310"/>
      <c r="D1750" s="310"/>
      <c r="E1750" s="311"/>
      <c r="F1750" s="312"/>
    </row>
    <row r="1751" spans="1:6" ht="20.25">
      <c r="A1751" s="309"/>
      <c r="B1751" s="310"/>
      <c r="C1751" s="310"/>
      <c r="D1751" s="310"/>
      <c r="E1751" s="311"/>
      <c r="F1751" s="312"/>
    </row>
    <row r="1752" spans="1:6" ht="20.25">
      <c r="A1752" s="309"/>
      <c r="B1752" s="310"/>
      <c r="C1752" s="310"/>
      <c r="D1752" s="310"/>
      <c r="E1752" s="311"/>
      <c r="F1752" s="312"/>
    </row>
    <row r="1753" spans="1:6" ht="20.25">
      <c r="A1753" s="309"/>
      <c r="B1753" s="310"/>
      <c r="C1753" s="310"/>
      <c r="D1753" s="310"/>
      <c r="E1753" s="311"/>
      <c r="F1753" s="312"/>
    </row>
    <row r="1754" spans="1:6" ht="20.25">
      <c r="A1754" s="309"/>
      <c r="B1754" s="310"/>
      <c r="C1754" s="310"/>
      <c r="D1754" s="310"/>
      <c r="E1754" s="311"/>
      <c r="F1754" s="312"/>
    </row>
    <row r="1755" spans="1:6" ht="20.25">
      <c r="A1755" s="309"/>
      <c r="B1755" s="310"/>
      <c r="C1755" s="310"/>
      <c r="D1755" s="310"/>
      <c r="E1755" s="311"/>
      <c r="F1755" s="312"/>
    </row>
    <row r="1756" spans="1:6" ht="20.25">
      <c r="A1756" s="309"/>
      <c r="B1756" s="310"/>
      <c r="C1756" s="310"/>
      <c r="D1756" s="310"/>
      <c r="E1756" s="311"/>
      <c r="F1756" s="312"/>
    </row>
    <row r="1757" spans="1:6" ht="20.25">
      <c r="A1757" s="309"/>
      <c r="B1757" s="310"/>
      <c r="C1757" s="310"/>
      <c r="D1757" s="310"/>
      <c r="E1757" s="311"/>
      <c r="F1757" s="312"/>
    </row>
    <row r="1758" spans="1:6" ht="20.25">
      <c r="A1758" s="309"/>
      <c r="B1758" s="310"/>
      <c r="C1758" s="310"/>
      <c r="D1758" s="310"/>
      <c r="E1758" s="311"/>
      <c r="F1758" s="312"/>
    </row>
    <row r="1759" spans="1:6" ht="20.25">
      <c r="A1759" s="309"/>
      <c r="B1759" s="310"/>
      <c r="C1759" s="310"/>
      <c r="D1759" s="310"/>
      <c r="E1759" s="311"/>
      <c r="F1759" s="312"/>
    </row>
    <row r="1760" spans="1:6" ht="20.25">
      <c r="A1760" s="309"/>
      <c r="B1760" s="310"/>
      <c r="C1760" s="310"/>
      <c r="D1760" s="310"/>
      <c r="E1760" s="311"/>
      <c r="F1760" s="312"/>
    </row>
    <row r="1761" spans="1:6" ht="20.25">
      <c r="A1761" s="309"/>
      <c r="B1761" s="310"/>
      <c r="C1761" s="310"/>
      <c r="D1761" s="310"/>
      <c r="E1761" s="311"/>
      <c r="F1761" s="312"/>
    </row>
    <row r="1762" spans="1:6" ht="20.25">
      <c r="A1762" s="309"/>
      <c r="B1762" s="310"/>
      <c r="C1762" s="310"/>
      <c r="D1762" s="310"/>
      <c r="E1762" s="311"/>
      <c r="F1762" s="312"/>
    </row>
    <row r="1763" spans="1:6" ht="20.25">
      <c r="A1763" s="309"/>
      <c r="B1763" s="310"/>
      <c r="C1763" s="310"/>
      <c r="D1763" s="310"/>
      <c r="E1763" s="311"/>
      <c r="F1763" s="312"/>
    </row>
    <row r="1764" spans="1:6" ht="20.25">
      <c r="A1764" s="309"/>
      <c r="B1764" s="310"/>
      <c r="C1764" s="310"/>
      <c r="D1764" s="310"/>
      <c r="E1764" s="311"/>
      <c r="F1764" s="312"/>
    </row>
    <row r="1765" spans="1:6" ht="20.25">
      <c r="A1765" s="309"/>
      <c r="B1765" s="310"/>
      <c r="C1765" s="310"/>
      <c r="D1765" s="310"/>
      <c r="E1765" s="311"/>
      <c r="F1765" s="312"/>
    </row>
    <row r="1766" spans="1:6" ht="20.25">
      <c r="A1766" s="309"/>
      <c r="B1766" s="310"/>
      <c r="C1766" s="310"/>
      <c r="D1766" s="310"/>
      <c r="E1766" s="311"/>
      <c r="F1766" s="312"/>
    </row>
    <row r="1767" spans="1:6" ht="20.25">
      <c r="A1767" s="309"/>
      <c r="B1767" s="310"/>
      <c r="C1767" s="310"/>
      <c r="D1767" s="310"/>
      <c r="E1767" s="311"/>
      <c r="F1767" s="312"/>
    </row>
    <row r="1768" spans="1:6" ht="20.25">
      <c r="A1768" s="309"/>
      <c r="B1768" s="310"/>
      <c r="C1768" s="310"/>
      <c r="D1768" s="310"/>
      <c r="E1768" s="311"/>
      <c r="F1768" s="312"/>
    </row>
    <row r="1769" spans="1:6" ht="20.25">
      <c r="A1769" s="309"/>
      <c r="B1769" s="310"/>
      <c r="C1769" s="310"/>
      <c r="D1769" s="310"/>
      <c r="E1769" s="311"/>
      <c r="F1769" s="312"/>
    </row>
    <row r="1770" spans="1:6" ht="20.25">
      <c r="A1770" s="309"/>
      <c r="B1770" s="310"/>
      <c r="C1770" s="310"/>
      <c r="D1770" s="310"/>
      <c r="E1770" s="311"/>
      <c r="F1770" s="312"/>
    </row>
    <row r="1771" spans="1:6" ht="20.25">
      <c r="A1771" s="309"/>
      <c r="B1771" s="310"/>
      <c r="C1771" s="310"/>
      <c r="D1771" s="310"/>
      <c r="E1771" s="311"/>
      <c r="F1771" s="312"/>
    </row>
    <row r="1772" spans="1:6" ht="20.25">
      <c r="A1772" s="309"/>
      <c r="B1772" s="310"/>
      <c r="C1772" s="310"/>
      <c r="D1772" s="310"/>
      <c r="E1772" s="311"/>
      <c r="F1772" s="312"/>
    </row>
    <row r="1773" spans="1:6" ht="20.25">
      <c r="A1773" s="309"/>
      <c r="B1773" s="310"/>
      <c r="C1773" s="310"/>
      <c r="D1773" s="310"/>
      <c r="E1773" s="311"/>
      <c r="F1773" s="312"/>
    </row>
    <row r="1774" spans="1:6" ht="20.25">
      <c r="A1774" s="309"/>
      <c r="B1774" s="310"/>
      <c r="C1774" s="310"/>
      <c r="D1774" s="310"/>
      <c r="E1774" s="311"/>
      <c r="F1774" s="312"/>
    </row>
    <row r="1775" spans="1:6" ht="20.25">
      <c r="A1775" s="309"/>
      <c r="B1775" s="310"/>
      <c r="C1775" s="310"/>
      <c r="D1775" s="310"/>
      <c r="E1775" s="311"/>
      <c r="F1775" s="312"/>
    </row>
    <row r="1776" spans="1:6" ht="20.25">
      <c r="A1776" s="309"/>
      <c r="B1776" s="310"/>
      <c r="C1776" s="310"/>
      <c r="D1776" s="310"/>
      <c r="E1776" s="311"/>
      <c r="F1776" s="312"/>
    </row>
    <row r="1777" spans="1:6" ht="20.25">
      <c r="A1777" s="309"/>
      <c r="B1777" s="310"/>
      <c r="C1777" s="310"/>
      <c r="D1777" s="310"/>
      <c r="E1777" s="311"/>
      <c r="F1777" s="312"/>
    </row>
    <row r="1778" spans="1:6" ht="20.25">
      <c r="A1778" s="309"/>
      <c r="B1778" s="310"/>
      <c r="C1778" s="310"/>
      <c r="D1778" s="310"/>
      <c r="E1778" s="311"/>
      <c r="F1778" s="312"/>
    </row>
    <row r="1779" spans="1:6" ht="20.25">
      <c r="A1779" s="309"/>
      <c r="B1779" s="310"/>
      <c r="C1779" s="310"/>
      <c r="D1779" s="310"/>
      <c r="E1779" s="311"/>
      <c r="F1779" s="312"/>
    </row>
    <row r="1780" spans="1:6" ht="20.25">
      <c r="A1780" s="309"/>
      <c r="B1780" s="310"/>
      <c r="C1780" s="310"/>
      <c r="D1780" s="310"/>
      <c r="E1780" s="311"/>
      <c r="F1780" s="312"/>
    </row>
    <row r="1781" spans="1:6" ht="20.25">
      <c r="A1781" s="309"/>
      <c r="B1781" s="310"/>
      <c r="C1781" s="310"/>
      <c r="D1781" s="310"/>
      <c r="E1781" s="311"/>
      <c r="F1781" s="312"/>
    </row>
    <row r="1782" spans="1:6" ht="20.25">
      <c r="A1782" s="309"/>
      <c r="B1782" s="310"/>
      <c r="C1782" s="310"/>
      <c r="D1782" s="310"/>
      <c r="E1782" s="311"/>
      <c r="F1782" s="312"/>
    </row>
    <row r="1783" spans="1:6" ht="20.25">
      <c r="A1783" s="309"/>
      <c r="B1783" s="310"/>
      <c r="C1783" s="310"/>
      <c r="D1783" s="310"/>
      <c r="E1783" s="311"/>
      <c r="F1783" s="312"/>
    </row>
    <row r="1784" spans="1:6" ht="20.25">
      <c r="A1784" s="309"/>
      <c r="B1784" s="310"/>
      <c r="C1784" s="310"/>
      <c r="D1784" s="310"/>
      <c r="E1784" s="311"/>
      <c r="F1784" s="312"/>
    </row>
    <row r="1785" spans="1:6" ht="20.25">
      <c r="A1785" s="309"/>
      <c r="B1785" s="310"/>
      <c r="C1785" s="310"/>
      <c r="D1785" s="310"/>
      <c r="E1785" s="311"/>
      <c r="F1785" s="312"/>
    </row>
    <row r="1786" spans="1:6" ht="20.25">
      <c r="A1786" s="309"/>
      <c r="B1786" s="310"/>
      <c r="C1786" s="310"/>
      <c r="D1786" s="310"/>
      <c r="E1786" s="311"/>
      <c r="F1786" s="312"/>
    </row>
    <row r="1787" spans="1:6" ht="20.25">
      <c r="A1787" s="309"/>
      <c r="B1787" s="310"/>
      <c r="C1787" s="310"/>
      <c r="D1787" s="310"/>
      <c r="E1787" s="311"/>
      <c r="F1787" s="312"/>
    </row>
    <row r="1788" spans="1:6" ht="20.25">
      <c r="A1788" s="309"/>
      <c r="B1788" s="310"/>
      <c r="C1788" s="310"/>
      <c r="D1788" s="310"/>
      <c r="E1788" s="311"/>
      <c r="F1788" s="312"/>
    </row>
    <row r="1789" spans="1:6" ht="20.25">
      <c r="A1789" s="309"/>
      <c r="B1789" s="310"/>
      <c r="C1789" s="310"/>
      <c r="D1789" s="310"/>
      <c r="E1789" s="311"/>
      <c r="F1789" s="312"/>
    </row>
    <row r="1790" spans="1:6" ht="20.25">
      <c r="A1790" s="309"/>
      <c r="B1790" s="310"/>
      <c r="C1790" s="310"/>
      <c r="D1790" s="310"/>
      <c r="E1790" s="311"/>
      <c r="F1790" s="312"/>
    </row>
    <row r="1791" spans="1:6" ht="20.25">
      <c r="A1791" s="309"/>
      <c r="B1791" s="310"/>
      <c r="C1791" s="310"/>
      <c r="D1791" s="310"/>
      <c r="E1791" s="311"/>
      <c r="F1791" s="312"/>
    </row>
    <row r="1792" spans="1:6" ht="20.25">
      <c r="A1792" s="309"/>
      <c r="B1792" s="310"/>
      <c r="C1792" s="310"/>
      <c r="D1792" s="310"/>
      <c r="E1792" s="311"/>
      <c r="F1792" s="312"/>
    </row>
    <row r="1793" spans="1:6" ht="20.25">
      <c r="A1793" s="309"/>
      <c r="B1793" s="310"/>
      <c r="C1793" s="310"/>
      <c r="D1793" s="310"/>
      <c r="E1793" s="311"/>
      <c r="F1793" s="312"/>
    </row>
    <row r="1794" spans="1:6" ht="20.25">
      <c r="A1794" s="309"/>
      <c r="B1794" s="310"/>
      <c r="C1794" s="310"/>
      <c r="D1794" s="310"/>
      <c r="E1794" s="311"/>
      <c r="F1794" s="312"/>
    </row>
    <row r="1795" spans="1:6" ht="20.25">
      <c r="A1795" s="309"/>
      <c r="B1795" s="310"/>
      <c r="C1795" s="310"/>
      <c r="D1795" s="310"/>
      <c r="E1795" s="311"/>
      <c r="F1795" s="312"/>
    </row>
    <row r="1796" spans="1:6" ht="20.25">
      <c r="A1796" s="309"/>
      <c r="B1796" s="310"/>
      <c r="C1796" s="310"/>
      <c r="D1796" s="310"/>
      <c r="E1796" s="311"/>
      <c r="F1796" s="312"/>
    </row>
    <row r="1797" spans="1:6" ht="20.25">
      <c r="A1797" s="309"/>
      <c r="B1797" s="310"/>
      <c r="C1797" s="310"/>
      <c r="D1797" s="310"/>
      <c r="E1797" s="311"/>
      <c r="F1797" s="312"/>
    </row>
    <row r="1798" spans="1:6" ht="20.25">
      <c r="A1798" s="309"/>
      <c r="B1798" s="310"/>
      <c r="C1798" s="310"/>
      <c r="D1798" s="310"/>
      <c r="E1798" s="311"/>
      <c r="F1798" s="312"/>
    </row>
    <row r="1799" spans="1:6" ht="20.25">
      <c r="A1799" s="309"/>
      <c r="B1799" s="310"/>
      <c r="C1799" s="310"/>
      <c r="D1799" s="310"/>
      <c r="E1799" s="311"/>
      <c r="F1799" s="312"/>
    </row>
    <row r="1800" spans="1:6" ht="20.25">
      <c r="A1800" s="309"/>
      <c r="B1800" s="310"/>
      <c r="C1800" s="310"/>
      <c r="D1800" s="310"/>
      <c r="E1800" s="311"/>
      <c r="F1800" s="312"/>
    </row>
    <row r="1801" spans="1:6" ht="20.25">
      <c r="A1801" s="309"/>
      <c r="B1801" s="310"/>
      <c r="C1801" s="310"/>
      <c r="D1801" s="310"/>
      <c r="E1801" s="311"/>
      <c r="F1801" s="312"/>
    </row>
    <row r="1802" spans="1:6" ht="20.25">
      <c r="A1802" s="309"/>
      <c r="B1802" s="310"/>
      <c r="C1802" s="310"/>
      <c r="D1802" s="310"/>
      <c r="E1802" s="311"/>
      <c r="F1802" s="312"/>
    </row>
    <row r="1803" spans="1:6" ht="20.25">
      <c r="A1803" s="309"/>
      <c r="B1803" s="310"/>
      <c r="C1803" s="310"/>
      <c r="D1803" s="310"/>
      <c r="E1803" s="311"/>
      <c r="F1803" s="312"/>
    </row>
    <row r="1804" spans="1:6" ht="20.25">
      <c r="A1804" s="309"/>
      <c r="B1804" s="310"/>
      <c r="C1804" s="310"/>
      <c r="D1804" s="310"/>
      <c r="E1804" s="311"/>
      <c r="F1804" s="312"/>
    </row>
    <row r="1805" spans="1:6" ht="20.25">
      <c r="A1805" s="309"/>
      <c r="B1805" s="310"/>
      <c r="C1805" s="310"/>
      <c r="D1805" s="310"/>
      <c r="E1805" s="311"/>
      <c r="F1805" s="312"/>
    </row>
    <row r="1806" spans="1:6" ht="20.25">
      <c r="A1806" s="309"/>
      <c r="B1806" s="310"/>
      <c r="C1806" s="310"/>
      <c r="D1806" s="310"/>
      <c r="E1806" s="311"/>
      <c r="F1806" s="312"/>
    </row>
    <row r="1807" spans="1:6" ht="20.25">
      <c r="A1807" s="309"/>
      <c r="B1807" s="310"/>
      <c r="C1807" s="310"/>
      <c r="D1807" s="310"/>
      <c r="E1807" s="311"/>
      <c r="F1807" s="312"/>
    </row>
    <row r="1808" spans="1:6" ht="20.25">
      <c r="A1808" s="309"/>
      <c r="B1808" s="310"/>
      <c r="C1808" s="310"/>
      <c r="D1808" s="310"/>
      <c r="E1808" s="311"/>
      <c r="F1808" s="312"/>
    </row>
    <row r="1809" spans="1:6" ht="20.25">
      <c r="A1809" s="309"/>
      <c r="B1809" s="310"/>
      <c r="C1809" s="310"/>
      <c r="D1809" s="310"/>
      <c r="E1809" s="311"/>
      <c r="F1809" s="312"/>
    </row>
    <row r="1810" spans="1:6" ht="20.25">
      <c r="A1810" s="309"/>
      <c r="B1810" s="310"/>
      <c r="C1810" s="310"/>
      <c r="D1810" s="310"/>
      <c r="E1810" s="311"/>
      <c r="F1810" s="312"/>
    </row>
    <row r="1811" spans="1:6" ht="20.25">
      <c r="A1811" s="309"/>
      <c r="B1811" s="310"/>
      <c r="C1811" s="310"/>
      <c r="D1811" s="310"/>
      <c r="E1811" s="311"/>
      <c r="F1811" s="312"/>
    </row>
    <row r="1812" spans="1:6" ht="20.25">
      <c r="A1812" s="309"/>
      <c r="B1812" s="310"/>
      <c r="C1812" s="310"/>
      <c r="D1812" s="310"/>
      <c r="E1812" s="311"/>
      <c r="F1812" s="312"/>
    </row>
    <row r="1813" spans="1:6" ht="20.25">
      <c r="A1813" s="309"/>
      <c r="B1813" s="310"/>
      <c r="C1813" s="310"/>
      <c r="D1813" s="310"/>
      <c r="E1813" s="311"/>
      <c r="F1813" s="312"/>
    </row>
    <row r="1814" spans="1:6" ht="20.25">
      <c r="A1814" s="309"/>
      <c r="B1814" s="310"/>
      <c r="C1814" s="310"/>
      <c r="D1814" s="310"/>
      <c r="E1814" s="311"/>
      <c r="F1814" s="312"/>
    </row>
    <row r="1815" spans="1:6" ht="20.25">
      <c r="A1815" s="309"/>
      <c r="B1815" s="310"/>
      <c r="C1815" s="310"/>
      <c r="D1815" s="310"/>
      <c r="E1815" s="311"/>
      <c r="F1815" s="312"/>
    </row>
    <row r="1816" spans="1:6" ht="20.25">
      <c r="A1816" s="309"/>
      <c r="B1816" s="310"/>
      <c r="C1816" s="310"/>
      <c r="D1816" s="310"/>
      <c r="E1816" s="311"/>
      <c r="F1816" s="312"/>
    </row>
    <row r="1817" spans="1:6" ht="20.25">
      <c r="A1817" s="309"/>
      <c r="B1817" s="310"/>
      <c r="C1817" s="310"/>
      <c r="D1817" s="310"/>
      <c r="E1817" s="311"/>
      <c r="F1817" s="312"/>
    </row>
    <row r="1818" spans="1:6" ht="20.25">
      <c r="A1818" s="309"/>
      <c r="B1818" s="310"/>
      <c r="C1818" s="310"/>
      <c r="D1818" s="310"/>
      <c r="E1818" s="311"/>
      <c r="F1818" s="312"/>
    </row>
    <row r="1819" spans="1:6" ht="20.25">
      <c r="A1819" s="309"/>
      <c r="B1819" s="310"/>
      <c r="C1819" s="310"/>
      <c r="D1819" s="310"/>
      <c r="E1819" s="311"/>
      <c r="F1819" s="312"/>
    </row>
    <row r="1820" spans="1:6" ht="20.25">
      <c r="A1820" s="309"/>
      <c r="B1820" s="310"/>
      <c r="C1820" s="310"/>
      <c r="D1820" s="310"/>
      <c r="E1820" s="311"/>
      <c r="F1820" s="312"/>
    </row>
    <row r="1821" spans="1:6" ht="20.25">
      <c r="A1821" s="309"/>
      <c r="B1821" s="310"/>
      <c r="C1821" s="310"/>
      <c r="D1821" s="310"/>
      <c r="E1821" s="311"/>
      <c r="F1821" s="312"/>
    </row>
    <row r="1822" spans="1:6" ht="20.25">
      <c r="A1822" s="309"/>
      <c r="B1822" s="310"/>
      <c r="C1822" s="310"/>
      <c r="D1822" s="310"/>
      <c r="E1822" s="311"/>
      <c r="F1822" s="312"/>
    </row>
    <row r="1823" spans="1:6" ht="20.25">
      <c r="A1823" s="309"/>
      <c r="B1823" s="310"/>
      <c r="C1823" s="310"/>
      <c r="D1823" s="310"/>
      <c r="E1823" s="311"/>
      <c r="F1823" s="312"/>
    </row>
    <row r="1824" spans="1:6" ht="20.25">
      <c r="A1824" s="309"/>
      <c r="B1824" s="310"/>
      <c r="C1824" s="310"/>
      <c r="D1824" s="310"/>
      <c r="E1824" s="311"/>
      <c r="F1824" s="312"/>
    </row>
    <row r="1825" spans="1:6" ht="20.25">
      <c r="A1825" s="309"/>
      <c r="B1825" s="310"/>
      <c r="C1825" s="310"/>
      <c r="D1825" s="310"/>
      <c r="E1825" s="311"/>
      <c r="F1825" s="312"/>
    </row>
    <row r="1826" spans="1:6" ht="20.25">
      <c r="A1826" s="309"/>
      <c r="B1826" s="310"/>
      <c r="C1826" s="310"/>
      <c r="D1826" s="310"/>
      <c r="E1826" s="311"/>
      <c r="F1826" s="312"/>
    </row>
    <row r="1827" spans="1:6" ht="20.25">
      <c r="A1827" s="309"/>
      <c r="B1827" s="310"/>
      <c r="C1827" s="310"/>
      <c r="D1827" s="310"/>
      <c r="E1827" s="311"/>
      <c r="F1827" s="312"/>
    </row>
    <row r="1828" spans="1:6" ht="20.25">
      <c r="A1828" s="309"/>
      <c r="B1828" s="310"/>
      <c r="C1828" s="310"/>
      <c r="D1828" s="310"/>
      <c r="E1828" s="311"/>
      <c r="F1828" s="312"/>
    </row>
    <row r="1829" spans="1:6" ht="20.25">
      <c r="A1829" s="309"/>
      <c r="B1829" s="310"/>
      <c r="C1829" s="310"/>
      <c r="D1829" s="310"/>
      <c r="E1829" s="311"/>
      <c r="F1829" s="312"/>
    </row>
    <row r="1830" spans="1:6" ht="20.25">
      <c r="A1830" s="309"/>
      <c r="B1830" s="310"/>
      <c r="C1830" s="310"/>
      <c r="D1830" s="310"/>
      <c r="E1830" s="311"/>
      <c r="F1830" s="312"/>
    </row>
    <row r="1831" spans="1:6" ht="20.25">
      <c r="A1831" s="309"/>
      <c r="B1831" s="310"/>
      <c r="C1831" s="310"/>
      <c r="D1831" s="310"/>
      <c r="E1831" s="311"/>
      <c r="F1831" s="312"/>
    </row>
    <row r="1832" spans="1:6" ht="20.25">
      <c r="A1832" s="309"/>
      <c r="B1832" s="310"/>
      <c r="C1832" s="310"/>
      <c r="D1832" s="310"/>
      <c r="E1832" s="311"/>
      <c r="F1832" s="312"/>
    </row>
    <row r="1833" spans="1:6" ht="20.25">
      <c r="A1833" s="309"/>
      <c r="B1833" s="310"/>
      <c r="C1833" s="310"/>
      <c r="D1833" s="310"/>
      <c r="E1833" s="311"/>
      <c r="F1833" s="312"/>
    </row>
    <row r="1834" spans="1:6" ht="20.25">
      <c r="A1834" s="309"/>
      <c r="B1834" s="310"/>
      <c r="C1834" s="310"/>
      <c r="D1834" s="310"/>
      <c r="E1834" s="311"/>
      <c r="F1834" s="312"/>
    </row>
    <row r="1835" spans="1:6" ht="20.25">
      <c r="A1835" s="309"/>
      <c r="B1835" s="310"/>
      <c r="C1835" s="310"/>
      <c r="D1835" s="310"/>
      <c r="E1835" s="311"/>
      <c r="F1835" s="312"/>
    </row>
    <row r="1836" spans="1:6" ht="20.25">
      <c r="A1836" s="309"/>
      <c r="B1836" s="310"/>
      <c r="C1836" s="310"/>
      <c r="D1836" s="310"/>
      <c r="E1836" s="311"/>
      <c r="F1836" s="312"/>
    </row>
    <row r="1837" spans="1:6" ht="20.25">
      <c r="A1837" s="309"/>
      <c r="B1837" s="310"/>
      <c r="C1837" s="310"/>
      <c r="D1837" s="310"/>
      <c r="E1837" s="311"/>
      <c r="F1837" s="312"/>
    </row>
    <row r="1838" spans="1:6" ht="20.25">
      <c r="A1838" s="309"/>
      <c r="B1838" s="310"/>
      <c r="C1838" s="310"/>
      <c r="D1838" s="310"/>
      <c r="E1838" s="311"/>
      <c r="F1838" s="312"/>
    </row>
    <row r="1839" spans="1:6" ht="20.25">
      <c r="A1839" s="309"/>
      <c r="B1839" s="310"/>
      <c r="C1839" s="310"/>
      <c r="D1839" s="310"/>
      <c r="E1839" s="311"/>
      <c r="F1839" s="312"/>
    </row>
    <row r="1840" spans="1:6" ht="20.25">
      <c r="A1840" s="309"/>
      <c r="B1840" s="310"/>
      <c r="C1840" s="310"/>
      <c r="D1840" s="310"/>
      <c r="E1840" s="311"/>
      <c r="F1840" s="312"/>
    </row>
    <row r="1841" spans="1:6" ht="20.25">
      <c r="A1841" s="309"/>
      <c r="B1841" s="310"/>
      <c r="C1841" s="310"/>
      <c r="D1841" s="310"/>
      <c r="E1841" s="311"/>
      <c r="F1841" s="312"/>
    </row>
    <row r="1842" spans="1:6" ht="20.25">
      <c r="A1842" s="309"/>
      <c r="B1842" s="310"/>
      <c r="C1842" s="310"/>
      <c r="D1842" s="310"/>
      <c r="E1842" s="311"/>
      <c r="F1842" s="312"/>
    </row>
    <row r="1843" spans="1:6" ht="20.25">
      <c r="A1843" s="309"/>
      <c r="B1843" s="310"/>
      <c r="C1843" s="310"/>
      <c r="D1843" s="310"/>
      <c r="E1843" s="311"/>
      <c r="F1843" s="312"/>
    </row>
    <row r="1844" spans="1:6" ht="20.25">
      <c r="A1844" s="309"/>
      <c r="B1844" s="310"/>
      <c r="C1844" s="310"/>
      <c r="D1844" s="310"/>
      <c r="E1844" s="311"/>
      <c r="F1844" s="312"/>
    </row>
    <row r="1845" spans="1:6" ht="20.25">
      <c r="A1845" s="309"/>
      <c r="B1845" s="310"/>
      <c r="C1845" s="310"/>
      <c r="D1845" s="310"/>
      <c r="E1845" s="311"/>
      <c r="F1845" s="312"/>
    </row>
    <row r="1846" spans="1:6" ht="20.25">
      <c r="A1846" s="309"/>
      <c r="B1846" s="310"/>
      <c r="C1846" s="310"/>
      <c r="D1846" s="310"/>
      <c r="E1846" s="311"/>
      <c r="F1846" s="312"/>
    </row>
    <row r="1847" spans="1:6" ht="20.25">
      <c r="A1847" s="309"/>
      <c r="B1847" s="310"/>
      <c r="C1847" s="310"/>
      <c r="D1847" s="310"/>
      <c r="E1847" s="311"/>
      <c r="F1847" s="312"/>
    </row>
    <row r="1848" spans="1:6" ht="20.25">
      <c r="A1848" s="309"/>
      <c r="B1848" s="310"/>
      <c r="C1848" s="310"/>
      <c r="D1848" s="310"/>
      <c r="E1848" s="311"/>
      <c r="F1848" s="312"/>
    </row>
    <row r="1849" spans="1:6" ht="20.25">
      <c r="A1849" s="309"/>
      <c r="B1849" s="310"/>
      <c r="C1849" s="310"/>
      <c r="D1849" s="310"/>
      <c r="E1849" s="311"/>
      <c r="F1849" s="312"/>
    </row>
    <row r="1850" spans="1:6" ht="20.25">
      <c r="A1850" s="309"/>
      <c r="B1850" s="310"/>
      <c r="C1850" s="310"/>
      <c r="D1850" s="310"/>
      <c r="E1850" s="311"/>
      <c r="F1850" s="312"/>
    </row>
    <row r="1851" spans="1:6" ht="20.25">
      <c r="A1851" s="309"/>
      <c r="B1851" s="310"/>
      <c r="C1851" s="310"/>
      <c r="D1851" s="310"/>
      <c r="E1851" s="311"/>
      <c r="F1851" s="312"/>
    </row>
    <row r="1852" spans="1:6" ht="20.25">
      <c r="A1852" s="309"/>
      <c r="B1852" s="310"/>
      <c r="C1852" s="310"/>
      <c r="D1852" s="310"/>
      <c r="E1852" s="311"/>
      <c r="F1852" s="312"/>
    </row>
    <row r="1853" spans="1:6" ht="20.25">
      <c r="A1853" s="309"/>
      <c r="B1853" s="310"/>
      <c r="C1853" s="310"/>
      <c r="D1853" s="310"/>
      <c r="E1853" s="311"/>
      <c r="F1853" s="312"/>
    </row>
    <row r="1854" spans="1:6" ht="20.25">
      <c r="A1854" s="309"/>
      <c r="B1854" s="310"/>
      <c r="C1854" s="310"/>
      <c r="D1854" s="310"/>
      <c r="E1854" s="311"/>
      <c r="F1854" s="312"/>
    </row>
    <row r="1855" spans="1:6" ht="20.25">
      <c r="A1855" s="309"/>
      <c r="B1855" s="310"/>
      <c r="C1855" s="310"/>
      <c r="D1855" s="310"/>
      <c r="E1855" s="311"/>
      <c r="F1855" s="312"/>
    </row>
    <row r="1856" spans="1:6" ht="20.25">
      <c r="A1856" s="309"/>
      <c r="B1856" s="310"/>
      <c r="C1856" s="310"/>
      <c r="D1856" s="310"/>
      <c r="E1856" s="311"/>
      <c r="F1856" s="312"/>
    </row>
    <row r="1857" spans="1:6" ht="20.25">
      <c r="A1857" s="309"/>
      <c r="B1857" s="310"/>
      <c r="C1857" s="310"/>
      <c r="D1857" s="310"/>
      <c r="E1857" s="311"/>
      <c r="F1857" s="312"/>
    </row>
    <row r="1858" spans="1:6" ht="20.25">
      <c r="A1858" s="309"/>
      <c r="B1858" s="310"/>
      <c r="C1858" s="310"/>
      <c r="D1858" s="310"/>
      <c r="E1858" s="311"/>
      <c r="F1858" s="312"/>
    </row>
    <row r="1859" spans="1:6" ht="20.25">
      <c r="A1859" s="309"/>
      <c r="B1859" s="310"/>
      <c r="C1859" s="310"/>
      <c r="D1859" s="310"/>
      <c r="E1859" s="311"/>
      <c r="F1859" s="312"/>
    </row>
    <row r="1860" spans="1:6" ht="20.25">
      <c r="A1860" s="309"/>
      <c r="B1860" s="310"/>
      <c r="C1860" s="310"/>
      <c r="D1860" s="310"/>
      <c r="E1860" s="311"/>
      <c r="F1860" s="312"/>
    </row>
    <row r="1861" spans="1:6" ht="20.25">
      <c r="A1861" s="309"/>
      <c r="B1861" s="310"/>
      <c r="C1861" s="310"/>
      <c r="D1861" s="310"/>
      <c r="E1861" s="311"/>
      <c r="F1861" s="312"/>
    </row>
    <row r="1862" spans="1:6" ht="20.25">
      <c r="A1862" s="309"/>
      <c r="B1862" s="310"/>
      <c r="C1862" s="310"/>
      <c r="D1862" s="310"/>
      <c r="E1862" s="311"/>
      <c r="F1862" s="312"/>
    </row>
    <row r="1863" spans="1:6" ht="20.25">
      <c r="A1863" s="309"/>
      <c r="B1863" s="310"/>
      <c r="C1863" s="310"/>
      <c r="D1863" s="310"/>
      <c r="E1863" s="311"/>
      <c r="F1863" s="312"/>
    </row>
    <row r="1864" spans="1:6" ht="20.25">
      <c r="A1864" s="309"/>
      <c r="B1864" s="310"/>
      <c r="C1864" s="310"/>
      <c r="D1864" s="310"/>
      <c r="E1864" s="311"/>
      <c r="F1864" s="312"/>
    </row>
    <row r="1865" spans="1:6" ht="20.25">
      <c r="A1865" s="309"/>
      <c r="B1865" s="310"/>
      <c r="C1865" s="310"/>
      <c r="D1865" s="310"/>
      <c r="E1865" s="311"/>
      <c r="F1865" s="312"/>
    </row>
    <row r="1866" spans="1:6" ht="20.25">
      <c r="A1866" s="309"/>
      <c r="B1866" s="310"/>
      <c r="C1866" s="310"/>
      <c r="D1866" s="310"/>
      <c r="E1866" s="311"/>
      <c r="F1866" s="312"/>
    </row>
    <row r="1867" spans="1:6" ht="20.25">
      <c r="A1867" s="309"/>
      <c r="B1867" s="310"/>
      <c r="C1867" s="310"/>
      <c r="D1867" s="310"/>
      <c r="E1867" s="311"/>
      <c r="F1867" s="312"/>
    </row>
    <row r="1868" spans="1:6" ht="20.25">
      <c r="A1868" s="309"/>
      <c r="B1868" s="310"/>
      <c r="C1868" s="310"/>
      <c r="D1868" s="310"/>
      <c r="E1868" s="311"/>
      <c r="F1868" s="312"/>
    </row>
    <row r="1869" spans="1:6" ht="20.25">
      <c r="A1869" s="309"/>
      <c r="B1869" s="310"/>
      <c r="C1869" s="310"/>
      <c r="D1869" s="310"/>
      <c r="E1869" s="311"/>
      <c r="F1869" s="312"/>
    </row>
    <row r="1870" spans="1:6" ht="20.25">
      <c r="A1870" s="309"/>
      <c r="B1870" s="310"/>
      <c r="C1870" s="310"/>
      <c r="D1870" s="310"/>
      <c r="E1870" s="311"/>
      <c r="F1870" s="312"/>
    </row>
    <row r="1871" spans="1:6" ht="20.25">
      <c r="A1871" s="309"/>
      <c r="B1871" s="310"/>
      <c r="C1871" s="310"/>
      <c r="D1871" s="310"/>
      <c r="E1871" s="311"/>
      <c r="F1871" s="312"/>
    </row>
    <row r="1872" spans="1:6" ht="20.25">
      <c r="A1872" s="309"/>
      <c r="B1872" s="310"/>
      <c r="C1872" s="310"/>
      <c r="D1872" s="310"/>
      <c r="E1872" s="311"/>
      <c r="F1872" s="312"/>
    </row>
    <row r="1873" spans="1:6" ht="20.25">
      <c r="A1873" s="309"/>
      <c r="B1873" s="310"/>
      <c r="C1873" s="310"/>
      <c r="D1873" s="310"/>
      <c r="E1873" s="311"/>
      <c r="F1873" s="312"/>
    </row>
    <row r="1874" spans="1:6" ht="20.25">
      <c r="A1874" s="309"/>
      <c r="B1874" s="310"/>
      <c r="C1874" s="310"/>
      <c r="D1874" s="310"/>
      <c r="E1874" s="311"/>
      <c r="F1874" s="312"/>
    </row>
    <row r="1875" spans="1:6" ht="20.25">
      <c r="A1875" s="309"/>
      <c r="B1875" s="310"/>
      <c r="C1875" s="310"/>
      <c r="D1875" s="310"/>
      <c r="E1875" s="311"/>
      <c r="F1875" s="312"/>
    </row>
    <row r="1876" spans="1:6" ht="20.25">
      <c r="A1876" s="309"/>
      <c r="B1876" s="310"/>
      <c r="C1876" s="310"/>
      <c r="D1876" s="310"/>
      <c r="E1876" s="311"/>
      <c r="F1876" s="312"/>
    </row>
    <row r="1877" spans="1:6" ht="20.25">
      <c r="A1877" s="309"/>
      <c r="B1877" s="310"/>
      <c r="C1877" s="310"/>
      <c r="D1877" s="310"/>
      <c r="E1877" s="311"/>
      <c r="F1877" s="312"/>
    </row>
    <row r="1878" spans="1:6" ht="20.25">
      <c r="A1878" s="309"/>
      <c r="B1878" s="310"/>
      <c r="C1878" s="310"/>
      <c r="D1878" s="310"/>
      <c r="E1878" s="311"/>
      <c r="F1878" s="312"/>
    </row>
    <row r="1879" spans="1:6" ht="20.25">
      <c r="A1879" s="309"/>
      <c r="B1879" s="310"/>
      <c r="C1879" s="310"/>
      <c r="D1879" s="310"/>
      <c r="E1879" s="311"/>
      <c r="F1879" s="312"/>
    </row>
    <row r="1880" spans="1:6" ht="20.25">
      <c r="A1880" s="309"/>
      <c r="B1880" s="310"/>
      <c r="C1880" s="310"/>
      <c r="D1880" s="310"/>
      <c r="E1880" s="311"/>
      <c r="F1880" s="312"/>
    </row>
    <row r="1881" spans="1:6" ht="20.25">
      <c r="A1881" s="309"/>
      <c r="B1881" s="310"/>
      <c r="C1881" s="310"/>
      <c r="D1881" s="310"/>
      <c r="E1881" s="311"/>
      <c r="F1881" s="312"/>
    </row>
    <row r="1882" spans="1:6" ht="20.25">
      <c r="A1882" s="309"/>
      <c r="B1882" s="310"/>
      <c r="C1882" s="310"/>
      <c r="D1882" s="310"/>
      <c r="E1882" s="311"/>
      <c r="F1882" s="312"/>
    </row>
    <row r="1883" spans="1:6" ht="20.25">
      <c r="A1883" s="309"/>
      <c r="B1883" s="310"/>
      <c r="C1883" s="310"/>
      <c r="D1883" s="310"/>
      <c r="E1883" s="311"/>
      <c r="F1883" s="312"/>
    </row>
    <row r="1884" spans="1:6" ht="20.25">
      <c r="A1884" s="309"/>
      <c r="B1884" s="310"/>
      <c r="C1884" s="310"/>
      <c r="D1884" s="310"/>
      <c r="E1884" s="311"/>
      <c r="F1884" s="312"/>
    </row>
    <row r="1885" spans="1:6" ht="20.25">
      <c r="A1885" s="309"/>
      <c r="B1885" s="310"/>
      <c r="C1885" s="310"/>
      <c r="D1885" s="310"/>
      <c r="E1885" s="311"/>
      <c r="F1885" s="312"/>
    </row>
    <row r="1886" spans="1:6" ht="20.25">
      <c r="A1886" s="309"/>
      <c r="B1886" s="310"/>
      <c r="C1886" s="310"/>
      <c r="D1886" s="310"/>
      <c r="E1886" s="311"/>
      <c r="F1886" s="312"/>
    </row>
    <row r="1887" spans="1:6" ht="20.25">
      <c r="A1887" s="309"/>
      <c r="B1887" s="310"/>
      <c r="C1887" s="310"/>
      <c r="D1887" s="310"/>
      <c r="E1887" s="311"/>
      <c r="F1887" s="312"/>
    </row>
    <row r="1888" spans="1:6" ht="20.25">
      <c r="A1888" s="309"/>
      <c r="B1888" s="310"/>
      <c r="C1888" s="310"/>
      <c r="D1888" s="310"/>
      <c r="E1888" s="311"/>
      <c r="F1888" s="312"/>
    </row>
    <row r="1889" spans="1:6" ht="20.25">
      <c r="A1889" s="309"/>
      <c r="B1889" s="310"/>
      <c r="C1889" s="310"/>
      <c r="D1889" s="310"/>
      <c r="E1889" s="311"/>
      <c r="F1889" s="312"/>
    </row>
    <row r="1890" spans="1:6" ht="20.25">
      <c r="A1890" s="309"/>
      <c r="B1890" s="310"/>
      <c r="C1890" s="310"/>
      <c r="D1890" s="310"/>
      <c r="E1890" s="311"/>
      <c r="F1890" s="312"/>
    </row>
    <row r="1891" spans="1:6" ht="20.25">
      <c r="A1891" s="309"/>
      <c r="B1891" s="310"/>
      <c r="C1891" s="310"/>
      <c r="D1891" s="310"/>
      <c r="E1891" s="311"/>
      <c r="F1891" s="312"/>
    </row>
    <row r="1892" spans="1:6" ht="20.25">
      <c r="A1892" s="309"/>
      <c r="B1892" s="310"/>
      <c r="C1892" s="310"/>
      <c r="D1892" s="310"/>
      <c r="E1892" s="311"/>
      <c r="F1892" s="312"/>
    </row>
    <row r="1893" spans="1:6" ht="20.25">
      <c r="A1893" s="309"/>
      <c r="B1893" s="310"/>
      <c r="C1893" s="310"/>
      <c r="D1893" s="310"/>
      <c r="E1893" s="311"/>
      <c r="F1893" s="312"/>
    </row>
    <row r="1894" spans="1:6" ht="20.25">
      <c r="A1894" s="309"/>
      <c r="B1894" s="310"/>
      <c r="C1894" s="310"/>
      <c r="D1894" s="310"/>
      <c r="E1894" s="311"/>
      <c r="F1894" s="312"/>
    </row>
    <row r="1895" spans="1:6" ht="20.25">
      <c r="A1895" s="309"/>
      <c r="B1895" s="310"/>
      <c r="C1895" s="310"/>
      <c r="D1895" s="310"/>
      <c r="E1895" s="311"/>
      <c r="F1895" s="312"/>
    </row>
    <row r="1896" spans="1:6" ht="20.25">
      <c r="A1896" s="309"/>
      <c r="B1896" s="310"/>
      <c r="C1896" s="310"/>
      <c r="D1896" s="310"/>
      <c r="E1896" s="311"/>
      <c r="F1896" s="312"/>
    </row>
    <row r="1897" spans="1:6" ht="20.25">
      <c r="A1897" s="309"/>
      <c r="B1897" s="310"/>
      <c r="C1897" s="310"/>
      <c r="D1897" s="310"/>
      <c r="E1897" s="311"/>
      <c r="F1897" s="312"/>
    </row>
    <row r="1898" spans="1:6" ht="20.25">
      <c r="A1898" s="309"/>
      <c r="B1898" s="310"/>
      <c r="C1898" s="310"/>
      <c r="D1898" s="310"/>
      <c r="E1898" s="311"/>
      <c r="F1898" s="312"/>
    </row>
    <row r="1899" spans="1:6" ht="20.25">
      <c r="A1899" s="309"/>
      <c r="B1899" s="310"/>
      <c r="C1899" s="310"/>
      <c r="D1899" s="310"/>
      <c r="E1899" s="311"/>
      <c r="F1899" s="312"/>
    </row>
    <row r="1900" spans="1:6" ht="20.25">
      <c r="A1900" s="309"/>
      <c r="B1900" s="310"/>
      <c r="C1900" s="310"/>
      <c r="D1900" s="310"/>
      <c r="E1900" s="311"/>
      <c r="F1900" s="312"/>
    </row>
    <row r="1901" spans="1:6" ht="20.25">
      <c r="A1901" s="309"/>
      <c r="B1901" s="310"/>
      <c r="C1901" s="310"/>
      <c r="D1901" s="310"/>
      <c r="E1901" s="311"/>
      <c r="F1901" s="312"/>
    </row>
    <row r="1902" spans="1:6" ht="20.25">
      <c r="A1902" s="309"/>
      <c r="B1902" s="310"/>
      <c r="C1902" s="310"/>
      <c r="D1902" s="310"/>
      <c r="E1902" s="311"/>
      <c r="F1902" s="312"/>
    </row>
    <row r="1903" spans="1:6" ht="20.25">
      <c r="A1903" s="309"/>
      <c r="B1903" s="310"/>
      <c r="C1903" s="310"/>
      <c r="D1903" s="310"/>
      <c r="E1903" s="311"/>
      <c r="F1903" s="312"/>
    </row>
    <row r="1904" spans="1:6" ht="20.25">
      <c r="A1904" s="309"/>
      <c r="B1904" s="310"/>
      <c r="C1904" s="310"/>
      <c r="D1904" s="310"/>
      <c r="E1904" s="311"/>
      <c r="F1904" s="312"/>
    </row>
    <row r="1905" spans="1:6" ht="20.25">
      <c r="A1905" s="309"/>
      <c r="B1905" s="310"/>
      <c r="C1905" s="310"/>
      <c r="D1905" s="310"/>
      <c r="E1905" s="311"/>
      <c r="F1905" s="312"/>
    </row>
    <row r="1906" spans="1:6" ht="20.25">
      <c r="A1906" s="309"/>
      <c r="B1906" s="310"/>
      <c r="C1906" s="310"/>
      <c r="D1906" s="310"/>
      <c r="E1906" s="311"/>
      <c r="F1906" s="312"/>
    </row>
    <row r="1907" spans="1:6" ht="20.25">
      <c r="A1907" s="309"/>
      <c r="B1907" s="310"/>
      <c r="C1907" s="310"/>
      <c r="D1907" s="310"/>
      <c r="E1907" s="311"/>
      <c r="F1907" s="312"/>
    </row>
    <row r="1908" spans="1:6" ht="20.25">
      <c r="A1908" s="309"/>
      <c r="B1908" s="310"/>
      <c r="C1908" s="310"/>
      <c r="D1908" s="310"/>
      <c r="E1908" s="311"/>
      <c r="F1908" s="312"/>
    </row>
    <row r="1909" spans="1:6" ht="20.25">
      <c r="A1909" s="309"/>
      <c r="B1909" s="310"/>
      <c r="C1909" s="310"/>
      <c r="D1909" s="310"/>
      <c r="E1909" s="311"/>
      <c r="F1909" s="312"/>
    </row>
    <row r="1910" spans="1:6" ht="20.25">
      <c r="A1910" s="309"/>
      <c r="B1910" s="310"/>
      <c r="C1910" s="310"/>
      <c r="D1910" s="310"/>
      <c r="E1910" s="311"/>
      <c r="F1910" s="312"/>
    </row>
    <row r="1911" spans="1:6" ht="20.25">
      <c r="A1911" s="309"/>
      <c r="B1911" s="310"/>
      <c r="C1911" s="310"/>
      <c r="D1911" s="310"/>
      <c r="E1911" s="311"/>
      <c r="F1911" s="312"/>
    </row>
    <row r="1912" spans="1:6" ht="20.25">
      <c r="A1912" s="309"/>
      <c r="B1912" s="310"/>
      <c r="C1912" s="310"/>
      <c r="D1912" s="310"/>
      <c r="E1912" s="311"/>
      <c r="F1912" s="312"/>
    </row>
    <row r="1913" spans="1:6" ht="20.25">
      <c r="A1913" s="309"/>
      <c r="B1913" s="310"/>
      <c r="C1913" s="310"/>
      <c r="D1913" s="310"/>
      <c r="E1913" s="311"/>
      <c r="F1913" s="312"/>
    </row>
    <row r="1914" spans="1:6" ht="20.25">
      <c r="A1914" s="309"/>
      <c r="B1914" s="310"/>
      <c r="C1914" s="310"/>
      <c r="D1914" s="310"/>
      <c r="E1914" s="311"/>
      <c r="F1914" s="312"/>
    </row>
    <row r="1915" spans="1:6" ht="20.25">
      <c r="A1915" s="309"/>
      <c r="B1915" s="310"/>
      <c r="C1915" s="310"/>
      <c r="D1915" s="310"/>
      <c r="E1915" s="311"/>
      <c r="F1915" s="312"/>
    </row>
    <row r="1916" spans="1:6" ht="20.25">
      <c r="A1916" s="309"/>
      <c r="B1916" s="310"/>
      <c r="C1916" s="310"/>
      <c r="D1916" s="310"/>
      <c r="E1916" s="311"/>
      <c r="F1916" s="312"/>
    </row>
    <row r="1917" spans="1:6" ht="20.25">
      <c r="A1917" s="309"/>
      <c r="B1917" s="310"/>
      <c r="C1917" s="310"/>
      <c r="D1917" s="310"/>
      <c r="E1917" s="311"/>
      <c r="F1917" s="312"/>
    </row>
    <row r="1918" spans="1:6" ht="20.25">
      <c r="A1918" s="309"/>
      <c r="B1918" s="310"/>
      <c r="C1918" s="310"/>
      <c r="D1918" s="310"/>
      <c r="E1918" s="311"/>
      <c r="F1918" s="312"/>
    </row>
    <row r="1919" spans="1:6" ht="20.25">
      <c r="A1919" s="309"/>
      <c r="B1919" s="310"/>
      <c r="C1919" s="310"/>
      <c r="D1919" s="310"/>
      <c r="E1919" s="311"/>
      <c r="F1919" s="312"/>
    </row>
    <row r="1920" spans="1:6" ht="20.25">
      <c r="A1920" s="309"/>
      <c r="B1920" s="310"/>
      <c r="C1920" s="310"/>
      <c r="D1920" s="310"/>
      <c r="E1920" s="311"/>
      <c r="F1920" s="312"/>
    </row>
    <row r="1921" spans="1:6" ht="20.25">
      <c r="A1921" s="309"/>
      <c r="B1921" s="310"/>
      <c r="C1921" s="310"/>
      <c r="D1921" s="310"/>
      <c r="E1921" s="311"/>
      <c r="F1921" s="312"/>
    </row>
    <row r="1922" spans="1:6" ht="20.25">
      <c r="A1922" s="309"/>
      <c r="B1922" s="310"/>
      <c r="C1922" s="310"/>
      <c r="D1922" s="310"/>
      <c r="E1922" s="311"/>
      <c r="F1922" s="312"/>
    </row>
    <row r="1923" spans="1:6" ht="20.25">
      <c r="A1923" s="309"/>
      <c r="B1923" s="310"/>
      <c r="C1923" s="310"/>
      <c r="D1923" s="310"/>
      <c r="E1923" s="311"/>
      <c r="F1923" s="312"/>
    </row>
    <row r="1924" spans="1:6" ht="20.25">
      <c r="A1924" s="309"/>
      <c r="B1924" s="310"/>
      <c r="C1924" s="310"/>
      <c r="D1924" s="310"/>
      <c r="E1924" s="311"/>
      <c r="F1924" s="312"/>
    </row>
    <row r="1925" spans="1:6" ht="20.25">
      <c r="A1925" s="309"/>
      <c r="B1925" s="310"/>
      <c r="C1925" s="310"/>
      <c r="D1925" s="310"/>
      <c r="E1925" s="311"/>
      <c r="F1925" s="312"/>
    </row>
    <row r="1926" spans="1:6" ht="20.25">
      <c r="A1926" s="309"/>
      <c r="B1926" s="310"/>
      <c r="C1926" s="310"/>
      <c r="D1926" s="310"/>
      <c r="E1926" s="311"/>
      <c r="F1926" s="312"/>
    </row>
    <row r="1927" spans="1:6" ht="20.25">
      <c r="A1927" s="309"/>
      <c r="B1927" s="310"/>
      <c r="C1927" s="310"/>
      <c r="D1927" s="310"/>
      <c r="E1927" s="311"/>
      <c r="F1927" s="312"/>
    </row>
    <row r="1928" spans="1:6" ht="20.25">
      <c r="A1928" s="309"/>
      <c r="B1928" s="310"/>
      <c r="C1928" s="310"/>
      <c r="D1928" s="310"/>
      <c r="E1928" s="311"/>
      <c r="F1928" s="312"/>
    </row>
    <row r="1929" spans="1:6" ht="20.25">
      <c r="A1929" s="309"/>
      <c r="B1929" s="310"/>
      <c r="C1929" s="310"/>
      <c r="D1929" s="310"/>
      <c r="E1929" s="311"/>
      <c r="F1929" s="312"/>
    </row>
    <row r="1930" spans="1:6" ht="20.25">
      <c r="A1930" s="309"/>
      <c r="B1930" s="310"/>
      <c r="C1930" s="310"/>
      <c r="D1930" s="310"/>
      <c r="E1930" s="311"/>
      <c r="F1930" s="312"/>
    </row>
    <row r="1931" spans="1:6" ht="20.25">
      <c r="A1931" s="309"/>
      <c r="B1931" s="310"/>
      <c r="C1931" s="310"/>
      <c r="D1931" s="310"/>
      <c r="E1931" s="311"/>
      <c r="F1931" s="312"/>
    </row>
    <row r="1932" spans="1:6" ht="20.25">
      <c r="A1932" s="309"/>
      <c r="B1932" s="310"/>
      <c r="C1932" s="310"/>
      <c r="D1932" s="310"/>
      <c r="E1932" s="311"/>
      <c r="F1932" s="312"/>
    </row>
    <row r="1933" spans="1:6" ht="20.25">
      <c r="A1933" s="309"/>
      <c r="B1933" s="310"/>
      <c r="C1933" s="310"/>
      <c r="D1933" s="310"/>
      <c r="E1933" s="311"/>
      <c r="F1933" s="312"/>
    </row>
    <row r="1934" spans="1:6" ht="20.25">
      <c r="A1934" s="309"/>
      <c r="B1934" s="310"/>
      <c r="C1934" s="310"/>
      <c r="D1934" s="310"/>
      <c r="E1934" s="311"/>
      <c r="F1934" s="312"/>
    </row>
    <row r="1935" spans="1:6" ht="20.25">
      <c r="A1935" s="309"/>
      <c r="B1935" s="310"/>
      <c r="C1935" s="310"/>
      <c r="D1935" s="310"/>
      <c r="E1935" s="311"/>
      <c r="F1935" s="312"/>
    </row>
    <row r="1936" spans="1:6" ht="20.25">
      <c r="A1936" s="309"/>
      <c r="B1936" s="310"/>
      <c r="C1936" s="310"/>
      <c r="D1936" s="310"/>
      <c r="E1936" s="311"/>
      <c r="F1936" s="312"/>
    </row>
    <row r="1937" spans="1:6" ht="20.25">
      <c r="A1937" s="309"/>
      <c r="B1937" s="310"/>
      <c r="C1937" s="310"/>
      <c r="D1937" s="310"/>
      <c r="E1937" s="311"/>
      <c r="F1937" s="312"/>
    </row>
    <row r="1938" spans="1:6" ht="20.25">
      <c r="A1938" s="309"/>
      <c r="B1938" s="310"/>
      <c r="C1938" s="310"/>
      <c r="D1938" s="310"/>
      <c r="E1938" s="311"/>
      <c r="F1938" s="312"/>
    </row>
    <row r="1939" spans="1:6" ht="20.25">
      <c r="A1939" s="309"/>
      <c r="B1939" s="310"/>
      <c r="C1939" s="310"/>
      <c r="D1939" s="310"/>
      <c r="E1939" s="311"/>
      <c r="F1939" s="312"/>
    </row>
    <row r="1940" spans="1:6" ht="20.25">
      <c r="A1940" s="309"/>
      <c r="B1940" s="310"/>
      <c r="C1940" s="310"/>
      <c r="D1940" s="310"/>
      <c r="E1940" s="311"/>
      <c r="F1940" s="312"/>
    </row>
    <row r="1941" spans="1:6" ht="20.25">
      <c r="A1941" s="309"/>
      <c r="B1941" s="310"/>
      <c r="C1941" s="310"/>
      <c r="D1941" s="310"/>
      <c r="E1941" s="311"/>
      <c r="F1941" s="312"/>
    </row>
    <row r="1942" spans="1:6" ht="20.25">
      <c r="A1942" s="309"/>
      <c r="B1942" s="310"/>
      <c r="C1942" s="310"/>
      <c r="D1942" s="310"/>
      <c r="E1942" s="311"/>
      <c r="F1942" s="312"/>
    </row>
    <row r="1943" spans="1:6" ht="20.25">
      <c r="A1943" s="309"/>
      <c r="B1943" s="310"/>
      <c r="C1943" s="310"/>
      <c r="D1943" s="310"/>
      <c r="E1943" s="311"/>
      <c r="F1943" s="312"/>
    </row>
    <row r="1944" spans="1:6" ht="20.25">
      <c r="A1944" s="309"/>
      <c r="B1944" s="310"/>
      <c r="C1944" s="310"/>
      <c r="D1944" s="310"/>
      <c r="E1944" s="311"/>
      <c r="F1944" s="312"/>
    </row>
    <row r="1945" spans="1:6" ht="20.25">
      <c r="A1945" s="309"/>
      <c r="B1945" s="310"/>
      <c r="C1945" s="310"/>
      <c r="D1945" s="310"/>
      <c r="E1945" s="311"/>
      <c r="F1945" s="312"/>
    </row>
    <row r="1946" spans="1:6" ht="20.25">
      <c r="A1946" s="309"/>
      <c r="B1946" s="310"/>
      <c r="C1946" s="310"/>
      <c r="D1946" s="310"/>
      <c r="E1946" s="311"/>
      <c r="F1946" s="312"/>
    </row>
    <row r="1947" spans="1:6" ht="20.25">
      <c r="A1947" s="309"/>
      <c r="B1947" s="310"/>
      <c r="C1947" s="310"/>
      <c r="D1947" s="310"/>
      <c r="E1947" s="311"/>
      <c r="F1947" s="312"/>
    </row>
    <row r="1948" spans="1:6" ht="20.25">
      <c r="A1948" s="309"/>
      <c r="B1948" s="310"/>
      <c r="C1948" s="310"/>
      <c r="D1948" s="310"/>
      <c r="E1948" s="311"/>
      <c r="F1948" s="312"/>
    </row>
    <row r="1949" spans="1:6" ht="20.25">
      <c r="A1949" s="309"/>
      <c r="B1949" s="310"/>
      <c r="C1949" s="310"/>
      <c r="D1949" s="310"/>
      <c r="E1949" s="311"/>
      <c r="F1949" s="312"/>
    </row>
    <row r="1950" spans="1:6" ht="20.25">
      <c r="A1950" s="309"/>
      <c r="B1950" s="310"/>
      <c r="C1950" s="310"/>
      <c r="D1950" s="310"/>
      <c r="E1950" s="311"/>
      <c r="F1950" s="312"/>
    </row>
    <row r="1951" spans="1:6" ht="20.25">
      <c r="A1951" s="309"/>
      <c r="B1951" s="310"/>
      <c r="C1951" s="310"/>
      <c r="D1951" s="310"/>
      <c r="E1951" s="311"/>
      <c r="F1951" s="312"/>
    </row>
    <row r="1952" spans="1:6" ht="20.25">
      <c r="A1952" s="309"/>
      <c r="B1952" s="310"/>
      <c r="C1952" s="310"/>
      <c r="D1952" s="310"/>
      <c r="E1952" s="311"/>
      <c r="F1952" s="312"/>
    </row>
    <row r="1953" spans="1:6" ht="20.25">
      <c r="A1953" s="309"/>
      <c r="B1953" s="310"/>
      <c r="C1953" s="310"/>
      <c r="D1953" s="310"/>
      <c r="E1953" s="311"/>
      <c r="F1953" s="312"/>
    </row>
    <row r="1954" spans="1:6" ht="20.25">
      <c r="A1954" s="309"/>
      <c r="B1954" s="310"/>
      <c r="C1954" s="310"/>
      <c r="D1954" s="310"/>
      <c r="E1954" s="311"/>
      <c r="F1954" s="312"/>
    </row>
    <row r="1955" spans="1:6" ht="20.25">
      <c r="A1955" s="309"/>
      <c r="B1955" s="310"/>
      <c r="C1955" s="310"/>
      <c r="D1955" s="310"/>
      <c r="E1955" s="311"/>
      <c r="F1955" s="312"/>
    </row>
    <row r="1956" spans="1:6" ht="20.25">
      <c r="A1956" s="309"/>
      <c r="B1956" s="310"/>
      <c r="C1956" s="310"/>
      <c r="D1956" s="310"/>
      <c r="E1956" s="311"/>
      <c r="F1956" s="312"/>
    </row>
    <row r="1957" spans="1:6" ht="20.25">
      <c r="A1957" s="309"/>
      <c r="B1957" s="310"/>
      <c r="C1957" s="310"/>
      <c r="D1957" s="310"/>
      <c r="E1957" s="311"/>
      <c r="F1957" s="312"/>
    </row>
    <row r="1958" spans="1:6" ht="20.25">
      <c r="A1958" s="309"/>
      <c r="B1958" s="310"/>
      <c r="C1958" s="310"/>
      <c r="D1958" s="310"/>
      <c r="E1958" s="311"/>
      <c r="F1958" s="312"/>
    </row>
    <row r="1959" spans="1:6" ht="20.25">
      <c r="A1959" s="309"/>
      <c r="B1959" s="310"/>
      <c r="C1959" s="310"/>
      <c r="D1959" s="310"/>
      <c r="E1959" s="311"/>
      <c r="F1959" s="312"/>
    </row>
    <row r="1960" spans="1:6" ht="20.25">
      <c r="A1960" s="309"/>
      <c r="B1960" s="310"/>
      <c r="C1960" s="310"/>
      <c r="D1960" s="310"/>
      <c r="E1960" s="311"/>
      <c r="F1960" s="312"/>
    </row>
    <row r="1961" spans="1:6" ht="20.25">
      <c r="A1961" s="309"/>
      <c r="B1961" s="310"/>
      <c r="C1961" s="310"/>
      <c r="D1961" s="310"/>
      <c r="E1961" s="311"/>
      <c r="F1961" s="312"/>
    </row>
    <row r="1962" spans="1:6" ht="20.25">
      <c r="A1962" s="309"/>
      <c r="B1962" s="310"/>
      <c r="C1962" s="310"/>
      <c r="D1962" s="310"/>
      <c r="E1962" s="311"/>
      <c r="F1962" s="312"/>
    </row>
    <row r="1963" spans="1:6" ht="20.25">
      <c r="A1963" s="309"/>
      <c r="B1963" s="310"/>
      <c r="C1963" s="310"/>
      <c r="D1963" s="310"/>
      <c r="E1963" s="311"/>
      <c r="F1963" s="312"/>
    </row>
    <row r="1964" spans="1:6" ht="20.25">
      <c r="A1964" s="309"/>
      <c r="B1964" s="310"/>
      <c r="C1964" s="310"/>
      <c r="D1964" s="310"/>
      <c r="E1964" s="311"/>
      <c r="F1964" s="312"/>
    </row>
    <row r="1965" spans="1:6" ht="20.25">
      <c r="A1965" s="309"/>
      <c r="B1965" s="310"/>
      <c r="C1965" s="310"/>
      <c r="D1965" s="310"/>
      <c r="E1965" s="311"/>
      <c r="F1965" s="312"/>
    </row>
    <row r="1966" spans="1:6" ht="20.25">
      <c r="A1966" s="309"/>
      <c r="B1966" s="310"/>
      <c r="C1966" s="310"/>
      <c r="D1966" s="310"/>
      <c r="E1966" s="311"/>
      <c r="F1966" s="312"/>
    </row>
    <row r="1967" spans="1:6" ht="20.25">
      <c r="A1967" s="309"/>
      <c r="B1967" s="310"/>
      <c r="C1967" s="310"/>
      <c r="D1967" s="310"/>
      <c r="E1967" s="311"/>
      <c r="F1967" s="312"/>
    </row>
    <row r="1968" spans="1:6" ht="20.25">
      <c r="A1968" s="309"/>
      <c r="B1968" s="310"/>
      <c r="C1968" s="310"/>
      <c r="D1968" s="310"/>
      <c r="E1968" s="311"/>
      <c r="F1968" s="312"/>
    </row>
    <row r="1969" spans="1:6" ht="20.25">
      <c r="A1969" s="309"/>
      <c r="B1969" s="310"/>
      <c r="C1969" s="310"/>
      <c r="D1969" s="310"/>
      <c r="E1969" s="311"/>
      <c r="F1969" s="312"/>
    </row>
    <row r="1970" spans="1:6" ht="20.25">
      <c r="A1970" s="309"/>
      <c r="B1970" s="310"/>
      <c r="C1970" s="310"/>
      <c r="D1970" s="310"/>
      <c r="E1970" s="311"/>
      <c r="F1970" s="312"/>
    </row>
    <row r="1971" spans="1:6" ht="20.25">
      <c r="A1971" s="309"/>
      <c r="B1971" s="310"/>
      <c r="C1971" s="310"/>
      <c r="D1971" s="310"/>
      <c r="E1971" s="311"/>
      <c r="F1971" s="312"/>
    </row>
    <row r="1972" spans="1:6" ht="20.25">
      <c r="A1972" s="309"/>
      <c r="B1972" s="310"/>
      <c r="C1972" s="310"/>
      <c r="D1972" s="310"/>
      <c r="E1972" s="311"/>
      <c r="F1972" s="312"/>
    </row>
    <row r="1973" spans="1:6" ht="20.25">
      <c r="A1973" s="309"/>
      <c r="B1973" s="310"/>
      <c r="C1973" s="310"/>
      <c r="D1973" s="310"/>
      <c r="E1973" s="311"/>
      <c r="F1973" s="312"/>
    </row>
    <row r="1974" spans="1:6" ht="20.25">
      <c r="A1974" s="309"/>
      <c r="B1974" s="310"/>
      <c r="C1974" s="310"/>
      <c r="D1974" s="310"/>
      <c r="E1974" s="311"/>
      <c r="F1974" s="312"/>
    </row>
    <row r="1975" spans="1:6" ht="20.25">
      <c r="A1975" s="309"/>
      <c r="B1975" s="310"/>
      <c r="C1975" s="310"/>
      <c r="D1975" s="310"/>
      <c r="E1975" s="311"/>
      <c r="F1975" s="312"/>
    </row>
    <row r="1976" spans="1:6" ht="20.25">
      <c r="A1976" s="309"/>
      <c r="B1976" s="310"/>
      <c r="C1976" s="310"/>
      <c r="D1976" s="310"/>
      <c r="E1976" s="311"/>
      <c r="F1976" s="312"/>
    </row>
    <row r="1977" spans="1:6" ht="20.25">
      <c r="A1977" s="309"/>
      <c r="B1977" s="310"/>
      <c r="C1977" s="310"/>
      <c r="D1977" s="310"/>
      <c r="E1977" s="311"/>
      <c r="F1977" s="312"/>
    </row>
    <row r="1978" spans="1:6" ht="20.25">
      <c r="A1978" s="309"/>
      <c r="B1978" s="310"/>
      <c r="C1978" s="310"/>
      <c r="D1978" s="310"/>
      <c r="E1978" s="311"/>
      <c r="F1978" s="312"/>
    </row>
    <row r="1979" spans="1:6" ht="20.25">
      <c r="A1979" s="309"/>
      <c r="B1979" s="310"/>
      <c r="C1979" s="310"/>
      <c r="D1979" s="310"/>
      <c r="E1979" s="311"/>
      <c r="F1979" s="312"/>
    </row>
    <row r="1980" spans="1:6" ht="20.25">
      <c r="A1980" s="309"/>
      <c r="B1980" s="310"/>
      <c r="C1980" s="310"/>
      <c r="D1980" s="310"/>
      <c r="E1980" s="311"/>
      <c r="F1980" s="312"/>
    </row>
    <row r="1981" spans="1:6" ht="20.25">
      <c r="A1981" s="309"/>
      <c r="B1981" s="310"/>
      <c r="C1981" s="310"/>
      <c r="D1981" s="310"/>
      <c r="E1981" s="311"/>
      <c r="F1981" s="312"/>
    </row>
    <row r="1982" spans="1:6" ht="20.25">
      <c r="A1982" s="309"/>
      <c r="B1982" s="310"/>
      <c r="C1982" s="310"/>
      <c r="D1982" s="310"/>
      <c r="E1982" s="311"/>
      <c r="F1982" s="312"/>
    </row>
    <row r="1983" spans="1:6" ht="20.25">
      <c r="A1983" s="309"/>
      <c r="B1983" s="310"/>
      <c r="C1983" s="310"/>
      <c r="D1983" s="310"/>
      <c r="E1983" s="311"/>
      <c r="F1983" s="312"/>
    </row>
    <row r="1984" spans="1:6" ht="20.25">
      <c r="A1984" s="309"/>
      <c r="B1984" s="310"/>
      <c r="C1984" s="310"/>
      <c r="D1984" s="310"/>
      <c r="E1984" s="311"/>
      <c r="F1984" s="312"/>
    </row>
    <row r="1985" spans="1:6" ht="20.25">
      <c r="A1985" s="309"/>
      <c r="B1985" s="310"/>
      <c r="C1985" s="310"/>
      <c r="D1985" s="310"/>
      <c r="E1985" s="311"/>
      <c r="F1985" s="312"/>
    </row>
    <row r="1986" spans="1:6" ht="20.25">
      <c r="A1986" s="309"/>
      <c r="B1986" s="310"/>
      <c r="C1986" s="310"/>
      <c r="D1986" s="310"/>
      <c r="E1986" s="311"/>
      <c r="F1986" s="312"/>
    </row>
    <row r="1987" spans="1:6" ht="20.25">
      <c r="A1987" s="309"/>
      <c r="B1987" s="310"/>
      <c r="C1987" s="310"/>
      <c r="D1987" s="310"/>
      <c r="E1987" s="311"/>
      <c r="F1987" s="312"/>
    </row>
    <row r="1988" spans="1:6" ht="20.25">
      <c r="A1988" s="309"/>
      <c r="B1988" s="310"/>
      <c r="C1988" s="310"/>
      <c r="D1988" s="310"/>
      <c r="E1988" s="311"/>
      <c r="F1988" s="312"/>
    </row>
    <row r="1989" spans="1:6" ht="20.25">
      <c r="A1989" s="309"/>
      <c r="B1989" s="310"/>
      <c r="C1989" s="310"/>
      <c r="D1989" s="310"/>
      <c r="E1989" s="311"/>
      <c r="F1989" s="312"/>
    </row>
    <row r="1990" spans="1:6" ht="20.25">
      <c r="A1990" s="309"/>
      <c r="B1990" s="310"/>
      <c r="C1990" s="310"/>
      <c r="D1990" s="310"/>
      <c r="E1990" s="311"/>
      <c r="F1990" s="312"/>
    </row>
    <row r="1991" spans="1:6" ht="20.25">
      <c r="A1991" s="309"/>
      <c r="B1991" s="310"/>
      <c r="C1991" s="310"/>
      <c r="D1991" s="310"/>
      <c r="E1991" s="311"/>
      <c r="F1991" s="312"/>
    </row>
    <row r="1992" spans="1:6" ht="20.25">
      <c r="A1992" s="309"/>
      <c r="B1992" s="310"/>
      <c r="C1992" s="310"/>
      <c r="D1992" s="310"/>
      <c r="E1992" s="311"/>
      <c r="F1992" s="312"/>
    </row>
    <row r="1993" spans="1:6" ht="20.25">
      <c r="A1993" s="309"/>
      <c r="B1993" s="310"/>
      <c r="C1993" s="310"/>
      <c r="D1993" s="310"/>
      <c r="E1993" s="311"/>
      <c r="F1993" s="312"/>
    </row>
    <row r="1994" spans="1:6" ht="20.25">
      <c r="A1994" s="309"/>
      <c r="B1994" s="310"/>
      <c r="C1994" s="310"/>
      <c r="D1994" s="310"/>
      <c r="E1994" s="311"/>
      <c r="F1994" s="312"/>
    </row>
    <row r="1995" spans="1:6" ht="20.25">
      <c r="A1995" s="309"/>
      <c r="B1995" s="310"/>
      <c r="C1995" s="310"/>
      <c r="D1995" s="310"/>
      <c r="E1995" s="311"/>
      <c r="F1995" s="312"/>
    </row>
    <row r="1996" spans="1:6" ht="20.25">
      <c r="A1996" s="309"/>
      <c r="B1996" s="310"/>
      <c r="C1996" s="310"/>
      <c r="D1996" s="310"/>
      <c r="E1996" s="311"/>
      <c r="F1996" s="312"/>
    </row>
    <row r="1997" spans="1:6" ht="20.25">
      <c r="A1997" s="309"/>
      <c r="B1997" s="310"/>
      <c r="C1997" s="310"/>
      <c r="D1997" s="310"/>
      <c r="E1997" s="311"/>
      <c r="F1997" s="312"/>
    </row>
    <row r="1998" spans="1:6" ht="20.25">
      <c r="A1998" s="309"/>
      <c r="B1998" s="310"/>
      <c r="C1998" s="310"/>
      <c r="D1998" s="310"/>
      <c r="E1998" s="311"/>
      <c r="F1998" s="312"/>
    </row>
    <row r="1999" spans="1:6" ht="20.25">
      <c r="A1999" s="309"/>
      <c r="B1999" s="310"/>
      <c r="C1999" s="310"/>
      <c r="D1999" s="310"/>
      <c r="E1999" s="311"/>
      <c r="F1999" s="312"/>
    </row>
    <row r="2000" spans="1:6" ht="20.25">
      <c r="A2000" s="309"/>
      <c r="B2000" s="310"/>
      <c r="C2000" s="310"/>
      <c r="D2000" s="310"/>
      <c r="E2000" s="311"/>
      <c r="F2000" s="312"/>
    </row>
    <row r="2001" spans="1:6" ht="20.25">
      <c r="A2001" s="309"/>
      <c r="B2001" s="310"/>
      <c r="C2001" s="310"/>
      <c r="D2001" s="310"/>
      <c r="E2001" s="311"/>
      <c r="F2001" s="312"/>
    </row>
    <row r="2002" spans="1:6" ht="20.25">
      <c r="A2002" s="309"/>
      <c r="B2002" s="310"/>
      <c r="C2002" s="310"/>
      <c r="D2002" s="310"/>
      <c r="E2002" s="311"/>
      <c r="F2002" s="312"/>
    </row>
    <row r="2003" spans="1:6" ht="20.25">
      <c r="A2003" s="309"/>
      <c r="B2003" s="310"/>
      <c r="C2003" s="310"/>
      <c r="D2003" s="310"/>
      <c r="E2003" s="311"/>
      <c r="F2003" s="312"/>
    </row>
    <row r="2004" spans="1:6" ht="20.25">
      <c r="A2004" s="309"/>
      <c r="B2004" s="310"/>
      <c r="C2004" s="310"/>
      <c r="D2004" s="310"/>
      <c r="E2004" s="311"/>
      <c r="F2004" s="312"/>
    </row>
    <row r="2005" spans="1:6" ht="20.25">
      <c r="A2005" s="309"/>
      <c r="B2005" s="310"/>
      <c r="C2005" s="310"/>
      <c r="D2005" s="310"/>
      <c r="E2005" s="311"/>
      <c r="F2005" s="312"/>
    </row>
    <row r="2006" spans="1:6" ht="20.25">
      <c r="A2006" s="309"/>
      <c r="B2006" s="310"/>
      <c r="C2006" s="310"/>
      <c r="D2006" s="310"/>
      <c r="E2006" s="311"/>
      <c r="F2006" s="312"/>
    </row>
    <row r="2007" spans="1:6" ht="20.25">
      <c r="A2007" s="309"/>
      <c r="B2007" s="310"/>
      <c r="C2007" s="310"/>
      <c r="D2007" s="310"/>
      <c r="E2007" s="311"/>
      <c r="F2007" s="312"/>
    </row>
    <row r="2008" spans="1:6" ht="20.25">
      <c r="A2008" s="309"/>
      <c r="B2008" s="310"/>
      <c r="C2008" s="310"/>
      <c r="D2008" s="310"/>
      <c r="E2008" s="311"/>
      <c r="F2008" s="312"/>
    </row>
    <row r="2009" spans="1:6" ht="20.25">
      <c r="A2009" s="309"/>
      <c r="B2009" s="310"/>
      <c r="C2009" s="310"/>
      <c r="D2009" s="310"/>
      <c r="E2009" s="311"/>
      <c r="F2009" s="312"/>
    </row>
    <row r="2010" spans="1:6" ht="20.25">
      <c r="A2010" s="309"/>
      <c r="B2010" s="310"/>
      <c r="C2010" s="310"/>
      <c r="D2010" s="310"/>
      <c r="E2010" s="311"/>
      <c r="F2010" s="312"/>
    </row>
    <row r="2011" spans="1:6" ht="20.25">
      <c r="A2011" s="309"/>
      <c r="B2011" s="310"/>
      <c r="C2011" s="310"/>
      <c r="D2011" s="310"/>
      <c r="E2011" s="311"/>
      <c r="F2011" s="312"/>
    </row>
    <row r="2012" spans="1:6" ht="20.25">
      <c r="A2012" s="309"/>
      <c r="B2012" s="310"/>
      <c r="C2012" s="310"/>
      <c r="D2012" s="310"/>
      <c r="E2012" s="311"/>
      <c r="F2012" s="312"/>
    </row>
    <row r="2013" spans="1:6" ht="20.25">
      <c r="A2013" s="309"/>
      <c r="B2013" s="310"/>
      <c r="C2013" s="310"/>
      <c r="D2013" s="310"/>
      <c r="E2013" s="311"/>
      <c r="F2013" s="312"/>
    </row>
    <row r="2014" spans="1:6" ht="20.25">
      <c r="A2014" s="309"/>
      <c r="B2014" s="310"/>
      <c r="C2014" s="310"/>
      <c r="D2014" s="310"/>
      <c r="E2014" s="311"/>
      <c r="F2014" s="312"/>
    </row>
    <row r="2015" spans="1:6" ht="20.25">
      <c r="A2015" s="309"/>
      <c r="B2015" s="310"/>
      <c r="C2015" s="310"/>
      <c r="D2015" s="310"/>
      <c r="E2015" s="311"/>
      <c r="F2015" s="312"/>
    </row>
    <row r="2016" spans="1:6" ht="20.25">
      <c r="A2016" s="309"/>
      <c r="B2016" s="310"/>
      <c r="C2016" s="310"/>
      <c r="D2016" s="310"/>
      <c r="E2016" s="311"/>
      <c r="F2016" s="312"/>
    </row>
    <row r="2017" spans="1:6" ht="20.25">
      <c r="A2017" s="309"/>
      <c r="B2017" s="310"/>
      <c r="C2017" s="310"/>
      <c r="D2017" s="310"/>
      <c r="E2017" s="311"/>
      <c r="F2017" s="312"/>
    </row>
    <row r="2018" spans="1:6" ht="20.25">
      <c r="A2018" s="309"/>
      <c r="B2018" s="310"/>
      <c r="C2018" s="310"/>
      <c r="D2018" s="310"/>
      <c r="E2018" s="311"/>
      <c r="F2018" s="312"/>
    </row>
    <row r="2019" spans="1:6" ht="20.25">
      <c r="A2019" s="309"/>
      <c r="B2019" s="310"/>
      <c r="C2019" s="310"/>
      <c r="D2019" s="310"/>
      <c r="E2019" s="311"/>
      <c r="F2019" s="312"/>
    </row>
    <row r="2020" spans="1:6" ht="20.25">
      <c r="A2020" s="309"/>
      <c r="B2020" s="310"/>
      <c r="C2020" s="310"/>
      <c r="D2020" s="310"/>
      <c r="E2020" s="311"/>
      <c r="F2020" s="312"/>
    </row>
    <row r="2021" spans="1:6" ht="20.25">
      <c r="A2021" s="309"/>
      <c r="B2021" s="310"/>
      <c r="C2021" s="310"/>
      <c r="D2021" s="310"/>
      <c r="E2021" s="311"/>
      <c r="F2021" s="312"/>
    </row>
    <row r="2022" spans="1:6" ht="20.25">
      <c r="A2022" s="309"/>
      <c r="B2022" s="310"/>
      <c r="C2022" s="310"/>
      <c r="D2022" s="310"/>
      <c r="E2022" s="311"/>
      <c r="F2022" s="312"/>
    </row>
    <row r="2023" spans="1:6" ht="20.25">
      <c r="A2023" s="309"/>
      <c r="B2023" s="310"/>
      <c r="C2023" s="310"/>
      <c r="D2023" s="310"/>
      <c r="E2023" s="311"/>
      <c r="F2023" s="312"/>
    </row>
    <row r="2024" spans="1:6" ht="20.25">
      <c r="A2024" s="309"/>
      <c r="B2024" s="310"/>
      <c r="C2024" s="310"/>
      <c r="D2024" s="310"/>
      <c r="E2024" s="311"/>
      <c r="F2024" s="312"/>
    </row>
    <row r="2025" spans="1:6" ht="20.25">
      <c r="A2025" s="309"/>
      <c r="B2025" s="310"/>
      <c r="C2025" s="310"/>
      <c r="D2025" s="310"/>
      <c r="E2025" s="311"/>
      <c r="F2025" s="312"/>
    </row>
    <row r="2026" spans="1:6" ht="20.25">
      <c r="A2026" s="309"/>
      <c r="B2026" s="310"/>
      <c r="C2026" s="310"/>
      <c r="D2026" s="310"/>
      <c r="E2026" s="311"/>
      <c r="F2026" s="312"/>
    </row>
    <row r="2027" spans="1:6" ht="20.25">
      <c r="A2027" s="309"/>
      <c r="B2027" s="310"/>
      <c r="C2027" s="310"/>
      <c r="D2027" s="310"/>
      <c r="E2027" s="311"/>
      <c r="F2027" s="312"/>
    </row>
    <row r="2028" spans="1:6" ht="20.25">
      <c r="A2028" s="309"/>
      <c r="B2028" s="310"/>
      <c r="C2028" s="310"/>
      <c r="D2028" s="310"/>
      <c r="E2028" s="311"/>
      <c r="F2028" s="312"/>
    </row>
    <row r="2029" spans="1:6" ht="20.25">
      <c r="A2029" s="309"/>
      <c r="B2029" s="310"/>
      <c r="C2029" s="310"/>
      <c r="D2029" s="310"/>
      <c r="E2029" s="311"/>
      <c r="F2029" s="312"/>
    </row>
    <row r="2030" spans="1:6" ht="20.25">
      <c r="A2030" s="309"/>
      <c r="B2030" s="310"/>
      <c r="C2030" s="310"/>
      <c r="D2030" s="310"/>
      <c r="E2030" s="311"/>
      <c r="F2030" s="312"/>
    </row>
    <row r="2031" spans="1:6" ht="20.25">
      <c r="A2031" s="309"/>
      <c r="B2031" s="310"/>
      <c r="C2031" s="310"/>
      <c r="D2031" s="310"/>
      <c r="E2031" s="311"/>
      <c r="F2031" s="312"/>
    </row>
    <row r="2032" spans="1:6" ht="20.25">
      <c r="A2032" s="309"/>
      <c r="B2032" s="310"/>
      <c r="C2032" s="310"/>
      <c r="D2032" s="310"/>
      <c r="E2032" s="311"/>
      <c r="F2032" s="312"/>
    </row>
    <row r="2033" spans="1:6" ht="20.25">
      <c r="A2033" s="309"/>
      <c r="B2033" s="310"/>
      <c r="C2033" s="310"/>
      <c r="D2033" s="310"/>
      <c r="E2033" s="311"/>
      <c r="F2033" s="312"/>
    </row>
    <row r="2034" spans="1:6" ht="20.25">
      <c r="A2034" s="309"/>
      <c r="B2034" s="310"/>
      <c r="C2034" s="310"/>
      <c r="D2034" s="310"/>
      <c r="E2034" s="311"/>
      <c r="F2034" s="312"/>
    </row>
    <row r="2035" spans="1:6" ht="20.25">
      <c r="A2035" s="309"/>
      <c r="B2035" s="310"/>
      <c r="C2035" s="310"/>
      <c r="D2035" s="310"/>
      <c r="E2035" s="311"/>
      <c r="F2035" s="312"/>
    </row>
    <row r="2036" spans="1:6" ht="20.25">
      <c r="A2036" s="309"/>
      <c r="B2036" s="310"/>
      <c r="C2036" s="310"/>
      <c r="D2036" s="310"/>
      <c r="E2036" s="311"/>
      <c r="F2036" s="312"/>
    </row>
    <row r="2037" spans="1:6" ht="20.25">
      <c r="A2037" s="309"/>
      <c r="B2037" s="310"/>
      <c r="C2037" s="310"/>
      <c r="D2037" s="310"/>
      <c r="E2037" s="311"/>
      <c r="F2037" s="312"/>
    </row>
    <row r="2038" spans="1:6" ht="20.25">
      <c r="A2038" s="309"/>
      <c r="B2038" s="310"/>
      <c r="C2038" s="310"/>
      <c r="D2038" s="310"/>
      <c r="E2038" s="311"/>
      <c r="F2038" s="312"/>
    </row>
    <row r="2039" spans="1:6" ht="20.25">
      <c r="A2039" s="309"/>
      <c r="B2039" s="310"/>
      <c r="C2039" s="310"/>
      <c r="D2039" s="310"/>
      <c r="E2039" s="311"/>
      <c r="F2039" s="312"/>
    </row>
    <row r="2040" spans="1:6" ht="20.25">
      <c r="A2040" s="309"/>
      <c r="B2040" s="310"/>
      <c r="C2040" s="310"/>
      <c r="D2040" s="310"/>
      <c r="E2040" s="311"/>
      <c r="F2040" s="312"/>
    </row>
    <row r="2041" spans="1:6" ht="20.25">
      <c r="A2041" s="309"/>
      <c r="B2041" s="310"/>
      <c r="C2041" s="310"/>
      <c r="D2041" s="310"/>
      <c r="E2041" s="311"/>
      <c r="F2041" s="312"/>
    </row>
    <row r="2042" spans="1:6" ht="20.25">
      <c r="A2042" s="309"/>
      <c r="B2042" s="310"/>
      <c r="C2042" s="310"/>
      <c r="D2042" s="310"/>
      <c r="E2042" s="311"/>
      <c r="F2042" s="312"/>
    </row>
    <row r="2043" spans="1:6" ht="20.25">
      <c r="A2043" s="309"/>
      <c r="B2043" s="310"/>
      <c r="C2043" s="310"/>
      <c r="D2043" s="310"/>
      <c r="E2043" s="311"/>
      <c r="F2043" s="312"/>
    </row>
    <row r="2044" spans="1:6" ht="20.25">
      <c r="A2044" s="309"/>
      <c r="B2044" s="310"/>
      <c r="C2044" s="310"/>
      <c r="D2044" s="310"/>
      <c r="E2044" s="311"/>
      <c r="F2044" s="312"/>
    </row>
    <row r="2045" spans="1:6" ht="20.25">
      <c r="A2045" s="309"/>
      <c r="B2045" s="310"/>
      <c r="C2045" s="310"/>
      <c r="D2045" s="310"/>
      <c r="E2045" s="311"/>
      <c r="F2045" s="312"/>
    </row>
    <row r="2046" spans="1:6" ht="20.25">
      <c r="A2046" s="309"/>
      <c r="B2046" s="310"/>
      <c r="C2046" s="310"/>
      <c r="D2046" s="310"/>
      <c r="E2046" s="311"/>
      <c r="F2046" s="312"/>
    </row>
    <row r="2047" spans="1:6" ht="20.25">
      <c r="A2047" s="309"/>
      <c r="B2047" s="310"/>
      <c r="C2047" s="310"/>
      <c r="D2047" s="310"/>
      <c r="E2047" s="311"/>
      <c r="F2047" s="312"/>
    </row>
    <row r="2048" spans="1:6" ht="20.25">
      <c r="A2048" s="309"/>
      <c r="B2048" s="310"/>
      <c r="C2048" s="310"/>
      <c r="D2048" s="310"/>
      <c r="E2048" s="311"/>
      <c r="F2048" s="312"/>
    </row>
    <row r="2049" spans="1:6" ht="20.25">
      <c r="A2049" s="309"/>
      <c r="B2049" s="310"/>
      <c r="C2049" s="310"/>
      <c r="D2049" s="310"/>
      <c r="E2049" s="311"/>
      <c r="F2049" s="312"/>
    </row>
    <row r="2050" spans="1:6" ht="20.25">
      <c r="A2050" s="309"/>
      <c r="B2050" s="310"/>
      <c r="C2050" s="310"/>
      <c r="D2050" s="310"/>
      <c r="E2050" s="311"/>
      <c r="F2050" s="312"/>
    </row>
    <row r="2051" spans="1:6" ht="20.25">
      <c r="A2051" s="309"/>
      <c r="B2051" s="310"/>
      <c r="C2051" s="310"/>
      <c r="D2051" s="310"/>
      <c r="E2051" s="311"/>
      <c r="F2051" s="312"/>
    </row>
    <row r="2052" spans="1:6" ht="20.25">
      <c r="A2052" s="309"/>
      <c r="B2052" s="310"/>
      <c r="C2052" s="310"/>
      <c r="D2052" s="310"/>
      <c r="E2052" s="311"/>
      <c r="F2052" s="312"/>
    </row>
    <row r="2053" spans="1:6" ht="20.25">
      <c r="A2053" s="309"/>
      <c r="B2053" s="310"/>
      <c r="C2053" s="310"/>
      <c r="D2053" s="310"/>
      <c r="E2053" s="311"/>
      <c r="F2053" s="312"/>
    </row>
    <row r="2054" spans="1:6" ht="20.25">
      <c r="A2054" s="309"/>
      <c r="B2054" s="310"/>
      <c r="C2054" s="310"/>
      <c r="D2054" s="310"/>
      <c r="E2054" s="311"/>
      <c r="F2054" s="312"/>
    </row>
    <row r="2055" spans="1:6" ht="20.25">
      <c r="A2055" s="309"/>
      <c r="B2055" s="310"/>
      <c r="C2055" s="310"/>
      <c r="D2055" s="310"/>
      <c r="E2055" s="311"/>
      <c r="F2055" s="312"/>
    </row>
    <row r="2056" spans="1:6" ht="20.25">
      <c r="A2056" s="309"/>
      <c r="B2056" s="310"/>
      <c r="C2056" s="310"/>
      <c r="D2056" s="310"/>
      <c r="E2056" s="311"/>
      <c r="F2056" s="312"/>
    </row>
    <row r="2057" spans="1:6" ht="20.25">
      <c r="A2057" s="309"/>
      <c r="B2057" s="310"/>
      <c r="C2057" s="310"/>
      <c r="D2057" s="310"/>
      <c r="E2057" s="311"/>
      <c r="F2057" s="312"/>
    </row>
    <row r="2058" spans="1:6" ht="20.25">
      <c r="A2058" s="309"/>
      <c r="B2058" s="310"/>
      <c r="C2058" s="310"/>
      <c r="D2058" s="310"/>
      <c r="E2058" s="311"/>
      <c r="F2058" s="312"/>
    </row>
    <row r="2059" spans="1:6" ht="20.25">
      <c r="A2059" s="309"/>
      <c r="B2059" s="310"/>
      <c r="C2059" s="310"/>
      <c r="D2059" s="310"/>
      <c r="E2059" s="311"/>
      <c r="F2059" s="312"/>
    </row>
    <row r="2060" spans="1:6" ht="20.25">
      <c r="A2060" s="309"/>
      <c r="B2060" s="310"/>
      <c r="C2060" s="310"/>
      <c r="D2060" s="310"/>
      <c r="E2060" s="311"/>
      <c r="F2060" s="312"/>
    </row>
    <row r="2061" spans="1:6" ht="20.25">
      <c r="A2061" s="309"/>
      <c r="B2061" s="310"/>
      <c r="C2061" s="310"/>
      <c r="D2061" s="310"/>
      <c r="E2061" s="311"/>
      <c r="F2061" s="312"/>
    </row>
    <row r="2062" spans="1:6" ht="20.25">
      <c r="A2062" s="309"/>
      <c r="B2062" s="310"/>
      <c r="C2062" s="310"/>
      <c r="D2062" s="310"/>
      <c r="E2062" s="311"/>
      <c r="F2062" s="312"/>
    </row>
    <row r="2063" spans="1:6" ht="20.25">
      <c r="A2063" s="309"/>
      <c r="B2063" s="310"/>
      <c r="C2063" s="310"/>
      <c r="D2063" s="310"/>
      <c r="E2063" s="311"/>
      <c r="F2063" s="312"/>
    </row>
    <row r="2064" spans="1:6" ht="20.25">
      <c r="A2064" s="309"/>
      <c r="B2064" s="310"/>
      <c r="C2064" s="310"/>
      <c r="D2064" s="310"/>
      <c r="E2064" s="311"/>
      <c r="F2064" s="312"/>
    </row>
    <row r="2065" spans="1:6" ht="20.25">
      <c r="A2065" s="309"/>
      <c r="B2065" s="310"/>
      <c r="C2065" s="310"/>
      <c r="D2065" s="310"/>
      <c r="E2065" s="311"/>
      <c r="F2065" s="312"/>
    </row>
    <row r="2066" spans="1:6" ht="20.25">
      <c r="A2066" s="309"/>
      <c r="B2066" s="310"/>
      <c r="C2066" s="310"/>
      <c r="D2066" s="310"/>
      <c r="E2066" s="311"/>
      <c r="F2066" s="312"/>
    </row>
    <row r="2067" spans="1:6" ht="20.25">
      <c r="A2067" s="309"/>
      <c r="B2067" s="310"/>
      <c r="C2067" s="310"/>
      <c r="D2067" s="310"/>
      <c r="E2067" s="311"/>
      <c r="F2067" s="312"/>
    </row>
    <row r="2068" spans="1:6" ht="20.25">
      <c r="A2068" s="309"/>
      <c r="B2068" s="310"/>
      <c r="C2068" s="310"/>
      <c r="D2068" s="310"/>
      <c r="E2068" s="311"/>
      <c r="F2068" s="312"/>
    </row>
    <row r="2069" spans="1:6" ht="20.25">
      <c r="A2069" s="309"/>
      <c r="B2069" s="310"/>
      <c r="C2069" s="310"/>
      <c r="D2069" s="310"/>
      <c r="E2069" s="311"/>
      <c r="F2069" s="312"/>
    </row>
    <row r="2070" spans="1:6" ht="20.25">
      <c r="A2070" s="309"/>
      <c r="B2070" s="310"/>
      <c r="C2070" s="310"/>
      <c r="D2070" s="310"/>
      <c r="E2070" s="311"/>
      <c r="F2070" s="312"/>
    </row>
    <row r="2071" spans="1:6" ht="20.25">
      <c r="A2071" s="309"/>
      <c r="B2071" s="310"/>
      <c r="C2071" s="310"/>
      <c r="D2071" s="310"/>
      <c r="E2071" s="311"/>
      <c r="F2071" s="312"/>
    </row>
    <row r="2072" spans="1:6" ht="20.25">
      <c r="A2072" s="309"/>
      <c r="B2072" s="310"/>
      <c r="C2072" s="310"/>
      <c r="D2072" s="310"/>
      <c r="E2072" s="311"/>
      <c r="F2072" s="312"/>
    </row>
    <row r="2073" spans="1:6" ht="20.25">
      <c r="A2073" s="309"/>
      <c r="B2073" s="310"/>
      <c r="C2073" s="310"/>
      <c r="D2073" s="310"/>
      <c r="E2073" s="311"/>
      <c r="F2073" s="312"/>
    </row>
    <row r="2074" spans="1:6" ht="20.25">
      <c r="A2074" s="309"/>
      <c r="B2074" s="310"/>
      <c r="C2074" s="310"/>
      <c r="D2074" s="310"/>
      <c r="E2074" s="311"/>
      <c r="F2074" s="312"/>
    </row>
    <row r="2075" spans="1:6" ht="20.25">
      <c r="A2075" s="309"/>
      <c r="B2075" s="310"/>
      <c r="C2075" s="310"/>
      <c r="D2075" s="310"/>
      <c r="E2075" s="311"/>
      <c r="F2075" s="312"/>
    </row>
    <row r="2076" spans="1:6" ht="20.25">
      <c r="A2076" s="309"/>
      <c r="B2076" s="310"/>
      <c r="C2076" s="310"/>
      <c r="D2076" s="310"/>
      <c r="E2076" s="311"/>
      <c r="F2076" s="312"/>
    </row>
    <row r="2077" spans="1:6" ht="20.25">
      <c r="A2077" s="309"/>
      <c r="B2077" s="310"/>
      <c r="C2077" s="310"/>
      <c r="D2077" s="310"/>
      <c r="E2077" s="311"/>
      <c r="F2077" s="312"/>
    </row>
    <row r="2078" spans="1:6" ht="20.25">
      <c r="A2078" s="309"/>
      <c r="B2078" s="310"/>
      <c r="C2078" s="310"/>
      <c r="D2078" s="310"/>
      <c r="E2078" s="311"/>
      <c r="F2078" s="312"/>
    </row>
    <row r="2079" spans="1:6" ht="20.25">
      <c r="A2079" s="309"/>
      <c r="B2079" s="310"/>
      <c r="C2079" s="310"/>
      <c r="D2079" s="310"/>
      <c r="E2079" s="311"/>
      <c r="F2079" s="312"/>
    </row>
    <row r="2080" spans="1:6" ht="20.25">
      <c r="A2080" s="309"/>
      <c r="B2080" s="310"/>
      <c r="C2080" s="310"/>
      <c r="D2080" s="310"/>
      <c r="E2080" s="311"/>
      <c r="F2080" s="312"/>
    </row>
    <row r="2081" spans="1:6" ht="20.25">
      <c r="A2081" s="309"/>
      <c r="B2081" s="310"/>
      <c r="C2081" s="310"/>
      <c r="D2081" s="310"/>
      <c r="E2081" s="311"/>
      <c r="F2081" s="312"/>
    </row>
    <row r="2082" spans="1:6" ht="20.25">
      <c r="A2082" s="309"/>
      <c r="B2082" s="310"/>
      <c r="C2082" s="310"/>
      <c r="D2082" s="310"/>
      <c r="E2082" s="311"/>
      <c r="F2082" s="312"/>
    </row>
    <row r="2083" spans="1:6" ht="20.25">
      <c r="A2083" s="309"/>
      <c r="B2083" s="310"/>
      <c r="C2083" s="310"/>
      <c r="D2083" s="310"/>
      <c r="E2083" s="311"/>
      <c r="F2083" s="312"/>
    </row>
    <row r="2084" spans="1:6" ht="20.25">
      <c r="A2084" s="309"/>
      <c r="B2084" s="310"/>
      <c r="C2084" s="310"/>
      <c r="D2084" s="310"/>
      <c r="E2084" s="311"/>
      <c r="F2084" s="312"/>
    </row>
    <row r="2085" spans="1:6" ht="20.25">
      <c r="A2085" s="309"/>
      <c r="B2085" s="310"/>
      <c r="C2085" s="310"/>
      <c r="D2085" s="310"/>
      <c r="E2085" s="311"/>
      <c r="F2085" s="312"/>
    </row>
    <row r="2086" spans="1:6" ht="20.25">
      <c r="A2086" s="309"/>
      <c r="B2086" s="310"/>
      <c r="C2086" s="310"/>
      <c r="D2086" s="310"/>
      <c r="E2086" s="311"/>
      <c r="F2086" s="312"/>
    </row>
    <row r="2087" spans="1:6" ht="20.25">
      <c r="A2087" s="309"/>
      <c r="B2087" s="310"/>
      <c r="C2087" s="310"/>
      <c r="D2087" s="310"/>
      <c r="E2087" s="311"/>
      <c r="F2087" s="312"/>
    </row>
    <row r="2088" spans="1:6" ht="20.25">
      <c r="A2088" s="309"/>
      <c r="B2088" s="310"/>
      <c r="C2088" s="310"/>
      <c r="D2088" s="310"/>
      <c r="E2088" s="311"/>
      <c r="F2088" s="312"/>
    </row>
    <row r="2089" spans="1:6" ht="20.25">
      <c r="A2089" s="309"/>
      <c r="B2089" s="310"/>
      <c r="C2089" s="310"/>
      <c r="D2089" s="310"/>
      <c r="E2089" s="311"/>
      <c r="F2089" s="312"/>
    </row>
    <row r="2090" spans="1:6" ht="20.25">
      <c r="A2090" s="309"/>
      <c r="B2090" s="310"/>
      <c r="C2090" s="310"/>
      <c r="D2090" s="310"/>
      <c r="E2090" s="311"/>
      <c r="F2090" s="312"/>
    </row>
    <row r="2091" spans="1:6" ht="20.25">
      <c r="A2091" s="309"/>
      <c r="B2091" s="310"/>
      <c r="C2091" s="310"/>
      <c r="D2091" s="310"/>
      <c r="E2091" s="311"/>
      <c r="F2091" s="312"/>
    </row>
    <row r="2092" spans="1:6" ht="20.25">
      <c r="A2092" s="309"/>
      <c r="B2092" s="310"/>
      <c r="C2092" s="310"/>
      <c r="D2092" s="310"/>
      <c r="E2092" s="311"/>
      <c r="F2092" s="312"/>
    </row>
    <row r="2093" spans="1:6" ht="20.25">
      <c r="A2093" s="309"/>
      <c r="B2093" s="310"/>
      <c r="C2093" s="310"/>
      <c r="D2093" s="310"/>
      <c r="E2093" s="311"/>
      <c r="F2093" s="312"/>
    </row>
    <row r="2094" spans="1:6" ht="20.25">
      <c r="A2094" s="309"/>
      <c r="B2094" s="310"/>
      <c r="C2094" s="310"/>
      <c r="D2094" s="310"/>
      <c r="E2094" s="311"/>
      <c r="F2094" s="312"/>
    </row>
    <row r="2095" spans="1:6" ht="20.25">
      <c r="A2095" s="309"/>
      <c r="B2095" s="310"/>
      <c r="C2095" s="310"/>
      <c r="D2095" s="310"/>
      <c r="E2095" s="311"/>
      <c r="F2095" s="312"/>
    </row>
    <row r="2096" spans="1:6" ht="20.25">
      <c r="A2096" s="309"/>
      <c r="B2096" s="310"/>
      <c r="C2096" s="310"/>
      <c r="D2096" s="310"/>
      <c r="E2096" s="311"/>
      <c r="F2096" s="312"/>
    </row>
    <row r="2097" spans="1:6" ht="20.25">
      <c r="A2097" s="309"/>
      <c r="B2097" s="310"/>
      <c r="C2097" s="310"/>
      <c r="D2097" s="310"/>
      <c r="E2097" s="311"/>
      <c r="F2097" s="312"/>
    </row>
    <row r="2098" spans="1:6" ht="20.25">
      <c r="A2098" s="309"/>
      <c r="B2098" s="310"/>
      <c r="C2098" s="310"/>
      <c r="D2098" s="310"/>
      <c r="E2098" s="311"/>
      <c r="F2098" s="312"/>
    </row>
    <row r="2099" spans="1:6" ht="20.25">
      <c r="A2099" s="309"/>
      <c r="B2099" s="310"/>
      <c r="C2099" s="310"/>
      <c r="D2099" s="310"/>
      <c r="E2099" s="311"/>
      <c r="F2099" s="312"/>
    </row>
    <row r="2100" spans="1:6" ht="20.25">
      <c r="A2100" s="309"/>
      <c r="B2100" s="310"/>
      <c r="C2100" s="310"/>
      <c r="D2100" s="310"/>
      <c r="E2100" s="311"/>
      <c r="F2100" s="312"/>
    </row>
    <row r="2101" spans="1:6" ht="20.25">
      <c r="A2101" s="309"/>
      <c r="B2101" s="310"/>
      <c r="C2101" s="310"/>
      <c r="D2101" s="310"/>
      <c r="E2101" s="311"/>
      <c r="F2101" s="312"/>
    </row>
    <row r="2102" spans="1:6" ht="20.25">
      <c r="A2102" s="309"/>
      <c r="B2102" s="310"/>
      <c r="C2102" s="310"/>
      <c r="D2102" s="310"/>
      <c r="E2102" s="311"/>
      <c r="F2102" s="312"/>
    </row>
    <row r="2103" spans="1:6" ht="20.25">
      <c r="A2103" s="309"/>
      <c r="B2103" s="310"/>
      <c r="C2103" s="310"/>
      <c r="D2103" s="310"/>
      <c r="E2103" s="311"/>
      <c r="F2103" s="312"/>
    </row>
    <row r="2104" spans="1:6" ht="20.25">
      <c r="A2104" s="309"/>
      <c r="B2104" s="310"/>
      <c r="C2104" s="310"/>
      <c r="D2104" s="310"/>
      <c r="E2104" s="311"/>
      <c r="F2104" s="312"/>
    </row>
    <row r="2105" spans="1:6" ht="20.25">
      <c r="A2105" s="309"/>
      <c r="B2105" s="310"/>
      <c r="C2105" s="310"/>
      <c r="D2105" s="310"/>
      <c r="E2105" s="311"/>
      <c r="F2105" s="312"/>
    </row>
    <row r="2106" spans="1:6" ht="20.25">
      <c r="A2106" s="309"/>
      <c r="B2106" s="310"/>
      <c r="C2106" s="310"/>
      <c r="D2106" s="310"/>
      <c r="E2106" s="311"/>
      <c r="F2106" s="312"/>
    </row>
    <row r="2107" spans="1:6" ht="20.25">
      <c r="A2107" s="309"/>
      <c r="B2107" s="310"/>
      <c r="C2107" s="310"/>
      <c r="D2107" s="310"/>
      <c r="E2107" s="311"/>
      <c r="F2107" s="312"/>
    </row>
    <row r="2108" spans="1:6" ht="20.25">
      <c r="A2108" s="309"/>
      <c r="B2108" s="310"/>
      <c r="C2108" s="310"/>
      <c r="D2108" s="310"/>
      <c r="E2108" s="311"/>
      <c r="F2108" s="312"/>
    </row>
    <row r="2109" spans="1:6" ht="20.25">
      <c r="A2109" s="309"/>
      <c r="B2109" s="310"/>
      <c r="C2109" s="310"/>
      <c r="D2109" s="310"/>
      <c r="E2109" s="311"/>
      <c r="F2109" s="312"/>
    </row>
    <row r="2110" spans="1:6" ht="20.25">
      <c r="A2110" s="309"/>
      <c r="B2110" s="310"/>
      <c r="C2110" s="310"/>
      <c r="D2110" s="310"/>
      <c r="E2110" s="311"/>
      <c r="F2110" s="312"/>
    </row>
    <row r="2111" spans="1:6" ht="20.25">
      <c r="A2111" s="309"/>
      <c r="B2111" s="310"/>
      <c r="C2111" s="310"/>
      <c r="D2111" s="310"/>
      <c r="E2111" s="311"/>
      <c r="F2111" s="312"/>
    </row>
    <row r="2112" spans="1:6" ht="20.25">
      <c r="A2112" s="309"/>
      <c r="B2112" s="310"/>
      <c r="C2112" s="310"/>
      <c r="D2112" s="310"/>
      <c r="E2112" s="311"/>
      <c r="F2112" s="312"/>
    </row>
    <row r="2113" spans="1:6" ht="20.25">
      <c r="A2113" s="309"/>
      <c r="B2113" s="310"/>
      <c r="C2113" s="310"/>
      <c r="D2113" s="310"/>
      <c r="E2113" s="311"/>
      <c r="F2113" s="312"/>
    </row>
    <row r="2114" spans="1:6" ht="20.25">
      <c r="A2114" s="309"/>
      <c r="B2114" s="310"/>
      <c r="C2114" s="310"/>
      <c r="D2114" s="310"/>
      <c r="E2114" s="311"/>
      <c r="F2114" s="312"/>
    </row>
    <row r="2115" spans="1:6" ht="20.25">
      <c r="A2115" s="309"/>
      <c r="B2115" s="310"/>
      <c r="C2115" s="310"/>
      <c r="D2115" s="310"/>
      <c r="E2115" s="311"/>
      <c r="F2115" s="312"/>
    </row>
    <row r="2116" spans="1:6" ht="20.25">
      <c r="A2116" s="309"/>
      <c r="B2116" s="310"/>
      <c r="C2116" s="310"/>
      <c r="D2116" s="310"/>
      <c r="E2116" s="311"/>
      <c r="F2116" s="312"/>
    </row>
    <row r="2117" spans="1:6" ht="20.25">
      <c r="A2117" s="309"/>
      <c r="B2117" s="310"/>
      <c r="C2117" s="310"/>
      <c r="D2117" s="310"/>
      <c r="E2117" s="311"/>
      <c r="F2117" s="312"/>
    </row>
    <row r="2118" spans="1:6" ht="20.25">
      <c r="A2118" s="309"/>
      <c r="B2118" s="310"/>
      <c r="C2118" s="310"/>
      <c r="D2118" s="310"/>
      <c r="E2118" s="311"/>
      <c r="F2118" s="312"/>
    </row>
    <row r="2119" spans="1:6" ht="20.25">
      <c r="A2119" s="309"/>
      <c r="B2119" s="310"/>
      <c r="C2119" s="310"/>
      <c r="D2119" s="310"/>
      <c r="E2119" s="311"/>
      <c r="F2119" s="312"/>
    </row>
    <row r="2120" spans="1:6" ht="20.25">
      <c r="A2120" s="309"/>
      <c r="B2120" s="310"/>
      <c r="C2120" s="310"/>
      <c r="D2120" s="310"/>
      <c r="E2120" s="311"/>
      <c r="F2120" s="312"/>
    </row>
    <row r="2121" spans="1:6" ht="20.25">
      <c r="A2121" s="309"/>
      <c r="B2121" s="310"/>
      <c r="C2121" s="310"/>
      <c r="D2121" s="310"/>
      <c r="E2121" s="311"/>
      <c r="F2121" s="312"/>
    </row>
    <row r="2122" spans="1:6" ht="20.25">
      <c r="A2122" s="309"/>
      <c r="B2122" s="310"/>
      <c r="C2122" s="310"/>
      <c r="D2122" s="310"/>
      <c r="E2122" s="311"/>
      <c r="F2122" s="312"/>
    </row>
    <row r="2123" spans="1:6" ht="20.25">
      <c r="A2123" s="309"/>
      <c r="B2123" s="310"/>
      <c r="C2123" s="310"/>
      <c r="D2123" s="310"/>
      <c r="E2123" s="311"/>
      <c r="F2123" s="312"/>
    </row>
    <row r="2124" spans="1:6" ht="20.25">
      <c r="A2124" s="309"/>
      <c r="B2124" s="310"/>
      <c r="C2124" s="310"/>
      <c r="D2124" s="310"/>
      <c r="E2124" s="311"/>
      <c r="F2124" s="312"/>
    </row>
    <row r="2125" spans="1:6" ht="20.25">
      <c r="A2125" s="309"/>
      <c r="B2125" s="310"/>
      <c r="C2125" s="310"/>
      <c r="D2125" s="310"/>
      <c r="E2125" s="311"/>
      <c r="F2125" s="312"/>
    </row>
    <row r="2126" spans="1:6" ht="20.25">
      <c r="A2126" s="309"/>
      <c r="B2126" s="310"/>
      <c r="C2126" s="310"/>
      <c r="D2126" s="310"/>
      <c r="E2126" s="311"/>
      <c r="F2126" s="312"/>
    </row>
    <row r="2127" spans="1:6" ht="20.25">
      <c r="A2127" s="309"/>
      <c r="B2127" s="310"/>
      <c r="C2127" s="310"/>
      <c r="D2127" s="310"/>
      <c r="E2127" s="311"/>
      <c r="F2127" s="312"/>
    </row>
    <row r="2128" spans="1:6" ht="20.25">
      <c r="A2128" s="309"/>
      <c r="B2128" s="310"/>
      <c r="C2128" s="310"/>
      <c r="D2128" s="310"/>
      <c r="E2128" s="311"/>
      <c r="F2128" s="312"/>
    </row>
    <row r="2129" spans="1:6" ht="20.25">
      <c r="A2129" s="309"/>
      <c r="B2129" s="310"/>
      <c r="C2129" s="310"/>
      <c r="D2129" s="310"/>
      <c r="E2129" s="311"/>
      <c r="F2129" s="312"/>
    </row>
    <row r="2130" spans="1:6" ht="20.25">
      <c r="A2130" s="309"/>
      <c r="B2130" s="310"/>
      <c r="C2130" s="310"/>
      <c r="D2130" s="310"/>
      <c r="E2130" s="311"/>
      <c r="F2130" s="312"/>
    </row>
    <row r="2131" spans="1:6" ht="20.25">
      <c r="A2131" s="309"/>
      <c r="B2131" s="310"/>
      <c r="C2131" s="310"/>
      <c r="D2131" s="310"/>
      <c r="E2131" s="311"/>
      <c r="F2131" s="312"/>
    </row>
    <row r="2132" spans="1:6" ht="20.25">
      <c r="A2132" s="309"/>
      <c r="B2132" s="310"/>
      <c r="C2132" s="310"/>
      <c r="D2132" s="310"/>
      <c r="E2132" s="311"/>
      <c r="F2132" s="312"/>
    </row>
    <row r="2133" spans="1:6" ht="20.25">
      <c r="A2133" s="309"/>
      <c r="B2133" s="310"/>
      <c r="C2133" s="310"/>
      <c r="D2133" s="310"/>
      <c r="E2133" s="311"/>
      <c r="F2133" s="312"/>
    </row>
    <row r="2134" spans="1:6" ht="20.25">
      <c r="A2134" s="309"/>
      <c r="B2134" s="310"/>
      <c r="C2134" s="310"/>
      <c r="D2134" s="310"/>
      <c r="E2134" s="311"/>
      <c r="F2134" s="312"/>
    </row>
    <row r="2135" spans="1:6" ht="20.25">
      <c r="A2135" s="309"/>
      <c r="B2135" s="310"/>
      <c r="C2135" s="310"/>
      <c r="D2135" s="310"/>
      <c r="E2135" s="311"/>
      <c r="F2135" s="312"/>
    </row>
    <row r="2136" spans="1:6" ht="20.25">
      <c r="A2136" s="309"/>
      <c r="B2136" s="310"/>
      <c r="C2136" s="310"/>
      <c r="D2136" s="310"/>
      <c r="E2136" s="311"/>
      <c r="F2136" s="312"/>
    </row>
    <row r="2137" spans="1:6" ht="20.25">
      <c r="A2137" s="309"/>
      <c r="B2137" s="310"/>
      <c r="C2137" s="310"/>
      <c r="D2137" s="310"/>
      <c r="E2137" s="311"/>
      <c r="F2137" s="312"/>
    </row>
    <row r="2138" spans="1:6" ht="20.25">
      <c r="A2138" s="309"/>
      <c r="B2138" s="310"/>
      <c r="C2138" s="310"/>
      <c r="D2138" s="310"/>
      <c r="E2138" s="311"/>
      <c r="F2138" s="312"/>
    </row>
    <row r="2139" spans="1:6" ht="20.25">
      <c r="A2139" s="309"/>
      <c r="B2139" s="310"/>
      <c r="C2139" s="310"/>
      <c r="D2139" s="310"/>
      <c r="E2139" s="311"/>
      <c r="F2139" s="312"/>
    </row>
    <row r="2140" spans="1:6" ht="20.25">
      <c r="A2140" s="309"/>
      <c r="B2140" s="310"/>
      <c r="C2140" s="310"/>
      <c r="D2140" s="310"/>
      <c r="E2140" s="311"/>
      <c r="F2140" s="312"/>
    </row>
    <row r="2141" spans="1:6" ht="20.25">
      <c r="A2141" s="309"/>
      <c r="B2141" s="310"/>
      <c r="C2141" s="310"/>
      <c r="D2141" s="310"/>
      <c r="E2141" s="311"/>
      <c r="F2141" s="312"/>
    </row>
    <row r="2142" spans="1:6" ht="20.25">
      <c r="A2142" s="309"/>
      <c r="B2142" s="310"/>
      <c r="C2142" s="310"/>
      <c r="D2142" s="310"/>
      <c r="E2142" s="311"/>
      <c r="F2142" s="312"/>
    </row>
    <row r="2143" spans="1:6" ht="20.25">
      <c r="A2143" s="309"/>
      <c r="B2143" s="310"/>
      <c r="C2143" s="310"/>
      <c r="D2143" s="310"/>
      <c r="E2143" s="311"/>
      <c r="F2143" s="312"/>
    </row>
    <row r="2144" spans="1:6" ht="20.25">
      <c r="A2144" s="309"/>
      <c r="B2144" s="310"/>
      <c r="C2144" s="310"/>
      <c r="D2144" s="310"/>
      <c r="E2144" s="311"/>
      <c r="F2144" s="312"/>
    </row>
    <row r="2145" spans="1:6" ht="20.25">
      <c r="A2145" s="309"/>
      <c r="B2145" s="310"/>
      <c r="C2145" s="310"/>
      <c r="D2145" s="310"/>
      <c r="E2145" s="311"/>
      <c r="F2145" s="312"/>
    </row>
    <row r="2146" spans="1:6" ht="20.25">
      <c r="A2146" s="309"/>
      <c r="B2146" s="310"/>
      <c r="C2146" s="310"/>
      <c r="D2146" s="310"/>
      <c r="E2146" s="311"/>
      <c r="F2146" s="312"/>
    </row>
    <row r="2147" spans="1:6" ht="20.25">
      <c r="A2147" s="309"/>
      <c r="B2147" s="310"/>
      <c r="C2147" s="310"/>
      <c r="D2147" s="310"/>
      <c r="E2147" s="311"/>
      <c r="F2147" s="312"/>
    </row>
    <row r="2148" spans="1:6" ht="20.25">
      <c r="A2148" s="309"/>
      <c r="B2148" s="310"/>
      <c r="C2148" s="310"/>
      <c r="D2148" s="310"/>
      <c r="E2148" s="311"/>
      <c r="F2148" s="312"/>
    </row>
    <row r="2149" spans="1:6" ht="20.25">
      <c r="A2149" s="309"/>
      <c r="B2149" s="310"/>
      <c r="C2149" s="310"/>
      <c r="D2149" s="310"/>
      <c r="E2149" s="311"/>
      <c r="F2149" s="312"/>
    </row>
    <row r="2150" spans="1:6" ht="20.25">
      <c r="A2150" s="309"/>
      <c r="B2150" s="310"/>
      <c r="C2150" s="310"/>
      <c r="D2150" s="310"/>
      <c r="E2150" s="311"/>
      <c r="F2150" s="312"/>
    </row>
    <row r="2151" spans="1:6" ht="20.25">
      <c r="A2151" s="309"/>
      <c r="B2151" s="310"/>
      <c r="C2151" s="310"/>
      <c r="D2151" s="310"/>
      <c r="E2151" s="311"/>
      <c r="F2151" s="312"/>
    </row>
    <row r="2152" spans="1:6" ht="20.25">
      <c r="A2152" s="309"/>
      <c r="B2152" s="310"/>
      <c r="C2152" s="310"/>
      <c r="D2152" s="310"/>
      <c r="E2152" s="311"/>
      <c r="F2152" s="312"/>
    </row>
    <row r="2153" spans="1:6" ht="20.25">
      <c r="A2153" s="309"/>
      <c r="B2153" s="310"/>
      <c r="C2153" s="310"/>
      <c r="D2153" s="310"/>
      <c r="E2153" s="311"/>
      <c r="F2153" s="312"/>
    </row>
    <row r="2154" spans="1:6" ht="20.25">
      <c r="A2154" s="309"/>
      <c r="B2154" s="310"/>
      <c r="C2154" s="310"/>
      <c r="D2154" s="310"/>
      <c r="E2154" s="311"/>
      <c r="F2154" s="312"/>
    </row>
    <row r="2155" spans="1:6" ht="20.25">
      <c r="A2155" s="309"/>
      <c r="B2155" s="310"/>
      <c r="C2155" s="310"/>
      <c r="D2155" s="310"/>
      <c r="E2155" s="311"/>
      <c r="F2155" s="312"/>
    </row>
    <row r="2156" spans="1:6" ht="20.25">
      <c r="A2156" s="309"/>
      <c r="B2156" s="310"/>
      <c r="C2156" s="310"/>
      <c r="D2156" s="310"/>
      <c r="E2156" s="311"/>
      <c r="F2156" s="312"/>
    </row>
    <row r="2157" spans="1:6" ht="20.25">
      <c r="A2157" s="309"/>
      <c r="B2157" s="310"/>
      <c r="C2157" s="310"/>
      <c r="D2157" s="310"/>
      <c r="E2157" s="311"/>
      <c r="F2157" s="312"/>
    </row>
    <row r="2158" spans="1:6" ht="20.25">
      <c r="A2158" s="309"/>
      <c r="B2158" s="310"/>
      <c r="C2158" s="310"/>
      <c r="D2158" s="310"/>
      <c r="E2158" s="311"/>
      <c r="F2158" s="312"/>
    </row>
    <row r="2159" spans="1:6" ht="20.25">
      <c r="A2159" s="309"/>
      <c r="B2159" s="310"/>
      <c r="C2159" s="310"/>
      <c r="D2159" s="310"/>
      <c r="E2159" s="311"/>
      <c r="F2159" s="312"/>
    </row>
    <row r="2160" spans="1:6" ht="20.25">
      <c r="A2160" s="309"/>
      <c r="B2160" s="310"/>
      <c r="C2160" s="310"/>
      <c r="D2160" s="310"/>
      <c r="E2160" s="311"/>
      <c r="F2160" s="312"/>
    </row>
    <row r="2161" spans="1:6" ht="20.25">
      <c r="A2161" s="309"/>
      <c r="B2161" s="310"/>
      <c r="C2161" s="310"/>
      <c r="D2161" s="310"/>
      <c r="E2161" s="311"/>
      <c r="F2161" s="312"/>
    </row>
    <row r="2162" spans="1:6" ht="20.25">
      <c r="A2162" s="309"/>
      <c r="B2162" s="310"/>
      <c r="C2162" s="310"/>
      <c r="D2162" s="310"/>
      <c r="E2162" s="311"/>
      <c r="F2162" s="312"/>
    </row>
    <row r="2163" spans="1:6" ht="20.25">
      <c r="A2163" s="309"/>
      <c r="B2163" s="310"/>
      <c r="C2163" s="310"/>
      <c r="D2163" s="310"/>
      <c r="E2163" s="311"/>
      <c r="F2163" s="312"/>
    </row>
    <row r="2164" spans="1:6" ht="20.25">
      <c r="A2164" s="309"/>
      <c r="B2164" s="310"/>
      <c r="C2164" s="310"/>
      <c r="D2164" s="310"/>
      <c r="E2164" s="311"/>
      <c r="F2164" s="312"/>
    </row>
    <row r="2165" spans="1:6" ht="20.25">
      <c r="A2165" s="309"/>
      <c r="B2165" s="310"/>
      <c r="C2165" s="310"/>
      <c r="D2165" s="310"/>
      <c r="E2165" s="311"/>
      <c r="F2165" s="312"/>
    </row>
    <row r="2166" spans="1:6" ht="20.25">
      <c r="A2166" s="309"/>
      <c r="B2166" s="310"/>
      <c r="C2166" s="310"/>
      <c r="D2166" s="310"/>
      <c r="E2166" s="311"/>
      <c r="F2166" s="312"/>
    </row>
    <row r="2167" spans="1:6" ht="20.25">
      <c r="A2167" s="309"/>
      <c r="B2167" s="310"/>
      <c r="C2167" s="310"/>
      <c r="D2167" s="310"/>
      <c r="E2167" s="311"/>
      <c r="F2167" s="312"/>
    </row>
    <row r="2168" spans="1:6" ht="20.25">
      <c r="A2168" s="309"/>
      <c r="B2168" s="310"/>
      <c r="C2168" s="310"/>
      <c r="D2168" s="310"/>
      <c r="E2168" s="311"/>
      <c r="F2168" s="312"/>
    </row>
    <row r="2169" spans="1:6" ht="20.25">
      <c r="A2169" s="309"/>
      <c r="B2169" s="310"/>
      <c r="C2169" s="310"/>
      <c r="D2169" s="310"/>
      <c r="E2169" s="311"/>
      <c r="F2169" s="312"/>
    </row>
    <row r="2170" spans="1:6" ht="20.25">
      <c r="A2170" s="309"/>
      <c r="B2170" s="310"/>
      <c r="C2170" s="310"/>
      <c r="D2170" s="310"/>
      <c r="E2170" s="311"/>
      <c r="F2170" s="312"/>
    </row>
    <row r="2171" spans="1:6" ht="20.25">
      <c r="A2171" s="309"/>
      <c r="B2171" s="310"/>
      <c r="C2171" s="310"/>
      <c r="D2171" s="310"/>
      <c r="E2171" s="311"/>
      <c r="F2171" s="312"/>
    </row>
    <row r="2172" spans="1:6" ht="20.25">
      <c r="A2172" s="309"/>
      <c r="B2172" s="310"/>
      <c r="C2172" s="310"/>
      <c r="D2172" s="310"/>
      <c r="E2172" s="311"/>
      <c r="F2172" s="312"/>
    </row>
    <row r="2173" spans="1:6" ht="20.25">
      <c r="A2173" s="309"/>
      <c r="B2173" s="310"/>
      <c r="C2173" s="310"/>
      <c r="D2173" s="310"/>
      <c r="E2173" s="311"/>
      <c r="F2173" s="312"/>
    </row>
    <row r="2174" spans="1:6" ht="20.25">
      <c r="A2174" s="309"/>
      <c r="B2174" s="310"/>
      <c r="C2174" s="310"/>
      <c r="D2174" s="310"/>
      <c r="E2174" s="311"/>
      <c r="F2174" s="312"/>
    </row>
    <row r="2175" spans="1:6" ht="20.25">
      <c r="A2175" s="309"/>
      <c r="B2175" s="310"/>
      <c r="C2175" s="310"/>
      <c r="D2175" s="310"/>
      <c r="E2175" s="311"/>
      <c r="F2175" s="312"/>
    </row>
    <row r="2176" spans="1:6" ht="20.25">
      <c r="A2176" s="309"/>
      <c r="B2176" s="310"/>
      <c r="C2176" s="310"/>
      <c r="D2176" s="310"/>
      <c r="E2176" s="311"/>
      <c r="F2176" s="312"/>
    </row>
    <row r="2177" spans="1:6" ht="20.25">
      <c r="A2177" s="309"/>
      <c r="B2177" s="310"/>
      <c r="C2177" s="310"/>
      <c r="D2177" s="310"/>
      <c r="E2177" s="311"/>
      <c r="F2177" s="312"/>
    </row>
    <row r="2178" spans="1:6" ht="20.25">
      <c r="A2178" s="309"/>
      <c r="B2178" s="310"/>
      <c r="C2178" s="310"/>
      <c r="D2178" s="310"/>
      <c r="E2178" s="311"/>
      <c r="F2178" s="312"/>
    </row>
    <row r="2179" spans="1:6" ht="20.25">
      <c r="A2179" s="309"/>
      <c r="B2179" s="310"/>
      <c r="C2179" s="310"/>
      <c r="D2179" s="310"/>
      <c r="E2179" s="311"/>
      <c r="F2179" s="312"/>
    </row>
    <row r="2180" spans="1:6" ht="20.25">
      <c r="A2180" s="309"/>
      <c r="B2180" s="310"/>
      <c r="C2180" s="310"/>
      <c r="D2180" s="310"/>
      <c r="E2180" s="311"/>
      <c r="F2180" s="312"/>
    </row>
    <row r="2181" spans="1:6" ht="20.25">
      <c r="A2181" s="309"/>
      <c r="B2181" s="310"/>
      <c r="C2181" s="310"/>
      <c r="D2181" s="310"/>
      <c r="E2181" s="311"/>
      <c r="F2181" s="312"/>
    </row>
    <row r="2182" spans="1:6" ht="20.25">
      <c r="A2182" s="309"/>
      <c r="B2182" s="310"/>
      <c r="C2182" s="310"/>
      <c r="D2182" s="310"/>
      <c r="E2182" s="311"/>
      <c r="F2182" s="312"/>
    </row>
    <row r="2183" spans="1:6" ht="20.25">
      <c r="A2183" s="309"/>
      <c r="B2183" s="310"/>
      <c r="C2183" s="310"/>
      <c r="D2183" s="310"/>
      <c r="E2183" s="311"/>
      <c r="F2183" s="312"/>
    </row>
    <row r="2184" spans="1:6" ht="20.25">
      <c r="A2184" s="309"/>
      <c r="B2184" s="310"/>
      <c r="C2184" s="310"/>
      <c r="D2184" s="310"/>
      <c r="E2184" s="311"/>
      <c r="F2184" s="312"/>
    </row>
    <row r="2185" spans="1:6" ht="20.25">
      <c r="A2185" s="309"/>
      <c r="B2185" s="310"/>
      <c r="C2185" s="310"/>
      <c r="D2185" s="310"/>
      <c r="E2185" s="311"/>
      <c r="F2185" s="312"/>
    </row>
    <row r="2186" spans="1:6" ht="20.25">
      <c r="A2186" s="309"/>
      <c r="B2186" s="310"/>
      <c r="C2186" s="310"/>
      <c r="D2186" s="310"/>
      <c r="E2186" s="311"/>
      <c r="F2186" s="312"/>
    </row>
    <row r="2187" spans="1:6" ht="20.25">
      <c r="A2187" s="309"/>
      <c r="B2187" s="310"/>
      <c r="C2187" s="310"/>
      <c r="D2187" s="310"/>
      <c r="E2187" s="311"/>
      <c r="F2187" s="312"/>
    </row>
    <row r="2188" spans="1:6" ht="20.25">
      <c r="A2188" s="309"/>
      <c r="B2188" s="310"/>
      <c r="C2188" s="310"/>
      <c r="D2188" s="310"/>
      <c r="E2188" s="311"/>
      <c r="F2188" s="312"/>
    </row>
    <row r="2189" spans="1:6" ht="20.25">
      <c r="A2189" s="309"/>
      <c r="B2189" s="310"/>
      <c r="C2189" s="310"/>
      <c r="D2189" s="310"/>
      <c r="E2189" s="311"/>
      <c r="F2189" s="312"/>
    </row>
    <row r="2190" spans="1:6" ht="20.25">
      <c r="A2190" s="309"/>
      <c r="B2190" s="310"/>
      <c r="C2190" s="310"/>
      <c r="D2190" s="310"/>
      <c r="E2190" s="311"/>
      <c r="F2190" s="312"/>
    </row>
    <row r="2191" spans="1:6" ht="20.25">
      <c r="A2191" s="309"/>
      <c r="B2191" s="310"/>
      <c r="C2191" s="310"/>
      <c r="D2191" s="310"/>
      <c r="E2191" s="311"/>
      <c r="F2191" s="312"/>
    </row>
    <row r="2192" spans="1:6" ht="20.25">
      <c r="A2192" s="309"/>
      <c r="B2192" s="310"/>
      <c r="C2192" s="310"/>
      <c r="D2192" s="310"/>
      <c r="E2192" s="311"/>
      <c r="F2192" s="312"/>
    </row>
    <row r="2193" spans="1:6" ht="20.25">
      <c r="A2193" s="309"/>
      <c r="B2193" s="310"/>
      <c r="C2193" s="310"/>
      <c r="D2193" s="310"/>
      <c r="E2193" s="311"/>
      <c r="F2193" s="312"/>
    </row>
    <row r="2194" spans="1:6" ht="20.25">
      <c r="A2194" s="309"/>
      <c r="B2194" s="310"/>
      <c r="C2194" s="310"/>
      <c r="D2194" s="310"/>
      <c r="E2194" s="311"/>
      <c r="F2194" s="312"/>
    </row>
    <row r="2195" spans="1:6" ht="20.25">
      <c r="A2195" s="309"/>
      <c r="B2195" s="310"/>
      <c r="C2195" s="310"/>
      <c r="D2195" s="310"/>
      <c r="E2195" s="311"/>
      <c r="F2195" s="312"/>
    </row>
    <row r="2196" spans="1:6" ht="20.25">
      <c r="A2196" s="309"/>
      <c r="B2196" s="310"/>
      <c r="C2196" s="310"/>
      <c r="D2196" s="310"/>
      <c r="E2196" s="311"/>
      <c r="F2196" s="312"/>
    </row>
    <row r="2197" spans="1:6" ht="20.25">
      <c r="A2197" s="309"/>
      <c r="B2197" s="310"/>
      <c r="C2197" s="310"/>
      <c r="D2197" s="310"/>
      <c r="E2197" s="311"/>
      <c r="F2197" s="312"/>
    </row>
    <row r="2198" spans="1:6" ht="20.25">
      <c r="A2198" s="309"/>
      <c r="B2198" s="310"/>
      <c r="C2198" s="310"/>
      <c r="D2198" s="310"/>
      <c r="E2198" s="311"/>
      <c r="F2198" s="312"/>
    </row>
    <row r="2199" spans="1:6" ht="20.25">
      <c r="A2199" s="309"/>
      <c r="B2199" s="310"/>
      <c r="C2199" s="310"/>
      <c r="D2199" s="310"/>
      <c r="E2199" s="311"/>
      <c r="F2199" s="312"/>
    </row>
    <row r="2200" spans="1:6" ht="20.25">
      <c r="A2200" s="309"/>
      <c r="B2200" s="310"/>
      <c r="C2200" s="310"/>
      <c r="D2200" s="310"/>
      <c r="E2200" s="311"/>
      <c r="F2200" s="312"/>
    </row>
    <row r="2201" spans="1:6" ht="20.25">
      <c r="A2201" s="309"/>
      <c r="B2201" s="310"/>
      <c r="C2201" s="310"/>
      <c r="D2201" s="310"/>
      <c r="E2201" s="311"/>
      <c r="F2201" s="312"/>
    </row>
    <row r="2202" spans="1:6" ht="20.25">
      <c r="A2202" s="309"/>
      <c r="B2202" s="310"/>
      <c r="C2202" s="310"/>
      <c r="D2202" s="310"/>
      <c r="E2202" s="311"/>
      <c r="F2202" s="312"/>
    </row>
    <row r="2203" spans="1:6" ht="20.25">
      <c r="A2203" s="309"/>
      <c r="B2203" s="310"/>
      <c r="C2203" s="310"/>
      <c r="D2203" s="310"/>
      <c r="E2203" s="311"/>
      <c r="F2203" s="312"/>
    </row>
    <row r="2204" spans="1:6" ht="20.25">
      <c r="A2204" s="309"/>
      <c r="B2204" s="310"/>
      <c r="C2204" s="310"/>
      <c r="D2204" s="310"/>
      <c r="E2204" s="311"/>
      <c r="F2204" s="312"/>
    </row>
    <row r="2205" spans="1:6" ht="20.25">
      <c r="A2205" s="309"/>
      <c r="B2205" s="310"/>
      <c r="C2205" s="310"/>
      <c r="D2205" s="310"/>
      <c r="E2205" s="311"/>
      <c r="F2205" s="312"/>
    </row>
    <row r="2206" spans="1:6" ht="20.25">
      <c r="A2206" s="309"/>
      <c r="B2206" s="310"/>
      <c r="C2206" s="310"/>
      <c r="D2206" s="310"/>
      <c r="E2206" s="311"/>
      <c r="F2206" s="312"/>
    </row>
    <row r="2207" spans="1:6" ht="20.25">
      <c r="A2207" s="309"/>
      <c r="B2207" s="310"/>
      <c r="C2207" s="310"/>
      <c r="D2207" s="310"/>
      <c r="E2207" s="311"/>
      <c r="F2207" s="312"/>
    </row>
    <row r="2208" spans="1:6" ht="20.25">
      <c r="A2208" s="309"/>
      <c r="B2208" s="310"/>
      <c r="C2208" s="310"/>
      <c r="D2208" s="310"/>
      <c r="E2208" s="311"/>
      <c r="F2208" s="312"/>
    </row>
    <row r="2209" spans="1:6" ht="20.25">
      <c r="A2209" s="309"/>
      <c r="B2209" s="310"/>
      <c r="C2209" s="310"/>
      <c r="D2209" s="310"/>
      <c r="E2209" s="311"/>
      <c r="F2209" s="312"/>
    </row>
    <row r="2210" spans="1:6" ht="20.25">
      <c r="A2210" s="309"/>
      <c r="B2210" s="310"/>
      <c r="C2210" s="310"/>
      <c r="D2210" s="310"/>
      <c r="E2210" s="311"/>
      <c r="F2210" s="312"/>
    </row>
    <row r="2211" spans="1:6" ht="20.25">
      <c r="A2211" s="309"/>
      <c r="B2211" s="310"/>
      <c r="C2211" s="310"/>
      <c r="D2211" s="310"/>
      <c r="E2211" s="311"/>
      <c r="F2211" s="312"/>
    </row>
    <row r="2212" spans="1:6" ht="20.25">
      <c r="A2212" s="309"/>
      <c r="B2212" s="310"/>
      <c r="C2212" s="310"/>
      <c r="D2212" s="310"/>
      <c r="E2212" s="311"/>
      <c r="F2212" s="312"/>
    </row>
    <row r="2213" spans="1:6" ht="20.25">
      <c r="A2213" s="309"/>
      <c r="B2213" s="310"/>
      <c r="C2213" s="310"/>
      <c r="D2213" s="310"/>
      <c r="E2213" s="311"/>
      <c r="F2213" s="312"/>
    </row>
    <row r="2214" spans="1:6" ht="20.25">
      <c r="A2214" s="309"/>
      <c r="B2214" s="310"/>
      <c r="C2214" s="310"/>
      <c r="D2214" s="310"/>
      <c r="E2214" s="311"/>
      <c r="F2214" s="312"/>
    </row>
    <row r="2215" spans="1:6" ht="20.25">
      <c r="A2215" s="309"/>
      <c r="B2215" s="310"/>
      <c r="C2215" s="310"/>
      <c r="D2215" s="310"/>
      <c r="E2215" s="311"/>
      <c r="F2215" s="312"/>
    </row>
    <row r="2216" spans="1:6" ht="20.25">
      <c r="A2216" s="309"/>
      <c r="B2216" s="310"/>
      <c r="C2216" s="310"/>
      <c r="D2216" s="310"/>
      <c r="E2216" s="311"/>
      <c r="F2216" s="312"/>
    </row>
    <row r="2217" spans="1:6" ht="20.25">
      <c r="A2217" s="309"/>
      <c r="B2217" s="310"/>
      <c r="C2217" s="310"/>
      <c r="D2217" s="310"/>
      <c r="E2217" s="311"/>
      <c r="F2217" s="312"/>
    </row>
    <row r="2218" spans="1:6" ht="20.25">
      <c r="A2218" s="309"/>
      <c r="B2218" s="310"/>
      <c r="C2218" s="310"/>
      <c r="D2218" s="310"/>
      <c r="E2218" s="311"/>
      <c r="F2218" s="312"/>
    </row>
    <row r="2219" spans="1:6" ht="20.25">
      <c r="A2219" s="309"/>
      <c r="B2219" s="310"/>
      <c r="C2219" s="310"/>
      <c r="D2219" s="310"/>
      <c r="E2219" s="311"/>
      <c r="F2219" s="312"/>
    </row>
    <row r="2220" spans="1:6" ht="20.25">
      <c r="A2220" s="309"/>
      <c r="B2220" s="310"/>
      <c r="C2220" s="310"/>
      <c r="D2220" s="310"/>
      <c r="E2220" s="311"/>
      <c r="F2220" s="312"/>
    </row>
    <row r="2221" spans="1:6" ht="20.25">
      <c r="A2221" s="309"/>
      <c r="B2221" s="310"/>
      <c r="C2221" s="310"/>
      <c r="D2221" s="310"/>
      <c r="E2221" s="311"/>
      <c r="F2221" s="312"/>
    </row>
    <row r="2222" spans="1:6" ht="20.25">
      <c r="A2222" s="309"/>
      <c r="B2222" s="310"/>
      <c r="C2222" s="310"/>
      <c r="D2222" s="310"/>
      <c r="E2222" s="311"/>
      <c r="F2222" s="312"/>
    </row>
    <row r="2223" spans="1:6" ht="20.25">
      <c r="A2223" s="309"/>
      <c r="B2223" s="310"/>
      <c r="C2223" s="310"/>
      <c r="D2223" s="310"/>
      <c r="E2223" s="311"/>
      <c r="F2223" s="312"/>
    </row>
    <row r="2224" spans="1:6" ht="20.25">
      <c r="A2224" s="309"/>
      <c r="B2224" s="310"/>
      <c r="C2224" s="310"/>
      <c r="D2224" s="310"/>
      <c r="E2224" s="311"/>
      <c r="F2224" s="312"/>
    </row>
    <row r="2225" spans="1:6" ht="20.25">
      <c r="A2225" s="309"/>
      <c r="B2225" s="310"/>
      <c r="C2225" s="310"/>
      <c r="D2225" s="310"/>
      <c r="E2225" s="311"/>
      <c r="F2225" s="312"/>
    </row>
    <row r="2226" spans="1:6" ht="20.25">
      <c r="A2226" s="309"/>
      <c r="B2226" s="310"/>
      <c r="C2226" s="310"/>
      <c r="D2226" s="310"/>
      <c r="E2226" s="311"/>
      <c r="F2226" s="312"/>
    </row>
    <row r="2227" spans="1:6" ht="20.25">
      <c r="A2227" s="309"/>
      <c r="B2227" s="310"/>
      <c r="C2227" s="310"/>
      <c r="D2227" s="310"/>
      <c r="E2227" s="311"/>
      <c r="F2227" s="312"/>
    </row>
    <row r="2228" spans="1:6" ht="20.25">
      <c r="A2228" s="309"/>
      <c r="B2228" s="310"/>
      <c r="C2228" s="310"/>
      <c r="D2228" s="310"/>
      <c r="E2228" s="311"/>
      <c r="F2228" s="312"/>
    </row>
    <row r="2229" spans="1:6" ht="20.25">
      <c r="A2229" s="309"/>
      <c r="B2229" s="310"/>
      <c r="C2229" s="310"/>
      <c r="D2229" s="310"/>
      <c r="E2229" s="311"/>
      <c r="F2229" s="312"/>
    </row>
    <row r="2230" spans="1:6" ht="20.25">
      <c r="A2230" s="309"/>
      <c r="B2230" s="310"/>
      <c r="C2230" s="310"/>
      <c r="D2230" s="310"/>
      <c r="E2230" s="311"/>
      <c r="F2230" s="312"/>
    </row>
    <row r="2231" spans="1:6" ht="20.25">
      <c r="A2231" s="309"/>
      <c r="B2231" s="310"/>
      <c r="C2231" s="310"/>
      <c r="D2231" s="310"/>
      <c r="E2231" s="311"/>
      <c r="F2231" s="312"/>
    </row>
    <row r="2232" spans="1:6" ht="20.25">
      <c r="A2232" s="309"/>
      <c r="B2232" s="310"/>
      <c r="C2232" s="310"/>
      <c r="D2232" s="310"/>
      <c r="E2232" s="311"/>
      <c r="F2232" s="312"/>
    </row>
    <row r="2233" spans="1:6" ht="20.25">
      <c r="A2233" s="309"/>
      <c r="B2233" s="310"/>
      <c r="C2233" s="310"/>
      <c r="D2233" s="310"/>
      <c r="E2233" s="311"/>
      <c r="F2233" s="312"/>
    </row>
    <row r="2234" spans="1:6" ht="20.25">
      <c r="A2234" s="309"/>
      <c r="B2234" s="310"/>
      <c r="C2234" s="310"/>
      <c r="D2234" s="310"/>
      <c r="E2234" s="311"/>
      <c r="F2234" s="312"/>
    </row>
    <row r="2235" spans="1:6" ht="20.25">
      <c r="A2235" s="309"/>
      <c r="B2235" s="310"/>
      <c r="C2235" s="310"/>
      <c r="D2235" s="310"/>
      <c r="E2235" s="311"/>
      <c r="F2235" s="312"/>
    </row>
    <row r="2236" spans="1:6" ht="20.25">
      <c r="A2236" s="309"/>
      <c r="B2236" s="310"/>
      <c r="C2236" s="310"/>
      <c r="D2236" s="310"/>
      <c r="E2236" s="311"/>
      <c r="F2236" s="312"/>
    </row>
    <row r="2237" spans="1:6" ht="20.25">
      <c r="A2237" s="309"/>
      <c r="B2237" s="310"/>
      <c r="C2237" s="310"/>
      <c r="D2237" s="310"/>
      <c r="E2237" s="311"/>
      <c r="F2237" s="312"/>
    </row>
    <row r="2238" spans="1:6" ht="20.25">
      <c r="A2238" s="309"/>
      <c r="B2238" s="310"/>
      <c r="C2238" s="310"/>
      <c r="D2238" s="310"/>
      <c r="E2238" s="311"/>
      <c r="F2238" s="312"/>
    </row>
    <row r="2239" spans="1:6" ht="20.25">
      <c r="A2239" s="309"/>
      <c r="B2239" s="310"/>
      <c r="C2239" s="310"/>
      <c r="D2239" s="310"/>
      <c r="E2239" s="311"/>
      <c r="F2239" s="312"/>
    </row>
    <row r="2240" spans="1:6" ht="20.25">
      <c r="A2240" s="309"/>
      <c r="B2240" s="310"/>
      <c r="C2240" s="310"/>
      <c r="D2240" s="310"/>
      <c r="E2240" s="311"/>
      <c r="F2240" s="312"/>
    </row>
    <row r="2241" spans="1:6" ht="20.25">
      <c r="A2241" s="309"/>
      <c r="B2241" s="310"/>
      <c r="C2241" s="310"/>
      <c r="D2241" s="310"/>
      <c r="E2241" s="311"/>
      <c r="F2241" s="312"/>
    </row>
    <row r="2242" spans="1:6" ht="20.25">
      <c r="A2242" s="309"/>
      <c r="B2242" s="310"/>
      <c r="C2242" s="310"/>
      <c r="D2242" s="310"/>
      <c r="E2242" s="311"/>
      <c r="F2242" s="312"/>
    </row>
    <row r="2243" spans="1:6" ht="20.25">
      <c r="A2243" s="309"/>
      <c r="B2243" s="310"/>
      <c r="C2243" s="310"/>
      <c r="D2243" s="310"/>
      <c r="E2243" s="311"/>
      <c r="F2243" s="312"/>
    </row>
    <row r="2244" spans="1:6" ht="20.25">
      <c r="A2244" s="309"/>
      <c r="B2244" s="310"/>
      <c r="C2244" s="310"/>
      <c r="D2244" s="310"/>
      <c r="E2244" s="311"/>
      <c r="F2244" s="312"/>
    </row>
    <row r="2245" spans="1:6" ht="20.25">
      <c r="A2245" s="309"/>
      <c r="B2245" s="310"/>
      <c r="C2245" s="310"/>
      <c r="D2245" s="310"/>
      <c r="E2245" s="311"/>
      <c r="F2245" s="312"/>
    </row>
    <row r="2246" spans="1:6" ht="20.25">
      <c r="A2246" s="309"/>
      <c r="B2246" s="310"/>
      <c r="C2246" s="310"/>
      <c r="D2246" s="310"/>
      <c r="E2246" s="311"/>
      <c r="F2246" s="312"/>
    </row>
    <row r="2247" spans="1:6" ht="20.25">
      <c r="A2247" s="309"/>
      <c r="B2247" s="310"/>
      <c r="C2247" s="310"/>
      <c r="D2247" s="310"/>
      <c r="E2247" s="311"/>
      <c r="F2247" s="312"/>
    </row>
    <row r="2248" spans="1:6" ht="20.25">
      <c r="A2248" s="309"/>
      <c r="B2248" s="310"/>
      <c r="C2248" s="310"/>
      <c r="D2248" s="310"/>
      <c r="E2248" s="311"/>
      <c r="F2248" s="312"/>
    </row>
    <row r="2249" spans="1:6" ht="20.25">
      <c r="A2249" s="309"/>
      <c r="B2249" s="310"/>
      <c r="C2249" s="310"/>
      <c r="D2249" s="310"/>
      <c r="E2249" s="311"/>
      <c r="F2249" s="312"/>
    </row>
    <row r="2250" spans="1:6" ht="20.25">
      <c r="A2250" s="309"/>
      <c r="B2250" s="310"/>
      <c r="C2250" s="310"/>
      <c r="D2250" s="310"/>
      <c r="E2250" s="311"/>
      <c r="F2250" s="312"/>
    </row>
    <row r="2251" spans="1:6" ht="20.25">
      <c r="A2251" s="309"/>
      <c r="B2251" s="310"/>
      <c r="C2251" s="310"/>
      <c r="D2251" s="310"/>
      <c r="E2251" s="311"/>
      <c r="F2251" s="312"/>
    </row>
    <row r="2252" spans="1:6" ht="20.25">
      <c r="A2252" s="309"/>
      <c r="B2252" s="310"/>
      <c r="C2252" s="310"/>
      <c r="D2252" s="310"/>
      <c r="E2252" s="311"/>
      <c r="F2252" s="312"/>
    </row>
    <row r="2253" spans="1:6" ht="20.25">
      <c r="A2253" s="309"/>
      <c r="B2253" s="310"/>
      <c r="C2253" s="310"/>
      <c r="D2253" s="310"/>
      <c r="E2253" s="311"/>
      <c r="F2253" s="312"/>
    </row>
    <row r="2254" spans="1:6" ht="20.25">
      <c r="A2254" s="309"/>
      <c r="B2254" s="310"/>
      <c r="C2254" s="310"/>
      <c r="D2254" s="310"/>
      <c r="E2254" s="311"/>
      <c r="F2254" s="312"/>
    </row>
    <row r="2255" spans="1:6" ht="20.25">
      <c r="A2255" s="309"/>
      <c r="B2255" s="310"/>
      <c r="C2255" s="310"/>
      <c r="D2255" s="310"/>
      <c r="E2255" s="311"/>
      <c r="F2255" s="312"/>
    </row>
    <row r="2256" spans="1:6" ht="20.25">
      <c r="A2256" s="309"/>
      <c r="B2256" s="310"/>
      <c r="C2256" s="310"/>
      <c r="D2256" s="310"/>
      <c r="E2256" s="311"/>
      <c r="F2256" s="312"/>
    </row>
    <row r="2257" spans="1:6" ht="20.25">
      <c r="A2257" s="309"/>
      <c r="B2257" s="310"/>
      <c r="C2257" s="310"/>
      <c r="D2257" s="310"/>
      <c r="E2257" s="311"/>
      <c r="F2257" s="312"/>
    </row>
    <row r="2258" spans="1:6" ht="20.25">
      <c r="A2258" s="309"/>
      <c r="B2258" s="310"/>
      <c r="C2258" s="310"/>
      <c r="D2258" s="310"/>
      <c r="E2258" s="311"/>
      <c r="F2258" s="312"/>
    </row>
    <row r="2259" spans="1:6" ht="20.25">
      <c r="A2259" s="309"/>
      <c r="B2259" s="310"/>
      <c r="C2259" s="310"/>
      <c r="D2259" s="310"/>
      <c r="E2259" s="311"/>
      <c r="F2259" s="312"/>
    </row>
    <row r="2260" spans="1:6" ht="20.25">
      <c r="A2260" s="309"/>
      <c r="B2260" s="310"/>
      <c r="C2260" s="310"/>
      <c r="D2260" s="310"/>
      <c r="E2260" s="311"/>
      <c r="F2260" s="312"/>
    </row>
    <row r="2261" spans="1:6" ht="20.25">
      <c r="A2261" s="309"/>
      <c r="B2261" s="310"/>
      <c r="C2261" s="310"/>
      <c r="D2261" s="310"/>
      <c r="E2261" s="311"/>
      <c r="F2261" s="312"/>
    </row>
    <row r="2262" spans="1:6" ht="20.25">
      <c r="A2262" s="309"/>
      <c r="B2262" s="310"/>
      <c r="C2262" s="310"/>
      <c r="D2262" s="310"/>
      <c r="E2262" s="311"/>
      <c r="F2262" s="312"/>
    </row>
    <row r="2263" spans="1:6" ht="20.25">
      <c r="A2263" s="309"/>
      <c r="B2263" s="310"/>
      <c r="C2263" s="310"/>
      <c r="D2263" s="310"/>
      <c r="E2263" s="311"/>
      <c r="F2263" s="312"/>
    </row>
    <row r="2264" spans="1:6" ht="20.25">
      <c r="A2264" s="309"/>
      <c r="B2264" s="310"/>
      <c r="C2264" s="310"/>
      <c r="D2264" s="310"/>
      <c r="E2264" s="311"/>
      <c r="F2264" s="312"/>
    </row>
    <row r="2265" spans="1:6" ht="20.25">
      <c r="A2265" s="309"/>
      <c r="B2265" s="310"/>
      <c r="C2265" s="310"/>
      <c r="D2265" s="310"/>
      <c r="E2265" s="311"/>
      <c r="F2265" s="312"/>
    </row>
    <row r="2266" spans="1:6" ht="20.25">
      <c r="A2266" s="309"/>
      <c r="B2266" s="310"/>
      <c r="C2266" s="310"/>
      <c r="D2266" s="310"/>
      <c r="E2266" s="311"/>
      <c r="F2266" s="312"/>
    </row>
    <row r="2267" spans="1:6" ht="20.25">
      <c r="A2267" s="309"/>
      <c r="B2267" s="310"/>
      <c r="C2267" s="310"/>
      <c r="D2267" s="310"/>
      <c r="E2267" s="311"/>
      <c r="F2267" s="312"/>
    </row>
    <row r="2268" spans="1:6" ht="20.25">
      <c r="A2268" s="309"/>
      <c r="B2268" s="310"/>
      <c r="C2268" s="310"/>
      <c r="D2268" s="310"/>
      <c r="E2268" s="311"/>
      <c r="F2268" s="312"/>
    </row>
    <row r="2269" spans="1:6" ht="20.25">
      <c r="A2269" s="309"/>
      <c r="B2269" s="310"/>
      <c r="C2269" s="310"/>
      <c r="D2269" s="310"/>
      <c r="E2269" s="311"/>
      <c r="F2269" s="312"/>
    </row>
    <row r="2270" spans="1:6" ht="20.25">
      <c r="A2270" s="309"/>
      <c r="B2270" s="310"/>
      <c r="C2270" s="310"/>
      <c r="D2270" s="310"/>
      <c r="E2270" s="311"/>
      <c r="F2270" s="312"/>
    </row>
    <row r="2271" spans="1:6" ht="20.25">
      <c r="A2271" s="309"/>
      <c r="B2271" s="310"/>
      <c r="C2271" s="310"/>
      <c r="D2271" s="310"/>
      <c r="E2271" s="311"/>
      <c r="F2271" s="312"/>
    </row>
    <row r="2272" spans="1:6" ht="20.25">
      <c r="A2272" s="309"/>
      <c r="B2272" s="310"/>
      <c r="C2272" s="310"/>
      <c r="D2272" s="310"/>
      <c r="E2272" s="311"/>
      <c r="F2272" s="312"/>
    </row>
    <row r="2273" spans="1:6" ht="20.25">
      <c r="A2273" s="309"/>
      <c r="B2273" s="310"/>
      <c r="C2273" s="310"/>
      <c r="D2273" s="310"/>
      <c r="E2273" s="311"/>
      <c r="F2273" s="312"/>
    </row>
    <row r="2274" spans="1:6" ht="20.25">
      <c r="A2274" s="309"/>
      <c r="B2274" s="310"/>
      <c r="C2274" s="310"/>
      <c r="D2274" s="310"/>
      <c r="E2274" s="311"/>
      <c r="F2274" s="312"/>
    </row>
    <row r="2275" spans="1:6" ht="20.25">
      <c r="A2275" s="309"/>
      <c r="B2275" s="310"/>
      <c r="C2275" s="310"/>
      <c r="D2275" s="310"/>
      <c r="E2275" s="311"/>
      <c r="F2275" s="312"/>
    </row>
    <row r="2276" spans="1:6" ht="20.25">
      <c r="A2276" s="309"/>
      <c r="B2276" s="310"/>
      <c r="C2276" s="310"/>
      <c r="D2276" s="310"/>
      <c r="E2276" s="311"/>
      <c r="F2276" s="312"/>
    </row>
    <row r="2277" spans="1:6" ht="20.25">
      <c r="A2277" s="309"/>
      <c r="B2277" s="310"/>
      <c r="C2277" s="310"/>
      <c r="D2277" s="310"/>
      <c r="E2277" s="311"/>
      <c r="F2277" s="312"/>
    </row>
    <row r="2278" spans="1:6" ht="20.25">
      <c r="A2278" s="309"/>
      <c r="B2278" s="310"/>
      <c r="C2278" s="310"/>
      <c r="D2278" s="310"/>
      <c r="E2278" s="311"/>
      <c r="F2278" s="312"/>
    </row>
    <row r="2279" spans="1:6" ht="20.25">
      <c r="A2279" s="309"/>
      <c r="B2279" s="310"/>
      <c r="C2279" s="310"/>
      <c r="D2279" s="310"/>
      <c r="E2279" s="311"/>
      <c r="F2279" s="312"/>
    </row>
    <row r="2280" spans="1:6" ht="20.25">
      <c r="A2280" s="309"/>
      <c r="B2280" s="310"/>
      <c r="C2280" s="310"/>
      <c r="D2280" s="310"/>
      <c r="E2280" s="311"/>
      <c r="F2280" s="312"/>
    </row>
    <row r="2281" spans="1:6" ht="20.25">
      <c r="A2281" s="309"/>
      <c r="B2281" s="310"/>
      <c r="C2281" s="310"/>
      <c r="D2281" s="310"/>
      <c r="E2281" s="311"/>
      <c r="F2281" s="312"/>
    </row>
    <row r="2282" spans="1:6" ht="20.25">
      <c r="A2282" s="309"/>
      <c r="B2282" s="310"/>
      <c r="C2282" s="310"/>
      <c r="D2282" s="310"/>
      <c r="E2282" s="311"/>
      <c r="F2282" s="312"/>
    </row>
    <row r="2283" spans="1:6" ht="20.25">
      <c r="A2283" s="309"/>
      <c r="B2283" s="310"/>
      <c r="C2283" s="310"/>
      <c r="D2283" s="310"/>
      <c r="E2283" s="311"/>
      <c r="F2283" s="312"/>
    </row>
    <row r="2284" spans="1:6" ht="20.25">
      <c r="A2284" s="309"/>
      <c r="B2284" s="310"/>
      <c r="C2284" s="310"/>
      <c r="D2284" s="310"/>
      <c r="E2284" s="311"/>
      <c r="F2284" s="312"/>
    </row>
    <row r="2285" spans="1:6" ht="20.25">
      <c r="A2285" s="309"/>
      <c r="B2285" s="310"/>
      <c r="C2285" s="310"/>
      <c r="D2285" s="310"/>
      <c r="E2285" s="311"/>
      <c r="F2285" s="312"/>
    </row>
    <row r="2286" spans="1:6" ht="20.25">
      <c r="A2286" s="309"/>
      <c r="B2286" s="310"/>
      <c r="C2286" s="310"/>
      <c r="D2286" s="310"/>
      <c r="E2286" s="311"/>
      <c r="F2286" s="312"/>
    </row>
    <row r="2287" spans="1:6" ht="20.25">
      <c r="A2287" s="309"/>
      <c r="B2287" s="310"/>
      <c r="C2287" s="310"/>
      <c r="D2287" s="310"/>
      <c r="E2287" s="311"/>
      <c r="F2287" s="312"/>
    </row>
    <row r="2288" spans="1:6" ht="20.25">
      <c r="A2288" s="309"/>
      <c r="B2288" s="310"/>
      <c r="C2288" s="310"/>
      <c r="D2288" s="310"/>
      <c r="E2288" s="311"/>
      <c r="F2288" s="312"/>
    </row>
    <row r="2289" spans="1:6" ht="20.25">
      <c r="A2289" s="309"/>
      <c r="B2289" s="310"/>
      <c r="C2289" s="310"/>
      <c r="D2289" s="310"/>
      <c r="E2289" s="311"/>
      <c r="F2289" s="312"/>
    </row>
    <row r="2290" spans="1:6" ht="20.25">
      <c r="A2290" s="309"/>
      <c r="B2290" s="310"/>
      <c r="C2290" s="310"/>
      <c r="D2290" s="310"/>
      <c r="E2290" s="311"/>
      <c r="F2290" s="312"/>
    </row>
    <row r="2291" spans="1:6" ht="20.25">
      <c r="A2291" s="309"/>
      <c r="B2291" s="310"/>
      <c r="C2291" s="310"/>
      <c r="D2291" s="310"/>
      <c r="E2291" s="311"/>
      <c r="F2291" s="312"/>
    </row>
    <row r="2292" spans="1:6" ht="20.25">
      <c r="A2292" s="309"/>
      <c r="B2292" s="310"/>
      <c r="C2292" s="310"/>
      <c r="D2292" s="310"/>
      <c r="E2292" s="311"/>
      <c r="F2292" s="312"/>
    </row>
    <row r="2293" spans="1:6" ht="20.25">
      <c r="A2293" s="309"/>
      <c r="B2293" s="310"/>
      <c r="C2293" s="310"/>
      <c r="D2293" s="310"/>
      <c r="E2293" s="311"/>
      <c r="F2293" s="312"/>
    </row>
    <row r="2294" spans="1:6" ht="20.25">
      <c r="A2294" s="309"/>
      <c r="B2294" s="310"/>
      <c r="C2294" s="310"/>
      <c r="D2294" s="310"/>
      <c r="E2294" s="311"/>
      <c r="F2294" s="312"/>
    </row>
    <row r="2295" spans="1:6" ht="20.25">
      <c r="A2295" s="309"/>
      <c r="B2295" s="310"/>
      <c r="C2295" s="310"/>
      <c r="D2295" s="310"/>
      <c r="E2295" s="311"/>
      <c r="F2295" s="312"/>
    </row>
    <row r="2296" spans="1:6" ht="20.25">
      <c r="A2296" s="309"/>
      <c r="B2296" s="310"/>
      <c r="C2296" s="310"/>
      <c r="D2296" s="310"/>
      <c r="E2296" s="311"/>
      <c r="F2296" s="312"/>
    </row>
    <row r="2297" spans="1:6" ht="20.25">
      <c r="A2297" s="309"/>
      <c r="B2297" s="310"/>
      <c r="C2297" s="310"/>
      <c r="D2297" s="310"/>
      <c r="E2297" s="311"/>
      <c r="F2297" s="312"/>
    </row>
    <row r="2298" spans="1:6" ht="20.25">
      <c r="A2298" s="309"/>
      <c r="B2298" s="310"/>
      <c r="C2298" s="310"/>
      <c r="D2298" s="310"/>
      <c r="E2298" s="311"/>
      <c r="F2298" s="312"/>
    </row>
    <row r="2299" spans="1:6" ht="20.25">
      <c r="A2299" s="309"/>
      <c r="B2299" s="310"/>
      <c r="C2299" s="310"/>
      <c r="D2299" s="310"/>
      <c r="E2299" s="311"/>
      <c r="F2299" s="312"/>
    </row>
    <row r="2300" spans="1:6" ht="20.25">
      <c r="A2300" s="309"/>
      <c r="B2300" s="310"/>
      <c r="C2300" s="310"/>
      <c r="D2300" s="310"/>
      <c r="E2300" s="311"/>
      <c r="F2300" s="312"/>
    </row>
    <row r="2301" spans="1:6" ht="20.25">
      <c r="A2301" s="309"/>
      <c r="B2301" s="310"/>
      <c r="C2301" s="310"/>
      <c r="D2301" s="310"/>
      <c r="E2301" s="311"/>
      <c r="F2301" s="312"/>
    </row>
    <row r="2302" spans="1:6" ht="20.25">
      <c r="A2302" s="309"/>
      <c r="B2302" s="310"/>
      <c r="C2302" s="310"/>
      <c r="D2302" s="310"/>
      <c r="E2302" s="311"/>
      <c r="F2302" s="312"/>
    </row>
    <row r="2303" spans="1:6" ht="20.25">
      <c r="A2303" s="309"/>
      <c r="B2303" s="310"/>
      <c r="C2303" s="310"/>
      <c r="D2303" s="310"/>
      <c r="E2303" s="311"/>
      <c r="F2303" s="312"/>
    </row>
    <row r="2304" spans="1:6" ht="20.25">
      <c r="A2304" s="309"/>
      <c r="B2304" s="310"/>
      <c r="C2304" s="310"/>
      <c r="D2304" s="310"/>
      <c r="E2304" s="311"/>
      <c r="F2304" s="312"/>
    </row>
    <row r="2305" spans="1:6" ht="20.25">
      <c r="A2305" s="309"/>
      <c r="B2305" s="310"/>
      <c r="C2305" s="310"/>
      <c r="D2305" s="310"/>
      <c r="E2305" s="311"/>
      <c r="F2305" s="312"/>
    </row>
    <row r="2306" spans="1:6" ht="20.25">
      <c r="A2306" s="309"/>
      <c r="B2306" s="310"/>
      <c r="C2306" s="310"/>
      <c r="D2306" s="310"/>
      <c r="E2306" s="311"/>
      <c r="F2306" s="312"/>
    </row>
    <row r="2307" spans="1:6" ht="20.25">
      <c r="A2307" s="309"/>
      <c r="B2307" s="310"/>
      <c r="C2307" s="310"/>
      <c r="D2307" s="310"/>
      <c r="E2307" s="311"/>
      <c r="F2307" s="312"/>
    </row>
    <row r="2308" spans="1:6" ht="20.25">
      <c r="A2308" s="309"/>
      <c r="B2308" s="310"/>
      <c r="C2308" s="310"/>
      <c r="D2308" s="310"/>
      <c r="E2308" s="311"/>
      <c r="F2308" s="312"/>
    </row>
    <row r="2309" spans="1:6" ht="20.25">
      <c r="A2309" s="309"/>
      <c r="B2309" s="310"/>
      <c r="C2309" s="310"/>
      <c r="D2309" s="310"/>
      <c r="E2309" s="311"/>
      <c r="F2309" s="312"/>
    </row>
    <row r="2310" spans="1:6" ht="20.25">
      <c r="A2310" s="309"/>
      <c r="B2310" s="310"/>
      <c r="C2310" s="310"/>
      <c r="D2310" s="310"/>
      <c r="E2310" s="311"/>
      <c r="F2310" s="312"/>
    </row>
    <row r="2311" spans="1:6" ht="20.25">
      <c r="A2311" s="309"/>
      <c r="B2311" s="310"/>
      <c r="C2311" s="310"/>
      <c r="D2311" s="310"/>
      <c r="E2311" s="311"/>
      <c r="F2311" s="312"/>
    </row>
    <row r="2312" spans="1:6" ht="20.25">
      <c r="A2312" s="309"/>
      <c r="B2312" s="310"/>
      <c r="C2312" s="310"/>
      <c r="D2312" s="310"/>
      <c r="E2312" s="311"/>
      <c r="F2312" s="312"/>
    </row>
    <row r="2313" spans="1:6" ht="20.25">
      <c r="A2313" s="309"/>
      <c r="B2313" s="310"/>
      <c r="C2313" s="310"/>
      <c r="D2313" s="310"/>
      <c r="E2313" s="311"/>
      <c r="F2313" s="312"/>
    </row>
    <row r="2314" spans="1:6" ht="20.25">
      <c r="A2314" s="309"/>
      <c r="B2314" s="310"/>
      <c r="C2314" s="310"/>
      <c r="D2314" s="310"/>
      <c r="E2314" s="311"/>
      <c r="F2314" s="312"/>
    </row>
    <row r="2315" spans="1:6" ht="20.25">
      <c r="A2315" s="309"/>
      <c r="B2315" s="310"/>
      <c r="C2315" s="310"/>
      <c r="D2315" s="310"/>
      <c r="E2315" s="311"/>
      <c r="F2315" s="312"/>
    </row>
    <row r="2316" spans="1:6" ht="20.25">
      <c r="A2316" s="309"/>
      <c r="B2316" s="310"/>
      <c r="C2316" s="310"/>
      <c r="D2316" s="310"/>
      <c r="E2316" s="311"/>
      <c r="F2316" s="312"/>
    </row>
    <row r="2317" spans="1:6" ht="20.25">
      <c r="A2317" s="309"/>
      <c r="B2317" s="310"/>
      <c r="C2317" s="310"/>
      <c r="D2317" s="310"/>
      <c r="E2317" s="311"/>
      <c r="F2317" s="312"/>
    </row>
    <row r="2318" spans="1:6" ht="20.25">
      <c r="A2318" s="309"/>
      <c r="B2318" s="310"/>
      <c r="C2318" s="310"/>
      <c r="D2318" s="310"/>
      <c r="E2318" s="311"/>
      <c r="F2318" s="312"/>
    </row>
    <row r="2319" spans="1:6" ht="20.25">
      <c r="A2319" s="309"/>
      <c r="B2319" s="310"/>
      <c r="C2319" s="310"/>
      <c r="D2319" s="310"/>
      <c r="E2319" s="311"/>
      <c r="F2319" s="312"/>
    </row>
    <row r="2320" spans="1:6" ht="20.25">
      <c r="A2320" s="309"/>
      <c r="B2320" s="310"/>
      <c r="C2320" s="310"/>
      <c r="D2320" s="310"/>
      <c r="E2320" s="311"/>
      <c r="F2320" s="312"/>
    </row>
    <row r="2321" spans="1:6" ht="20.25">
      <c r="A2321" s="309"/>
      <c r="B2321" s="310"/>
      <c r="C2321" s="310"/>
      <c r="D2321" s="310"/>
      <c r="E2321" s="311"/>
      <c r="F2321" s="312"/>
    </row>
    <row r="2322" spans="1:6" ht="20.25">
      <c r="A2322" s="309"/>
      <c r="B2322" s="310"/>
      <c r="C2322" s="310"/>
      <c r="D2322" s="310"/>
      <c r="E2322" s="311"/>
      <c r="F2322" s="312"/>
    </row>
    <row r="2323" spans="1:6" ht="20.25">
      <c r="A2323" s="309"/>
      <c r="B2323" s="310"/>
      <c r="C2323" s="310"/>
      <c r="D2323" s="310"/>
      <c r="E2323" s="311"/>
      <c r="F2323" s="312"/>
    </row>
    <row r="2324" spans="1:6" ht="20.25">
      <c r="A2324" s="309"/>
      <c r="B2324" s="310"/>
      <c r="C2324" s="310"/>
      <c r="D2324" s="310"/>
      <c r="E2324" s="311"/>
      <c r="F2324" s="312"/>
    </row>
    <row r="2325" spans="1:6" ht="20.25">
      <c r="A2325" s="309"/>
      <c r="B2325" s="310"/>
      <c r="C2325" s="310"/>
      <c r="D2325" s="310"/>
      <c r="E2325" s="311"/>
      <c r="F2325" s="312"/>
    </row>
    <row r="2326" spans="1:6" ht="20.25">
      <c r="A2326" s="309"/>
      <c r="B2326" s="310"/>
      <c r="C2326" s="310"/>
      <c r="D2326" s="310"/>
      <c r="E2326" s="311"/>
      <c r="F2326" s="312"/>
    </row>
    <row r="2327" spans="1:6" ht="20.25">
      <c r="A2327" s="309"/>
      <c r="B2327" s="310"/>
      <c r="C2327" s="310"/>
      <c r="D2327" s="310"/>
      <c r="E2327" s="311"/>
      <c r="F2327" s="312"/>
    </row>
    <row r="2328" spans="1:6" ht="20.25">
      <c r="A2328" s="309"/>
      <c r="B2328" s="310"/>
      <c r="C2328" s="310"/>
      <c r="D2328" s="310"/>
      <c r="E2328" s="311"/>
      <c r="F2328" s="312"/>
    </row>
    <row r="2329" spans="1:6" ht="20.25">
      <c r="A2329" s="309"/>
      <c r="B2329" s="310"/>
      <c r="C2329" s="310"/>
      <c r="D2329" s="310"/>
      <c r="E2329" s="311"/>
      <c r="F2329" s="312"/>
    </row>
    <row r="2330" spans="1:6" ht="20.25">
      <c r="A2330" s="309"/>
      <c r="B2330" s="310"/>
      <c r="C2330" s="310"/>
      <c r="D2330" s="310"/>
      <c r="E2330" s="311"/>
      <c r="F2330" s="312"/>
    </row>
    <row r="2331" spans="1:6" ht="20.25">
      <c r="A2331" s="309"/>
      <c r="B2331" s="310"/>
      <c r="C2331" s="310"/>
      <c r="D2331" s="310"/>
      <c r="E2331" s="311"/>
      <c r="F2331" s="312"/>
    </row>
    <row r="2332" spans="1:6" ht="20.25">
      <c r="A2332" s="309"/>
      <c r="B2332" s="310"/>
      <c r="C2332" s="310"/>
      <c r="D2332" s="310"/>
      <c r="E2332" s="311"/>
      <c r="F2332" s="312"/>
    </row>
    <row r="2333" spans="1:6" ht="20.25">
      <c r="A2333" s="309"/>
      <c r="B2333" s="310"/>
      <c r="C2333" s="310"/>
      <c r="D2333" s="310"/>
      <c r="E2333" s="311"/>
      <c r="F2333" s="312"/>
    </row>
    <row r="2334" spans="1:6" ht="20.25">
      <c r="A2334" s="309"/>
      <c r="B2334" s="310"/>
      <c r="C2334" s="310"/>
      <c r="D2334" s="310"/>
      <c r="E2334" s="311"/>
      <c r="F2334" s="312"/>
    </row>
    <row r="2335" spans="1:6" ht="20.25">
      <c r="A2335" s="309"/>
      <c r="B2335" s="310"/>
      <c r="C2335" s="310"/>
      <c r="D2335" s="310"/>
      <c r="E2335" s="311"/>
      <c r="F2335" s="312"/>
    </row>
    <row r="2336" spans="1:6" ht="20.25">
      <c r="A2336" s="309"/>
      <c r="B2336" s="310"/>
      <c r="C2336" s="310"/>
      <c r="D2336" s="310"/>
      <c r="E2336" s="311"/>
      <c r="F2336" s="312"/>
    </row>
    <row r="2337" spans="1:6" ht="20.25">
      <c r="A2337" s="309"/>
      <c r="B2337" s="310"/>
      <c r="C2337" s="310"/>
      <c r="D2337" s="310"/>
      <c r="E2337" s="311"/>
      <c r="F2337" s="312"/>
    </row>
    <row r="2338" spans="1:6" ht="20.25">
      <c r="A2338" s="309"/>
      <c r="B2338" s="310"/>
      <c r="C2338" s="310"/>
      <c r="D2338" s="310"/>
      <c r="E2338" s="311"/>
      <c r="F2338" s="312"/>
    </row>
    <row r="2339" spans="1:6" ht="20.25">
      <c r="A2339" s="309"/>
      <c r="B2339" s="310"/>
      <c r="C2339" s="310"/>
      <c r="D2339" s="310"/>
      <c r="E2339" s="311"/>
      <c r="F2339" s="312"/>
    </row>
    <row r="2340" spans="1:6" ht="20.25">
      <c r="A2340" s="309"/>
      <c r="B2340" s="310"/>
      <c r="C2340" s="310"/>
      <c r="D2340" s="310"/>
      <c r="E2340" s="311"/>
      <c r="F2340" s="312"/>
    </row>
    <row r="2341" spans="1:6" ht="20.25">
      <c r="A2341" s="309"/>
      <c r="B2341" s="310"/>
      <c r="C2341" s="310"/>
      <c r="D2341" s="310"/>
      <c r="E2341" s="311"/>
      <c r="F2341" s="312"/>
    </row>
    <row r="2342" spans="1:6" ht="20.25">
      <c r="A2342" s="309"/>
      <c r="B2342" s="310"/>
      <c r="C2342" s="310"/>
      <c r="D2342" s="310"/>
      <c r="E2342" s="311"/>
      <c r="F2342" s="312"/>
    </row>
    <row r="2343" spans="1:6" ht="20.25">
      <c r="A2343" s="309"/>
      <c r="B2343" s="310"/>
      <c r="C2343" s="310"/>
      <c r="D2343" s="310"/>
      <c r="E2343" s="311"/>
      <c r="F2343" s="312"/>
    </row>
    <row r="2344" spans="1:6" ht="20.25">
      <c r="A2344" s="309"/>
      <c r="B2344" s="310"/>
      <c r="C2344" s="310"/>
      <c r="D2344" s="310"/>
      <c r="E2344" s="311"/>
      <c r="F2344" s="312"/>
    </row>
    <row r="2345" spans="1:6" ht="20.25">
      <c r="A2345" s="309"/>
      <c r="B2345" s="310"/>
      <c r="C2345" s="310"/>
      <c r="D2345" s="310"/>
      <c r="E2345" s="311"/>
      <c r="F2345" s="312"/>
    </row>
    <row r="2346" spans="1:6" ht="20.25">
      <c r="A2346" s="309"/>
      <c r="B2346" s="310"/>
      <c r="C2346" s="310"/>
      <c r="D2346" s="310"/>
      <c r="E2346" s="311"/>
      <c r="F2346" s="312"/>
    </row>
    <row r="2347" spans="1:6" ht="20.25">
      <c r="A2347" s="309"/>
      <c r="B2347" s="310"/>
      <c r="C2347" s="310"/>
      <c r="D2347" s="310"/>
      <c r="E2347" s="311"/>
      <c r="F2347" s="312"/>
    </row>
    <row r="2348" spans="1:6" ht="20.25">
      <c r="A2348" s="309"/>
      <c r="B2348" s="310"/>
      <c r="C2348" s="310"/>
      <c r="D2348" s="310"/>
      <c r="E2348" s="311"/>
      <c r="F2348" s="312"/>
    </row>
    <row r="2349" spans="1:6" ht="20.25">
      <c r="A2349" s="309"/>
      <c r="B2349" s="310"/>
      <c r="C2349" s="310"/>
      <c r="D2349" s="310"/>
      <c r="E2349" s="311"/>
      <c r="F2349" s="312"/>
    </row>
    <row r="2350" spans="1:6" ht="20.25">
      <c r="A2350" s="309"/>
      <c r="B2350" s="310"/>
      <c r="C2350" s="310"/>
      <c r="D2350" s="310"/>
      <c r="E2350" s="311"/>
      <c r="F2350" s="312"/>
    </row>
    <row r="2351" spans="1:6" ht="20.25">
      <c r="A2351" s="309"/>
      <c r="B2351" s="310"/>
      <c r="C2351" s="310"/>
      <c r="D2351" s="310"/>
      <c r="E2351" s="311"/>
      <c r="F2351" s="312"/>
    </row>
    <row r="2352" spans="1:6" ht="20.25">
      <c r="A2352" s="309"/>
      <c r="B2352" s="310"/>
      <c r="C2352" s="310"/>
      <c r="D2352" s="310"/>
      <c r="E2352" s="311"/>
      <c r="F2352" s="312"/>
    </row>
    <row r="2353" spans="1:6" ht="20.25">
      <c r="A2353" s="309"/>
      <c r="B2353" s="310"/>
      <c r="C2353" s="310"/>
      <c r="D2353" s="310"/>
      <c r="E2353" s="311"/>
      <c r="F2353" s="312"/>
    </row>
    <row r="2354" spans="1:6" ht="20.25">
      <c r="A2354" s="309"/>
      <c r="B2354" s="310"/>
      <c r="C2354" s="310"/>
      <c r="D2354" s="310"/>
      <c r="E2354" s="311"/>
      <c r="F2354" s="312"/>
    </row>
    <row r="2355" spans="1:6" ht="20.25">
      <c r="A2355" s="309"/>
      <c r="B2355" s="310"/>
      <c r="C2355" s="310"/>
      <c r="D2355" s="310"/>
      <c r="E2355" s="311"/>
      <c r="F2355" s="312"/>
    </row>
    <row r="2356" spans="1:6" ht="20.25">
      <c r="A2356" s="309"/>
      <c r="B2356" s="310"/>
      <c r="C2356" s="310"/>
      <c r="D2356" s="310"/>
      <c r="E2356" s="311"/>
      <c r="F2356" s="312"/>
    </row>
    <row r="2357" spans="1:6" ht="20.25">
      <c r="A2357" s="309"/>
      <c r="B2357" s="310"/>
      <c r="C2357" s="310"/>
      <c r="D2357" s="310"/>
      <c r="E2357" s="311"/>
      <c r="F2357" s="312"/>
    </row>
    <row r="2358" spans="1:6" ht="20.25">
      <c r="A2358" s="309"/>
      <c r="B2358" s="310"/>
      <c r="C2358" s="310"/>
      <c r="D2358" s="310"/>
      <c r="E2358" s="311"/>
      <c r="F2358" s="312"/>
    </row>
    <row r="2359" spans="1:6" ht="20.25">
      <c r="A2359" s="309"/>
      <c r="B2359" s="310"/>
      <c r="C2359" s="310"/>
      <c r="D2359" s="310"/>
      <c r="E2359" s="311"/>
      <c r="F2359" s="312"/>
    </row>
    <row r="2360" spans="1:6" ht="20.25">
      <c r="A2360" s="309"/>
      <c r="B2360" s="310"/>
      <c r="C2360" s="310"/>
      <c r="D2360" s="310"/>
      <c r="E2360" s="311"/>
      <c r="F2360" s="312"/>
    </row>
    <row r="2361" spans="1:6" ht="20.25">
      <c r="A2361" s="309"/>
      <c r="B2361" s="310"/>
      <c r="C2361" s="310"/>
      <c r="D2361" s="310"/>
      <c r="E2361" s="311"/>
      <c r="F2361" s="312"/>
    </row>
    <row r="2362" spans="1:6" ht="20.25">
      <c r="A2362" s="309"/>
      <c r="B2362" s="310"/>
      <c r="C2362" s="310"/>
      <c r="D2362" s="310"/>
      <c r="E2362" s="311"/>
      <c r="F2362" s="312"/>
    </row>
    <row r="2363" spans="1:6" ht="20.25">
      <c r="A2363" s="309"/>
      <c r="B2363" s="310"/>
      <c r="C2363" s="310"/>
      <c r="D2363" s="310"/>
      <c r="E2363" s="311"/>
      <c r="F2363" s="312"/>
    </row>
    <row r="2364" spans="1:6" ht="20.25">
      <c r="A2364" s="309"/>
      <c r="B2364" s="310"/>
      <c r="C2364" s="310"/>
      <c r="D2364" s="310"/>
      <c r="E2364" s="311"/>
      <c r="F2364" s="312"/>
    </row>
    <row r="2365" spans="1:6" ht="20.25">
      <c r="A2365" s="309"/>
      <c r="B2365" s="310"/>
      <c r="C2365" s="310"/>
      <c r="D2365" s="310"/>
      <c r="E2365" s="311"/>
      <c r="F2365" s="312"/>
    </row>
    <row r="2366" spans="1:6" ht="20.25">
      <c r="A2366" s="309"/>
      <c r="B2366" s="310"/>
      <c r="C2366" s="310"/>
      <c r="D2366" s="310"/>
      <c r="E2366" s="311"/>
      <c r="F2366" s="312"/>
    </row>
    <row r="2367" spans="1:6" ht="20.25">
      <c r="A2367" s="309"/>
      <c r="B2367" s="310"/>
      <c r="C2367" s="310"/>
      <c r="D2367" s="310"/>
      <c r="E2367" s="311"/>
      <c r="F2367" s="312"/>
    </row>
    <row r="2368" spans="1:6" ht="20.25">
      <c r="A2368" s="309"/>
      <c r="B2368" s="310"/>
      <c r="C2368" s="310"/>
      <c r="D2368" s="310"/>
      <c r="E2368" s="311"/>
      <c r="F2368" s="312"/>
    </row>
    <row r="2369" spans="1:6" ht="20.25">
      <c r="A2369" s="309"/>
      <c r="B2369" s="310"/>
      <c r="C2369" s="310"/>
      <c r="D2369" s="310"/>
      <c r="E2369" s="311"/>
      <c r="F2369" s="312"/>
    </row>
    <row r="2370" spans="1:6" ht="20.25">
      <c r="A2370" s="309"/>
      <c r="B2370" s="310"/>
      <c r="C2370" s="310"/>
      <c r="D2370" s="310"/>
      <c r="E2370" s="311"/>
      <c r="F2370" s="312"/>
    </row>
    <row r="2371" spans="1:6" ht="20.25">
      <c r="A2371" s="309"/>
      <c r="B2371" s="310"/>
      <c r="C2371" s="310"/>
      <c r="D2371" s="310"/>
      <c r="E2371" s="311"/>
      <c r="F2371" s="312"/>
    </row>
    <row r="2372" spans="1:6" ht="20.25">
      <c r="A2372" s="309"/>
      <c r="B2372" s="310"/>
      <c r="C2372" s="310"/>
      <c r="D2372" s="310"/>
      <c r="E2372" s="311"/>
      <c r="F2372" s="312"/>
    </row>
    <row r="2373" spans="1:6" ht="20.25">
      <c r="A2373" s="309"/>
      <c r="B2373" s="310"/>
      <c r="C2373" s="310"/>
      <c r="D2373" s="310"/>
      <c r="E2373" s="311"/>
      <c r="F2373" s="312"/>
    </row>
    <row r="2374" spans="1:6" ht="20.25">
      <c r="A2374" s="309"/>
      <c r="B2374" s="310"/>
      <c r="C2374" s="310"/>
      <c r="D2374" s="310"/>
      <c r="E2374" s="311"/>
      <c r="F2374" s="312"/>
    </row>
    <row r="2375" spans="1:6" ht="20.25">
      <c r="A2375" s="309"/>
      <c r="B2375" s="310"/>
      <c r="C2375" s="310"/>
      <c r="D2375" s="310"/>
      <c r="E2375" s="311"/>
      <c r="F2375" s="312"/>
    </row>
    <row r="2376" spans="1:6" ht="20.25">
      <c r="A2376" s="309"/>
      <c r="B2376" s="310"/>
      <c r="C2376" s="310"/>
      <c r="D2376" s="310"/>
      <c r="E2376" s="311"/>
      <c r="F2376" s="312"/>
    </row>
    <row r="2377" spans="1:6" ht="20.25">
      <c r="A2377" s="309"/>
      <c r="B2377" s="310"/>
      <c r="C2377" s="310"/>
      <c r="D2377" s="310"/>
      <c r="E2377" s="311"/>
      <c r="F2377" s="312"/>
    </row>
    <row r="2378" spans="1:6" ht="20.25">
      <c r="A2378" s="309"/>
      <c r="B2378" s="310"/>
      <c r="C2378" s="310"/>
      <c r="D2378" s="310"/>
      <c r="E2378" s="311"/>
      <c r="F2378" s="312"/>
    </row>
    <row r="2379" spans="1:6" ht="20.25">
      <c r="A2379" s="309"/>
      <c r="B2379" s="310"/>
      <c r="C2379" s="310"/>
      <c r="D2379" s="310"/>
      <c r="E2379" s="311"/>
      <c r="F2379" s="312"/>
    </row>
    <row r="2380" spans="1:6" ht="20.25">
      <c r="A2380" s="309"/>
      <c r="B2380" s="310"/>
      <c r="C2380" s="310"/>
      <c r="D2380" s="310"/>
      <c r="E2380" s="311"/>
      <c r="F2380" s="312"/>
    </row>
    <row r="2381" spans="1:6" ht="20.25">
      <c r="A2381" s="309"/>
      <c r="B2381" s="310"/>
      <c r="C2381" s="310"/>
      <c r="D2381" s="310"/>
      <c r="E2381" s="311"/>
      <c r="F2381" s="312"/>
    </row>
    <row r="2382" spans="1:6" ht="20.25">
      <c r="A2382" s="309"/>
      <c r="B2382" s="310"/>
      <c r="C2382" s="310"/>
      <c r="D2382" s="310"/>
      <c r="E2382" s="311"/>
      <c r="F2382" s="312"/>
    </row>
    <row r="2383" spans="1:6" ht="20.25">
      <c r="A2383" s="309"/>
      <c r="B2383" s="310"/>
      <c r="C2383" s="310"/>
      <c r="D2383" s="310"/>
      <c r="E2383" s="311"/>
      <c r="F2383" s="312"/>
    </row>
    <row r="2384" spans="1:6" ht="20.25">
      <c r="A2384" s="309"/>
      <c r="B2384" s="310"/>
      <c r="C2384" s="310"/>
      <c r="D2384" s="310"/>
      <c r="E2384" s="311"/>
      <c r="F2384" s="312"/>
    </row>
    <row r="2385" spans="1:6" ht="20.25">
      <c r="A2385" s="309"/>
      <c r="B2385" s="310"/>
      <c r="C2385" s="310"/>
      <c r="D2385" s="310"/>
      <c r="E2385" s="311"/>
      <c r="F2385" s="312"/>
    </row>
    <row r="2386" spans="1:6" ht="20.25">
      <c r="A2386" s="309"/>
      <c r="B2386" s="310"/>
      <c r="C2386" s="310"/>
      <c r="D2386" s="310"/>
      <c r="E2386" s="311"/>
      <c r="F2386" s="312"/>
    </row>
    <row r="2387" spans="1:6" ht="20.25">
      <c r="A2387" s="309"/>
      <c r="B2387" s="310"/>
      <c r="C2387" s="310"/>
      <c r="D2387" s="310"/>
      <c r="E2387" s="311"/>
      <c r="F2387" s="312"/>
    </row>
    <row r="2388" spans="1:6" ht="20.25">
      <c r="A2388" s="309"/>
      <c r="B2388" s="310"/>
      <c r="C2388" s="310"/>
      <c r="D2388" s="310"/>
      <c r="E2388" s="311"/>
      <c r="F2388" s="312"/>
    </row>
    <row r="2389" spans="1:6" ht="20.25">
      <c r="A2389" s="309"/>
      <c r="B2389" s="310"/>
      <c r="C2389" s="310"/>
      <c r="D2389" s="310"/>
      <c r="E2389" s="311"/>
      <c r="F2389" s="312"/>
    </row>
    <row r="2390" spans="1:6" ht="20.25">
      <c r="A2390" s="309"/>
      <c r="B2390" s="310"/>
      <c r="C2390" s="310"/>
      <c r="D2390" s="310"/>
      <c r="E2390" s="311"/>
      <c r="F2390" s="312"/>
    </row>
    <row r="2391" spans="1:6" ht="20.25">
      <c r="A2391" s="309"/>
      <c r="B2391" s="310"/>
      <c r="C2391" s="310"/>
      <c r="D2391" s="310"/>
      <c r="E2391" s="311"/>
      <c r="F2391" s="312"/>
    </row>
    <row r="2392" spans="1:6" ht="20.25">
      <c r="A2392" s="309"/>
      <c r="B2392" s="310"/>
      <c r="C2392" s="310"/>
      <c r="D2392" s="310"/>
      <c r="E2392" s="311"/>
      <c r="F2392" s="312"/>
    </row>
    <row r="2393" spans="1:6" ht="20.25">
      <c r="A2393" s="309"/>
      <c r="B2393" s="310"/>
      <c r="C2393" s="310"/>
      <c r="D2393" s="310"/>
      <c r="E2393" s="311"/>
      <c r="F2393" s="312"/>
    </row>
    <row r="2394" spans="1:6" ht="20.25">
      <c r="A2394" s="309"/>
      <c r="B2394" s="310"/>
      <c r="C2394" s="310"/>
      <c r="D2394" s="310"/>
      <c r="E2394" s="311"/>
      <c r="F2394" s="312"/>
    </row>
    <row r="2395" spans="1:6" ht="20.25">
      <c r="A2395" s="309"/>
      <c r="B2395" s="310"/>
      <c r="C2395" s="310"/>
      <c r="D2395" s="310"/>
      <c r="E2395" s="311"/>
      <c r="F2395" s="312"/>
    </row>
    <row r="2396" spans="1:6" ht="20.25">
      <c r="A2396" s="309"/>
      <c r="B2396" s="310"/>
      <c r="C2396" s="310"/>
      <c r="D2396" s="310"/>
      <c r="E2396" s="311"/>
      <c r="F2396" s="312"/>
    </row>
    <row r="2397" spans="1:6" ht="20.25">
      <c r="A2397" s="309"/>
      <c r="B2397" s="310"/>
      <c r="C2397" s="310"/>
      <c r="D2397" s="310"/>
      <c r="E2397" s="311"/>
      <c r="F2397" s="312"/>
    </row>
    <row r="2398" spans="1:6" ht="20.25">
      <c r="A2398" s="309"/>
      <c r="B2398" s="310"/>
      <c r="C2398" s="310"/>
      <c r="D2398" s="310"/>
      <c r="E2398" s="311"/>
      <c r="F2398" s="312"/>
    </row>
    <row r="2399" spans="1:6" ht="20.25">
      <c r="A2399" s="309"/>
      <c r="B2399" s="310"/>
      <c r="C2399" s="310"/>
      <c r="D2399" s="310"/>
      <c r="E2399" s="311"/>
      <c r="F2399" s="312"/>
    </row>
    <row r="2400" spans="1:6" ht="20.25">
      <c r="A2400" s="309"/>
      <c r="B2400" s="310"/>
      <c r="C2400" s="310"/>
      <c r="D2400" s="310"/>
      <c r="E2400" s="311"/>
      <c r="F2400" s="312"/>
    </row>
    <row r="2401" spans="1:6" ht="20.25">
      <c r="A2401" s="309"/>
      <c r="B2401" s="310"/>
      <c r="C2401" s="310"/>
      <c r="D2401" s="310"/>
      <c r="E2401" s="311"/>
      <c r="F2401" s="312"/>
    </row>
    <row r="2402" spans="1:6" ht="20.25">
      <c r="A2402" s="309"/>
      <c r="B2402" s="310"/>
      <c r="C2402" s="310"/>
      <c r="D2402" s="310"/>
      <c r="E2402" s="311"/>
      <c r="F2402" s="312"/>
    </row>
    <row r="2403" spans="1:6" ht="20.25">
      <c r="A2403" s="309"/>
      <c r="B2403" s="310"/>
      <c r="C2403" s="310"/>
      <c r="D2403" s="310"/>
      <c r="E2403" s="311"/>
      <c r="F2403" s="312"/>
    </row>
    <row r="2404" spans="1:6" ht="20.25">
      <c r="A2404" s="309"/>
      <c r="B2404" s="310"/>
      <c r="C2404" s="310"/>
      <c r="D2404" s="310"/>
      <c r="E2404" s="311"/>
      <c r="F2404" s="312"/>
    </row>
    <row r="2405" spans="1:6" ht="20.25">
      <c r="A2405" s="309"/>
      <c r="B2405" s="310"/>
      <c r="C2405" s="310"/>
      <c r="D2405" s="310"/>
      <c r="E2405" s="311"/>
      <c r="F2405" s="312"/>
    </row>
    <row r="2406" spans="1:6" ht="20.25">
      <c r="A2406" s="309"/>
      <c r="B2406" s="310"/>
      <c r="C2406" s="310"/>
      <c r="D2406" s="310"/>
      <c r="E2406" s="311"/>
      <c r="F2406" s="312"/>
    </row>
    <row r="2407" spans="1:6" ht="20.25">
      <c r="A2407" s="309"/>
      <c r="B2407" s="310"/>
      <c r="C2407" s="310"/>
      <c r="D2407" s="310"/>
      <c r="E2407" s="311"/>
      <c r="F2407" s="312"/>
    </row>
    <row r="2408" spans="1:6" ht="20.25">
      <c r="A2408" s="309"/>
      <c r="B2408" s="310"/>
      <c r="C2408" s="310"/>
      <c r="D2408" s="310"/>
      <c r="E2408" s="311"/>
      <c r="F2408" s="312"/>
    </row>
    <row r="2409" spans="1:6" ht="20.25">
      <c r="A2409" s="309"/>
      <c r="B2409" s="310"/>
      <c r="C2409" s="310"/>
      <c r="D2409" s="310"/>
      <c r="E2409" s="311"/>
      <c r="F2409" s="312"/>
    </row>
    <row r="2410" spans="1:6" ht="20.25">
      <c r="A2410" s="309"/>
      <c r="B2410" s="310"/>
      <c r="C2410" s="310"/>
      <c r="D2410" s="310"/>
      <c r="E2410" s="311"/>
      <c r="F2410" s="312"/>
    </row>
    <row r="2411" spans="1:6" ht="20.25">
      <c r="A2411" s="309"/>
      <c r="B2411" s="310"/>
      <c r="C2411" s="310"/>
      <c r="D2411" s="310"/>
      <c r="E2411" s="311"/>
      <c r="F2411" s="312"/>
    </row>
    <row r="2412" spans="1:6" ht="20.25">
      <c r="A2412" s="309"/>
      <c r="B2412" s="310"/>
      <c r="C2412" s="310"/>
      <c r="D2412" s="310"/>
      <c r="E2412" s="311"/>
      <c r="F2412" s="312"/>
    </row>
    <row r="2413" spans="1:6" ht="20.25">
      <c r="A2413" s="309"/>
      <c r="B2413" s="310"/>
      <c r="C2413" s="310"/>
      <c r="D2413" s="310"/>
      <c r="E2413" s="311"/>
      <c r="F2413" s="312"/>
    </row>
    <row r="2414" spans="1:6" ht="20.25">
      <c r="A2414" s="309"/>
      <c r="B2414" s="310"/>
      <c r="C2414" s="310"/>
      <c r="D2414" s="310"/>
      <c r="E2414" s="311"/>
      <c r="F2414" s="312"/>
    </row>
    <row r="2415" spans="1:6" ht="20.25">
      <c r="A2415" s="309"/>
      <c r="B2415" s="310"/>
      <c r="C2415" s="310"/>
      <c r="D2415" s="310"/>
      <c r="E2415" s="311"/>
      <c r="F2415" s="312"/>
    </row>
    <row r="2416" spans="1:6" ht="20.25">
      <c r="A2416" s="309"/>
      <c r="B2416" s="310"/>
      <c r="C2416" s="310"/>
      <c r="D2416" s="310"/>
      <c r="E2416" s="311"/>
      <c r="F2416" s="312"/>
    </row>
    <row r="2417" spans="1:6" ht="20.25">
      <c r="A2417" s="309"/>
      <c r="B2417" s="310"/>
      <c r="C2417" s="310"/>
      <c r="D2417" s="310"/>
      <c r="E2417" s="311"/>
      <c r="F2417" s="312"/>
    </row>
    <row r="2418" spans="1:6" ht="20.25">
      <c r="A2418" s="309"/>
      <c r="B2418" s="310"/>
      <c r="C2418" s="310"/>
      <c r="D2418" s="310"/>
      <c r="E2418" s="311"/>
      <c r="F2418" s="312"/>
    </row>
    <row r="2419" spans="1:6" ht="20.25">
      <c r="A2419" s="309"/>
      <c r="B2419" s="310"/>
      <c r="C2419" s="310"/>
      <c r="D2419" s="310"/>
      <c r="E2419" s="311"/>
      <c r="F2419" s="312"/>
    </row>
    <row r="2420" spans="1:6" ht="20.25">
      <c r="A2420" s="309"/>
      <c r="B2420" s="310"/>
      <c r="C2420" s="310"/>
      <c r="D2420" s="310"/>
      <c r="E2420" s="311"/>
      <c r="F2420" s="312"/>
    </row>
    <row r="2421" spans="1:6" ht="20.25">
      <c r="A2421" s="309"/>
      <c r="B2421" s="310"/>
      <c r="C2421" s="310"/>
      <c r="D2421" s="310"/>
      <c r="E2421" s="311"/>
      <c r="F2421" s="312"/>
    </row>
    <row r="2422" spans="1:6" ht="20.25">
      <c r="A2422" s="309"/>
      <c r="B2422" s="310"/>
      <c r="C2422" s="310"/>
      <c r="D2422" s="310"/>
      <c r="E2422" s="311"/>
      <c r="F2422" s="312"/>
    </row>
    <row r="2423" spans="1:6" ht="20.25">
      <c r="A2423" s="309"/>
      <c r="B2423" s="310"/>
      <c r="C2423" s="310"/>
      <c r="D2423" s="310"/>
      <c r="E2423" s="311"/>
      <c r="F2423" s="312"/>
    </row>
    <row r="2424" spans="1:6" ht="20.25">
      <c r="A2424" s="309"/>
      <c r="B2424" s="310"/>
      <c r="C2424" s="310"/>
      <c r="D2424" s="310"/>
      <c r="E2424" s="311"/>
      <c r="F2424" s="312"/>
    </row>
    <row r="2425" spans="1:6" ht="20.25">
      <c r="A2425" s="309"/>
      <c r="B2425" s="310"/>
      <c r="C2425" s="310"/>
      <c r="D2425" s="310"/>
      <c r="E2425" s="311"/>
      <c r="F2425" s="312"/>
    </row>
    <row r="2426" spans="1:6" ht="20.25">
      <c r="A2426" s="309"/>
      <c r="B2426" s="310"/>
      <c r="C2426" s="310"/>
      <c r="D2426" s="310"/>
      <c r="E2426" s="311"/>
      <c r="F2426" s="312"/>
    </row>
    <row r="2427" spans="1:6" ht="20.25">
      <c r="A2427" s="309"/>
      <c r="B2427" s="310"/>
      <c r="C2427" s="310"/>
      <c r="D2427" s="310"/>
      <c r="E2427" s="311"/>
      <c r="F2427" s="312"/>
    </row>
    <row r="2428" spans="1:6" ht="20.25">
      <c r="A2428" s="309"/>
      <c r="B2428" s="310"/>
      <c r="C2428" s="310"/>
      <c r="D2428" s="310"/>
      <c r="E2428" s="311"/>
      <c r="F2428" s="312"/>
    </row>
    <row r="2429" spans="1:6" ht="20.25">
      <c r="A2429" s="309"/>
      <c r="B2429" s="310"/>
      <c r="C2429" s="310"/>
      <c r="D2429" s="310"/>
      <c r="E2429" s="311"/>
      <c r="F2429" s="312"/>
    </row>
    <row r="2430" spans="1:6" ht="20.25">
      <c r="A2430" s="309"/>
      <c r="B2430" s="310"/>
      <c r="C2430" s="310"/>
      <c r="D2430" s="310"/>
      <c r="E2430" s="311"/>
      <c r="F2430" s="312"/>
    </row>
    <row r="2431" spans="1:6" ht="20.25">
      <c r="A2431" s="309"/>
      <c r="B2431" s="310"/>
      <c r="C2431" s="310"/>
      <c r="D2431" s="310"/>
      <c r="E2431" s="311"/>
      <c r="F2431" s="312"/>
    </row>
    <row r="2432" spans="1:6" ht="20.25">
      <c r="A2432" s="309"/>
      <c r="B2432" s="310"/>
      <c r="C2432" s="310"/>
      <c r="D2432" s="310"/>
      <c r="E2432" s="311"/>
      <c r="F2432" s="312"/>
    </row>
    <row r="2433" spans="1:6" ht="20.25">
      <c r="A2433" s="309"/>
      <c r="B2433" s="310"/>
      <c r="C2433" s="310"/>
      <c r="D2433" s="310"/>
      <c r="E2433" s="311"/>
      <c r="F2433" s="312"/>
    </row>
    <row r="2434" spans="1:6" ht="20.25">
      <c r="A2434" s="309"/>
      <c r="B2434" s="310"/>
      <c r="C2434" s="310"/>
      <c r="D2434" s="310"/>
      <c r="E2434" s="311"/>
      <c r="F2434" s="312"/>
    </row>
    <row r="2435" spans="1:6" ht="20.25">
      <c r="A2435" s="309"/>
      <c r="B2435" s="310"/>
      <c r="C2435" s="310"/>
      <c r="D2435" s="310"/>
      <c r="E2435" s="311"/>
      <c r="F2435" s="312"/>
    </row>
    <row r="2436" spans="1:6" ht="20.25">
      <c r="A2436" s="309"/>
      <c r="B2436" s="310"/>
      <c r="C2436" s="310"/>
      <c r="D2436" s="310"/>
      <c r="E2436" s="311"/>
      <c r="F2436" s="312"/>
    </row>
    <row r="2437" spans="1:6" ht="20.25">
      <c r="A2437" s="309"/>
      <c r="B2437" s="310"/>
      <c r="C2437" s="310"/>
      <c r="D2437" s="310"/>
      <c r="E2437" s="311"/>
      <c r="F2437" s="312"/>
    </row>
    <row r="2438" spans="1:6" ht="20.25">
      <c r="A2438" s="309"/>
      <c r="B2438" s="310"/>
      <c r="C2438" s="310"/>
      <c r="D2438" s="310"/>
      <c r="E2438" s="311"/>
      <c r="F2438" s="312"/>
    </row>
    <row r="2439" spans="1:6" ht="20.25">
      <c r="A2439" s="309"/>
      <c r="B2439" s="310"/>
      <c r="C2439" s="310"/>
      <c r="D2439" s="310"/>
      <c r="E2439" s="311"/>
      <c r="F2439" s="312"/>
    </row>
    <row r="2440" spans="1:6" ht="20.25">
      <c r="A2440" s="309"/>
      <c r="B2440" s="310"/>
      <c r="C2440" s="310"/>
      <c r="D2440" s="310"/>
      <c r="E2440" s="311"/>
      <c r="F2440" s="312"/>
    </row>
    <row r="2441" spans="1:6" ht="20.25">
      <c r="A2441" s="309"/>
      <c r="B2441" s="310"/>
      <c r="C2441" s="310"/>
      <c r="D2441" s="310"/>
      <c r="E2441" s="311"/>
      <c r="F2441" s="312"/>
    </row>
    <row r="2442" spans="1:6" ht="20.25">
      <c r="A2442" s="309"/>
      <c r="B2442" s="310"/>
      <c r="C2442" s="310"/>
      <c r="D2442" s="310"/>
      <c r="E2442" s="311"/>
      <c r="F2442" s="312"/>
    </row>
    <row r="2443" spans="1:6" ht="20.25">
      <c r="A2443" s="309"/>
      <c r="B2443" s="310"/>
      <c r="C2443" s="310"/>
      <c r="D2443" s="310"/>
      <c r="E2443" s="311"/>
      <c r="F2443" s="312"/>
    </row>
    <row r="2444" spans="1:6" ht="20.25">
      <c r="A2444" s="309"/>
      <c r="B2444" s="310"/>
      <c r="C2444" s="310"/>
      <c r="D2444" s="310"/>
      <c r="E2444" s="311"/>
      <c r="F2444" s="312"/>
    </row>
    <row r="2445" spans="1:6" ht="20.25">
      <c r="A2445" s="309"/>
      <c r="B2445" s="310"/>
      <c r="C2445" s="310"/>
      <c r="D2445" s="310"/>
      <c r="E2445" s="311"/>
      <c r="F2445" s="312"/>
    </row>
    <row r="2446" spans="1:6" ht="20.25">
      <c r="A2446" s="309"/>
      <c r="B2446" s="310"/>
      <c r="C2446" s="310"/>
      <c r="D2446" s="310"/>
      <c r="E2446" s="311"/>
      <c r="F2446" s="312"/>
    </row>
    <row r="2447" spans="1:6" ht="20.25">
      <c r="A2447" s="309"/>
      <c r="B2447" s="310"/>
      <c r="C2447" s="310"/>
      <c r="D2447" s="310"/>
      <c r="E2447" s="311"/>
      <c r="F2447" s="312"/>
    </row>
    <row r="2448" spans="1:6" ht="20.25">
      <c r="A2448" s="309"/>
      <c r="B2448" s="310"/>
      <c r="C2448" s="310"/>
      <c r="D2448" s="310"/>
      <c r="E2448" s="311"/>
      <c r="F2448" s="312"/>
    </row>
    <row r="2449" spans="1:6" ht="20.25">
      <c r="A2449" s="309"/>
      <c r="B2449" s="310"/>
      <c r="C2449" s="310"/>
      <c r="D2449" s="310"/>
      <c r="E2449" s="311"/>
      <c r="F2449" s="312"/>
    </row>
    <row r="2450" spans="1:6" ht="20.25">
      <c r="A2450" s="309"/>
      <c r="B2450" s="310"/>
      <c r="C2450" s="310"/>
      <c r="D2450" s="310"/>
      <c r="E2450" s="311"/>
      <c r="F2450" s="312"/>
    </row>
    <row r="2451" spans="1:6" ht="20.25">
      <c r="A2451" s="309"/>
      <c r="B2451" s="310"/>
      <c r="C2451" s="310"/>
      <c r="D2451" s="310"/>
      <c r="E2451" s="311"/>
      <c r="F2451" s="312"/>
    </row>
    <row r="2452" spans="1:6" ht="20.25">
      <c r="A2452" s="309"/>
      <c r="B2452" s="310"/>
      <c r="C2452" s="310"/>
      <c r="D2452" s="310"/>
      <c r="E2452" s="311"/>
      <c r="F2452" s="312"/>
    </row>
    <row r="2453" spans="1:6" ht="20.25">
      <c r="A2453" s="309"/>
      <c r="B2453" s="310"/>
      <c r="C2453" s="310"/>
      <c r="D2453" s="310"/>
      <c r="E2453" s="311"/>
      <c r="F2453" s="312"/>
    </row>
    <row r="2454" spans="1:6" ht="20.25">
      <c r="A2454" s="309"/>
      <c r="B2454" s="310"/>
      <c r="C2454" s="310"/>
      <c r="D2454" s="310"/>
      <c r="E2454" s="311"/>
      <c r="F2454" s="312"/>
    </row>
    <row r="2455" spans="1:6" ht="20.25">
      <c r="A2455" s="309"/>
      <c r="B2455" s="310"/>
      <c r="C2455" s="310"/>
      <c r="D2455" s="310"/>
      <c r="E2455" s="311"/>
      <c r="F2455" s="312"/>
    </row>
    <row r="2456" spans="1:6" ht="20.25">
      <c r="A2456" s="309"/>
      <c r="B2456" s="310"/>
      <c r="C2456" s="310"/>
      <c r="D2456" s="310"/>
      <c r="E2456" s="311"/>
      <c r="F2456" s="312"/>
    </row>
    <row r="2457" spans="1:6" ht="20.25">
      <c r="A2457" s="309"/>
      <c r="B2457" s="310"/>
      <c r="C2457" s="310"/>
      <c r="D2457" s="310"/>
      <c r="E2457" s="311"/>
      <c r="F2457" s="312"/>
    </row>
    <row r="2458" spans="1:6" ht="20.25">
      <c r="A2458" s="309"/>
      <c r="B2458" s="310"/>
      <c r="C2458" s="310"/>
      <c r="D2458" s="310"/>
      <c r="E2458" s="311"/>
      <c r="F2458" s="312"/>
    </row>
    <row r="2459" spans="1:6" ht="20.25">
      <c r="A2459" s="309"/>
      <c r="B2459" s="310"/>
      <c r="C2459" s="310"/>
      <c r="D2459" s="310"/>
      <c r="E2459" s="311"/>
      <c r="F2459" s="312"/>
    </row>
    <row r="2460" spans="1:6" ht="20.25">
      <c r="A2460" s="309"/>
      <c r="B2460" s="310"/>
      <c r="C2460" s="310"/>
      <c r="D2460" s="310"/>
      <c r="E2460" s="311"/>
      <c r="F2460" s="312"/>
    </row>
    <row r="2461" spans="1:6" ht="20.25">
      <c r="A2461" s="309"/>
      <c r="B2461" s="310"/>
      <c r="C2461" s="310"/>
      <c r="D2461" s="310"/>
      <c r="E2461" s="311"/>
      <c r="F2461" s="312"/>
    </row>
    <row r="2462" spans="1:6" ht="20.25">
      <c r="A2462" s="309"/>
      <c r="B2462" s="310"/>
      <c r="C2462" s="310"/>
      <c r="D2462" s="310"/>
      <c r="E2462" s="311"/>
      <c r="F2462" s="312"/>
    </row>
    <row r="2463" spans="1:6" ht="20.25">
      <c r="A2463" s="309"/>
      <c r="B2463" s="310"/>
      <c r="C2463" s="310"/>
      <c r="D2463" s="310"/>
      <c r="E2463" s="311"/>
      <c r="F2463" s="312"/>
    </row>
    <row r="2464" spans="1:6" ht="20.25">
      <c r="A2464" s="309"/>
      <c r="B2464" s="310"/>
      <c r="C2464" s="310"/>
      <c r="D2464" s="310"/>
      <c r="E2464" s="311"/>
      <c r="F2464" s="312"/>
    </row>
    <row r="2465" spans="1:6" ht="20.25">
      <c r="A2465" s="309"/>
      <c r="B2465" s="310"/>
      <c r="C2465" s="310"/>
      <c r="D2465" s="310"/>
      <c r="E2465" s="311"/>
      <c r="F2465" s="312"/>
    </row>
    <row r="2466" spans="1:6" ht="20.25">
      <c r="A2466" s="309"/>
      <c r="B2466" s="310"/>
      <c r="C2466" s="310"/>
      <c r="D2466" s="310"/>
      <c r="E2466" s="311"/>
      <c r="F2466" s="312"/>
    </row>
    <row r="2467" spans="1:6" ht="20.25">
      <c r="A2467" s="309"/>
      <c r="B2467" s="310"/>
      <c r="C2467" s="310"/>
      <c r="D2467" s="310"/>
      <c r="E2467" s="311"/>
      <c r="F2467" s="312"/>
    </row>
    <row r="2468" spans="1:6" ht="20.25">
      <c r="A2468" s="309"/>
      <c r="B2468" s="310"/>
      <c r="C2468" s="310"/>
      <c r="D2468" s="310"/>
      <c r="E2468" s="311"/>
      <c r="F2468" s="312"/>
    </row>
    <row r="2469" spans="1:6" ht="20.25">
      <c r="A2469" s="309"/>
      <c r="B2469" s="310"/>
      <c r="C2469" s="310"/>
      <c r="D2469" s="310"/>
      <c r="E2469" s="311"/>
      <c r="F2469" s="312"/>
    </row>
    <row r="2470" spans="1:6" ht="20.25">
      <c r="A2470" s="309"/>
      <c r="B2470" s="310"/>
      <c r="C2470" s="310"/>
      <c r="D2470" s="310"/>
      <c r="E2470" s="311"/>
      <c r="F2470" s="312"/>
    </row>
    <row r="2471" spans="1:6" ht="20.25">
      <c r="A2471" s="309"/>
      <c r="B2471" s="310"/>
      <c r="C2471" s="310"/>
      <c r="D2471" s="310"/>
      <c r="E2471" s="311"/>
      <c r="F2471" s="312"/>
    </row>
    <row r="2472" spans="1:6" ht="20.25">
      <c r="A2472" s="309"/>
      <c r="B2472" s="310"/>
      <c r="C2472" s="310"/>
      <c r="D2472" s="310"/>
      <c r="E2472" s="311"/>
      <c r="F2472" s="312"/>
    </row>
    <row r="2473" spans="1:6" ht="20.25">
      <c r="A2473" s="309"/>
      <c r="B2473" s="310"/>
      <c r="C2473" s="310"/>
      <c r="D2473" s="310"/>
      <c r="E2473" s="311"/>
      <c r="F2473" s="312"/>
    </row>
    <row r="2474" spans="1:6" ht="20.25">
      <c r="A2474" s="309"/>
      <c r="B2474" s="310"/>
      <c r="C2474" s="310"/>
      <c r="D2474" s="310"/>
      <c r="E2474" s="311"/>
      <c r="F2474" s="312"/>
    </row>
    <row r="2475" spans="1:6" ht="20.25">
      <c r="A2475" s="309"/>
      <c r="B2475" s="310"/>
      <c r="C2475" s="310"/>
      <c r="D2475" s="310"/>
      <c r="E2475" s="311"/>
      <c r="F2475" s="312"/>
    </row>
    <row r="2476" spans="1:6" ht="20.25">
      <c r="A2476" s="309"/>
      <c r="B2476" s="310"/>
      <c r="C2476" s="310"/>
      <c r="D2476" s="310"/>
      <c r="E2476" s="311"/>
      <c r="F2476" s="312"/>
    </row>
    <row r="2477" spans="1:6" ht="20.25">
      <c r="A2477" s="309"/>
      <c r="B2477" s="310"/>
      <c r="C2477" s="310"/>
      <c r="D2477" s="310"/>
      <c r="E2477" s="311"/>
      <c r="F2477" s="312"/>
    </row>
    <row r="2478" spans="1:6" ht="20.25">
      <c r="A2478" s="309"/>
      <c r="B2478" s="310"/>
      <c r="C2478" s="310"/>
      <c r="D2478" s="310"/>
      <c r="E2478" s="311"/>
      <c r="F2478" s="312"/>
    </row>
    <row r="2479" spans="1:6" ht="20.25">
      <c r="A2479" s="309"/>
      <c r="B2479" s="310"/>
      <c r="C2479" s="310"/>
      <c r="D2479" s="310"/>
      <c r="E2479" s="311"/>
      <c r="F2479" s="312"/>
    </row>
    <row r="2480" spans="1:6" ht="20.25">
      <c r="A2480" s="309"/>
      <c r="B2480" s="310"/>
      <c r="C2480" s="310"/>
      <c r="D2480" s="310"/>
      <c r="E2480" s="311"/>
      <c r="F2480" s="312"/>
    </row>
    <row r="2481" spans="1:6" ht="20.25">
      <c r="A2481" s="309"/>
      <c r="B2481" s="310"/>
      <c r="C2481" s="310"/>
      <c r="D2481" s="310"/>
      <c r="E2481" s="311"/>
      <c r="F2481" s="312"/>
    </row>
    <row r="2482" spans="1:6" ht="20.25">
      <c r="A2482" s="309"/>
      <c r="B2482" s="310"/>
      <c r="C2482" s="310"/>
      <c r="D2482" s="310"/>
      <c r="E2482" s="311"/>
      <c r="F2482" s="312"/>
    </row>
    <row r="2483" spans="1:6" ht="20.25">
      <c r="A2483" s="309"/>
      <c r="B2483" s="310"/>
      <c r="C2483" s="310"/>
      <c r="D2483" s="310"/>
      <c r="E2483" s="311"/>
      <c r="F2483" s="312"/>
    </row>
    <row r="2484" spans="1:6" ht="20.25">
      <c r="A2484" s="309"/>
      <c r="B2484" s="310"/>
      <c r="C2484" s="310"/>
      <c r="D2484" s="310"/>
      <c r="E2484" s="311"/>
      <c r="F2484" s="312"/>
    </row>
    <row r="2485" spans="1:6" ht="20.25">
      <c r="A2485" s="309"/>
      <c r="B2485" s="310"/>
      <c r="C2485" s="310"/>
      <c r="D2485" s="310"/>
      <c r="E2485" s="311"/>
      <c r="F2485" s="312"/>
    </row>
    <row r="2486" spans="1:6" ht="20.25">
      <c r="A2486" s="309"/>
      <c r="B2486" s="310"/>
      <c r="C2486" s="310"/>
      <c r="D2486" s="310"/>
      <c r="E2486" s="311"/>
      <c r="F2486" s="312"/>
    </row>
    <row r="2487" spans="1:6" ht="20.25">
      <c r="A2487" s="309"/>
      <c r="B2487" s="310"/>
      <c r="C2487" s="310"/>
      <c r="D2487" s="310"/>
      <c r="E2487" s="311"/>
      <c r="F2487" s="312"/>
    </row>
    <row r="2488" spans="1:6" ht="20.25">
      <c r="A2488" s="309"/>
      <c r="B2488" s="310"/>
      <c r="C2488" s="310"/>
      <c r="D2488" s="310"/>
      <c r="E2488" s="311"/>
      <c r="F2488" s="312"/>
    </row>
    <row r="2489" spans="1:6" ht="20.25">
      <c r="A2489" s="309"/>
      <c r="B2489" s="310"/>
      <c r="C2489" s="310"/>
      <c r="D2489" s="310"/>
      <c r="E2489" s="311"/>
      <c r="F2489" s="312"/>
    </row>
    <row r="2490" spans="1:6" ht="20.25">
      <c r="A2490" s="309"/>
      <c r="B2490" s="310"/>
      <c r="C2490" s="310"/>
      <c r="D2490" s="310"/>
      <c r="E2490" s="311"/>
      <c r="F2490" s="312"/>
    </row>
    <row r="2491" spans="1:6" ht="20.25">
      <c r="A2491" s="309"/>
      <c r="B2491" s="310"/>
      <c r="C2491" s="310"/>
      <c r="D2491" s="310"/>
      <c r="E2491" s="311"/>
      <c r="F2491" s="312"/>
    </row>
    <row r="2492" spans="1:6" ht="20.25">
      <c r="A2492" s="309"/>
      <c r="B2492" s="310"/>
      <c r="C2492" s="310"/>
      <c r="D2492" s="310"/>
      <c r="E2492" s="311"/>
      <c r="F2492" s="312"/>
    </row>
    <row r="2493" spans="1:6" ht="20.25">
      <c r="A2493" s="309"/>
      <c r="B2493" s="310"/>
      <c r="C2493" s="310"/>
      <c r="D2493" s="310"/>
      <c r="E2493" s="311"/>
      <c r="F2493" s="312"/>
    </row>
    <row r="2494" spans="1:6" ht="20.25">
      <c r="A2494" s="309"/>
      <c r="B2494" s="310"/>
      <c r="C2494" s="310"/>
      <c r="D2494" s="310"/>
      <c r="E2494" s="311"/>
      <c r="F2494" s="312"/>
    </row>
    <row r="2495" spans="1:6" ht="20.25">
      <c r="A2495" s="309"/>
      <c r="B2495" s="310"/>
      <c r="C2495" s="310"/>
      <c r="D2495" s="310"/>
      <c r="E2495" s="311"/>
      <c r="F2495" s="312"/>
    </row>
    <row r="2496" spans="1:6" ht="20.25">
      <c r="A2496" s="309"/>
      <c r="B2496" s="310"/>
      <c r="C2496" s="310"/>
      <c r="D2496" s="310"/>
      <c r="E2496" s="311"/>
      <c r="F2496" s="312"/>
    </row>
    <row r="2497" spans="1:6" ht="20.25">
      <c r="A2497" s="309"/>
      <c r="B2497" s="310"/>
      <c r="C2497" s="310"/>
      <c r="D2497" s="310"/>
      <c r="E2497" s="311"/>
      <c r="F2497" s="312"/>
    </row>
    <row r="2498" spans="1:6" ht="20.25">
      <c r="A2498" s="309"/>
      <c r="B2498" s="310"/>
      <c r="C2498" s="310"/>
      <c r="D2498" s="310"/>
      <c r="E2498" s="311"/>
      <c r="F2498" s="312"/>
    </row>
    <row r="2499" spans="1:6" ht="20.25">
      <c r="A2499" s="309"/>
      <c r="B2499" s="310"/>
      <c r="C2499" s="310"/>
      <c r="D2499" s="310"/>
      <c r="E2499" s="311"/>
      <c r="F2499" s="312"/>
    </row>
    <row r="2500" spans="1:6" ht="20.25">
      <c r="A2500" s="309"/>
      <c r="B2500" s="310"/>
      <c r="C2500" s="310"/>
      <c r="D2500" s="310"/>
      <c r="E2500" s="311"/>
      <c r="F2500" s="312"/>
    </row>
    <row r="2501" spans="1:6" ht="20.25">
      <c r="A2501" s="309"/>
      <c r="B2501" s="310"/>
      <c r="C2501" s="310"/>
      <c r="D2501" s="310"/>
      <c r="E2501" s="311"/>
      <c r="F2501" s="312"/>
    </row>
    <row r="2502" spans="1:6" ht="20.25">
      <c r="A2502" s="309"/>
      <c r="B2502" s="310"/>
      <c r="C2502" s="310"/>
      <c r="D2502" s="310"/>
      <c r="E2502" s="311"/>
      <c r="F2502" s="312"/>
    </row>
    <row r="2503" spans="1:6" ht="20.25">
      <c r="A2503" s="309"/>
      <c r="B2503" s="310"/>
      <c r="C2503" s="310"/>
      <c r="D2503" s="310"/>
      <c r="E2503" s="311"/>
      <c r="F2503" s="312"/>
    </row>
    <row r="2504" spans="1:6" ht="20.25">
      <c r="A2504" s="309"/>
      <c r="B2504" s="310"/>
      <c r="C2504" s="310"/>
      <c r="D2504" s="310"/>
      <c r="E2504" s="311"/>
      <c r="F2504" s="312"/>
    </row>
    <row r="2505" spans="1:6" ht="20.25">
      <c r="A2505" s="309"/>
      <c r="B2505" s="310"/>
      <c r="C2505" s="310"/>
      <c r="D2505" s="310"/>
      <c r="E2505" s="311"/>
      <c r="F2505" s="312"/>
    </row>
    <row r="2506" spans="1:6" ht="20.25">
      <c r="A2506" s="309"/>
      <c r="B2506" s="310"/>
      <c r="C2506" s="310"/>
      <c r="D2506" s="310"/>
      <c r="E2506" s="311"/>
      <c r="F2506" s="312"/>
    </row>
    <row r="2507" spans="1:6" ht="20.25">
      <c r="A2507" s="309"/>
      <c r="B2507" s="310"/>
      <c r="C2507" s="310"/>
      <c r="D2507" s="310"/>
      <c r="E2507" s="311"/>
      <c r="F2507" s="312"/>
    </row>
    <row r="2508" spans="1:6" ht="20.25">
      <c r="A2508" s="309"/>
      <c r="B2508" s="310"/>
      <c r="C2508" s="310"/>
      <c r="D2508" s="310"/>
      <c r="E2508" s="311"/>
      <c r="F2508" s="312"/>
    </row>
    <row r="2509" spans="1:6" ht="20.25">
      <c r="A2509" s="309"/>
      <c r="B2509" s="310"/>
      <c r="C2509" s="310"/>
      <c r="D2509" s="310"/>
      <c r="E2509" s="311"/>
      <c r="F2509" s="312"/>
    </row>
    <row r="2510" spans="1:6" ht="20.25">
      <c r="A2510" s="309"/>
      <c r="B2510" s="310"/>
      <c r="C2510" s="310"/>
      <c r="D2510" s="310"/>
      <c r="E2510" s="311"/>
      <c r="F2510" s="312"/>
    </row>
    <row r="2511" spans="1:6" ht="20.25">
      <c r="A2511" s="309"/>
      <c r="B2511" s="310"/>
      <c r="C2511" s="310"/>
      <c r="D2511" s="310"/>
      <c r="E2511" s="311"/>
      <c r="F2511" s="312"/>
    </row>
    <row r="2512" spans="1:6" ht="20.25">
      <c r="A2512" s="309"/>
      <c r="B2512" s="310"/>
      <c r="C2512" s="310"/>
      <c r="D2512" s="310"/>
      <c r="E2512" s="311"/>
      <c r="F2512" s="312"/>
    </row>
    <row r="2513" spans="1:6" ht="20.25">
      <c r="A2513" s="309"/>
      <c r="B2513" s="310"/>
      <c r="C2513" s="310"/>
      <c r="D2513" s="310"/>
      <c r="E2513" s="311"/>
      <c r="F2513" s="312"/>
    </row>
    <row r="2514" spans="1:6" ht="20.25">
      <c r="A2514" s="309"/>
      <c r="B2514" s="310"/>
      <c r="C2514" s="310"/>
      <c r="D2514" s="310"/>
      <c r="E2514" s="311"/>
      <c r="F2514" s="312"/>
    </row>
    <row r="2515" spans="1:6" ht="20.25">
      <c r="A2515" s="309"/>
      <c r="B2515" s="310"/>
      <c r="C2515" s="310"/>
      <c r="D2515" s="310"/>
      <c r="E2515" s="311"/>
      <c r="F2515" s="312"/>
    </row>
    <row r="2516" spans="1:6" ht="20.25">
      <c r="A2516" s="309"/>
      <c r="B2516" s="310"/>
      <c r="C2516" s="310"/>
      <c r="D2516" s="310"/>
      <c r="E2516" s="311"/>
      <c r="F2516" s="312"/>
    </row>
    <row r="2517" spans="1:6" ht="20.25">
      <c r="A2517" s="309"/>
      <c r="B2517" s="310"/>
      <c r="C2517" s="310"/>
      <c r="D2517" s="310"/>
      <c r="E2517" s="311"/>
      <c r="F2517" s="312"/>
    </row>
    <row r="2518" spans="1:6" ht="20.25">
      <c r="A2518" s="309"/>
      <c r="B2518" s="310"/>
      <c r="C2518" s="310"/>
      <c r="D2518" s="310"/>
      <c r="E2518" s="311"/>
      <c r="F2518" s="312"/>
    </row>
    <row r="2519" spans="1:6" ht="20.25">
      <c r="A2519" s="309"/>
      <c r="B2519" s="310"/>
      <c r="C2519" s="310"/>
      <c r="D2519" s="310"/>
      <c r="E2519" s="311"/>
      <c r="F2519" s="312"/>
    </row>
    <row r="2520" spans="1:6" ht="20.25">
      <c r="A2520" s="309"/>
      <c r="B2520" s="310"/>
      <c r="C2520" s="310"/>
      <c r="D2520" s="310"/>
      <c r="E2520" s="311"/>
      <c r="F2520" s="312"/>
    </row>
    <row r="2521" spans="1:6" ht="20.25">
      <c r="A2521" s="309"/>
      <c r="B2521" s="310"/>
      <c r="C2521" s="310"/>
      <c r="D2521" s="310"/>
      <c r="E2521" s="311"/>
      <c r="F2521" s="312"/>
    </row>
    <row r="2522" spans="1:6" ht="20.25">
      <c r="A2522" s="309"/>
      <c r="B2522" s="310"/>
      <c r="C2522" s="310"/>
      <c r="D2522" s="310"/>
      <c r="E2522" s="311"/>
      <c r="F2522" s="312"/>
    </row>
    <row r="2523" spans="1:6" ht="20.25">
      <c r="A2523" s="309"/>
      <c r="B2523" s="310"/>
      <c r="C2523" s="310"/>
      <c r="D2523" s="310"/>
      <c r="E2523" s="311"/>
      <c r="F2523" s="312"/>
    </row>
    <row r="2524" spans="1:6" ht="20.25">
      <c r="A2524" s="309"/>
      <c r="B2524" s="310"/>
      <c r="C2524" s="310"/>
      <c r="D2524" s="310"/>
      <c r="E2524" s="311"/>
      <c r="F2524" s="312"/>
    </row>
    <row r="2525" spans="1:6" ht="20.25">
      <c r="A2525" s="309"/>
      <c r="B2525" s="310"/>
      <c r="C2525" s="310"/>
      <c r="D2525" s="310"/>
      <c r="E2525" s="311"/>
      <c r="F2525" s="312"/>
    </row>
    <row r="2526" spans="1:6" ht="20.25">
      <c r="A2526" s="309"/>
      <c r="B2526" s="310"/>
      <c r="C2526" s="310"/>
      <c r="D2526" s="310"/>
      <c r="E2526" s="311"/>
      <c r="F2526" s="312"/>
    </row>
    <row r="2527" spans="1:6" ht="20.25">
      <c r="A2527" s="309"/>
      <c r="B2527" s="310"/>
      <c r="C2527" s="310"/>
      <c r="D2527" s="310"/>
      <c r="E2527" s="311"/>
      <c r="F2527" s="312"/>
    </row>
    <row r="2528" spans="1:6" ht="20.25">
      <c r="A2528" s="309"/>
      <c r="B2528" s="310"/>
      <c r="C2528" s="310"/>
      <c r="D2528" s="310"/>
      <c r="E2528" s="311"/>
      <c r="F2528" s="312"/>
    </row>
    <row r="2529" spans="1:6" ht="20.25">
      <c r="A2529" s="309"/>
      <c r="B2529" s="310"/>
      <c r="C2529" s="310"/>
      <c r="D2529" s="310"/>
      <c r="E2529" s="311"/>
      <c r="F2529" s="312"/>
    </row>
    <row r="2530" spans="1:6" ht="20.25">
      <c r="A2530" s="309"/>
      <c r="B2530" s="310"/>
      <c r="C2530" s="310"/>
      <c r="D2530" s="310"/>
      <c r="E2530" s="311"/>
      <c r="F2530" s="312"/>
    </row>
    <row r="2531" spans="1:6" ht="20.25">
      <c r="A2531" s="309"/>
      <c r="B2531" s="310"/>
      <c r="C2531" s="310"/>
      <c r="D2531" s="310"/>
      <c r="E2531" s="311"/>
      <c r="F2531" s="312"/>
    </row>
    <row r="2532" spans="1:6" ht="20.25">
      <c r="A2532" s="309"/>
      <c r="B2532" s="310"/>
      <c r="C2532" s="310"/>
      <c r="D2532" s="310"/>
      <c r="E2532" s="311"/>
      <c r="F2532" s="312"/>
    </row>
    <row r="2533" spans="1:6" ht="20.25">
      <c r="A2533" s="309"/>
      <c r="B2533" s="310"/>
      <c r="C2533" s="310"/>
      <c r="D2533" s="310"/>
      <c r="E2533" s="311"/>
      <c r="F2533" s="312"/>
    </row>
    <row r="2534" spans="1:6" ht="20.25">
      <c r="A2534" s="309"/>
      <c r="B2534" s="310"/>
      <c r="C2534" s="310"/>
      <c r="D2534" s="310"/>
      <c r="E2534" s="311"/>
      <c r="F2534" s="312"/>
    </row>
    <row r="2535" spans="1:6" ht="20.25">
      <c r="A2535" s="309"/>
      <c r="B2535" s="310"/>
      <c r="C2535" s="310"/>
      <c r="D2535" s="310"/>
      <c r="E2535" s="311"/>
      <c r="F2535" s="312"/>
    </row>
    <row r="2536" spans="1:6" ht="20.25">
      <c r="A2536" s="309"/>
      <c r="B2536" s="310"/>
      <c r="C2536" s="310"/>
      <c r="D2536" s="310"/>
      <c r="E2536" s="311"/>
      <c r="F2536" s="312"/>
    </row>
    <row r="2537" spans="1:6" ht="20.25">
      <c r="A2537" s="309"/>
      <c r="B2537" s="310"/>
      <c r="C2537" s="310"/>
      <c r="D2537" s="310"/>
      <c r="E2537" s="311"/>
      <c r="F2537" s="312"/>
    </row>
    <row r="2538" spans="1:6" ht="20.25">
      <c r="A2538" s="309"/>
      <c r="B2538" s="310"/>
      <c r="C2538" s="310"/>
      <c r="D2538" s="310"/>
      <c r="E2538" s="311"/>
      <c r="F2538" s="312"/>
    </row>
    <row r="2539" spans="1:6" ht="20.25">
      <c r="A2539" s="309"/>
      <c r="B2539" s="310"/>
      <c r="C2539" s="310"/>
      <c r="D2539" s="310"/>
      <c r="E2539" s="311"/>
      <c r="F2539" s="312"/>
    </row>
    <row r="2540" spans="1:6" ht="20.25">
      <c r="A2540" s="309"/>
      <c r="B2540" s="310"/>
      <c r="C2540" s="310"/>
      <c r="D2540" s="310"/>
      <c r="E2540" s="311"/>
      <c r="F2540" s="312"/>
    </row>
    <row r="2541" spans="1:6" ht="20.25">
      <c r="A2541" s="309"/>
      <c r="B2541" s="310"/>
      <c r="C2541" s="310"/>
      <c r="D2541" s="310"/>
      <c r="E2541" s="311"/>
      <c r="F2541" s="312"/>
    </row>
    <row r="2542" spans="1:6" ht="20.25">
      <c r="A2542" s="309"/>
      <c r="B2542" s="310"/>
      <c r="C2542" s="310"/>
      <c r="D2542" s="310"/>
      <c r="E2542" s="311"/>
      <c r="F2542" s="312"/>
    </row>
    <row r="2543" spans="1:6" ht="20.25">
      <c r="A2543" s="309"/>
      <c r="B2543" s="310"/>
      <c r="C2543" s="310"/>
      <c r="D2543" s="310"/>
      <c r="E2543" s="311"/>
      <c r="F2543" s="312"/>
    </row>
    <row r="2544" spans="1:6" ht="20.25">
      <c r="A2544" s="309"/>
      <c r="B2544" s="310"/>
      <c r="C2544" s="310"/>
      <c r="D2544" s="310"/>
      <c r="E2544" s="311"/>
      <c r="F2544" s="312"/>
    </row>
    <row r="2545" spans="1:6" ht="20.25">
      <c r="A2545" s="309"/>
      <c r="B2545" s="310"/>
      <c r="C2545" s="310"/>
      <c r="D2545" s="310"/>
      <c r="E2545" s="311"/>
      <c r="F2545" s="312"/>
    </row>
    <row r="2546" spans="1:6" ht="20.25">
      <c r="A2546" s="309"/>
      <c r="B2546" s="310"/>
      <c r="C2546" s="310"/>
      <c r="D2546" s="310"/>
      <c r="E2546" s="311"/>
      <c r="F2546" s="312"/>
    </row>
    <row r="2547" spans="1:6" ht="20.25">
      <c r="A2547" s="309"/>
      <c r="B2547" s="310"/>
      <c r="C2547" s="310"/>
      <c r="D2547" s="310"/>
      <c r="E2547" s="311"/>
      <c r="F2547" s="312"/>
    </row>
    <row r="2548" spans="1:6" ht="20.25">
      <c r="A2548" s="309"/>
      <c r="B2548" s="310"/>
      <c r="C2548" s="310"/>
      <c r="D2548" s="310"/>
      <c r="E2548" s="311"/>
      <c r="F2548" s="312"/>
    </row>
    <row r="2549" spans="1:6" ht="20.25">
      <c r="A2549" s="309"/>
      <c r="B2549" s="310"/>
      <c r="C2549" s="310"/>
      <c r="D2549" s="310"/>
      <c r="E2549" s="311"/>
      <c r="F2549" s="312"/>
    </row>
    <row r="2550" spans="1:6" ht="20.25">
      <c r="A2550" s="309"/>
      <c r="B2550" s="310"/>
      <c r="C2550" s="310"/>
      <c r="D2550" s="310"/>
      <c r="E2550" s="311"/>
      <c r="F2550" s="312"/>
    </row>
    <row r="2551" spans="1:6" ht="20.25">
      <c r="A2551" s="309"/>
      <c r="B2551" s="310"/>
      <c r="C2551" s="310"/>
      <c r="D2551" s="310"/>
      <c r="E2551" s="311"/>
      <c r="F2551" s="312"/>
    </row>
    <row r="2552" spans="1:6" ht="20.25">
      <c r="A2552" s="309"/>
      <c r="B2552" s="310"/>
      <c r="C2552" s="310"/>
      <c r="D2552" s="310"/>
      <c r="E2552" s="311"/>
      <c r="F2552" s="312"/>
    </row>
    <row r="2553" spans="1:6" ht="20.25">
      <c r="A2553" s="309"/>
      <c r="B2553" s="310"/>
      <c r="C2553" s="310"/>
      <c r="D2553" s="310"/>
      <c r="E2553" s="311"/>
      <c r="F2553" s="312"/>
    </row>
    <row r="2554" spans="1:6" ht="20.25">
      <c r="A2554" s="309"/>
      <c r="B2554" s="310"/>
      <c r="C2554" s="310"/>
      <c r="D2554" s="310"/>
      <c r="E2554" s="311"/>
      <c r="F2554" s="312"/>
    </row>
    <row r="2555" spans="1:6" ht="20.25">
      <c r="A2555" s="309"/>
      <c r="B2555" s="310"/>
      <c r="C2555" s="310"/>
      <c r="D2555" s="310"/>
      <c r="E2555" s="311"/>
      <c r="F2555" s="312"/>
    </row>
    <row r="2556" spans="1:6" ht="20.25">
      <c r="A2556" s="309"/>
      <c r="B2556" s="310"/>
      <c r="C2556" s="310"/>
      <c r="D2556" s="310"/>
      <c r="E2556" s="311"/>
      <c r="F2556" s="312"/>
    </row>
    <row r="2557" spans="1:6" ht="20.25">
      <c r="A2557" s="309"/>
      <c r="B2557" s="310"/>
      <c r="C2557" s="310"/>
      <c r="D2557" s="310"/>
      <c r="E2557" s="311"/>
      <c r="F2557" s="312"/>
    </row>
    <row r="2558" spans="1:6" ht="20.25">
      <c r="A2558" s="309"/>
      <c r="B2558" s="310"/>
      <c r="C2558" s="310"/>
      <c r="D2558" s="310"/>
      <c r="E2558" s="311"/>
      <c r="F2558" s="312"/>
    </row>
    <row r="2559" spans="1:6" ht="20.25">
      <c r="A2559" s="309"/>
      <c r="B2559" s="310"/>
      <c r="C2559" s="310"/>
      <c r="D2559" s="310"/>
      <c r="E2559" s="311"/>
      <c r="F2559" s="312"/>
    </row>
    <row r="2560" spans="1:6" ht="20.25">
      <c r="A2560" s="309"/>
      <c r="B2560" s="310"/>
      <c r="C2560" s="310"/>
      <c r="D2560" s="310"/>
      <c r="E2560" s="311"/>
      <c r="F2560" s="312"/>
    </row>
    <row r="2561" spans="1:6" ht="20.25">
      <c r="A2561" s="309"/>
      <c r="B2561" s="310"/>
      <c r="C2561" s="310"/>
      <c r="D2561" s="310"/>
      <c r="E2561" s="311"/>
      <c r="F2561" s="312"/>
    </row>
    <row r="2562" spans="1:6" ht="20.25">
      <c r="A2562" s="309"/>
      <c r="B2562" s="310"/>
      <c r="C2562" s="310"/>
      <c r="D2562" s="310"/>
      <c r="E2562" s="311"/>
      <c r="F2562" s="312"/>
    </row>
    <row r="2563" spans="1:6" ht="20.25">
      <c r="A2563" s="309"/>
      <c r="B2563" s="310"/>
      <c r="C2563" s="310"/>
      <c r="D2563" s="310"/>
      <c r="E2563" s="311"/>
      <c r="F2563" s="312"/>
    </row>
    <row r="2564" spans="1:6" ht="20.25">
      <c r="A2564" s="309"/>
      <c r="B2564" s="310"/>
      <c r="C2564" s="310"/>
      <c r="D2564" s="310"/>
      <c r="E2564" s="311"/>
      <c r="F2564" s="312"/>
    </row>
    <row r="2565" spans="1:6" ht="20.25">
      <c r="A2565" s="309"/>
      <c r="B2565" s="310"/>
      <c r="C2565" s="310"/>
      <c r="D2565" s="310"/>
      <c r="E2565" s="311"/>
      <c r="F2565" s="312"/>
    </row>
    <row r="2566" spans="1:6" ht="20.25">
      <c r="A2566" s="309"/>
      <c r="B2566" s="310"/>
      <c r="C2566" s="310"/>
      <c r="D2566" s="310"/>
      <c r="E2566" s="311"/>
      <c r="F2566" s="312"/>
    </row>
    <row r="2567" spans="1:6" ht="20.25">
      <c r="A2567" s="309"/>
      <c r="B2567" s="310"/>
      <c r="C2567" s="310"/>
      <c r="D2567" s="310"/>
      <c r="E2567" s="311"/>
      <c r="F2567" s="312"/>
    </row>
    <row r="2568" spans="1:6" ht="20.25">
      <c r="A2568" s="309"/>
      <c r="B2568" s="310"/>
      <c r="C2568" s="310"/>
      <c r="D2568" s="310"/>
      <c r="E2568" s="311"/>
      <c r="F2568" s="312"/>
    </row>
    <row r="2569" spans="1:6" ht="20.25">
      <c r="A2569" s="309"/>
      <c r="B2569" s="310"/>
      <c r="C2569" s="310"/>
      <c r="D2569" s="310"/>
      <c r="E2569" s="311"/>
      <c r="F2569" s="312"/>
    </row>
    <row r="2570" spans="1:6" ht="20.25">
      <c r="A2570" s="309"/>
      <c r="B2570" s="310"/>
      <c r="C2570" s="310"/>
      <c r="D2570" s="310"/>
      <c r="E2570" s="311"/>
      <c r="F2570" s="312"/>
    </row>
    <row r="2571" spans="1:6" ht="20.25">
      <c r="A2571" s="309"/>
      <c r="B2571" s="310"/>
      <c r="C2571" s="310"/>
      <c r="D2571" s="310"/>
      <c r="E2571" s="311"/>
      <c r="F2571" s="312"/>
    </row>
    <row r="2572" spans="1:6" ht="20.25">
      <c r="A2572" s="309"/>
      <c r="B2572" s="310"/>
      <c r="C2572" s="310"/>
      <c r="D2572" s="310"/>
      <c r="E2572" s="311"/>
      <c r="F2572" s="312"/>
    </row>
    <row r="2573" spans="1:6" ht="20.25">
      <c r="A2573" s="309"/>
      <c r="B2573" s="310"/>
      <c r="C2573" s="310"/>
      <c r="D2573" s="310"/>
      <c r="E2573" s="311"/>
      <c r="F2573" s="312"/>
    </row>
    <row r="2574" spans="1:6" ht="20.25">
      <c r="A2574" s="309"/>
      <c r="B2574" s="310"/>
      <c r="C2574" s="310"/>
      <c r="D2574" s="310"/>
      <c r="E2574" s="311"/>
      <c r="F2574" s="312"/>
    </row>
    <row r="2575" spans="1:6" ht="20.25">
      <c r="A2575" s="309"/>
      <c r="B2575" s="310"/>
      <c r="C2575" s="310"/>
      <c r="D2575" s="310"/>
      <c r="E2575" s="311"/>
      <c r="F2575" s="312"/>
    </row>
    <row r="2576" spans="1:6" ht="20.25">
      <c r="A2576" s="309"/>
      <c r="B2576" s="310"/>
      <c r="C2576" s="310"/>
      <c r="D2576" s="310"/>
      <c r="E2576" s="311"/>
      <c r="F2576" s="312"/>
    </row>
    <row r="2577" spans="1:6" ht="20.25">
      <c r="A2577" s="309"/>
      <c r="B2577" s="310"/>
      <c r="C2577" s="310"/>
      <c r="D2577" s="310"/>
      <c r="E2577" s="311"/>
      <c r="F2577" s="312"/>
    </row>
    <row r="2578" spans="1:6" ht="20.25">
      <c r="A2578" s="309"/>
      <c r="B2578" s="310"/>
      <c r="C2578" s="310"/>
      <c r="D2578" s="310"/>
      <c r="E2578" s="311"/>
      <c r="F2578" s="312"/>
    </row>
    <row r="2579" spans="1:6" ht="20.25">
      <c r="A2579" s="309"/>
      <c r="B2579" s="310"/>
      <c r="C2579" s="310"/>
      <c r="D2579" s="310"/>
      <c r="E2579" s="311"/>
      <c r="F2579" s="312"/>
    </row>
    <row r="2580" spans="1:6" ht="20.25">
      <c r="A2580" s="309"/>
      <c r="B2580" s="310"/>
      <c r="C2580" s="310"/>
      <c r="D2580" s="310"/>
      <c r="E2580" s="311"/>
      <c r="F2580" s="312"/>
    </row>
    <row r="2581" spans="1:6" ht="20.25">
      <c r="A2581" s="309"/>
      <c r="B2581" s="310"/>
      <c r="C2581" s="310"/>
      <c r="D2581" s="310"/>
      <c r="E2581" s="311"/>
      <c r="F2581" s="312"/>
    </row>
    <row r="2582" spans="1:6" ht="20.25">
      <c r="A2582" s="309"/>
      <c r="B2582" s="310"/>
      <c r="C2582" s="310"/>
      <c r="D2582" s="310"/>
      <c r="E2582" s="311"/>
      <c r="F2582" s="312"/>
    </row>
    <row r="2583" spans="1:6" ht="20.25">
      <c r="A2583" s="309"/>
      <c r="B2583" s="310"/>
      <c r="C2583" s="310"/>
      <c r="D2583" s="310"/>
      <c r="E2583" s="311"/>
      <c r="F2583" s="312"/>
    </row>
    <row r="2584" spans="1:6" ht="20.25">
      <c r="A2584" s="309"/>
      <c r="B2584" s="310"/>
      <c r="C2584" s="310"/>
      <c r="D2584" s="310"/>
      <c r="E2584" s="311"/>
      <c r="F2584" s="312"/>
    </row>
    <row r="2585" spans="1:6" ht="20.25">
      <c r="A2585" s="309"/>
      <c r="B2585" s="310"/>
      <c r="C2585" s="310"/>
      <c r="D2585" s="310"/>
      <c r="E2585" s="311"/>
      <c r="F2585" s="312"/>
    </row>
    <row r="2586" spans="1:6" ht="20.25">
      <c r="A2586" s="309"/>
      <c r="B2586" s="310"/>
      <c r="C2586" s="310"/>
      <c r="D2586" s="310"/>
      <c r="E2586" s="311"/>
      <c r="F2586" s="312"/>
    </row>
    <row r="2587" spans="1:6" ht="20.25">
      <c r="A2587" s="309"/>
      <c r="B2587" s="310"/>
      <c r="C2587" s="310"/>
      <c r="D2587" s="310"/>
      <c r="E2587" s="311"/>
      <c r="F2587" s="312"/>
    </row>
    <row r="2588" spans="1:6" ht="20.25">
      <c r="A2588" s="309"/>
      <c r="B2588" s="310"/>
      <c r="C2588" s="310"/>
      <c r="D2588" s="310"/>
      <c r="E2588" s="311"/>
      <c r="F2588" s="312"/>
    </row>
    <row r="2589" spans="1:6" ht="20.25">
      <c r="A2589" s="309"/>
      <c r="B2589" s="310"/>
      <c r="C2589" s="310"/>
      <c r="D2589" s="310"/>
      <c r="E2589" s="311"/>
      <c r="F2589" s="312"/>
    </row>
    <row r="2590" spans="1:6" ht="20.25">
      <c r="A2590" s="309"/>
      <c r="B2590" s="310"/>
      <c r="C2590" s="310"/>
      <c r="D2590" s="310"/>
      <c r="E2590" s="311"/>
      <c r="F2590" s="312"/>
    </row>
    <row r="2591" spans="1:6" ht="20.25">
      <c r="A2591" s="309"/>
      <c r="B2591" s="310"/>
      <c r="C2591" s="310"/>
      <c r="D2591" s="310"/>
      <c r="E2591" s="311"/>
      <c r="F2591" s="312"/>
    </row>
    <row r="2592" spans="1:6" ht="20.25">
      <c r="A2592" s="309"/>
      <c r="B2592" s="310"/>
      <c r="C2592" s="310"/>
      <c r="D2592" s="310"/>
      <c r="E2592" s="311"/>
      <c r="F2592" s="312"/>
    </row>
    <row r="2593" spans="1:6" ht="20.25">
      <c r="A2593" s="309"/>
      <c r="B2593" s="310"/>
      <c r="C2593" s="310"/>
      <c r="D2593" s="310"/>
      <c r="E2593" s="311"/>
      <c r="F2593" s="312"/>
    </row>
    <row r="2594" spans="1:6" ht="20.25">
      <c r="A2594" s="309"/>
      <c r="B2594" s="310"/>
      <c r="C2594" s="310"/>
      <c r="D2594" s="310"/>
      <c r="E2594" s="311"/>
      <c r="F2594" s="312"/>
    </row>
    <row r="2595" spans="1:6" ht="20.25">
      <c r="A2595" s="309"/>
      <c r="B2595" s="310"/>
      <c r="C2595" s="310"/>
      <c r="D2595" s="310"/>
      <c r="E2595" s="311"/>
      <c r="F2595" s="312"/>
    </row>
    <row r="2596" spans="1:6" ht="20.25">
      <c r="A2596" s="309"/>
      <c r="B2596" s="310"/>
      <c r="C2596" s="310"/>
      <c r="D2596" s="310"/>
      <c r="E2596" s="311"/>
      <c r="F2596" s="312"/>
    </row>
    <row r="2597" spans="1:6" ht="20.25">
      <c r="A2597" s="309"/>
      <c r="B2597" s="310"/>
      <c r="C2597" s="310"/>
      <c r="D2597" s="310"/>
      <c r="E2597" s="311"/>
      <c r="F2597" s="312"/>
    </row>
    <row r="2598" spans="1:6" ht="20.25">
      <c r="A2598" s="309"/>
      <c r="B2598" s="310"/>
      <c r="C2598" s="310"/>
      <c r="D2598" s="310"/>
      <c r="E2598" s="311"/>
      <c r="F2598" s="312"/>
    </row>
    <row r="2599" spans="1:6" ht="20.25">
      <c r="A2599" s="309"/>
      <c r="B2599" s="310"/>
      <c r="C2599" s="310"/>
      <c r="D2599" s="310"/>
      <c r="E2599" s="311"/>
      <c r="F2599" s="312"/>
    </row>
    <row r="2600" spans="1:6" ht="20.25">
      <c r="A2600" s="309"/>
      <c r="B2600" s="310"/>
      <c r="C2600" s="310"/>
      <c r="D2600" s="310"/>
      <c r="E2600" s="311"/>
      <c r="F2600" s="312"/>
    </row>
    <row r="2601" spans="1:6" ht="20.25">
      <c r="A2601" s="309"/>
      <c r="B2601" s="310"/>
      <c r="C2601" s="310"/>
      <c r="D2601" s="310"/>
      <c r="E2601" s="311"/>
      <c r="F2601" s="312"/>
    </row>
    <row r="2602" spans="1:6" ht="20.25">
      <c r="A2602" s="309"/>
      <c r="B2602" s="310"/>
      <c r="C2602" s="310"/>
      <c r="D2602" s="310"/>
      <c r="E2602" s="311"/>
      <c r="F2602" s="312"/>
    </row>
    <row r="2603" spans="1:6" ht="20.25">
      <c r="A2603" s="309"/>
      <c r="B2603" s="310"/>
      <c r="C2603" s="310"/>
      <c r="D2603" s="310"/>
      <c r="E2603" s="311"/>
      <c r="F2603" s="312"/>
    </row>
    <row r="2604" spans="1:6" ht="20.25">
      <c r="A2604" s="309"/>
      <c r="B2604" s="310"/>
      <c r="C2604" s="310"/>
      <c r="D2604" s="310"/>
      <c r="E2604" s="311"/>
      <c r="F2604" s="312"/>
    </row>
    <row r="2605" spans="1:6" ht="20.25">
      <c r="A2605" s="309"/>
      <c r="B2605" s="310"/>
      <c r="C2605" s="310"/>
      <c r="D2605" s="310"/>
      <c r="E2605" s="311"/>
      <c r="F2605" s="312"/>
    </row>
    <row r="2606" spans="1:6" ht="20.25">
      <c r="A2606" s="309"/>
      <c r="B2606" s="310"/>
      <c r="C2606" s="310"/>
      <c r="D2606" s="310"/>
      <c r="E2606" s="311"/>
      <c r="F2606" s="312"/>
    </row>
    <row r="2607" spans="1:6" ht="20.25">
      <c r="A2607" s="309"/>
      <c r="B2607" s="310"/>
      <c r="C2607" s="310"/>
      <c r="D2607" s="310"/>
      <c r="E2607" s="311"/>
      <c r="F2607" s="312"/>
    </row>
    <row r="2608" spans="1:6" ht="20.25">
      <c r="A2608" s="309"/>
      <c r="B2608" s="310"/>
      <c r="C2608" s="310"/>
      <c r="D2608" s="310"/>
      <c r="E2608" s="311"/>
      <c r="F2608" s="312"/>
    </row>
    <row r="2609" spans="1:6" ht="20.25">
      <c r="A2609" s="309"/>
      <c r="B2609" s="310"/>
      <c r="C2609" s="310"/>
      <c r="D2609" s="310"/>
      <c r="E2609" s="311"/>
      <c r="F2609" s="312"/>
    </row>
    <row r="2610" spans="1:6" ht="20.25">
      <c r="A2610" s="309"/>
      <c r="B2610" s="310"/>
      <c r="C2610" s="310"/>
      <c r="D2610" s="310"/>
      <c r="E2610" s="311"/>
      <c r="F2610" s="312"/>
    </row>
    <row r="2611" spans="1:6" ht="20.25">
      <c r="A2611" s="309"/>
      <c r="B2611" s="310"/>
      <c r="C2611" s="310"/>
      <c r="D2611" s="310"/>
      <c r="E2611" s="311"/>
      <c r="F2611" s="312"/>
    </row>
    <row r="2612" spans="1:6" ht="20.25">
      <c r="A2612" s="309"/>
      <c r="B2612" s="310"/>
      <c r="C2612" s="310"/>
      <c r="D2612" s="310"/>
      <c r="E2612" s="311"/>
      <c r="F2612" s="312"/>
    </row>
    <row r="2613" spans="1:6" ht="20.25">
      <c r="A2613" s="309"/>
      <c r="B2613" s="310"/>
      <c r="C2613" s="310"/>
      <c r="D2613" s="310"/>
      <c r="E2613" s="311"/>
      <c r="F2613" s="312"/>
    </row>
    <row r="2614" spans="1:6" ht="20.25">
      <c r="A2614" s="309"/>
      <c r="B2614" s="310"/>
      <c r="C2614" s="310"/>
      <c r="D2614" s="310"/>
      <c r="E2614" s="311"/>
      <c r="F2614" s="312"/>
    </row>
    <row r="2615" spans="1:6" ht="20.25">
      <c r="A2615" s="309"/>
      <c r="B2615" s="310"/>
      <c r="C2615" s="310"/>
      <c r="D2615" s="310"/>
      <c r="E2615" s="311"/>
      <c r="F2615" s="312"/>
    </row>
    <row r="2616" spans="1:6" ht="20.25">
      <c r="A2616" s="309"/>
      <c r="B2616" s="310"/>
      <c r="C2616" s="310"/>
      <c r="D2616" s="310"/>
      <c r="E2616" s="311"/>
      <c r="F2616" s="312"/>
    </row>
    <row r="2617" spans="1:6" ht="20.25">
      <c r="A2617" s="309"/>
      <c r="B2617" s="310"/>
      <c r="C2617" s="310"/>
      <c r="D2617" s="310"/>
      <c r="E2617" s="311"/>
      <c r="F2617" s="312"/>
    </row>
    <row r="2618" spans="1:6" ht="20.25">
      <c r="A2618" s="309"/>
      <c r="B2618" s="310"/>
      <c r="C2618" s="310"/>
      <c r="D2618" s="310"/>
      <c r="E2618" s="311"/>
      <c r="F2618" s="312"/>
    </row>
    <row r="2619" spans="1:6" ht="20.25">
      <c r="A2619" s="309"/>
      <c r="B2619" s="310"/>
      <c r="C2619" s="310"/>
      <c r="D2619" s="310"/>
      <c r="E2619" s="311"/>
      <c r="F2619" s="312"/>
    </row>
    <row r="2620" spans="1:6" ht="20.25">
      <c r="A2620" s="309"/>
      <c r="B2620" s="310"/>
      <c r="C2620" s="310"/>
      <c r="D2620" s="310"/>
      <c r="E2620" s="311"/>
      <c r="F2620" s="312"/>
    </row>
    <row r="2621" spans="1:6" ht="20.25">
      <c r="A2621" s="309"/>
      <c r="B2621" s="310"/>
      <c r="C2621" s="310"/>
      <c r="D2621" s="310"/>
      <c r="E2621" s="311"/>
      <c r="F2621" s="312"/>
    </row>
    <row r="2622" spans="1:6" ht="20.25">
      <c r="A2622" s="309"/>
      <c r="B2622" s="310"/>
      <c r="C2622" s="310"/>
      <c r="D2622" s="310"/>
      <c r="E2622" s="311"/>
      <c r="F2622" s="312"/>
    </row>
    <row r="2623" spans="1:6" ht="20.25">
      <c r="A2623" s="309"/>
      <c r="B2623" s="310"/>
      <c r="C2623" s="310"/>
      <c r="D2623" s="310"/>
      <c r="E2623" s="311"/>
      <c r="F2623" s="312"/>
    </row>
    <row r="2624" spans="1:6" ht="20.25">
      <c r="A2624" s="309"/>
      <c r="B2624" s="310"/>
      <c r="C2624" s="310"/>
      <c r="D2624" s="310"/>
      <c r="E2624" s="311"/>
      <c r="F2624" s="312"/>
    </row>
    <row r="2625" spans="1:6" ht="20.25">
      <c r="A2625" s="309"/>
      <c r="B2625" s="310"/>
      <c r="C2625" s="310"/>
      <c r="D2625" s="310"/>
      <c r="E2625" s="311"/>
      <c r="F2625" s="312"/>
    </row>
    <row r="2626" spans="1:6" ht="20.25">
      <c r="A2626" s="309"/>
      <c r="B2626" s="310"/>
      <c r="C2626" s="310"/>
      <c r="D2626" s="310"/>
      <c r="E2626" s="311"/>
      <c r="F2626" s="312"/>
    </row>
    <row r="2627" spans="1:6" ht="20.25">
      <c r="A2627" s="309"/>
      <c r="B2627" s="310"/>
      <c r="C2627" s="310"/>
      <c r="D2627" s="310"/>
      <c r="E2627" s="311"/>
      <c r="F2627" s="312"/>
    </row>
    <row r="2628" spans="1:6" ht="20.25">
      <c r="A2628" s="309"/>
      <c r="B2628" s="310"/>
      <c r="C2628" s="310"/>
      <c r="D2628" s="310"/>
      <c r="E2628" s="311"/>
      <c r="F2628" s="312"/>
    </row>
    <row r="2629" spans="1:6" ht="20.25">
      <c r="A2629" s="309"/>
      <c r="B2629" s="310"/>
      <c r="C2629" s="310"/>
      <c r="D2629" s="310"/>
      <c r="E2629" s="311"/>
      <c r="F2629" s="312"/>
    </row>
    <row r="2630" spans="1:6" ht="20.25">
      <c r="A2630" s="309"/>
      <c r="B2630" s="310"/>
      <c r="C2630" s="310"/>
      <c r="D2630" s="310"/>
      <c r="E2630" s="311"/>
      <c r="F2630" s="312"/>
    </row>
    <row r="2631" spans="1:6" ht="20.25">
      <c r="A2631" s="309"/>
      <c r="B2631" s="310"/>
      <c r="C2631" s="310"/>
      <c r="D2631" s="310"/>
      <c r="E2631" s="311"/>
      <c r="F2631" s="312"/>
    </row>
    <row r="2632" spans="1:6" ht="20.25">
      <c r="A2632" s="309"/>
      <c r="B2632" s="310"/>
      <c r="C2632" s="310"/>
      <c r="D2632" s="310"/>
      <c r="E2632" s="311"/>
      <c r="F2632" s="312"/>
    </row>
    <row r="2633" spans="1:6" ht="20.25">
      <c r="A2633" s="309"/>
      <c r="B2633" s="310"/>
      <c r="C2633" s="310"/>
      <c r="D2633" s="310"/>
      <c r="E2633" s="311"/>
      <c r="F2633" s="312"/>
    </row>
    <row r="2634" spans="1:6" ht="20.25">
      <c r="A2634" s="309"/>
      <c r="B2634" s="310"/>
      <c r="C2634" s="310"/>
      <c r="D2634" s="310"/>
      <c r="E2634" s="311"/>
      <c r="F2634" s="312"/>
    </row>
    <row r="2635" spans="1:6" ht="20.25">
      <c r="A2635" s="309"/>
      <c r="B2635" s="310"/>
      <c r="C2635" s="310"/>
      <c r="D2635" s="310"/>
      <c r="E2635" s="311"/>
      <c r="F2635" s="312"/>
    </row>
    <row r="2636" spans="1:6" ht="20.25">
      <c r="A2636" s="309"/>
      <c r="B2636" s="310"/>
      <c r="C2636" s="310"/>
      <c r="D2636" s="310"/>
      <c r="E2636" s="311"/>
      <c r="F2636" s="312"/>
    </row>
    <row r="2637" spans="1:6" ht="20.25">
      <c r="A2637" s="309"/>
      <c r="B2637" s="310"/>
      <c r="C2637" s="310"/>
      <c r="D2637" s="310"/>
      <c r="E2637" s="311"/>
      <c r="F2637" s="312"/>
    </row>
    <row r="2638" spans="1:6" ht="20.25">
      <c r="A2638" s="309"/>
      <c r="B2638" s="310"/>
      <c r="C2638" s="310"/>
      <c r="D2638" s="310"/>
      <c r="E2638" s="311"/>
      <c r="F2638" s="312"/>
    </row>
    <row r="2639" spans="1:6" ht="20.25">
      <c r="A2639" s="309"/>
      <c r="B2639" s="310"/>
      <c r="C2639" s="310"/>
      <c r="D2639" s="310"/>
      <c r="E2639" s="311"/>
      <c r="F2639" s="312"/>
    </row>
    <row r="2640" spans="1:6" ht="20.25">
      <c r="A2640" s="309"/>
      <c r="B2640" s="310"/>
      <c r="C2640" s="310"/>
      <c r="D2640" s="310"/>
      <c r="E2640" s="311"/>
      <c r="F2640" s="312"/>
    </row>
    <row r="2641" spans="1:6" ht="20.25">
      <c r="A2641" s="309"/>
      <c r="B2641" s="310"/>
      <c r="C2641" s="310"/>
      <c r="D2641" s="310"/>
      <c r="E2641" s="311"/>
      <c r="F2641" s="312"/>
    </row>
    <row r="2642" spans="1:6" ht="20.25">
      <c r="A2642" s="309"/>
      <c r="B2642" s="310"/>
      <c r="C2642" s="310"/>
      <c r="D2642" s="310"/>
      <c r="E2642" s="311"/>
      <c r="F2642" s="312"/>
    </row>
    <row r="2643" spans="1:6" ht="20.25">
      <c r="A2643" s="309"/>
      <c r="B2643" s="310"/>
      <c r="C2643" s="310"/>
      <c r="D2643" s="310"/>
      <c r="E2643" s="311"/>
      <c r="F2643" s="312"/>
    </row>
    <row r="2644" spans="1:6" ht="20.25">
      <c r="A2644" s="309"/>
      <c r="B2644" s="310"/>
      <c r="C2644" s="310"/>
      <c r="D2644" s="310"/>
      <c r="E2644" s="311"/>
      <c r="F2644" s="312"/>
    </row>
    <row r="2645" spans="1:6" ht="20.25">
      <c r="A2645" s="309"/>
      <c r="B2645" s="310"/>
      <c r="C2645" s="310"/>
      <c r="D2645" s="310"/>
      <c r="E2645" s="311"/>
      <c r="F2645" s="312"/>
    </row>
    <row r="2646" spans="1:6" ht="20.25">
      <c r="A2646" s="309"/>
      <c r="B2646" s="310"/>
      <c r="C2646" s="310"/>
      <c r="D2646" s="310"/>
      <c r="E2646" s="311"/>
      <c r="F2646" s="312"/>
    </row>
    <row r="2647" spans="1:6" ht="20.25">
      <c r="A2647" s="309"/>
      <c r="B2647" s="310"/>
      <c r="C2647" s="310"/>
      <c r="D2647" s="310"/>
      <c r="E2647" s="311"/>
      <c r="F2647" s="312"/>
    </row>
    <row r="2648" spans="1:6" ht="20.25">
      <c r="A2648" s="309"/>
      <c r="B2648" s="310"/>
      <c r="C2648" s="310"/>
      <c r="D2648" s="310"/>
      <c r="E2648" s="311"/>
      <c r="F2648" s="312"/>
    </row>
    <row r="2649" spans="1:6" ht="20.25">
      <c r="A2649" s="309"/>
      <c r="B2649" s="310"/>
      <c r="C2649" s="310"/>
      <c r="D2649" s="310"/>
      <c r="E2649" s="311"/>
      <c r="F2649" s="312"/>
    </row>
    <row r="2650" spans="1:6" ht="20.25">
      <c r="A2650" s="309"/>
      <c r="B2650" s="310"/>
      <c r="C2650" s="310"/>
      <c r="D2650" s="310"/>
      <c r="E2650" s="311"/>
      <c r="F2650" s="312"/>
    </row>
    <row r="2651" spans="1:6" ht="20.25">
      <c r="A2651" s="309"/>
      <c r="B2651" s="310"/>
      <c r="C2651" s="310"/>
      <c r="D2651" s="310"/>
      <c r="E2651" s="311"/>
      <c r="F2651" s="312"/>
    </row>
    <row r="2652" spans="1:6" ht="20.25">
      <c r="A2652" s="309"/>
      <c r="B2652" s="310"/>
      <c r="C2652" s="310"/>
      <c r="D2652" s="310"/>
      <c r="E2652" s="311"/>
      <c r="F2652" s="312"/>
    </row>
    <row r="2653" spans="1:6" ht="20.25">
      <c r="A2653" s="309"/>
      <c r="B2653" s="310"/>
      <c r="C2653" s="310"/>
      <c r="D2653" s="310"/>
      <c r="E2653" s="311"/>
      <c r="F2653" s="312"/>
    </row>
    <row r="2654" spans="1:6" ht="20.25">
      <c r="A2654" s="309"/>
      <c r="B2654" s="310"/>
      <c r="C2654" s="310"/>
      <c r="D2654" s="310"/>
      <c r="E2654" s="311"/>
      <c r="F2654" s="312"/>
    </row>
    <row r="2655" spans="1:6" ht="20.25">
      <c r="A2655" s="309"/>
      <c r="B2655" s="310"/>
      <c r="C2655" s="310"/>
      <c r="D2655" s="310"/>
      <c r="E2655" s="311"/>
      <c r="F2655" s="312"/>
    </row>
    <row r="2656" spans="1:6" ht="20.25">
      <c r="A2656" s="309"/>
      <c r="B2656" s="310"/>
      <c r="C2656" s="310"/>
      <c r="D2656" s="310"/>
      <c r="E2656" s="311"/>
      <c r="F2656" s="312"/>
    </row>
    <row r="2657" spans="1:6" ht="20.25">
      <c r="A2657" s="309"/>
      <c r="B2657" s="310"/>
      <c r="C2657" s="310"/>
      <c r="D2657" s="310"/>
      <c r="E2657" s="311"/>
      <c r="F2657" s="312"/>
    </row>
    <row r="2658" spans="1:6" ht="20.25">
      <c r="A2658" s="309"/>
      <c r="B2658" s="310"/>
      <c r="C2658" s="310"/>
      <c r="D2658" s="310"/>
      <c r="E2658" s="311"/>
      <c r="F2658" s="312"/>
    </row>
    <row r="2659" spans="1:6" ht="20.25">
      <c r="A2659" s="309"/>
      <c r="B2659" s="310"/>
      <c r="C2659" s="310"/>
      <c r="D2659" s="310"/>
      <c r="E2659" s="311"/>
      <c r="F2659" s="312"/>
    </row>
    <row r="2660" spans="1:6" ht="20.25">
      <c r="A2660" s="309"/>
      <c r="B2660" s="310"/>
      <c r="C2660" s="310"/>
      <c r="D2660" s="310"/>
      <c r="E2660" s="311"/>
      <c r="F2660" s="312"/>
    </row>
    <row r="2661" spans="1:6" ht="20.25">
      <c r="A2661" s="309"/>
      <c r="B2661" s="310"/>
      <c r="C2661" s="310"/>
      <c r="D2661" s="310"/>
      <c r="E2661" s="311"/>
      <c r="F2661" s="312"/>
    </row>
    <row r="2662" spans="1:6" ht="20.25">
      <c r="A2662" s="309"/>
      <c r="B2662" s="310"/>
      <c r="C2662" s="310"/>
      <c r="D2662" s="310"/>
      <c r="E2662" s="311"/>
      <c r="F2662" s="312"/>
    </row>
    <row r="2663" spans="1:6" ht="20.25">
      <c r="A2663" s="309"/>
      <c r="B2663" s="310"/>
      <c r="C2663" s="310"/>
      <c r="D2663" s="310"/>
      <c r="E2663" s="311"/>
      <c r="F2663" s="312"/>
    </row>
    <row r="2664" spans="1:6" ht="20.25">
      <c r="A2664" s="309"/>
      <c r="B2664" s="310"/>
      <c r="C2664" s="310"/>
      <c r="D2664" s="310"/>
      <c r="E2664" s="311"/>
      <c r="F2664" s="312"/>
    </row>
    <row r="2665" spans="1:6" ht="20.25">
      <c r="A2665" s="309"/>
      <c r="B2665" s="310"/>
      <c r="C2665" s="310"/>
      <c r="D2665" s="310"/>
      <c r="E2665" s="311"/>
      <c r="F2665" s="312"/>
    </row>
    <row r="2666" spans="1:6" ht="20.25">
      <c r="A2666" s="309"/>
      <c r="B2666" s="310"/>
      <c r="C2666" s="310"/>
      <c r="D2666" s="310"/>
      <c r="E2666" s="311"/>
      <c r="F2666" s="312"/>
    </row>
    <row r="2667" spans="1:6" ht="20.25">
      <c r="A2667" s="309"/>
      <c r="B2667" s="310"/>
      <c r="C2667" s="310"/>
      <c r="D2667" s="310"/>
      <c r="E2667" s="311"/>
      <c r="F2667" s="312"/>
    </row>
    <row r="2668" spans="1:6" ht="20.25">
      <c r="A2668" s="309"/>
      <c r="B2668" s="310"/>
      <c r="C2668" s="310"/>
      <c r="D2668" s="310"/>
      <c r="E2668" s="311"/>
      <c r="F2668" s="312"/>
    </row>
    <row r="2669" spans="1:6" ht="20.25">
      <c r="A2669" s="309"/>
      <c r="B2669" s="310"/>
      <c r="C2669" s="310"/>
      <c r="D2669" s="310"/>
      <c r="E2669" s="311"/>
      <c r="F2669" s="312"/>
    </row>
    <row r="2670" spans="1:6" ht="20.25">
      <c r="A2670" s="309"/>
      <c r="B2670" s="310"/>
      <c r="C2670" s="310"/>
      <c r="D2670" s="310"/>
      <c r="E2670" s="311"/>
      <c r="F2670" s="312"/>
    </row>
    <row r="2671" spans="1:6" ht="20.25">
      <c r="A2671" s="309"/>
      <c r="B2671" s="310"/>
      <c r="C2671" s="310"/>
      <c r="D2671" s="310"/>
      <c r="E2671" s="311"/>
      <c r="F2671" s="312"/>
    </row>
    <row r="2672" spans="1:6" ht="20.25">
      <c r="A2672" s="309"/>
      <c r="B2672" s="310"/>
      <c r="C2672" s="310"/>
      <c r="D2672" s="310"/>
      <c r="E2672" s="311"/>
      <c r="F2672" s="312"/>
    </row>
    <row r="2673" spans="1:6" ht="20.25">
      <c r="A2673" s="309"/>
      <c r="B2673" s="310"/>
      <c r="C2673" s="310"/>
      <c r="D2673" s="310"/>
      <c r="E2673" s="311"/>
      <c r="F2673" s="312"/>
    </row>
    <row r="2674" spans="1:6" ht="20.25">
      <c r="A2674" s="309"/>
      <c r="B2674" s="310"/>
      <c r="C2674" s="310"/>
      <c r="D2674" s="310"/>
      <c r="E2674" s="311"/>
      <c r="F2674" s="312"/>
    </row>
    <row r="2675" spans="1:6" ht="20.25">
      <c r="A2675" s="309"/>
      <c r="B2675" s="310"/>
      <c r="C2675" s="310"/>
      <c r="D2675" s="310"/>
      <c r="E2675" s="311"/>
      <c r="F2675" s="312"/>
    </row>
    <row r="2676" spans="1:6" ht="20.25">
      <c r="A2676" s="309"/>
      <c r="B2676" s="310"/>
      <c r="C2676" s="310"/>
      <c r="D2676" s="310"/>
      <c r="E2676" s="311"/>
      <c r="F2676" s="312"/>
    </row>
    <row r="2677" spans="1:6" ht="20.25">
      <c r="A2677" s="309"/>
      <c r="B2677" s="310"/>
      <c r="C2677" s="310"/>
      <c r="D2677" s="310"/>
      <c r="E2677" s="311"/>
      <c r="F2677" s="312"/>
    </row>
    <row r="2678" spans="1:6" ht="20.25">
      <c r="A2678" s="309"/>
      <c r="B2678" s="310"/>
      <c r="C2678" s="310"/>
      <c r="D2678" s="310"/>
      <c r="E2678" s="311"/>
      <c r="F2678" s="312"/>
    </row>
    <row r="2679" spans="1:6" ht="20.25">
      <c r="A2679" s="309"/>
      <c r="B2679" s="310"/>
      <c r="C2679" s="310"/>
      <c r="D2679" s="310"/>
      <c r="E2679" s="311"/>
      <c r="F2679" s="312"/>
    </row>
    <row r="2680" spans="1:6" ht="20.25">
      <c r="A2680" s="309"/>
      <c r="B2680" s="310"/>
      <c r="C2680" s="310"/>
      <c r="D2680" s="310"/>
      <c r="E2680" s="311"/>
      <c r="F2680" s="312"/>
    </row>
    <row r="2681" spans="1:6" ht="20.25">
      <c r="A2681" s="309"/>
      <c r="B2681" s="310"/>
      <c r="C2681" s="310"/>
      <c r="D2681" s="310"/>
      <c r="E2681" s="311"/>
      <c r="F2681" s="312"/>
    </row>
    <row r="2682" spans="1:6" ht="20.25">
      <c r="A2682" s="309"/>
      <c r="B2682" s="310"/>
      <c r="C2682" s="310"/>
      <c r="D2682" s="310"/>
      <c r="E2682" s="311"/>
      <c r="F2682" s="312"/>
    </row>
    <row r="2683" spans="1:6" ht="20.25">
      <c r="A2683" s="309"/>
      <c r="B2683" s="310"/>
      <c r="C2683" s="310"/>
      <c r="D2683" s="310"/>
      <c r="E2683" s="311"/>
      <c r="F2683" s="312"/>
    </row>
    <row r="2684" spans="1:6" ht="20.25">
      <c r="A2684" s="309"/>
      <c r="B2684" s="310"/>
      <c r="C2684" s="310"/>
      <c r="D2684" s="310"/>
      <c r="E2684" s="311"/>
      <c r="F2684" s="312"/>
    </row>
    <row r="2685" spans="1:6" ht="20.25">
      <c r="A2685" s="309"/>
      <c r="B2685" s="310"/>
      <c r="C2685" s="310"/>
      <c r="D2685" s="310"/>
      <c r="E2685" s="311"/>
      <c r="F2685" s="312"/>
    </row>
    <row r="2686" spans="1:6" ht="20.25">
      <c r="A2686" s="309"/>
      <c r="B2686" s="310"/>
      <c r="C2686" s="310"/>
      <c r="D2686" s="310"/>
      <c r="E2686" s="311"/>
      <c r="F2686" s="312"/>
    </row>
    <row r="2687" spans="1:6" ht="20.25">
      <c r="A2687" s="309"/>
      <c r="B2687" s="310"/>
      <c r="C2687" s="310"/>
      <c r="D2687" s="310"/>
      <c r="E2687" s="311"/>
      <c r="F2687" s="312"/>
    </row>
    <row r="2688" spans="1:6" ht="20.25">
      <c r="A2688" s="309"/>
      <c r="B2688" s="310"/>
      <c r="C2688" s="310"/>
      <c r="D2688" s="310"/>
      <c r="E2688" s="311"/>
      <c r="F2688" s="312"/>
    </row>
    <row r="2689" spans="1:6" ht="20.25">
      <c r="A2689" s="309"/>
      <c r="B2689" s="310"/>
      <c r="C2689" s="310"/>
      <c r="D2689" s="310"/>
      <c r="E2689" s="311"/>
      <c r="F2689" s="312"/>
    </row>
    <row r="2690" spans="1:6" ht="20.25">
      <c r="A2690" s="309"/>
      <c r="B2690" s="310"/>
      <c r="C2690" s="310"/>
      <c r="D2690" s="310"/>
      <c r="E2690" s="311"/>
      <c r="F2690" s="312"/>
    </row>
    <row r="2691" spans="1:6" ht="20.25">
      <c r="A2691" s="309"/>
      <c r="B2691" s="310"/>
      <c r="C2691" s="310"/>
      <c r="D2691" s="310"/>
      <c r="E2691" s="311"/>
      <c r="F2691" s="312"/>
    </row>
    <row r="2692" spans="1:6" ht="20.25">
      <c r="A2692" s="309"/>
      <c r="B2692" s="310"/>
      <c r="C2692" s="310"/>
      <c r="D2692" s="310"/>
      <c r="E2692" s="311"/>
      <c r="F2692" s="312"/>
    </row>
    <row r="2693" spans="1:6" ht="20.25">
      <c r="A2693" s="309"/>
      <c r="B2693" s="310"/>
      <c r="C2693" s="310"/>
      <c r="D2693" s="310"/>
      <c r="E2693" s="311"/>
      <c r="F2693" s="312"/>
    </row>
    <row r="2694" spans="1:6" ht="20.25">
      <c r="A2694" s="309"/>
      <c r="B2694" s="310"/>
      <c r="C2694" s="310"/>
      <c r="D2694" s="310"/>
      <c r="E2694" s="311"/>
      <c r="F2694" s="312"/>
    </row>
    <row r="2695" spans="1:6" ht="20.25">
      <c r="A2695" s="309"/>
      <c r="B2695" s="310"/>
      <c r="C2695" s="310"/>
      <c r="D2695" s="310"/>
      <c r="E2695" s="311"/>
      <c r="F2695" s="312"/>
    </row>
    <row r="2696" spans="1:6" ht="20.25">
      <c r="A2696" s="309"/>
      <c r="B2696" s="310"/>
      <c r="C2696" s="310"/>
      <c r="D2696" s="310"/>
      <c r="E2696" s="311"/>
      <c r="F2696" s="312"/>
    </row>
    <row r="2697" spans="1:6" ht="20.25">
      <c r="A2697" s="309"/>
      <c r="B2697" s="310"/>
      <c r="C2697" s="310"/>
      <c r="D2697" s="310"/>
      <c r="E2697" s="311"/>
      <c r="F2697" s="312"/>
    </row>
    <row r="2698" spans="1:6" ht="20.25">
      <c r="A2698" s="309"/>
      <c r="B2698" s="310"/>
      <c r="C2698" s="310"/>
      <c r="D2698" s="310"/>
      <c r="E2698" s="311"/>
      <c r="F2698" s="312"/>
    </row>
    <row r="2699" spans="1:6" ht="20.25">
      <c r="A2699" s="309"/>
      <c r="B2699" s="310"/>
      <c r="C2699" s="310"/>
      <c r="D2699" s="310"/>
      <c r="E2699" s="311"/>
      <c r="F2699" s="312"/>
    </row>
    <row r="2700" spans="1:6" ht="20.25">
      <c r="A2700" s="309"/>
      <c r="B2700" s="310"/>
      <c r="C2700" s="310"/>
      <c r="D2700" s="310"/>
      <c r="E2700" s="311"/>
      <c r="F2700" s="312"/>
    </row>
    <row r="2701" spans="1:6" ht="20.25">
      <c r="A2701" s="309"/>
      <c r="B2701" s="310"/>
      <c r="C2701" s="310"/>
      <c r="D2701" s="310"/>
      <c r="E2701" s="311"/>
      <c r="F2701" s="312"/>
    </row>
    <row r="2702" spans="1:6" ht="20.25">
      <c r="A2702" s="309"/>
      <c r="B2702" s="310"/>
      <c r="C2702" s="310"/>
      <c r="D2702" s="310"/>
      <c r="E2702" s="311"/>
      <c r="F2702" s="312"/>
    </row>
    <row r="2703" spans="1:6" ht="20.25">
      <c r="A2703" s="309"/>
      <c r="B2703" s="310"/>
      <c r="C2703" s="310"/>
      <c r="D2703" s="310"/>
      <c r="E2703" s="311"/>
      <c r="F2703" s="312"/>
    </row>
    <row r="2704" spans="1:6" ht="20.25">
      <c r="A2704" s="309"/>
      <c r="B2704" s="310"/>
      <c r="C2704" s="310"/>
      <c r="D2704" s="310"/>
      <c r="E2704" s="311"/>
      <c r="F2704" s="312"/>
    </row>
    <row r="2705" spans="1:6" ht="20.25">
      <c r="A2705" s="309"/>
      <c r="B2705" s="310"/>
      <c r="C2705" s="310"/>
      <c r="D2705" s="310"/>
      <c r="E2705" s="311"/>
      <c r="F2705" s="312"/>
    </row>
    <row r="2706" spans="1:6" ht="20.25">
      <c r="A2706" s="309"/>
      <c r="B2706" s="310"/>
      <c r="C2706" s="310"/>
      <c r="D2706" s="310"/>
      <c r="E2706" s="311"/>
      <c r="F2706" s="312"/>
    </row>
    <row r="2707" spans="1:6" ht="20.25">
      <c r="A2707" s="309"/>
      <c r="B2707" s="310"/>
      <c r="C2707" s="310"/>
      <c r="D2707" s="310"/>
      <c r="E2707" s="311"/>
      <c r="F2707" s="312"/>
    </row>
    <row r="2708" spans="1:6" ht="20.25">
      <c r="A2708" s="309"/>
      <c r="B2708" s="310"/>
      <c r="C2708" s="310"/>
      <c r="D2708" s="310"/>
      <c r="E2708" s="311"/>
      <c r="F2708" s="312"/>
    </row>
    <row r="2709" spans="1:6" ht="20.25">
      <c r="A2709" s="309"/>
      <c r="B2709" s="310"/>
      <c r="C2709" s="310"/>
      <c r="D2709" s="310"/>
      <c r="E2709" s="311"/>
      <c r="F2709" s="312"/>
    </row>
    <row r="2710" spans="1:6" ht="20.25">
      <c r="A2710" s="309"/>
      <c r="B2710" s="310"/>
      <c r="C2710" s="310"/>
      <c r="D2710" s="310"/>
      <c r="E2710" s="311"/>
      <c r="F2710" s="312"/>
    </row>
    <row r="2711" spans="1:6" ht="20.25">
      <c r="A2711" s="309"/>
      <c r="B2711" s="310"/>
      <c r="C2711" s="310"/>
      <c r="D2711" s="310"/>
      <c r="E2711" s="311"/>
      <c r="F2711" s="312"/>
    </row>
    <row r="2712" spans="1:6" ht="20.25">
      <c r="A2712" s="309"/>
      <c r="B2712" s="310"/>
      <c r="C2712" s="310"/>
      <c r="D2712" s="310"/>
      <c r="E2712" s="311"/>
      <c r="F2712" s="312"/>
    </row>
    <row r="2713" spans="1:6" ht="20.25">
      <c r="A2713" s="309"/>
      <c r="B2713" s="310"/>
      <c r="C2713" s="310"/>
      <c r="D2713" s="310"/>
      <c r="E2713" s="311"/>
      <c r="F2713" s="312"/>
    </row>
    <row r="2714" spans="1:6" ht="20.25">
      <c r="A2714" s="309"/>
      <c r="B2714" s="310"/>
      <c r="C2714" s="310"/>
      <c r="D2714" s="310"/>
      <c r="E2714" s="311"/>
      <c r="F2714" s="312"/>
    </row>
    <row r="2715" spans="1:6" ht="20.25">
      <c r="A2715" s="309"/>
      <c r="B2715" s="310"/>
      <c r="C2715" s="310"/>
      <c r="D2715" s="310"/>
      <c r="E2715" s="311"/>
      <c r="F2715" s="312"/>
    </row>
    <row r="2716" spans="1:6" ht="20.25">
      <c r="A2716" s="309"/>
      <c r="B2716" s="310"/>
      <c r="C2716" s="310"/>
      <c r="D2716" s="310"/>
      <c r="E2716" s="311"/>
      <c r="F2716" s="312"/>
    </row>
    <row r="2717" spans="1:6" ht="20.25">
      <c r="A2717" s="309"/>
      <c r="B2717" s="310"/>
      <c r="C2717" s="310"/>
      <c r="D2717" s="310"/>
      <c r="E2717" s="311"/>
      <c r="F2717" s="312"/>
    </row>
    <row r="2718" spans="1:6" ht="20.25">
      <c r="A2718" s="309"/>
      <c r="B2718" s="310"/>
      <c r="C2718" s="310"/>
      <c r="D2718" s="310"/>
      <c r="E2718" s="311"/>
      <c r="F2718" s="312"/>
    </row>
    <row r="2719" spans="1:6" ht="20.25">
      <c r="A2719" s="309"/>
      <c r="B2719" s="310"/>
      <c r="C2719" s="310"/>
      <c r="D2719" s="310"/>
      <c r="E2719" s="311"/>
      <c r="F2719" s="312"/>
    </row>
    <row r="2720" spans="1:6" ht="20.25">
      <c r="A2720" s="309"/>
      <c r="B2720" s="310"/>
      <c r="C2720" s="310"/>
      <c r="D2720" s="310"/>
      <c r="E2720" s="311"/>
      <c r="F2720" s="312"/>
    </row>
    <row r="2721" spans="1:6" ht="20.25">
      <c r="A2721" s="309"/>
      <c r="B2721" s="310"/>
      <c r="C2721" s="310"/>
      <c r="D2721" s="310"/>
      <c r="E2721" s="311"/>
      <c r="F2721" s="312"/>
    </row>
    <row r="2722" spans="1:6" ht="20.25">
      <c r="A2722" s="309"/>
      <c r="B2722" s="310"/>
      <c r="C2722" s="310"/>
      <c r="D2722" s="310"/>
      <c r="E2722" s="311"/>
      <c r="F2722" s="312"/>
    </row>
    <row r="2723" spans="1:6" ht="20.25">
      <c r="A2723" s="309"/>
      <c r="B2723" s="310"/>
      <c r="C2723" s="310"/>
      <c r="D2723" s="310"/>
      <c r="E2723" s="311"/>
      <c r="F2723" s="312"/>
    </row>
    <row r="2724" spans="1:6" ht="20.25">
      <c r="A2724" s="309"/>
      <c r="B2724" s="310"/>
      <c r="C2724" s="310"/>
      <c r="D2724" s="310"/>
      <c r="E2724" s="311"/>
      <c r="F2724" s="312"/>
    </row>
    <row r="2725" spans="1:6" ht="20.25">
      <c r="A2725" s="309"/>
      <c r="B2725" s="310"/>
      <c r="C2725" s="310"/>
      <c r="D2725" s="310"/>
      <c r="E2725" s="311"/>
      <c r="F2725" s="312"/>
    </row>
    <row r="2726" spans="1:6" ht="20.25">
      <c r="A2726" s="309"/>
      <c r="B2726" s="310"/>
      <c r="C2726" s="310"/>
      <c r="D2726" s="310"/>
      <c r="E2726" s="311"/>
      <c r="F2726" s="312"/>
    </row>
    <row r="2727" spans="1:6" ht="20.25">
      <c r="A2727" s="309"/>
      <c r="B2727" s="310"/>
      <c r="C2727" s="310"/>
      <c r="D2727" s="310"/>
      <c r="E2727" s="311"/>
      <c r="F2727" s="312"/>
    </row>
    <row r="2728" spans="1:6" ht="20.25">
      <c r="A2728" s="309"/>
      <c r="B2728" s="310"/>
      <c r="C2728" s="310"/>
      <c r="D2728" s="310"/>
      <c r="E2728" s="311"/>
      <c r="F2728" s="312"/>
    </row>
    <row r="2729" spans="1:6" ht="20.25">
      <c r="A2729" s="309"/>
      <c r="B2729" s="310"/>
      <c r="C2729" s="310"/>
      <c r="D2729" s="310"/>
      <c r="E2729" s="311"/>
      <c r="F2729" s="312"/>
    </row>
    <row r="2730" spans="1:6" ht="20.25">
      <c r="A2730" s="309"/>
      <c r="B2730" s="310"/>
      <c r="C2730" s="310"/>
      <c r="D2730" s="310"/>
      <c r="E2730" s="311"/>
      <c r="F2730" s="312"/>
    </row>
    <row r="2731" spans="1:6" ht="20.25">
      <c r="A2731" s="309"/>
      <c r="B2731" s="310"/>
      <c r="C2731" s="310"/>
      <c r="D2731" s="310"/>
      <c r="E2731" s="311"/>
      <c r="F2731" s="312"/>
    </row>
    <row r="2732" spans="1:6" ht="20.25">
      <c r="A2732" s="309"/>
      <c r="B2732" s="310"/>
      <c r="C2732" s="310"/>
      <c r="D2732" s="310"/>
      <c r="E2732" s="311"/>
      <c r="F2732" s="312"/>
    </row>
    <row r="2733" spans="1:6" ht="20.25">
      <c r="A2733" s="309"/>
      <c r="B2733" s="310"/>
      <c r="C2733" s="310"/>
      <c r="D2733" s="310"/>
      <c r="E2733" s="311"/>
      <c r="F2733" s="312"/>
    </row>
    <row r="2734" spans="1:6" ht="20.25">
      <c r="A2734" s="309"/>
      <c r="B2734" s="310"/>
      <c r="C2734" s="310"/>
      <c r="D2734" s="310"/>
      <c r="E2734" s="311"/>
      <c r="F2734" s="312"/>
    </row>
    <row r="2735" spans="1:6" ht="20.25">
      <c r="A2735" s="309"/>
      <c r="B2735" s="310"/>
      <c r="C2735" s="310"/>
      <c r="D2735" s="310"/>
      <c r="E2735" s="311"/>
      <c r="F2735" s="312"/>
    </row>
    <row r="2736" spans="1:6" ht="20.25">
      <c r="A2736" s="309"/>
      <c r="B2736" s="310"/>
      <c r="C2736" s="310"/>
      <c r="D2736" s="310"/>
      <c r="E2736" s="311"/>
      <c r="F2736" s="312"/>
    </row>
    <row r="2737" spans="1:6" ht="20.25">
      <c r="A2737" s="309"/>
      <c r="B2737" s="310"/>
      <c r="C2737" s="310"/>
      <c r="D2737" s="310"/>
      <c r="E2737" s="311"/>
      <c r="F2737" s="312"/>
    </row>
    <row r="2738" spans="1:6" ht="20.25">
      <c r="A2738" s="309"/>
      <c r="B2738" s="310"/>
      <c r="C2738" s="310"/>
      <c r="D2738" s="310"/>
      <c r="E2738" s="311"/>
      <c r="F2738" s="312"/>
    </row>
    <row r="2739" spans="1:6" ht="20.25">
      <c r="A2739" s="309"/>
      <c r="B2739" s="310"/>
      <c r="C2739" s="310"/>
      <c r="D2739" s="310"/>
      <c r="E2739" s="311"/>
      <c r="F2739" s="312"/>
    </row>
    <row r="2740" spans="1:6" ht="20.25">
      <c r="A2740" s="309"/>
      <c r="B2740" s="310"/>
      <c r="C2740" s="310"/>
      <c r="D2740" s="310"/>
      <c r="E2740" s="311"/>
      <c r="F2740" s="312"/>
    </row>
    <row r="2741" spans="1:6" ht="20.25">
      <c r="A2741" s="309"/>
      <c r="B2741" s="310"/>
      <c r="C2741" s="310"/>
      <c r="D2741" s="310"/>
      <c r="E2741" s="311"/>
      <c r="F2741" s="312"/>
    </row>
    <row r="2742" spans="1:6" ht="20.25">
      <c r="A2742" s="309"/>
      <c r="B2742" s="310"/>
      <c r="C2742" s="310"/>
      <c r="D2742" s="310"/>
      <c r="E2742" s="311"/>
      <c r="F2742" s="312"/>
    </row>
    <row r="2743" spans="1:6" ht="20.25">
      <c r="A2743" s="309"/>
      <c r="B2743" s="310"/>
      <c r="C2743" s="310"/>
      <c r="D2743" s="310"/>
      <c r="E2743" s="311"/>
      <c r="F2743" s="312"/>
    </row>
    <row r="2744" spans="1:6" ht="20.25">
      <c r="A2744" s="309"/>
      <c r="B2744" s="310"/>
      <c r="C2744" s="310"/>
      <c r="D2744" s="310"/>
      <c r="E2744" s="311"/>
      <c r="F2744" s="312"/>
    </row>
    <row r="2745" spans="1:6" ht="20.25">
      <c r="A2745" s="309"/>
      <c r="B2745" s="310"/>
      <c r="C2745" s="310"/>
      <c r="D2745" s="310"/>
      <c r="E2745" s="311"/>
      <c r="F2745" s="312"/>
    </row>
    <row r="2746" spans="1:6" ht="20.25">
      <c r="A2746" s="309"/>
      <c r="B2746" s="310"/>
      <c r="C2746" s="310"/>
      <c r="D2746" s="310"/>
      <c r="E2746" s="311"/>
      <c r="F2746" s="312"/>
    </row>
    <row r="2747" spans="1:6" ht="20.25">
      <c r="A2747" s="309"/>
      <c r="B2747" s="310"/>
      <c r="C2747" s="310"/>
      <c r="D2747" s="310"/>
      <c r="E2747" s="311"/>
      <c r="F2747" s="312"/>
    </row>
    <row r="2748" spans="1:6" ht="20.25">
      <c r="A2748" s="309"/>
      <c r="B2748" s="310"/>
      <c r="C2748" s="310"/>
      <c r="D2748" s="310"/>
      <c r="E2748" s="311"/>
      <c r="F2748" s="312"/>
    </row>
    <row r="2749" spans="1:6" ht="20.25">
      <c r="A2749" s="309"/>
      <c r="B2749" s="310"/>
      <c r="C2749" s="310"/>
      <c r="D2749" s="310"/>
      <c r="E2749" s="311"/>
      <c r="F2749" s="312"/>
    </row>
    <row r="2750" spans="1:6" ht="20.25">
      <c r="A2750" s="309"/>
      <c r="B2750" s="310"/>
      <c r="C2750" s="310"/>
      <c r="D2750" s="310"/>
      <c r="E2750" s="311"/>
      <c r="F2750" s="312"/>
    </row>
    <row r="2751" spans="1:6" ht="20.25">
      <c r="A2751" s="309"/>
      <c r="B2751" s="310"/>
      <c r="C2751" s="310"/>
      <c r="D2751" s="310"/>
      <c r="E2751" s="311"/>
      <c r="F2751" s="312"/>
    </row>
    <row r="2752" spans="1:6" ht="20.25">
      <c r="A2752" s="309"/>
      <c r="B2752" s="310"/>
      <c r="C2752" s="310"/>
      <c r="D2752" s="310"/>
      <c r="E2752" s="311"/>
      <c r="F2752" s="312"/>
    </row>
    <row r="2753" spans="1:6" ht="20.25">
      <c r="A2753" s="309"/>
      <c r="B2753" s="310"/>
      <c r="C2753" s="310"/>
      <c r="D2753" s="310"/>
      <c r="E2753" s="311"/>
      <c r="F2753" s="312"/>
    </row>
    <row r="2754" spans="1:6" ht="20.25">
      <c r="A2754" s="309"/>
      <c r="B2754" s="310"/>
      <c r="C2754" s="310"/>
      <c r="D2754" s="310"/>
      <c r="E2754" s="311"/>
      <c r="F2754" s="312"/>
    </row>
    <row r="2755" spans="1:6" ht="20.25">
      <c r="A2755" s="309"/>
      <c r="B2755" s="310"/>
      <c r="C2755" s="310"/>
      <c r="D2755" s="310"/>
      <c r="E2755" s="311"/>
      <c r="F2755" s="312"/>
    </row>
    <row r="2756" spans="1:6" ht="20.25">
      <c r="A2756" s="309"/>
      <c r="B2756" s="310"/>
      <c r="C2756" s="310"/>
      <c r="D2756" s="310"/>
      <c r="E2756" s="311"/>
      <c r="F2756" s="312"/>
    </row>
    <row r="2757" spans="1:6" ht="20.25">
      <c r="A2757" s="309"/>
      <c r="B2757" s="310"/>
      <c r="C2757" s="310"/>
      <c r="D2757" s="310"/>
      <c r="E2757" s="311"/>
      <c r="F2757" s="312"/>
    </row>
    <row r="2758" spans="1:6" ht="20.25">
      <c r="A2758" s="309"/>
      <c r="B2758" s="310"/>
      <c r="C2758" s="310"/>
      <c r="D2758" s="310"/>
      <c r="E2758" s="311"/>
      <c r="F2758" s="312"/>
    </row>
    <row r="2759" spans="1:6" ht="20.25">
      <c r="A2759" s="309"/>
      <c r="B2759" s="310"/>
      <c r="C2759" s="310"/>
      <c r="D2759" s="310"/>
      <c r="E2759" s="311"/>
      <c r="F2759" s="312"/>
    </row>
    <row r="2760" spans="1:6" ht="20.25">
      <c r="A2760" s="309"/>
      <c r="B2760" s="310"/>
      <c r="C2760" s="310"/>
      <c r="D2760" s="310"/>
      <c r="E2760" s="311"/>
      <c r="F2760" s="312"/>
    </row>
    <row r="2761" spans="1:6" ht="20.25">
      <c r="A2761" s="309"/>
      <c r="B2761" s="310"/>
      <c r="C2761" s="310"/>
      <c r="D2761" s="310"/>
      <c r="E2761" s="311"/>
      <c r="F2761" s="312"/>
    </row>
    <row r="2762" spans="1:6" ht="20.25">
      <c r="A2762" s="309"/>
      <c r="B2762" s="310"/>
      <c r="C2762" s="310"/>
      <c r="D2762" s="310"/>
      <c r="E2762" s="311"/>
      <c r="F2762" s="312"/>
    </row>
    <row r="2763" spans="1:6" ht="20.25">
      <c r="A2763" s="309"/>
      <c r="B2763" s="310"/>
      <c r="C2763" s="310"/>
      <c r="D2763" s="310"/>
      <c r="E2763" s="311"/>
      <c r="F2763" s="312"/>
    </row>
    <row r="2764" spans="1:6" ht="20.25">
      <c r="A2764" s="309"/>
      <c r="B2764" s="310"/>
      <c r="C2764" s="310"/>
      <c r="D2764" s="310"/>
      <c r="E2764" s="311"/>
      <c r="F2764" s="312"/>
    </row>
    <row r="2765" spans="1:6" ht="20.25">
      <c r="A2765" s="309"/>
      <c r="B2765" s="310"/>
      <c r="C2765" s="310"/>
      <c r="D2765" s="310"/>
      <c r="E2765" s="311"/>
      <c r="F2765" s="312"/>
    </row>
    <row r="2766" spans="1:6" ht="20.25">
      <c r="A2766" s="309"/>
      <c r="B2766" s="310"/>
      <c r="C2766" s="310"/>
      <c r="D2766" s="310"/>
      <c r="E2766" s="311"/>
      <c r="F2766" s="312"/>
    </row>
    <row r="2767" spans="1:6" ht="20.25">
      <c r="A2767" s="309"/>
      <c r="B2767" s="310"/>
      <c r="C2767" s="310"/>
      <c r="D2767" s="310"/>
      <c r="E2767" s="311"/>
      <c r="F2767" s="312"/>
    </row>
    <row r="2768" spans="1:6" ht="20.25">
      <c r="A2768" s="309"/>
      <c r="B2768" s="310"/>
      <c r="C2768" s="310"/>
      <c r="D2768" s="310"/>
      <c r="E2768" s="311"/>
      <c r="F2768" s="312"/>
    </row>
    <row r="2769" spans="1:6" ht="20.25">
      <c r="A2769" s="309"/>
      <c r="B2769" s="310"/>
      <c r="C2769" s="310"/>
      <c r="D2769" s="310"/>
      <c r="E2769" s="311"/>
      <c r="F2769" s="312"/>
    </row>
    <row r="2770" spans="1:6" ht="20.25">
      <c r="A2770" s="309"/>
      <c r="B2770" s="310"/>
      <c r="C2770" s="310"/>
      <c r="D2770" s="310"/>
      <c r="E2770" s="311"/>
      <c r="F2770" s="312"/>
    </row>
    <row r="2771" spans="1:6" ht="20.25">
      <c r="A2771" s="309"/>
      <c r="B2771" s="310"/>
      <c r="C2771" s="310"/>
      <c r="D2771" s="310"/>
      <c r="E2771" s="311"/>
      <c r="F2771" s="312"/>
    </row>
    <row r="2772" spans="1:6" ht="20.25">
      <c r="A2772" s="309"/>
      <c r="B2772" s="310"/>
      <c r="C2772" s="310"/>
      <c r="D2772" s="310"/>
      <c r="E2772" s="311"/>
      <c r="F2772" s="312"/>
    </row>
    <row r="2773" spans="1:6" ht="20.25">
      <c r="A2773" s="309"/>
      <c r="B2773" s="310"/>
      <c r="C2773" s="310"/>
      <c r="D2773" s="310"/>
      <c r="E2773" s="311"/>
      <c r="F2773" s="312"/>
    </row>
    <row r="2774" spans="1:6" ht="20.25">
      <c r="A2774" s="309"/>
      <c r="B2774" s="310"/>
      <c r="C2774" s="310"/>
      <c r="D2774" s="310"/>
      <c r="E2774" s="311"/>
      <c r="F2774" s="312"/>
    </row>
    <row r="2775" spans="1:6" ht="20.25">
      <c r="A2775" s="309"/>
      <c r="B2775" s="310"/>
      <c r="C2775" s="310"/>
      <c r="D2775" s="310"/>
      <c r="E2775" s="311"/>
      <c r="F2775" s="312"/>
    </row>
    <row r="2776" spans="1:6" ht="20.25">
      <c r="A2776" s="309"/>
      <c r="B2776" s="310"/>
      <c r="C2776" s="310"/>
      <c r="D2776" s="310"/>
      <c r="E2776" s="311"/>
      <c r="F2776" s="312"/>
    </row>
    <row r="2777" spans="1:6" ht="20.25">
      <c r="A2777" s="309"/>
      <c r="B2777" s="310"/>
      <c r="C2777" s="310"/>
      <c r="D2777" s="310"/>
      <c r="E2777" s="311"/>
      <c r="F2777" s="312"/>
    </row>
    <row r="2778" spans="1:6" ht="20.25">
      <c r="A2778" s="309"/>
      <c r="B2778" s="310"/>
      <c r="C2778" s="310"/>
      <c r="D2778" s="310"/>
      <c r="E2778" s="311"/>
      <c r="F2778" s="312"/>
    </row>
    <row r="2779" spans="1:6" ht="20.25">
      <c r="A2779" s="309"/>
      <c r="B2779" s="310"/>
      <c r="C2779" s="310"/>
      <c r="D2779" s="310"/>
      <c r="E2779" s="311"/>
      <c r="F2779" s="312"/>
    </row>
    <row r="2780" spans="1:6" ht="20.25">
      <c r="A2780" s="309"/>
      <c r="B2780" s="310"/>
      <c r="C2780" s="310"/>
      <c r="D2780" s="310"/>
      <c r="E2780" s="311"/>
      <c r="F2780" s="312"/>
    </row>
    <row r="2781" spans="1:6" ht="20.25">
      <c r="A2781" s="309"/>
      <c r="B2781" s="310"/>
      <c r="C2781" s="310"/>
      <c r="D2781" s="310"/>
      <c r="E2781" s="311"/>
      <c r="F2781" s="312"/>
    </row>
    <row r="2782" spans="1:6" ht="20.25">
      <c r="A2782" s="309"/>
      <c r="B2782" s="310"/>
      <c r="C2782" s="310"/>
      <c r="D2782" s="310"/>
      <c r="E2782" s="311"/>
      <c r="F2782" s="312"/>
    </row>
    <row r="2783" spans="1:6" ht="20.25">
      <c r="A2783" s="309"/>
      <c r="B2783" s="310"/>
      <c r="C2783" s="310"/>
      <c r="D2783" s="310"/>
      <c r="E2783" s="311"/>
      <c r="F2783" s="312"/>
    </row>
    <row r="2784" spans="1:6" ht="20.25">
      <c r="A2784" s="309"/>
      <c r="B2784" s="310"/>
      <c r="C2784" s="310"/>
      <c r="D2784" s="310"/>
      <c r="E2784" s="311"/>
      <c r="F2784" s="312"/>
    </row>
    <row r="2785" spans="1:6" ht="20.25">
      <c r="A2785" s="309"/>
      <c r="B2785" s="310"/>
      <c r="C2785" s="310"/>
      <c r="D2785" s="310"/>
      <c r="E2785" s="311"/>
      <c r="F2785" s="312"/>
    </row>
    <row r="2786" spans="1:6" ht="20.25">
      <c r="A2786" s="309"/>
      <c r="B2786" s="310"/>
      <c r="C2786" s="310"/>
      <c r="D2786" s="310"/>
      <c r="E2786" s="311"/>
      <c r="F2786" s="312"/>
    </row>
    <row r="2787" spans="1:6" ht="20.25">
      <c r="A2787" s="309"/>
      <c r="B2787" s="310"/>
      <c r="C2787" s="310"/>
      <c r="D2787" s="310"/>
      <c r="E2787" s="311"/>
      <c r="F2787" s="312"/>
    </row>
    <row r="2788" spans="1:6" ht="20.25">
      <c r="A2788" s="309"/>
      <c r="B2788" s="310"/>
      <c r="C2788" s="310"/>
      <c r="D2788" s="310"/>
      <c r="E2788" s="311"/>
      <c r="F2788" s="312"/>
    </row>
    <row r="2789" spans="1:6" ht="20.25">
      <c r="A2789" s="309"/>
      <c r="B2789" s="310"/>
      <c r="C2789" s="310"/>
      <c r="D2789" s="310"/>
      <c r="E2789" s="311"/>
      <c r="F2789" s="312"/>
    </row>
    <row r="2790" spans="1:6" ht="20.25">
      <c r="A2790" s="309"/>
      <c r="B2790" s="310"/>
      <c r="C2790" s="310"/>
      <c r="D2790" s="310"/>
      <c r="E2790" s="311"/>
      <c r="F2790" s="312"/>
    </row>
    <row r="2791" spans="1:6" ht="20.25">
      <c r="A2791" s="309"/>
      <c r="B2791" s="310"/>
      <c r="C2791" s="310"/>
      <c r="D2791" s="310"/>
      <c r="E2791" s="311"/>
      <c r="F2791" s="312"/>
    </row>
    <row r="2792" spans="1:6" ht="20.25">
      <c r="A2792" s="309"/>
      <c r="B2792" s="310"/>
      <c r="C2792" s="310"/>
      <c r="D2792" s="310"/>
      <c r="E2792" s="311"/>
      <c r="F2792" s="312"/>
    </row>
    <row r="2793" spans="1:6" ht="20.25">
      <c r="A2793" s="309"/>
      <c r="B2793" s="310"/>
      <c r="C2793" s="310"/>
      <c r="D2793" s="310"/>
      <c r="E2793" s="311"/>
      <c r="F2793" s="312"/>
    </row>
    <row r="2794" spans="1:6" ht="20.25">
      <c r="A2794" s="309"/>
      <c r="B2794" s="310"/>
      <c r="C2794" s="310"/>
      <c r="D2794" s="310"/>
      <c r="E2794" s="311"/>
      <c r="F2794" s="312"/>
    </row>
    <row r="2795" spans="1:6" ht="20.25">
      <c r="A2795" s="309"/>
      <c r="B2795" s="310"/>
      <c r="C2795" s="310"/>
      <c r="D2795" s="310"/>
      <c r="E2795" s="311"/>
      <c r="F2795" s="312"/>
    </row>
    <row r="2796" spans="1:6" ht="20.25">
      <c r="A2796" s="309"/>
      <c r="B2796" s="310"/>
      <c r="C2796" s="310"/>
      <c r="D2796" s="310"/>
      <c r="E2796" s="311"/>
      <c r="F2796" s="312"/>
    </row>
    <row r="2797" spans="1:6" ht="20.25">
      <c r="A2797" s="309"/>
      <c r="B2797" s="310"/>
      <c r="C2797" s="310"/>
      <c r="D2797" s="310"/>
      <c r="E2797" s="311"/>
      <c r="F2797" s="312"/>
    </row>
    <row r="2798" spans="1:6" ht="20.25">
      <c r="A2798" s="309"/>
      <c r="B2798" s="310"/>
      <c r="C2798" s="310"/>
      <c r="D2798" s="310"/>
      <c r="E2798" s="311"/>
      <c r="F2798" s="312"/>
    </row>
    <row r="2799" spans="1:6" ht="20.25">
      <c r="A2799" s="309"/>
      <c r="B2799" s="310"/>
      <c r="C2799" s="310"/>
      <c r="D2799" s="310"/>
      <c r="E2799" s="311"/>
      <c r="F2799" s="312"/>
    </row>
    <row r="2800" spans="1:6" ht="20.25">
      <c r="A2800" s="309"/>
      <c r="B2800" s="310"/>
      <c r="C2800" s="310"/>
      <c r="D2800" s="310"/>
      <c r="E2800" s="311"/>
      <c r="F2800" s="312"/>
    </row>
    <row r="2801" spans="1:6" ht="20.25">
      <c r="A2801" s="309"/>
      <c r="B2801" s="310"/>
      <c r="C2801" s="310"/>
      <c r="D2801" s="310"/>
      <c r="E2801" s="311"/>
      <c r="F2801" s="312"/>
    </row>
    <row r="2802" spans="1:6" ht="20.25">
      <c r="A2802" s="309"/>
      <c r="B2802" s="310"/>
      <c r="C2802" s="310"/>
      <c r="D2802" s="310"/>
      <c r="E2802" s="311"/>
      <c r="F2802" s="312"/>
    </row>
    <row r="2803" spans="1:6" ht="20.25">
      <c r="A2803" s="309"/>
      <c r="B2803" s="310"/>
      <c r="C2803" s="310"/>
      <c r="D2803" s="310"/>
      <c r="E2803" s="311"/>
      <c r="F2803" s="312"/>
    </row>
    <row r="2804" spans="1:6" ht="20.25">
      <c r="A2804" s="309"/>
      <c r="B2804" s="310"/>
      <c r="C2804" s="310"/>
      <c r="D2804" s="310"/>
      <c r="E2804" s="311"/>
      <c r="F2804" s="312"/>
    </row>
    <row r="2805" spans="1:6" ht="20.25">
      <c r="A2805" s="309"/>
      <c r="B2805" s="310"/>
      <c r="C2805" s="310"/>
      <c r="D2805" s="310"/>
      <c r="E2805" s="311"/>
      <c r="F2805" s="312"/>
    </row>
    <row r="2806" spans="1:6" ht="20.25">
      <c r="A2806" s="309"/>
      <c r="B2806" s="310"/>
      <c r="C2806" s="310"/>
      <c r="D2806" s="310"/>
      <c r="E2806" s="311"/>
      <c r="F2806" s="312"/>
    </row>
    <row r="2807" spans="1:6" ht="20.25">
      <c r="A2807" s="309"/>
      <c r="B2807" s="310"/>
      <c r="C2807" s="310"/>
      <c r="D2807" s="310"/>
      <c r="E2807" s="311"/>
      <c r="F2807" s="312"/>
    </row>
    <row r="2808" spans="1:6" ht="20.25">
      <c r="A2808" s="309"/>
      <c r="B2808" s="310"/>
      <c r="C2808" s="310"/>
      <c r="D2808" s="310"/>
      <c r="E2808" s="311"/>
      <c r="F2808" s="312"/>
    </row>
    <row r="2809" spans="1:6" ht="20.25">
      <c r="A2809" s="309"/>
      <c r="B2809" s="310"/>
      <c r="C2809" s="310"/>
      <c r="D2809" s="310"/>
      <c r="E2809" s="311"/>
      <c r="F2809" s="312"/>
    </row>
    <row r="2810" spans="1:6" ht="20.25">
      <c r="A2810" s="309"/>
      <c r="B2810" s="310"/>
      <c r="C2810" s="310"/>
      <c r="D2810" s="310"/>
      <c r="E2810" s="311"/>
      <c r="F2810" s="312"/>
    </row>
    <row r="2811" spans="1:6" ht="20.25">
      <c r="A2811" s="309"/>
      <c r="B2811" s="310"/>
      <c r="C2811" s="310"/>
      <c r="D2811" s="310"/>
      <c r="E2811" s="311"/>
      <c r="F2811" s="312"/>
    </row>
    <row r="2812" spans="1:6" ht="20.25">
      <c r="A2812" s="309"/>
      <c r="B2812" s="310"/>
      <c r="C2812" s="310"/>
      <c r="D2812" s="310"/>
      <c r="E2812" s="311"/>
      <c r="F2812" s="312"/>
    </row>
    <row r="2813" spans="1:6" ht="20.25">
      <c r="A2813" s="309"/>
      <c r="B2813" s="310"/>
      <c r="C2813" s="310"/>
      <c r="D2813" s="310"/>
      <c r="E2813" s="311"/>
      <c r="F2813" s="312"/>
    </row>
    <row r="2814" spans="1:6" ht="20.25">
      <c r="A2814" s="309"/>
      <c r="B2814" s="310"/>
      <c r="C2814" s="310"/>
      <c r="D2814" s="310"/>
      <c r="E2814" s="311"/>
      <c r="F2814" s="312"/>
    </row>
    <row r="2815" spans="1:6" ht="20.25">
      <c r="A2815" s="309"/>
      <c r="B2815" s="310"/>
      <c r="C2815" s="310"/>
      <c r="D2815" s="310"/>
      <c r="E2815" s="311"/>
      <c r="F2815" s="312"/>
    </row>
    <row r="2816" spans="1:6" ht="20.25">
      <c r="A2816" s="309"/>
      <c r="B2816" s="310"/>
      <c r="C2816" s="310"/>
      <c r="D2816" s="310"/>
      <c r="E2816" s="311"/>
      <c r="F2816" s="312"/>
    </row>
    <row r="2817" spans="1:6" ht="20.25">
      <c r="A2817" s="309"/>
      <c r="B2817" s="310"/>
      <c r="C2817" s="310"/>
      <c r="D2817" s="310"/>
      <c r="E2817" s="311"/>
      <c r="F2817" s="312"/>
    </row>
    <row r="2818" spans="1:6" ht="20.25">
      <c r="A2818" s="309"/>
      <c r="B2818" s="310"/>
      <c r="C2818" s="310"/>
      <c r="D2818" s="310"/>
      <c r="E2818" s="311"/>
      <c r="F2818" s="312"/>
    </row>
    <row r="2819" spans="1:6" ht="20.25">
      <c r="A2819" s="309"/>
      <c r="B2819" s="310"/>
      <c r="C2819" s="310"/>
      <c r="D2819" s="310"/>
      <c r="E2819" s="311"/>
      <c r="F2819" s="312"/>
    </row>
    <row r="2820" spans="1:6" ht="20.25">
      <c r="A2820" s="309"/>
      <c r="B2820" s="310"/>
      <c r="C2820" s="310"/>
      <c r="D2820" s="310"/>
      <c r="E2820" s="311"/>
      <c r="F2820" s="312"/>
    </row>
    <row r="2821" spans="1:6" ht="20.25">
      <c r="A2821" s="309"/>
      <c r="B2821" s="310"/>
      <c r="C2821" s="310"/>
      <c r="D2821" s="310"/>
      <c r="E2821" s="311"/>
      <c r="F2821" s="312"/>
    </row>
    <row r="2822" spans="1:6" ht="20.25">
      <c r="A2822" s="309"/>
      <c r="B2822" s="310"/>
      <c r="C2822" s="310"/>
      <c r="D2822" s="310"/>
      <c r="E2822" s="311"/>
      <c r="F2822" s="312"/>
    </row>
    <row r="2823" spans="1:6" ht="20.25">
      <c r="A2823" s="309"/>
      <c r="B2823" s="310"/>
      <c r="C2823" s="310"/>
      <c r="D2823" s="310"/>
      <c r="E2823" s="311"/>
      <c r="F2823" s="312"/>
    </row>
    <row r="2824" spans="1:6" ht="20.25">
      <c r="A2824" s="309"/>
      <c r="B2824" s="310"/>
      <c r="C2824" s="310"/>
      <c r="D2824" s="310"/>
      <c r="E2824" s="311"/>
      <c r="F2824" s="312"/>
    </row>
    <row r="2825" spans="1:6" ht="20.25">
      <c r="A2825" s="309"/>
      <c r="B2825" s="310"/>
      <c r="C2825" s="310"/>
      <c r="D2825" s="310"/>
      <c r="E2825" s="311"/>
      <c r="F2825" s="312"/>
    </row>
    <row r="2826" spans="1:6" ht="20.25">
      <c r="A2826" s="309"/>
      <c r="B2826" s="310"/>
      <c r="C2826" s="310"/>
      <c r="D2826" s="310"/>
      <c r="E2826" s="311"/>
      <c r="F2826" s="312"/>
    </row>
    <row r="2827" spans="1:6" ht="20.25">
      <c r="A2827" s="309"/>
      <c r="B2827" s="310"/>
      <c r="C2827" s="310"/>
      <c r="D2827" s="310"/>
      <c r="E2827" s="311"/>
      <c r="F2827" s="312"/>
    </row>
    <row r="2828" spans="1:6" ht="20.25">
      <c r="A2828" s="309"/>
      <c r="B2828" s="310"/>
      <c r="C2828" s="310"/>
      <c r="D2828" s="310"/>
      <c r="E2828" s="311"/>
      <c r="F2828" s="312"/>
    </row>
    <row r="2829" spans="1:6" ht="20.25">
      <c r="A2829" s="309"/>
      <c r="B2829" s="310"/>
      <c r="C2829" s="310"/>
      <c r="D2829" s="310"/>
      <c r="E2829" s="311"/>
      <c r="F2829" s="312"/>
    </row>
    <row r="2830" spans="1:6" ht="20.25">
      <c r="A2830" s="309"/>
      <c r="B2830" s="310"/>
      <c r="C2830" s="310"/>
      <c r="D2830" s="310"/>
      <c r="E2830" s="311"/>
      <c r="F2830" s="312"/>
    </row>
    <row r="2831" spans="1:6" ht="20.25">
      <c r="A2831" s="309"/>
      <c r="B2831" s="310"/>
      <c r="C2831" s="310"/>
      <c r="D2831" s="310"/>
      <c r="E2831" s="311"/>
      <c r="F2831" s="312"/>
    </row>
    <row r="2832" spans="1:6" ht="20.25">
      <c r="A2832" s="309"/>
      <c r="B2832" s="310"/>
      <c r="C2832" s="310"/>
      <c r="D2832" s="310"/>
      <c r="E2832" s="311"/>
      <c r="F2832" s="312"/>
    </row>
    <row r="2833" spans="1:6" ht="20.25">
      <c r="A2833" s="309"/>
      <c r="B2833" s="310"/>
      <c r="C2833" s="310"/>
      <c r="D2833" s="310"/>
      <c r="E2833" s="311"/>
      <c r="F2833" s="312"/>
    </row>
    <row r="2834" spans="1:6" ht="20.25">
      <c r="A2834" s="309"/>
      <c r="B2834" s="310"/>
      <c r="C2834" s="310"/>
      <c r="D2834" s="310"/>
      <c r="E2834" s="311"/>
      <c r="F2834" s="312"/>
    </row>
    <row r="2835" spans="1:6" ht="20.25">
      <c r="A2835" s="309"/>
      <c r="B2835" s="310"/>
      <c r="C2835" s="310"/>
      <c r="D2835" s="310"/>
      <c r="E2835" s="311"/>
      <c r="F2835" s="312"/>
    </row>
    <row r="2836" spans="1:6" ht="20.25">
      <c r="A2836" s="309"/>
      <c r="B2836" s="310"/>
      <c r="C2836" s="310"/>
      <c r="D2836" s="310"/>
      <c r="E2836" s="311"/>
      <c r="F2836" s="312"/>
    </row>
    <row r="2837" spans="1:6" ht="20.25">
      <c r="A2837" s="309"/>
      <c r="B2837" s="310"/>
      <c r="C2837" s="310"/>
      <c r="D2837" s="310"/>
      <c r="E2837" s="311"/>
      <c r="F2837" s="312"/>
    </row>
    <row r="2838" spans="1:6" ht="20.25">
      <c r="A2838" s="309"/>
      <c r="B2838" s="310"/>
      <c r="C2838" s="310"/>
      <c r="D2838" s="310"/>
      <c r="E2838" s="311"/>
      <c r="F2838" s="312"/>
    </row>
    <row r="2839" spans="1:6" ht="20.25">
      <c r="A2839" s="309"/>
      <c r="B2839" s="310"/>
      <c r="C2839" s="310"/>
      <c r="D2839" s="310"/>
      <c r="E2839" s="311"/>
      <c r="F2839" s="312"/>
    </row>
    <row r="2840" spans="1:6" ht="20.25">
      <c r="A2840" s="309"/>
      <c r="B2840" s="310"/>
      <c r="C2840" s="310"/>
      <c r="D2840" s="310"/>
      <c r="E2840" s="311"/>
      <c r="F2840" s="312"/>
    </row>
    <row r="2841" spans="1:6" ht="20.25">
      <c r="A2841" s="309"/>
      <c r="B2841" s="310"/>
      <c r="C2841" s="310"/>
      <c r="D2841" s="310"/>
      <c r="E2841" s="311"/>
      <c r="F2841" s="312"/>
    </row>
    <row r="2842" spans="1:6" ht="20.25">
      <c r="A2842" s="309"/>
      <c r="B2842" s="310"/>
      <c r="C2842" s="310"/>
      <c r="D2842" s="310"/>
      <c r="E2842" s="311"/>
      <c r="F2842" s="312"/>
    </row>
    <row r="2843" spans="1:6" ht="20.25">
      <c r="A2843" s="309"/>
      <c r="B2843" s="310"/>
      <c r="C2843" s="310"/>
      <c r="D2843" s="310"/>
      <c r="E2843" s="311"/>
      <c r="F2843" s="312"/>
    </row>
    <row r="2844" spans="1:6" ht="20.25">
      <c r="A2844" s="309"/>
      <c r="B2844" s="310"/>
      <c r="C2844" s="310"/>
      <c r="D2844" s="310"/>
      <c r="E2844" s="311"/>
      <c r="F2844" s="312"/>
    </row>
    <row r="2845" spans="1:6" ht="20.25">
      <c r="A2845" s="309"/>
      <c r="B2845" s="310"/>
      <c r="C2845" s="310"/>
      <c r="D2845" s="310"/>
      <c r="E2845" s="311"/>
      <c r="F2845" s="312"/>
    </row>
    <row r="2846" spans="1:6" ht="20.25">
      <c r="A2846" s="309"/>
      <c r="B2846" s="310"/>
      <c r="C2846" s="310"/>
      <c r="D2846" s="310"/>
      <c r="E2846" s="311"/>
      <c r="F2846" s="312"/>
    </row>
    <row r="2847" spans="1:6" ht="20.25">
      <c r="A2847" s="309"/>
      <c r="B2847" s="310"/>
      <c r="C2847" s="310"/>
      <c r="D2847" s="310"/>
      <c r="E2847" s="311"/>
      <c r="F2847" s="312"/>
    </row>
    <row r="2848" spans="1:6" ht="20.25">
      <c r="A2848" s="309"/>
      <c r="B2848" s="310"/>
      <c r="C2848" s="310"/>
      <c r="D2848" s="310"/>
      <c r="E2848" s="311"/>
      <c r="F2848" s="312"/>
    </row>
    <row r="2849" spans="1:6" ht="20.25">
      <c r="A2849" s="309"/>
      <c r="B2849" s="310"/>
      <c r="C2849" s="310"/>
      <c r="D2849" s="310"/>
      <c r="E2849" s="311"/>
      <c r="F2849" s="312"/>
    </row>
    <row r="2850" spans="1:6" ht="20.25">
      <c r="A2850" s="309"/>
      <c r="B2850" s="310"/>
      <c r="C2850" s="310"/>
      <c r="D2850" s="310"/>
      <c r="E2850" s="311"/>
      <c r="F2850" s="312"/>
    </row>
    <row r="2851" spans="1:6" ht="20.25">
      <c r="A2851" s="309"/>
      <c r="B2851" s="310"/>
      <c r="C2851" s="310"/>
      <c r="D2851" s="310"/>
      <c r="E2851" s="311"/>
      <c r="F2851" s="312"/>
    </row>
    <row r="2852" spans="1:6" ht="20.25">
      <c r="A2852" s="309"/>
      <c r="B2852" s="310"/>
      <c r="C2852" s="310"/>
      <c r="D2852" s="310"/>
      <c r="E2852" s="311"/>
      <c r="F2852" s="312"/>
    </row>
    <row r="2853" spans="1:6" ht="20.25">
      <c r="A2853" s="309"/>
      <c r="B2853" s="310"/>
      <c r="C2853" s="310"/>
      <c r="D2853" s="310"/>
      <c r="E2853" s="311"/>
      <c r="F2853" s="312"/>
    </row>
    <row r="2854" spans="1:6" ht="20.25">
      <c r="A2854" s="309"/>
      <c r="B2854" s="310"/>
      <c r="C2854" s="310"/>
      <c r="D2854" s="310"/>
      <c r="E2854" s="311"/>
      <c r="F2854" s="312"/>
    </row>
    <row r="2855" spans="1:6" ht="20.25">
      <c r="A2855" s="309"/>
      <c r="B2855" s="310"/>
      <c r="C2855" s="310"/>
      <c r="D2855" s="310"/>
      <c r="E2855" s="311"/>
      <c r="F2855" s="312"/>
    </row>
    <row r="2856" spans="1:6" ht="20.25">
      <c r="A2856" s="309"/>
      <c r="B2856" s="310"/>
      <c r="C2856" s="310"/>
      <c r="D2856" s="310"/>
      <c r="E2856" s="311"/>
      <c r="F2856" s="312"/>
    </row>
    <row r="2857" spans="1:6" ht="20.25">
      <c r="A2857" s="309"/>
      <c r="B2857" s="310"/>
      <c r="C2857" s="310"/>
      <c r="D2857" s="310"/>
      <c r="E2857" s="311"/>
      <c r="F2857" s="312"/>
    </row>
    <row r="2858" spans="1:6" ht="20.25">
      <c r="A2858" s="309"/>
      <c r="B2858" s="310"/>
      <c r="C2858" s="310"/>
      <c r="D2858" s="310"/>
      <c r="E2858" s="311"/>
      <c r="F2858" s="312"/>
    </row>
    <row r="2859" spans="1:6" ht="20.25">
      <c r="A2859" s="309"/>
      <c r="B2859" s="310"/>
      <c r="C2859" s="310"/>
      <c r="D2859" s="310"/>
      <c r="E2859" s="311"/>
      <c r="F2859" s="312"/>
    </row>
    <row r="2860" spans="1:6" ht="20.25">
      <c r="A2860" s="309"/>
      <c r="B2860" s="310"/>
      <c r="C2860" s="310"/>
      <c r="D2860" s="310"/>
      <c r="E2860" s="311"/>
      <c r="F2860" s="312"/>
    </row>
    <row r="2861" spans="1:6" ht="20.25">
      <c r="A2861" s="309"/>
      <c r="B2861" s="310"/>
      <c r="C2861" s="310"/>
      <c r="D2861" s="310"/>
      <c r="E2861" s="311"/>
      <c r="F2861" s="312"/>
    </row>
    <row r="2862" spans="1:6" ht="20.25">
      <c r="A2862" s="309"/>
      <c r="B2862" s="310"/>
      <c r="C2862" s="310"/>
      <c r="D2862" s="310"/>
      <c r="E2862" s="311"/>
      <c r="F2862" s="312"/>
    </row>
    <row r="2863" spans="1:6" ht="20.25">
      <c r="A2863" s="309"/>
      <c r="B2863" s="310"/>
      <c r="C2863" s="310"/>
      <c r="D2863" s="310"/>
      <c r="E2863" s="311"/>
      <c r="F2863" s="312"/>
    </row>
    <row r="2864" spans="1:6" ht="20.25">
      <c r="A2864" s="309"/>
      <c r="B2864" s="310"/>
      <c r="C2864" s="310"/>
      <c r="D2864" s="310"/>
      <c r="E2864" s="311"/>
      <c r="F2864" s="312"/>
    </row>
    <row r="2865" spans="1:6" ht="20.25">
      <c r="A2865" s="309"/>
      <c r="B2865" s="310"/>
      <c r="C2865" s="310"/>
      <c r="D2865" s="310"/>
      <c r="E2865" s="311"/>
      <c r="F2865" s="312"/>
    </row>
    <row r="2866" spans="1:6" ht="20.25">
      <c r="A2866" s="309"/>
      <c r="B2866" s="310"/>
      <c r="C2866" s="310"/>
      <c r="D2866" s="310"/>
      <c r="E2866" s="311"/>
      <c r="F2866" s="312"/>
    </row>
    <row r="2867" spans="1:6" ht="20.25">
      <c r="A2867" s="309"/>
      <c r="B2867" s="310"/>
      <c r="C2867" s="310"/>
      <c r="D2867" s="310"/>
      <c r="E2867" s="311"/>
      <c r="F2867" s="312"/>
    </row>
    <row r="2868" spans="1:6" ht="20.25">
      <c r="A2868" s="309"/>
      <c r="B2868" s="310"/>
      <c r="C2868" s="310"/>
      <c r="D2868" s="310"/>
      <c r="E2868" s="311"/>
      <c r="F2868" s="312"/>
    </row>
    <row r="2869" spans="1:6" ht="20.25">
      <c r="A2869" s="309"/>
      <c r="B2869" s="310"/>
      <c r="C2869" s="310"/>
      <c r="D2869" s="310"/>
      <c r="E2869" s="311"/>
      <c r="F2869" s="312"/>
    </row>
    <row r="2870" spans="1:6" ht="20.25">
      <c r="A2870" s="309"/>
      <c r="B2870" s="310"/>
      <c r="C2870" s="310"/>
      <c r="D2870" s="310"/>
      <c r="E2870" s="311"/>
      <c r="F2870" s="312"/>
    </row>
    <row r="2871" spans="1:6" ht="20.25">
      <c r="A2871" s="309"/>
      <c r="B2871" s="310"/>
      <c r="C2871" s="310"/>
      <c r="D2871" s="310"/>
      <c r="E2871" s="311"/>
      <c r="F2871" s="312"/>
    </row>
    <row r="2872" spans="1:6" ht="20.25">
      <c r="A2872" s="309"/>
      <c r="B2872" s="310"/>
      <c r="C2872" s="310"/>
      <c r="D2872" s="310"/>
      <c r="E2872" s="311"/>
      <c r="F2872" s="312"/>
    </row>
    <row r="2873" spans="1:6" ht="20.25">
      <c r="A2873" s="309"/>
      <c r="B2873" s="310"/>
      <c r="C2873" s="310"/>
      <c r="D2873" s="310"/>
      <c r="E2873" s="311"/>
      <c r="F2873" s="312"/>
    </row>
    <row r="2874" spans="1:6" ht="20.25">
      <c r="A2874" s="309"/>
      <c r="B2874" s="310"/>
      <c r="C2874" s="310"/>
      <c r="D2874" s="310"/>
      <c r="E2874" s="311"/>
      <c r="F2874" s="312"/>
    </row>
    <row r="2875" spans="1:6" ht="20.25">
      <c r="A2875" s="309"/>
      <c r="B2875" s="310"/>
      <c r="C2875" s="310"/>
      <c r="D2875" s="310"/>
      <c r="E2875" s="311"/>
      <c r="F2875" s="312"/>
    </row>
    <row r="2876" spans="1:6" ht="20.25">
      <c r="A2876" s="309"/>
      <c r="B2876" s="310"/>
      <c r="C2876" s="310"/>
      <c r="D2876" s="310"/>
      <c r="E2876" s="311"/>
      <c r="F2876" s="312"/>
    </row>
    <row r="2877" spans="1:6" ht="20.25">
      <c r="A2877" s="309"/>
      <c r="B2877" s="310"/>
      <c r="C2877" s="310"/>
      <c r="D2877" s="310"/>
      <c r="E2877" s="311"/>
      <c r="F2877" s="312"/>
    </row>
    <row r="2878" spans="1:6" ht="20.25">
      <c r="A2878" s="309"/>
      <c r="B2878" s="310"/>
      <c r="C2878" s="310"/>
      <c r="D2878" s="310"/>
      <c r="E2878" s="311"/>
      <c r="F2878" s="312"/>
    </row>
    <row r="2879" spans="1:6" ht="20.25">
      <c r="A2879" s="309"/>
      <c r="B2879" s="310"/>
      <c r="C2879" s="310"/>
      <c r="D2879" s="310"/>
      <c r="E2879" s="311"/>
      <c r="F2879" s="312"/>
    </row>
    <row r="2880" spans="1:6" ht="20.25">
      <c r="A2880" s="309"/>
      <c r="B2880" s="310"/>
      <c r="C2880" s="310"/>
      <c r="D2880" s="310"/>
      <c r="E2880" s="311"/>
      <c r="F2880" s="312"/>
    </row>
    <row r="2881" spans="1:6" ht="20.25">
      <c r="A2881" s="309"/>
      <c r="B2881" s="310"/>
      <c r="C2881" s="310"/>
      <c r="D2881" s="310"/>
      <c r="E2881" s="311"/>
      <c r="F2881" s="312"/>
    </row>
    <row r="2882" spans="1:6" ht="20.25">
      <c r="A2882" s="309"/>
      <c r="B2882" s="310"/>
      <c r="C2882" s="310"/>
      <c r="D2882" s="310"/>
      <c r="E2882" s="311"/>
      <c r="F2882" s="312"/>
    </row>
    <row r="2883" spans="1:6" ht="20.25">
      <c r="A2883" s="309"/>
      <c r="B2883" s="310"/>
      <c r="C2883" s="310"/>
      <c r="D2883" s="310"/>
      <c r="E2883" s="311"/>
      <c r="F2883" s="312"/>
    </row>
    <row r="2884" spans="1:6" ht="20.25">
      <c r="A2884" s="309"/>
      <c r="B2884" s="310"/>
      <c r="C2884" s="310"/>
      <c r="D2884" s="310"/>
      <c r="E2884" s="311"/>
      <c r="F2884" s="312"/>
    </row>
    <row r="2885" spans="1:6" ht="20.25">
      <c r="A2885" s="309"/>
      <c r="B2885" s="310"/>
      <c r="C2885" s="310"/>
      <c r="D2885" s="310"/>
      <c r="E2885" s="311"/>
      <c r="F2885" s="312"/>
    </row>
    <row r="2886" spans="1:6" ht="20.25">
      <c r="A2886" s="309"/>
      <c r="B2886" s="310"/>
      <c r="C2886" s="310"/>
      <c r="D2886" s="310"/>
      <c r="E2886" s="311"/>
      <c r="F2886" s="312"/>
    </row>
    <row r="2887" spans="1:6" ht="20.25">
      <c r="A2887" s="309"/>
      <c r="B2887" s="310"/>
      <c r="C2887" s="310"/>
      <c r="D2887" s="310"/>
      <c r="E2887" s="311"/>
      <c r="F2887" s="312"/>
    </row>
    <row r="2888" spans="1:6" ht="20.25">
      <c r="A2888" s="309"/>
      <c r="B2888" s="310"/>
      <c r="C2888" s="310"/>
      <c r="D2888" s="310"/>
      <c r="E2888" s="311"/>
      <c r="F2888" s="312"/>
    </row>
    <row r="2889" spans="1:6" ht="20.25">
      <c r="A2889" s="309"/>
      <c r="B2889" s="310"/>
      <c r="C2889" s="310"/>
      <c r="D2889" s="310"/>
      <c r="E2889" s="311"/>
      <c r="F2889" s="312"/>
    </row>
    <row r="2890" spans="1:6" ht="20.25">
      <c r="A2890" s="309"/>
      <c r="B2890" s="310"/>
      <c r="C2890" s="310"/>
      <c r="D2890" s="310"/>
      <c r="E2890" s="311"/>
      <c r="F2890" s="312"/>
    </row>
    <row r="2891" spans="1:6" ht="20.25">
      <c r="A2891" s="309"/>
      <c r="B2891" s="310"/>
      <c r="C2891" s="310"/>
      <c r="D2891" s="310"/>
      <c r="E2891" s="311"/>
      <c r="F2891" s="312"/>
    </row>
    <row r="2892" spans="1:6" ht="20.25">
      <c r="A2892" s="309"/>
      <c r="B2892" s="310"/>
      <c r="C2892" s="310"/>
      <c r="D2892" s="310"/>
      <c r="E2892" s="311"/>
      <c r="F2892" s="312"/>
    </row>
    <row r="2893" spans="1:6" ht="20.25">
      <c r="A2893" s="309"/>
      <c r="B2893" s="310"/>
      <c r="C2893" s="310"/>
      <c r="D2893" s="310"/>
      <c r="E2893" s="311"/>
      <c r="F2893" s="312"/>
    </row>
    <row r="2894" spans="1:6" ht="20.25">
      <c r="A2894" s="309"/>
      <c r="B2894" s="310"/>
      <c r="C2894" s="310"/>
      <c r="D2894" s="310"/>
      <c r="E2894" s="311"/>
      <c r="F2894" s="312"/>
    </row>
    <row r="2895" spans="1:6" ht="20.25">
      <c r="A2895" s="309"/>
      <c r="B2895" s="310"/>
      <c r="C2895" s="310"/>
      <c r="D2895" s="310"/>
      <c r="E2895" s="311"/>
      <c r="F2895" s="312"/>
    </row>
    <row r="2896" spans="1:6" ht="20.25">
      <c r="A2896" s="309"/>
      <c r="B2896" s="310"/>
      <c r="C2896" s="310"/>
      <c r="D2896" s="310"/>
      <c r="E2896" s="311"/>
      <c r="F2896" s="312"/>
    </row>
    <row r="2897" spans="1:6" ht="20.25">
      <c r="A2897" s="309"/>
      <c r="B2897" s="310"/>
      <c r="C2897" s="310"/>
      <c r="D2897" s="310"/>
      <c r="E2897" s="311"/>
      <c r="F2897" s="312"/>
    </row>
    <row r="2898" spans="1:6" ht="20.25">
      <c r="A2898" s="309"/>
      <c r="B2898" s="310"/>
      <c r="C2898" s="310"/>
      <c r="D2898" s="310"/>
      <c r="E2898" s="311"/>
      <c r="F2898" s="312"/>
    </row>
    <row r="2899" spans="1:6" ht="20.25">
      <c r="A2899" s="309"/>
      <c r="B2899" s="310"/>
      <c r="C2899" s="310"/>
      <c r="D2899" s="310"/>
      <c r="E2899" s="311"/>
      <c r="F2899" s="312"/>
    </row>
    <row r="2900" spans="1:6" ht="20.25">
      <c r="A2900" s="309"/>
      <c r="B2900" s="310"/>
      <c r="C2900" s="310"/>
      <c r="D2900" s="310"/>
      <c r="E2900" s="311"/>
      <c r="F2900" s="312"/>
    </row>
    <row r="2901" spans="1:6" ht="20.25">
      <c r="A2901" s="309"/>
      <c r="B2901" s="310"/>
      <c r="C2901" s="310"/>
      <c r="D2901" s="310"/>
      <c r="E2901" s="311"/>
      <c r="F2901" s="312"/>
    </row>
    <row r="2902" spans="1:6" ht="20.25">
      <c r="A2902" s="309"/>
      <c r="B2902" s="310"/>
      <c r="C2902" s="310"/>
      <c r="D2902" s="310"/>
      <c r="E2902" s="311"/>
      <c r="F2902" s="312"/>
    </row>
    <row r="2903" spans="1:6" ht="20.25">
      <c r="A2903" s="309"/>
      <c r="B2903" s="310"/>
      <c r="C2903" s="310"/>
      <c r="D2903" s="310"/>
      <c r="E2903" s="311"/>
      <c r="F2903" s="312"/>
    </row>
    <row r="2904" spans="1:6" ht="20.25">
      <c r="A2904" s="309"/>
      <c r="B2904" s="310"/>
      <c r="C2904" s="310"/>
      <c r="D2904" s="310"/>
      <c r="E2904" s="311"/>
      <c r="F2904" s="312"/>
    </row>
    <row r="2905" spans="1:6" ht="20.25">
      <c r="A2905" s="309"/>
      <c r="B2905" s="310"/>
      <c r="C2905" s="310"/>
      <c r="D2905" s="310"/>
      <c r="E2905" s="311"/>
      <c r="F2905" s="312"/>
    </row>
    <row r="2906" spans="1:6" ht="20.25">
      <c r="A2906" s="309"/>
      <c r="B2906" s="310"/>
      <c r="C2906" s="310"/>
      <c r="D2906" s="310"/>
      <c r="E2906" s="311"/>
      <c r="F2906" s="312"/>
    </row>
    <row r="2907" spans="1:6" ht="20.25">
      <c r="A2907" s="309"/>
      <c r="B2907" s="310"/>
      <c r="C2907" s="310"/>
      <c r="D2907" s="310"/>
      <c r="E2907" s="311"/>
      <c r="F2907" s="312"/>
    </row>
    <row r="2908" spans="1:6" ht="20.25">
      <c r="A2908" s="309"/>
      <c r="B2908" s="310"/>
      <c r="C2908" s="310"/>
      <c r="D2908" s="310"/>
      <c r="E2908" s="311"/>
      <c r="F2908" s="312"/>
    </row>
    <row r="2909" spans="1:6" ht="20.25">
      <c r="A2909" s="309"/>
      <c r="B2909" s="310"/>
      <c r="C2909" s="310"/>
      <c r="D2909" s="310"/>
      <c r="E2909" s="311"/>
      <c r="F2909" s="312"/>
    </row>
    <row r="2910" spans="1:6" ht="20.25">
      <c r="A2910" s="309"/>
      <c r="B2910" s="310"/>
      <c r="C2910" s="310"/>
      <c r="D2910" s="310"/>
      <c r="E2910" s="311"/>
      <c r="F2910" s="312"/>
    </row>
    <row r="2911" spans="1:6" ht="20.25">
      <c r="A2911" s="309"/>
      <c r="B2911" s="310"/>
      <c r="C2911" s="310"/>
      <c r="D2911" s="310"/>
      <c r="E2911" s="311"/>
      <c r="F2911" s="312"/>
    </row>
    <row r="2912" spans="1:6" ht="20.25">
      <c r="A2912" s="309"/>
      <c r="B2912" s="310"/>
      <c r="C2912" s="310"/>
      <c r="D2912" s="310"/>
      <c r="E2912" s="311"/>
      <c r="F2912" s="312"/>
    </row>
    <row r="2913" spans="1:6" ht="20.25">
      <c r="A2913" s="309"/>
      <c r="B2913" s="310"/>
      <c r="C2913" s="310"/>
      <c r="D2913" s="310"/>
      <c r="E2913" s="311"/>
      <c r="F2913" s="312"/>
    </row>
    <row r="2914" spans="1:6" ht="20.25">
      <c r="A2914" s="309"/>
      <c r="B2914" s="310"/>
      <c r="C2914" s="310"/>
      <c r="D2914" s="310"/>
      <c r="E2914" s="311"/>
      <c r="F2914" s="312"/>
    </row>
    <row r="2915" spans="1:6" ht="20.25">
      <c r="A2915" s="309"/>
      <c r="B2915" s="310"/>
      <c r="C2915" s="310"/>
      <c r="D2915" s="310"/>
      <c r="E2915" s="311"/>
      <c r="F2915" s="312"/>
    </row>
    <row r="2916" spans="1:6" ht="20.25">
      <c r="A2916" s="309"/>
      <c r="B2916" s="310"/>
      <c r="C2916" s="310"/>
      <c r="D2916" s="310"/>
      <c r="E2916" s="311"/>
      <c r="F2916" s="312"/>
    </row>
    <row r="2917" spans="1:6" ht="20.25">
      <c r="A2917" s="309"/>
      <c r="B2917" s="310"/>
      <c r="C2917" s="310"/>
      <c r="D2917" s="310"/>
      <c r="E2917" s="311"/>
      <c r="F2917" s="312"/>
    </row>
    <row r="2918" spans="1:6" ht="20.25">
      <c r="A2918" s="309"/>
      <c r="B2918" s="310"/>
      <c r="C2918" s="310"/>
      <c r="D2918" s="310"/>
      <c r="E2918" s="311"/>
      <c r="F2918" s="312"/>
    </row>
    <row r="2919" spans="1:6" ht="20.25">
      <c r="A2919" s="309"/>
      <c r="B2919" s="310"/>
      <c r="C2919" s="310"/>
      <c r="D2919" s="310"/>
      <c r="E2919" s="311"/>
      <c r="F2919" s="312"/>
    </row>
    <row r="2920" spans="1:6" ht="20.25">
      <c r="A2920" s="309"/>
      <c r="B2920" s="310"/>
      <c r="C2920" s="310"/>
      <c r="D2920" s="310"/>
      <c r="E2920" s="311"/>
      <c r="F2920" s="312"/>
    </row>
    <row r="2921" spans="1:6" ht="20.25">
      <c r="A2921" s="309"/>
      <c r="B2921" s="310"/>
      <c r="C2921" s="310"/>
      <c r="D2921" s="310"/>
      <c r="E2921" s="311"/>
      <c r="F2921" s="312"/>
    </row>
    <row r="2922" spans="1:6" ht="20.25">
      <c r="A2922" s="309"/>
      <c r="B2922" s="310"/>
      <c r="C2922" s="310"/>
      <c r="D2922" s="310"/>
      <c r="E2922" s="311"/>
      <c r="F2922" s="312"/>
    </row>
    <row r="2923" spans="1:6" ht="20.25">
      <c r="A2923" s="309"/>
      <c r="B2923" s="310"/>
      <c r="C2923" s="310"/>
      <c r="D2923" s="310"/>
      <c r="E2923" s="311"/>
      <c r="F2923" s="312"/>
    </row>
    <row r="2924" spans="1:6" ht="20.25">
      <c r="A2924" s="309"/>
      <c r="B2924" s="310"/>
      <c r="C2924" s="310"/>
      <c r="D2924" s="310"/>
      <c r="E2924" s="311"/>
      <c r="F2924" s="312"/>
    </row>
    <row r="2925" spans="1:6" ht="20.25">
      <c r="A2925" s="309"/>
      <c r="B2925" s="310"/>
      <c r="C2925" s="310"/>
      <c r="D2925" s="310"/>
      <c r="E2925" s="311"/>
      <c r="F2925" s="312"/>
    </row>
    <row r="2926" spans="1:6" ht="20.25">
      <c r="A2926" s="309"/>
      <c r="B2926" s="310"/>
      <c r="C2926" s="310"/>
      <c r="D2926" s="310"/>
      <c r="E2926" s="311"/>
      <c r="F2926" s="312"/>
    </row>
    <row r="2927" spans="1:6" ht="20.25">
      <c r="A2927" s="309"/>
      <c r="B2927" s="310"/>
      <c r="C2927" s="310"/>
      <c r="D2927" s="310"/>
      <c r="E2927" s="311"/>
      <c r="F2927" s="312"/>
    </row>
    <row r="2928" spans="1:6" ht="20.25">
      <c r="A2928" s="309"/>
      <c r="B2928" s="310"/>
      <c r="C2928" s="310"/>
      <c r="D2928" s="310"/>
      <c r="E2928" s="311"/>
      <c r="F2928" s="312"/>
    </row>
    <row r="2929" spans="1:6" ht="20.25">
      <c r="A2929" s="309"/>
      <c r="B2929" s="310"/>
      <c r="C2929" s="310"/>
      <c r="D2929" s="310"/>
      <c r="E2929" s="311"/>
      <c r="F2929" s="312"/>
    </row>
    <row r="2930" spans="1:6" ht="20.25">
      <c r="A2930" s="309"/>
      <c r="B2930" s="310"/>
      <c r="C2930" s="310"/>
      <c r="D2930" s="310"/>
      <c r="E2930" s="311"/>
      <c r="F2930" s="312"/>
    </row>
    <row r="2931" spans="1:6" ht="20.25">
      <c r="A2931" s="309"/>
      <c r="B2931" s="310"/>
      <c r="C2931" s="310"/>
      <c r="D2931" s="310"/>
      <c r="E2931" s="311"/>
      <c r="F2931" s="312"/>
    </row>
    <row r="2932" spans="1:6" ht="20.25">
      <c r="A2932" s="309"/>
      <c r="B2932" s="310"/>
      <c r="C2932" s="310"/>
      <c r="D2932" s="310"/>
      <c r="E2932" s="311"/>
      <c r="F2932" s="312"/>
    </row>
    <row r="2933" spans="1:6" ht="20.25">
      <c r="A2933" s="309"/>
      <c r="B2933" s="310"/>
      <c r="C2933" s="310"/>
      <c r="D2933" s="310"/>
      <c r="E2933" s="311"/>
      <c r="F2933" s="312"/>
    </row>
    <row r="2934" spans="1:6" ht="20.25">
      <c r="A2934" s="309"/>
      <c r="B2934" s="310"/>
      <c r="C2934" s="310"/>
      <c r="D2934" s="310"/>
      <c r="E2934" s="311"/>
      <c r="F2934" s="312"/>
    </row>
    <row r="2935" spans="1:6" ht="20.25">
      <c r="A2935" s="309"/>
      <c r="B2935" s="310"/>
      <c r="C2935" s="310"/>
      <c r="D2935" s="310"/>
      <c r="E2935" s="311"/>
      <c r="F2935" s="312"/>
    </row>
    <row r="2936" spans="1:6" ht="20.25">
      <c r="A2936" s="309"/>
      <c r="B2936" s="310"/>
      <c r="C2936" s="310"/>
      <c r="D2936" s="310"/>
      <c r="E2936" s="311"/>
      <c r="F2936" s="312"/>
    </row>
    <row r="2937" spans="1:6" ht="20.25">
      <c r="A2937" s="309"/>
      <c r="B2937" s="310"/>
      <c r="C2937" s="310"/>
      <c r="D2937" s="310"/>
      <c r="E2937" s="311"/>
      <c r="F2937" s="312"/>
    </row>
    <row r="2938" spans="1:6" ht="20.25">
      <c r="A2938" s="309"/>
      <c r="B2938" s="310"/>
      <c r="C2938" s="310"/>
      <c r="D2938" s="310"/>
      <c r="E2938" s="311"/>
      <c r="F2938" s="312"/>
    </row>
    <row r="2939" spans="1:6" ht="20.25">
      <c r="A2939" s="309"/>
      <c r="B2939" s="310"/>
      <c r="C2939" s="310"/>
      <c r="D2939" s="310"/>
      <c r="E2939" s="311"/>
      <c r="F2939" s="312"/>
    </row>
    <row r="2940" spans="1:6" ht="20.25">
      <c r="A2940" s="309"/>
      <c r="B2940" s="310"/>
      <c r="C2940" s="310"/>
      <c r="D2940" s="310"/>
      <c r="E2940" s="311"/>
      <c r="F2940" s="312"/>
    </row>
    <row r="2941" spans="1:6" ht="20.25">
      <c r="A2941" s="309"/>
      <c r="B2941" s="310"/>
      <c r="C2941" s="310"/>
      <c r="D2941" s="310"/>
      <c r="E2941" s="311"/>
      <c r="F2941" s="312"/>
    </row>
    <row r="2942" spans="1:6" ht="20.25">
      <c r="A2942" s="309"/>
      <c r="B2942" s="310"/>
      <c r="C2942" s="310"/>
      <c r="D2942" s="310"/>
      <c r="E2942" s="311"/>
      <c r="F2942" s="312"/>
    </row>
    <row r="2943" spans="1:6" ht="20.25">
      <c r="A2943" s="309"/>
      <c r="B2943" s="310"/>
      <c r="C2943" s="310"/>
      <c r="D2943" s="310"/>
      <c r="E2943" s="311"/>
      <c r="F2943" s="312"/>
    </row>
    <row r="2944" spans="1:6" ht="20.25">
      <c r="A2944" s="309"/>
      <c r="B2944" s="310"/>
      <c r="C2944" s="310"/>
      <c r="D2944" s="310"/>
      <c r="E2944" s="311"/>
      <c r="F2944" s="312"/>
    </row>
    <row r="2945" spans="1:6" ht="20.25">
      <c r="A2945" s="309"/>
      <c r="B2945" s="310"/>
      <c r="C2945" s="310"/>
      <c r="D2945" s="310"/>
      <c r="E2945" s="311"/>
      <c r="F2945" s="312"/>
    </row>
    <row r="2946" spans="1:6" ht="20.25">
      <c r="A2946" s="309"/>
      <c r="B2946" s="310"/>
      <c r="C2946" s="310"/>
      <c r="D2946" s="310"/>
      <c r="E2946" s="311"/>
      <c r="F2946" s="312"/>
    </row>
    <row r="2947" spans="1:6" ht="20.25">
      <c r="A2947" s="309"/>
      <c r="B2947" s="310"/>
      <c r="C2947" s="310"/>
      <c r="D2947" s="310"/>
      <c r="E2947" s="311"/>
      <c r="F2947" s="312"/>
    </row>
    <row r="2948" spans="1:6" ht="20.25">
      <c r="A2948" s="309"/>
      <c r="B2948" s="310"/>
      <c r="C2948" s="310"/>
      <c r="D2948" s="310"/>
      <c r="E2948" s="311"/>
      <c r="F2948" s="312"/>
    </row>
    <row r="2949" spans="1:6" ht="20.25">
      <c r="A2949" s="309"/>
      <c r="B2949" s="310"/>
      <c r="C2949" s="310"/>
      <c r="D2949" s="310"/>
      <c r="E2949" s="311"/>
      <c r="F2949" s="312"/>
    </row>
    <row r="2950" spans="1:6" ht="20.25">
      <c r="A2950" s="309"/>
      <c r="B2950" s="310"/>
      <c r="C2950" s="310"/>
      <c r="D2950" s="310"/>
      <c r="E2950" s="311"/>
      <c r="F2950" s="312"/>
    </row>
    <row r="2951" spans="1:6" ht="20.25">
      <c r="A2951" s="309"/>
      <c r="B2951" s="310"/>
      <c r="C2951" s="310"/>
      <c r="D2951" s="310"/>
      <c r="E2951" s="311"/>
      <c r="F2951" s="312"/>
    </row>
    <row r="2952" spans="1:6" ht="20.25">
      <c r="A2952" s="309"/>
      <c r="B2952" s="310"/>
      <c r="C2952" s="310"/>
      <c r="D2952" s="310"/>
      <c r="E2952" s="311"/>
      <c r="F2952" s="312"/>
    </row>
    <row r="2953" spans="1:6" ht="20.25">
      <c r="A2953" s="309"/>
      <c r="B2953" s="310"/>
      <c r="C2953" s="310"/>
      <c r="D2953" s="310"/>
      <c r="E2953" s="311"/>
      <c r="F2953" s="312"/>
    </row>
    <row r="2954" spans="1:6" ht="20.25">
      <c r="A2954" s="309"/>
      <c r="B2954" s="310"/>
      <c r="C2954" s="310"/>
      <c r="D2954" s="310"/>
      <c r="E2954" s="311"/>
      <c r="F2954" s="312"/>
    </row>
    <row r="2955" spans="1:6" ht="20.25">
      <c r="A2955" s="309"/>
      <c r="B2955" s="310"/>
      <c r="C2955" s="310"/>
      <c r="D2955" s="310"/>
      <c r="E2955" s="311"/>
      <c r="F2955" s="312"/>
    </row>
    <row r="2956" spans="1:6" ht="20.25">
      <c r="A2956" s="309"/>
      <c r="B2956" s="310"/>
      <c r="C2956" s="310"/>
      <c r="D2956" s="310"/>
      <c r="E2956" s="311"/>
      <c r="F2956" s="312"/>
    </row>
    <row r="2957" spans="1:6" ht="20.25">
      <c r="A2957" s="309"/>
      <c r="B2957" s="310"/>
      <c r="C2957" s="310"/>
      <c r="D2957" s="310"/>
      <c r="E2957" s="311"/>
      <c r="F2957" s="312"/>
    </row>
    <row r="2958" spans="1:6" ht="20.25">
      <c r="A2958" s="309"/>
      <c r="B2958" s="310"/>
      <c r="C2958" s="310"/>
      <c r="D2958" s="310"/>
      <c r="E2958" s="311"/>
      <c r="F2958" s="312"/>
    </row>
    <row r="2959" spans="1:6" ht="20.25">
      <c r="A2959" s="309"/>
      <c r="B2959" s="310"/>
      <c r="C2959" s="310"/>
      <c r="D2959" s="310"/>
      <c r="E2959" s="311"/>
      <c r="F2959" s="312"/>
    </row>
    <row r="2960" spans="1:6" ht="20.25">
      <c r="A2960" s="309"/>
      <c r="B2960" s="310"/>
      <c r="C2960" s="310"/>
      <c r="D2960" s="310"/>
      <c r="E2960" s="311"/>
      <c r="F2960" s="312"/>
    </row>
    <row r="2961" spans="1:6" ht="20.25">
      <c r="A2961" s="309"/>
      <c r="B2961" s="310"/>
      <c r="C2961" s="310"/>
      <c r="D2961" s="310"/>
      <c r="E2961" s="311"/>
      <c r="F2961" s="312"/>
    </row>
    <row r="2962" spans="1:6" ht="20.25">
      <c r="A2962" s="309"/>
      <c r="B2962" s="310"/>
      <c r="C2962" s="310"/>
      <c r="D2962" s="310"/>
      <c r="E2962" s="311"/>
      <c r="F2962" s="312"/>
    </row>
    <row r="2963" spans="1:6" ht="20.25">
      <c r="A2963" s="309"/>
      <c r="B2963" s="310"/>
      <c r="C2963" s="310"/>
      <c r="D2963" s="310"/>
      <c r="E2963" s="311"/>
      <c r="F2963" s="312"/>
    </row>
    <row r="2964" spans="1:6" ht="20.25">
      <c r="A2964" s="309"/>
      <c r="B2964" s="310"/>
      <c r="C2964" s="310"/>
      <c r="D2964" s="310"/>
      <c r="E2964" s="311"/>
      <c r="F2964" s="312"/>
    </row>
    <row r="2965" spans="1:6" ht="20.25">
      <c r="A2965" s="309"/>
      <c r="B2965" s="310"/>
      <c r="C2965" s="310"/>
      <c r="D2965" s="310"/>
      <c r="E2965" s="311"/>
      <c r="F2965" s="312"/>
    </row>
    <row r="2966" spans="1:6" ht="20.25">
      <c r="A2966" s="309"/>
      <c r="B2966" s="310"/>
      <c r="C2966" s="310"/>
      <c r="D2966" s="310"/>
      <c r="E2966" s="311"/>
      <c r="F2966" s="312"/>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16">
    <mergeCell ref="A1:H1"/>
    <mergeCell ref="A211:H211"/>
    <mergeCell ref="A231:H231"/>
    <mergeCell ref="A287:H287"/>
    <mergeCell ref="C2:F2"/>
    <mergeCell ref="C3:F3"/>
    <mergeCell ref="C4:F4"/>
    <mergeCell ref="A103:H103"/>
    <mergeCell ref="A145:H145"/>
    <mergeCell ref="A163:H163"/>
    <mergeCell ref="A169:H169"/>
    <mergeCell ref="C37:D37"/>
    <mergeCell ref="C38:D38"/>
    <mergeCell ref="A7:H7"/>
    <mergeCell ref="A33:H33"/>
    <mergeCell ref="C73:F73"/>
  </mergeCells>
  <phoneticPr fontId="0" type="noConversion"/>
  <pageMargins left="0.5" right="0.5" top="0.95" bottom="0.5" header="0.5" footer="0.5"/>
  <pageSetup scale="41" fitToHeight="0" orientation="portrait" r:id="rId9"/>
  <headerFooter alignWithMargins="0">
    <oddHeader>&amp;R&amp;14Exhibit No. RMU-205
ATTACHMENT H-25B
Page &amp;P of &amp;N</oddHeader>
  </headerFooter>
  <rowBreaks count="5" manualBreakCount="5">
    <brk id="72" max="7" man="1"/>
    <brk id="144" max="7" man="1"/>
    <brk id="210" max="7" man="1"/>
    <brk id="286" max="7" man="1"/>
    <brk id="32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22"/>
  <sheetViews>
    <sheetView zoomScale="85" zoomScaleNormal="85" workbookViewId="0">
      <selection sqref="A1:D1"/>
    </sheetView>
  </sheetViews>
  <sheetFormatPr defaultRowHeight="12.75"/>
  <cols>
    <col min="1" max="1" width="5.5703125" customWidth="1"/>
    <col min="2" max="2" width="4.5703125" customWidth="1"/>
    <col min="3" max="3" width="64.85546875" customWidth="1"/>
  </cols>
  <sheetData>
    <row r="1" spans="1:7" ht="18">
      <c r="A1" s="1257"/>
      <c r="B1" s="1257"/>
      <c r="C1" s="1257"/>
      <c r="D1" s="1257"/>
      <c r="E1" s="1018"/>
      <c r="F1" s="1018"/>
    </row>
    <row r="2" spans="1:7" ht="15.75" customHeight="1">
      <c r="A2" s="1383" t="s">
        <v>73</v>
      </c>
      <c r="B2" s="1383"/>
      <c r="C2" s="1383"/>
      <c r="D2" s="1383"/>
      <c r="E2" s="215"/>
      <c r="F2" s="31"/>
    </row>
    <row r="3" spans="1:7" ht="21.75" customHeight="1">
      <c r="A3" s="1250" t="s">
        <v>653</v>
      </c>
      <c r="B3" s="1250"/>
      <c r="C3" s="1250"/>
      <c r="D3" s="1250"/>
      <c r="E3" s="9"/>
      <c r="F3" s="9"/>
    </row>
    <row r="5" spans="1:7">
      <c r="D5" s="139" t="s">
        <v>74</v>
      </c>
    </row>
    <row r="6" spans="1:7">
      <c r="D6" s="139" t="s">
        <v>75</v>
      </c>
    </row>
    <row r="7" spans="1:7">
      <c r="B7" s="1382" t="s">
        <v>76</v>
      </c>
      <c r="C7" s="1382"/>
      <c r="D7" s="341" t="s">
        <v>77</v>
      </c>
    </row>
    <row r="8" spans="1:7">
      <c r="D8" s="221"/>
    </row>
    <row r="9" spans="1:7" ht="13.5" customHeight="1">
      <c r="B9" s="1017" t="s">
        <v>591</v>
      </c>
      <c r="D9" s="1152"/>
    </row>
    <row r="10" spans="1:7" ht="13.5" customHeight="1">
      <c r="B10" s="1017"/>
      <c r="C10" s="1016" t="s">
        <v>638</v>
      </c>
      <c r="D10" s="1152">
        <v>0</v>
      </c>
    </row>
    <row r="11" spans="1:7">
      <c r="B11" s="1017"/>
      <c r="C11" s="1017" t="s">
        <v>639</v>
      </c>
      <c r="D11" s="342">
        <v>3</v>
      </c>
      <c r="G11" s="342"/>
    </row>
    <row r="12" spans="1:7">
      <c r="B12" s="1017"/>
      <c r="C12" s="1017" t="s">
        <v>640</v>
      </c>
      <c r="D12" s="342">
        <v>3.5</v>
      </c>
      <c r="G12" s="342"/>
    </row>
    <row r="13" spans="1:7">
      <c r="B13" s="1017"/>
      <c r="C13" s="1017" t="s">
        <v>641</v>
      </c>
      <c r="D13" s="342">
        <v>3.5</v>
      </c>
      <c r="G13" s="342"/>
    </row>
    <row r="14" spans="1:7">
      <c r="B14" s="1017"/>
      <c r="C14" s="1017" t="s">
        <v>642</v>
      </c>
      <c r="D14" s="342">
        <v>3.5</v>
      </c>
      <c r="G14" s="342"/>
    </row>
    <row r="15" spans="1:7">
      <c r="C15" s="1017" t="s">
        <v>643</v>
      </c>
      <c r="D15" s="342">
        <v>3.5</v>
      </c>
    </row>
    <row r="16" spans="1:7">
      <c r="C16" s="1017" t="s">
        <v>644</v>
      </c>
      <c r="D16" s="342">
        <v>3.5</v>
      </c>
    </row>
    <row r="17" spans="2:13">
      <c r="C17" s="1017" t="s">
        <v>645</v>
      </c>
      <c r="D17" s="342">
        <v>3.5</v>
      </c>
    </row>
    <row r="18" spans="2:13">
      <c r="C18" s="1017" t="s">
        <v>646</v>
      </c>
      <c r="D18" s="342">
        <v>3</v>
      </c>
    </row>
    <row r="19" spans="2:13">
      <c r="C19" s="1017"/>
      <c r="D19" s="1153"/>
    </row>
    <row r="20" spans="2:13">
      <c r="B20" s="1017" t="s">
        <v>592</v>
      </c>
      <c r="D20" s="1152"/>
    </row>
    <row r="21" spans="2:13">
      <c r="B21" s="343"/>
      <c r="C21" s="1017" t="s">
        <v>593</v>
      </c>
      <c r="D21" s="1152">
        <v>2</v>
      </c>
    </row>
    <row r="22" spans="2:13">
      <c r="B22" s="855"/>
      <c r="C22" s="1016" t="s">
        <v>594</v>
      </c>
      <c r="D22" s="1152">
        <v>10</v>
      </c>
    </row>
    <row r="23" spans="2:13">
      <c r="B23" s="855"/>
      <c r="C23" s="1016" t="s">
        <v>595</v>
      </c>
      <c r="D23" s="1152">
        <v>10</v>
      </c>
      <c r="H23" s="865"/>
      <c r="I23" s="870"/>
      <c r="J23" s="854"/>
      <c r="K23" s="2"/>
      <c r="L23" s="2"/>
      <c r="M23" s="2"/>
    </row>
    <row r="24" spans="2:13">
      <c r="B24" s="855"/>
      <c r="C24" s="1016" t="s">
        <v>596</v>
      </c>
      <c r="D24" s="1152">
        <v>25</v>
      </c>
      <c r="H24" s="2"/>
      <c r="I24" s="2"/>
      <c r="J24" s="2"/>
      <c r="K24" s="2"/>
      <c r="L24" s="2"/>
    </row>
    <row r="25" spans="2:13">
      <c r="B25" s="2"/>
      <c r="C25" s="1016" t="s">
        <v>597</v>
      </c>
      <c r="D25" s="1152">
        <v>10</v>
      </c>
      <c r="H25" s="2"/>
      <c r="I25" s="2"/>
      <c r="J25" s="2"/>
      <c r="K25" s="2"/>
      <c r="L25" s="2"/>
    </row>
    <row r="26" spans="2:13">
      <c r="B26" s="2"/>
      <c r="C26" s="1016" t="s">
        <v>598</v>
      </c>
      <c r="D26" s="1152">
        <v>10</v>
      </c>
    </row>
    <row r="27" spans="2:13">
      <c r="B27" s="855"/>
      <c r="C27" s="1016" t="s">
        <v>599</v>
      </c>
      <c r="D27" s="1152">
        <v>10</v>
      </c>
      <c r="J27" s="866"/>
    </row>
    <row r="28" spans="2:13">
      <c r="B28" s="996"/>
      <c r="C28" s="1016" t="s">
        <v>600</v>
      </c>
      <c r="D28" s="1152">
        <v>10</v>
      </c>
      <c r="J28" s="812"/>
    </row>
    <row r="29" spans="2:13">
      <c r="B29" s="855"/>
      <c r="C29" s="1016" t="s">
        <v>609</v>
      </c>
      <c r="D29" s="1152">
        <v>10</v>
      </c>
      <c r="J29" s="812"/>
    </row>
    <row r="30" spans="2:13">
      <c r="B30" s="855"/>
      <c r="C30" s="1016" t="s">
        <v>601</v>
      </c>
      <c r="D30" s="1152">
        <v>10</v>
      </c>
      <c r="J30" s="812"/>
    </row>
    <row r="31" spans="2:13">
      <c r="B31" s="855"/>
      <c r="C31" s="1016" t="s">
        <v>602</v>
      </c>
      <c r="D31" s="1152">
        <v>10</v>
      </c>
      <c r="H31" s="343"/>
      <c r="J31" s="866"/>
    </row>
    <row r="32" spans="2:13">
      <c r="B32" s="855"/>
      <c r="C32" s="1016" t="s">
        <v>603</v>
      </c>
      <c r="D32" s="1152">
        <v>10</v>
      </c>
      <c r="H32" s="343"/>
      <c r="J32" s="866"/>
    </row>
    <row r="33" spans="2:10">
      <c r="B33" s="855"/>
      <c r="C33" s="1016" t="s">
        <v>604</v>
      </c>
      <c r="D33" s="1152">
        <v>12</v>
      </c>
      <c r="H33" s="343"/>
      <c r="J33" s="866"/>
    </row>
    <row r="34" spans="2:10">
      <c r="B34" s="855"/>
      <c r="C34" s="1016" t="s">
        <v>605</v>
      </c>
      <c r="D34" s="1152">
        <v>5</v>
      </c>
      <c r="H34" s="343"/>
      <c r="J34" s="866"/>
    </row>
    <row r="35" spans="2:10">
      <c r="B35" s="855"/>
      <c r="C35" s="1016" t="s">
        <v>606</v>
      </c>
      <c r="D35" s="1152">
        <v>5</v>
      </c>
      <c r="J35" s="867"/>
    </row>
    <row r="36" spans="2:10">
      <c r="B36" s="855"/>
      <c r="C36" s="1016" t="s">
        <v>607</v>
      </c>
      <c r="D36" s="1152">
        <v>12</v>
      </c>
      <c r="J36" s="867"/>
    </row>
    <row r="37" spans="2:10">
      <c r="B37" s="855"/>
      <c r="C37" s="1016" t="s">
        <v>608</v>
      </c>
      <c r="D37" s="1152">
        <v>5</v>
      </c>
      <c r="H37" s="343"/>
      <c r="J37" s="866"/>
    </row>
    <row r="38" spans="2:10">
      <c r="B38" s="2"/>
      <c r="C38" s="2"/>
      <c r="D38" s="746"/>
      <c r="H38" s="343"/>
      <c r="J38" s="866"/>
    </row>
    <row r="39" spans="2:10">
      <c r="D39" s="812"/>
      <c r="H39" s="343"/>
      <c r="J39" s="866"/>
    </row>
    <row r="40" spans="2:10">
      <c r="C40" s="141"/>
      <c r="D40" s="746"/>
      <c r="H40" s="868"/>
      <c r="J40" s="866"/>
    </row>
    <row r="41" spans="2:10">
      <c r="H41" s="343"/>
      <c r="J41" s="866"/>
    </row>
    <row r="42" spans="2:10">
      <c r="H42" s="868"/>
      <c r="J42" s="866"/>
    </row>
    <row r="43" spans="2:10">
      <c r="H43" s="343"/>
      <c r="J43" s="866"/>
    </row>
    <row r="44" spans="2:10">
      <c r="J44" s="342"/>
    </row>
    <row r="45" spans="2:10">
      <c r="H45" s="869"/>
      <c r="I45" s="870"/>
      <c r="J45" s="854"/>
    </row>
    <row r="74" spans="1:6" ht="15.75">
      <c r="A74" s="337"/>
      <c r="B74" s="44"/>
      <c r="C74" s="44"/>
      <c r="D74" s="338"/>
      <c r="E74" s="215"/>
      <c r="F74" s="31"/>
    </row>
    <row r="122" spans="1:6" ht="15.75">
      <c r="A122" s="337"/>
      <c r="B122" s="44"/>
      <c r="C122" s="44"/>
      <c r="D122" s="338"/>
      <c r="E122" s="215"/>
      <c r="F122" s="31"/>
    </row>
  </sheetData>
  <mergeCells count="4">
    <mergeCell ref="B7:C7"/>
    <mergeCell ref="A3:D3"/>
    <mergeCell ref="A1:D1"/>
    <mergeCell ref="A2:D2"/>
  </mergeCells>
  <phoneticPr fontId="0" type="noConversion"/>
  <pageMargins left="0.5" right="0.5" top="0.95" bottom="0.5" header="0.5" footer="0.5"/>
  <pageSetup fitToHeight="0" orientation="portrait" r:id="rId1"/>
  <headerFooter alignWithMargins="0">
    <oddHeader>&amp;R&amp;14Exhibit No. RMU-205
ATTACHMENT H-25B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K168"/>
  <sheetViews>
    <sheetView topLeftCell="A94" zoomScale="75" zoomScaleNormal="75" workbookViewId="0">
      <selection activeCell="A3" sqref="A3:H3"/>
    </sheetView>
  </sheetViews>
  <sheetFormatPr defaultColWidth="9.140625" defaultRowHeight="12.75"/>
  <cols>
    <col min="1" max="1" width="11.42578125" style="336" customWidth="1"/>
    <col min="2" max="2" width="44.85546875" style="221" customWidth="1"/>
    <col min="3" max="3" width="16.140625" style="221" bestFit="1" customWidth="1"/>
    <col min="4" max="4" width="15.85546875" style="221" customWidth="1"/>
    <col min="5" max="5" width="20" style="221" customWidth="1"/>
    <col min="6" max="6" width="16.140625" style="221" customWidth="1"/>
    <col min="7" max="7" width="22" style="221" customWidth="1"/>
    <col min="8" max="8" width="83.85546875" style="221" customWidth="1"/>
    <col min="9" max="9" width="3.7109375" style="221" customWidth="1"/>
    <col min="10" max="10" width="9.140625" style="221"/>
    <col min="11" max="11" width="13.5703125" style="221" customWidth="1"/>
    <col min="12" max="16384" width="9.140625" style="221"/>
  </cols>
  <sheetData>
    <row r="1" spans="1:9" s="141" customFormat="1" ht="26.25" customHeight="1">
      <c r="I1" s="529"/>
    </row>
    <row r="2" spans="1:9" s="141" customFormat="1" ht="18">
      <c r="A2" s="1232" t="s">
        <v>661</v>
      </c>
      <c r="B2" s="1232"/>
      <c r="C2" s="1232"/>
      <c r="D2" s="1232"/>
      <c r="E2" s="1232"/>
      <c r="F2" s="1232"/>
      <c r="G2" s="1232"/>
      <c r="H2" s="1232"/>
      <c r="I2" s="529"/>
    </row>
    <row r="3" spans="1:9" s="920" customFormat="1" ht="18">
      <c r="A3" s="1232" t="s">
        <v>663</v>
      </c>
      <c r="B3" s="1232"/>
      <c r="C3" s="1232"/>
      <c r="D3" s="1232"/>
      <c r="E3" s="1232"/>
      <c r="F3" s="1232"/>
      <c r="G3" s="1232"/>
      <c r="H3" s="1232"/>
      <c r="I3" s="919"/>
    </row>
    <row r="4" spans="1:9" s="920" customFormat="1" ht="11.25">
      <c r="A4" s="917"/>
      <c r="B4" s="919"/>
      <c r="C4" s="919"/>
      <c r="D4" s="919"/>
      <c r="E4" s="919"/>
      <c r="F4" s="919"/>
      <c r="G4" s="921"/>
      <c r="H4" s="919"/>
      <c r="I4" s="919"/>
    </row>
    <row r="5" spans="1:9" s="920" customFormat="1" ht="11.25">
      <c r="A5" s="917"/>
      <c r="B5" s="919"/>
      <c r="C5" s="919"/>
      <c r="D5" s="919"/>
      <c r="E5" s="919"/>
      <c r="F5" s="919"/>
      <c r="G5" s="921"/>
      <c r="H5" s="919"/>
      <c r="I5" s="919"/>
    </row>
    <row r="6" spans="1:9" s="141" customFormat="1">
      <c r="A6" s="1233" t="s">
        <v>355</v>
      </c>
      <c r="B6" s="1233"/>
      <c r="C6" s="972" t="s">
        <v>448</v>
      </c>
      <c r="D6" s="972" t="s">
        <v>339</v>
      </c>
      <c r="E6" s="972" t="s">
        <v>356</v>
      </c>
      <c r="F6" s="972" t="s">
        <v>354</v>
      </c>
      <c r="G6" s="972" t="s">
        <v>159</v>
      </c>
      <c r="H6" s="972" t="s">
        <v>357</v>
      </c>
      <c r="I6" s="529"/>
    </row>
    <row r="7" spans="1:9" s="238" customFormat="1">
      <c r="A7" s="615"/>
      <c r="B7" s="529"/>
      <c r="C7" s="989" t="s">
        <v>28</v>
      </c>
      <c r="D7" s="667" t="s">
        <v>30</v>
      </c>
      <c r="E7" s="667"/>
      <c r="F7" s="529"/>
      <c r="G7" s="667"/>
      <c r="H7" s="530"/>
      <c r="I7" s="530"/>
    </row>
    <row r="8" spans="1:9" s="238" customFormat="1">
      <c r="A8" s="615"/>
      <c r="B8" s="529"/>
      <c r="C8" s="989" t="s">
        <v>29</v>
      </c>
      <c r="D8" s="667" t="s">
        <v>19</v>
      </c>
      <c r="E8" s="667" t="s">
        <v>25</v>
      </c>
      <c r="F8" s="667" t="s">
        <v>27</v>
      </c>
      <c r="G8" s="667" t="s">
        <v>447</v>
      </c>
      <c r="H8" s="530"/>
      <c r="I8" s="530"/>
    </row>
    <row r="9" spans="1:9" s="141" customFormat="1">
      <c r="A9" s="615"/>
      <c r="B9" s="529"/>
      <c r="C9" s="990" t="s">
        <v>26</v>
      </c>
      <c r="D9" s="689" t="s">
        <v>26</v>
      </c>
      <c r="E9" s="689" t="s">
        <v>26</v>
      </c>
      <c r="F9" s="689" t="s">
        <v>26</v>
      </c>
      <c r="G9" s="689" t="s">
        <v>34</v>
      </c>
      <c r="H9" s="529"/>
      <c r="I9" s="529"/>
    </row>
    <row r="10" spans="1:9" s="141" customFormat="1">
      <c r="A10" s="615"/>
      <c r="B10" s="529"/>
      <c r="C10" s="529"/>
      <c r="D10" s="689"/>
      <c r="E10" s="689"/>
      <c r="F10" s="689"/>
      <c r="G10" s="689"/>
      <c r="H10" s="529"/>
      <c r="I10" s="529"/>
    </row>
    <row r="11" spans="1:9" s="661" customFormat="1" ht="15">
      <c r="A11" s="690">
        <v>1</v>
      </c>
      <c r="B11" s="691" t="s">
        <v>21</v>
      </c>
      <c r="C11" s="692">
        <f>D106</f>
        <v>0</v>
      </c>
      <c r="D11" s="692">
        <f>+E106</f>
        <v>0</v>
      </c>
      <c r="E11" s="692">
        <f>+F106</f>
        <v>0</v>
      </c>
      <c r="F11" s="692">
        <f>+G106</f>
        <v>0</v>
      </c>
      <c r="G11" s="976">
        <f>C106</f>
        <v>0</v>
      </c>
      <c r="H11" s="693" t="s">
        <v>546</v>
      </c>
      <c r="I11" s="694"/>
    </row>
    <row r="12" spans="1:9" s="661" customFormat="1" ht="15">
      <c r="A12" s="690">
        <v>2</v>
      </c>
      <c r="B12" s="691" t="s">
        <v>22</v>
      </c>
      <c r="C12" s="692">
        <f>D158</f>
        <v>0</v>
      </c>
      <c r="D12" s="692">
        <f>+E158</f>
        <v>0</v>
      </c>
      <c r="E12" s="692">
        <f>+F158</f>
        <v>0</v>
      </c>
      <c r="F12" s="692">
        <f>+G158</f>
        <v>0</v>
      </c>
      <c r="G12" s="976">
        <f>C158</f>
        <v>0</v>
      </c>
      <c r="H12" s="693" t="s">
        <v>547</v>
      </c>
      <c r="I12" s="694"/>
    </row>
    <row r="13" spans="1:9" s="661" customFormat="1" ht="15.75" thickBot="1">
      <c r="A13" s="690">
        <v>3</v>
      </c>
      <c r="B13" s="695" t="s">
        <v>20</v>
      </c>
      <c r="C13" s="696">
        <f>D55</f>
        <v>0</v>
      </c>
      <c r="D13" s="696">
        <f>+E55</f>
        <v>0</v>
      </c>
      <c r="E13" s="696">
        <f>F55</f>
        <v>0</v>
      </c>
      <c r="F13" s="696">
        <f>G55</f>
        <v>0</v>
      </c>
      <c r="G13" s="977">
        <f>C55</f>
        <v>0</v>
      </c>
      <c r="H13" s="697" t="s">
        <v>548</v>
      </c>
      <c r="I13" s="694"/>
    </row>
    <row r="14" spans="1:9" s="661" customFormat="1" ht="15">
      <c r="A14" s="690">
        <v>4</v>
      </c>
      <c r="B14" s="698" t="s">
        <v>479</v>
      </c>
      <c r="C14" s="699">
        <f>SUM(C11:C13)</f>
        <v>0</v>
      </c>
      <c r="D14" s="699">
        <f>SUM(D11:D13)</f>
        <v>0</v>
      </c>
      <c r="E14" s="699">
        <f>SUM(E11:E13)</f>
        <v>0</v>
      </c>
      <c r="F14" s="699">
        <f>SUM(F11:F13)</f>
        <v>0</v>
      </c>
      <c r="G14" s="978">
        <f>SUM(G11:G13)</f>
        <v>0</v>
      </c>
      <c r="H14" s="699" t="s">
        <v>550</v>
      </c>
      <c r="I14" s="694"/>
    </row>
    <row r="15" spans="1:9" s="661" customFormat="1" ht="15">
      <c r="A15" s="690">
        <v>5</v>
      </c>
      <c r="B15" s="691" t="s">
        <v>436</v>
      </c>
      <c r="C15" s="693"/>
      <c r="D15" s="693"/>
      <c r="E15" s="693"/>
      <c r="F15" s="1092">
        <f>'Appendix A - TSRR Summary'!H16</f>
        <v>5.6750348909552557E-2</v>
      </c>
      <c r="G15" s="700"/>
      <c r="H15" s="693"/>
      <c r="I15" s="694"/>
    </row>
    <row r="16" spans="1:9" s="661" customFormat="1" ht="15">
      <c r="A16" s="690">
        <v>6</v>
      </c>
      <c r="B16" s="701" t="s">
        <v>441</v>
      </c>
      <c r="C16" s="702"/>
      <c r="D16" s="702"/>
      <c r="E16" s="816">
        <f>'Appendix A - TSRR Summary'!H31</f>
        <v>0.18243956474081677</v>
      </c>
      <c r="F16" s="702"/>
      <c r="G16" s="702"/>
      <c r="H16" s="702"/>
      <c r="I16" s="694"/>
    </row>
    <row r="17" spans="1:9" s="661" customFormat="1" ht="15.75" thickBot="1">
      <c r="A17" s="690">
        <v>7</v>
      </c>
      <c r="B17" s="703" t="s">
        <v>34</v>
      </c>
      <c r="C17" s="704"/>
      <c r="D17" s="704">
        <f>+D14</f>
        <v>0</v>
      </c>
      <c r="E17" s="704">
        <f>+E16*E14</f>
        <v>0</v>
      </c>
      <c r="F17" s="704">
        <f>+F15*F14</f>
        <v>0</v>
      </c>
      <c r="G17" s="705">
        <f>SUM(D17:F17)</f>
        <v>0</v>
      </c>
      <c r="H17" s="706" t="s">
        <v>551</v>
      </c>
      <c r="I17" s="694"/>
    </row>
    <row r="18" spans="1:9" s="661" customFormat="1" ht="15" thickTop="1">
      <c r="A18" s="707"/>
      <c r="B18" s="694"/>
      <c r="C18" s="708"/>
      <c r="D18" s="709" t="s">
        <v>552</v>
      </c>
      <c r="E18" s="709" t="s">
        <v>85</v>
      </c>
      <c r="F18" s="709" t="s">
        <v>86</v>
      </c>
      <c r="G18" s="694"/>
      <c r="H18" s="694"/>
      <c r="I18" s="694"/>
    </row>
    <row r="19" spans="1:9" s="920" customFormat="1" ht="11.25">
      <c r="A19" s="917"/>
      <c r="B19" s="919"/>
      <c r="C19" s="919"/>
      <c r="D19" s="941"/>
      <c r="E19" s="941"/>
      <c r="F19" s="941"/>
      <c r="G19" s="919"/>
      <c r="H19" s="919"/>
      <c r="I19" s="919"/>
    </row>
    <row r="20" spans="1:9" s="920" customFormat="1" ht="11.25">
      <c r="A20" s="917"/>
      <c r="B20" s="919"/>
      <c r="C20" s="919"/>
      <c r="D20" s="941"/>
      <c r="E20" s="941"/>
      <c r="F20" s="941"/>
      <c r="G20" s="919"/>
      <c r="H20" s="919"/>
      <c r="I20" s="919"/>
    </row>
    <row r="21" spans="1:9" s="661" customFormat="1" ht="15">
      <c r="A21" s="710" t="s">
        <v>542</v>
      </c>
      <c r="B21" s="694"/>
      <c r="C21" s="694"/>
      <c r="D21" s="694"/>
      <c r="E21" s="694"/>
      <c r="F21" s="694"/>
      <c r="G21" s="694"/>
      <c r="H21" s="694"/>
      <c r="I21" s="694"/>
    </row>
    <row r="22" spans="1:9" s="661" customFormat="1" ht="15">
      <c r="A22" s="694"/>
      <c r="B22" s="694"/>
      <c r="C22" s="694"/>
      <c r="D22" s="1093">
        <f>C134</f>
        <v>0</v>
      </c>
      <c r="E22" s="693" t="s">
        <v>570</v>
      </c>
      <c r="F22" s="693"/>
      <c r="G22" s="694"/>
      <c r="H22" s="694"/>
      <c r="I22" s="694"/>
    </row>
    <row r="23" spans="1:9" s="920" customFormat="1" ht="11.25">
      <c r="A23" s="919"/>
      <c r="B23" s="919"/>
      <c r="C23" s="919"/>
      <c r="D23" s="919"/>
      <c r="E23" s="919"/>
      <c r="F23" s="919"/>
      <c r="G23" s="919"/>
      <c r="H23" s="919"/>
      <c r="I23" s="919"/>
    </row>
    <row r="24" spans="1:9" s="661" customFormat="1" ht="15">
      <c r="A24" s="711" t="s">
        <v>553</v>
      </c>
      <c r="B24" s="694"/>
      <c r="C24" s="694"/>
      <c r="D24" s="694"/>
      <c r="E24" s="694"/>
      <c r="F24" s="694"/>
      <c r="G24" s="694"/>
      <c r="H24" s="694"/>
      <c r="I24" s="694"/>
    </row>
    <row r="25" spans="1:9" s="661" customFormat="1" ht="15">
      <c r="A25" s="711" t="s">
        <v>554</v>
      </c>
      <c r="B25" s="694"/>
      <c r="C25" s="694"/>
      <c r="D25" s="694"/>
      <c r="E25" s="694"/>
      <c r="F25" s="694"/>
      <c r="G25" s="694"/>
      <c r="H25" s="694"/>
      <c r="I25" s="694"/>
    </row>
    <row r="26" spans="1:9" s="920" customFormat="1" ht="11.25">
      <c r="A26" s="917"/>
      <c r="B26" s="918"/>
      <c r="C26" s="918"/>
      <c r="D26" s="918"/>
      <c r="E26" s="918"/>
      <c r="F26" s="918"/>
      <c r="G26" s="918"/>
      <c r="H26" s="919"/>
      <c r="I26" s="919"/>
    </row>
    <row r="27" spans="1:9" s="920" customFormat="1" ht="11.25">
      <c r="A27" s="917"/>
      <c r="B27" s="919"/>
      <c r="C27" s="919"/>
      <c r="D27" s="919"/>
      <c r="E27" s="919"/>
      <c r="F27" s="919"/>
      <c r="G27" s="921"/>
      <c r="H27" s="919"/>
      <c r="I27" s="919"/>
    </row>
    <row r="28" spans="1:9" s="238" customFormat="1">
      <c r="A28" s="1234"/>
      <c r="B28" s="1234"/>
      <c r="C28" s="529"/>
      <c r="D28" s="668" t="s">
        <v>28</v>
      </c>
      <c r="E28" s="668" t="s">
        <v>30</v>
      </c>
      <c r="F28" s="668"/>
      <c r="G28" s="668"/>
      <c r="H28" s="530"/>
      <c r="I28" s="530"/>
    </row>
    <row r="29" spans="1:9" s="238" customFormat="1">
      <c r="A29" s="1247"/>
      <c r="B29" s="1247"/>
      <c r="C29" s="668"/>
      <c r="D29" s="668" t="s">
        <v>29</v>
      </c>
      <c r="E29" s="668" t="s">
        <v>19</v>
      </c>
      <c r="F29" s="668" t="s">
        <v>25</v>
      </c>
      <c r="G29" s="668" t="s">
        <v>27</v>
      </c>
      <c r="H29" s="530"/>
      <c r="I29" s="530"/>
    </row>
    <row r="30" spans="1:9" s="141" customFormat="1" ht="15">
      <c r="A30" s="1246" t="s">
        <v>20</v>
      </c>
      <c r="B30" s="1246"/>
      <c r="C30" s="669" t="s">
        <v>447</v>
      </c>
      <c r="D30" s="669" t="s">
        <v>26</v>
      </c>
      <c r="E30" s="669" t="s">
        <v>26</v>
      </c>
      <c r="F30" s="669" t="s">
        <v>26</v>
      </c>
      <c r="G30" s="669" t="s">
        <v>26</v>
      </c>
      <c r="H30" s="670" t="s">
        <v>330</v>
      </c>
      <c r="I30" s="529"/>
    </row>
    <row r="31" spans="1:9" s="920" customFormat="1" ht="11.25">
      <c r="A31" s="917"/>
      <c r="B31" s="919"/>
      <c r="C31" s="919"/>
      <c r="D31" s="971"/>
      <c r="E31" s="971"/>
      <c r="F31" s="971"/>
      <c r="G31" s="971"/>
      <c r="H31" s="919"/>
      <c r="I31" s="919"/>
    </row>
    <row r="32" spans="1:9">
      <c r="A32" s="982"/>
      <c r="B32" s="984"/>
      <c r="C32" s="979">
        <v>0</v>
      </c>
      <c r="D32" s="979">
        <v>0</v>
      </c>
      <c r="E32" s="979">
        <v>0</v>
      </c>
      <c r="F32" s="979">
        <v>0</v>
      </c>
      <c r="G32" s="979">
        <v>0</v>
      </c>
      <c r="H32" s="980"/>
      <c r="I32" s="529"/>
    </row>
    <row r="33" spans="1:9">
      <c r="A33" s="982"/>
      <c r="B33" s="984"/>
      <c r="C33" s="979">
        <v>0</v>
      </c>
      <c r="D33" s="979">
        <v>0</v>
      </c>
      <c r="E33" s="979">
        <v>0</v>
      </c>
      <c r="F33" s="979">
        <v>0</v>
      </c>
      <c r="G33" s="979">
        <v>0</v>
      </c>
      <c r="H33" s="980"/>
      <c r="I33" s="529"/>
    </row>
    <row r="34" spans="1:9">
      <c r="A34" s="982"/>
      <c r="B34" s="984"/>
      <c r="C34" s="979">
        <v>0</v>
      </c>
      <c r="D34" s="979">
        <v>0</v>
      </c>
      <c r="E34" s="979">
        <v>0</v>
      </c>
      <c r="F34" s="979">
        <v>0</v>
      </c>
      <c r="G34" s="979">
        <v>0</v>
      </c>
      <c r="H34" s="981"/>
      <c r="I34" s="529"/>
    </row>
    <row r="35" spans="1:9">
      <c r="A35" s="982"/>
      <c r="B35" s="984"/>
      <c r="C35" s="979">
        <v>0</v>
      </c>
      <c r="D35" s="979">
        <v>0</v>
      </c>
      <c r="E35" s="979">
        <v>0</v>
      </c>
      <c r="F35" s="979">
        <v>0</v>
      </c>
      <c r="G35" s="979">
        <v>0</v>
      </c>
      <c r="H35" s="980"/>
      <c r="I35" s="529"/>
    </row>
    <row r="36" spans="1:9">
      <c r="A36" s="982"/>
      <c r="B36" s="984"/>
      <c r="C36" s="979">
        <v>0</v>
      </c>
      <c r="D36" s="979">
        <v>0</v>
      </c>
      <c r="E36" s="979">
        <v>0</v>
      </c>
      <c r="F36" s="979">
        <v>0</v>
      </c>
      <c r="G36" s="979">
        <v>0</v>
      </c>
      <c r="H36" s="980"/>
      <c r="I36" s="529"/>
    </row>
    <row r="37" spans="1:9">
      <c r="A37" s="983"/>
      <c r="B37" s="984"/>
      <c r="C37" s="979">
        <v>0</v>
      </c>
      <c r="D37" s="979">
        <v>0</v>
      </c>
      <c r="E37" s="979">
        <v>0</v>
      </c>
      <c r="F37" s="979">
        <v>0</v>
      </c>
      <c r="G37" s="979">
        <v>0</v>
      </c>
      <c r="H37" s="980"/>
      <c r="I37" s="529"/>
    </row>
    <row r="38" spans="1:9">
      <c r="A38" s="983"/>
      <c r="B38" s="984"/>
      <c r="C38" s="979">
        <v>0</v>
      </c>
      <c r="D38" s="979">
        <v>0</v>
      </c>
      <c r="E38" s="979">
        <v>0</v>
      </c>
      <c r="F38" s="979">
        <v>0</v>
      </c>
      <c r="G38" s="979">
        <v>0</v>
      </c>
      <c r="H38" s="980"/>
      <c r="I38" s="529"/>
    </row>
    <row r="39" spans="1:9">
      <c r="A39" s="983"/>
      <c r="B39" s="983"/>
      <c r="C39" s="979">
        <v>0</v>
      </c>
      <c r="D39" s="979">
        <v>0</v>
      </c>
      <c r="E39" s="979">
        <v>0</v>
      </c>
      <c r="F39" s="979">
        <v>0</v>
      </c>
      <c r="G39" s="979">
        <v>0</v>
      </c>
      <c r="H39" s="980"/>
      <c r="I39" s="529"/>
    </row>
    <row r="40" spans="1:9">
      <c r="A40" s="983"/>
      <c r="B40" s="983"/>
      <c r="C40" s="979">
        <v>0</v>
      </c>
      <c r="D40" s="979">
        <v>0</v>
      </c>
      <c r="E40" s="979">
        <v>0</v>
      </c>
      <c r="F40" s="979">
        <v>0</v>
      </c>
      <c r="G40" s="979">
        <v>0</v>
      </c>
      <c r="H40" s="980"/>
      <c r="I40" s="529"/>
    </row>
    <row r="41" spans="1:9">
      <c r="A41" s="983"/>
      <c r="B41" s="983"/>
      <c r="C41" s="979">
        <v>0</v>
      </c>
      <c r="D41" s="979">
        <v>0</v>
      </c>
      <c r="E41" s="979">
        <v>0</v>
      </c>
      <c r="F41" s="979">
        <v>0</v>
      </c>
      <c r="G41" s="979">
        <v>0</v>
      </c>
      <c r="H41" s="980"/>
      <c r="I41" s="529"/>
    </row>
    <row r="42" spans="1:9">
      <c r="A42" s="982"/>
      <c r="B42" s="983"/>
      <c r="C42" s="979">
        <v>0</v>
      </c>
      <c r="D42" s="979">
        <v>0</v>
      </c>
      <c r="E42" s="979">
        <v>0</v>
      </c>
      <c r="F42" s="979">
        <v>0</v>
      </c>
      <c r="G42" s="979">
        <v>0</v>
      </c>
      <c r="H42" s="981"/>
      <c r="I42" s="529"/>
    </row>
    <row r="43" spans="1:9">
      <c r="A43" s="982"/>
      <c r="B43" s="983"/>
      <c r="C43" s="979">
        <v>0</v>
      </c>
      <c r="D43" s="979">
        <v>0</v>
      </c>
      <c r="E43" s="979">
        <v>0</v>
      </c>
      <c r="F43" s="979">
        <v>0</v>
      </c>
      <c r="G43" s="979">
        <v>0</v>
      </c>
      <c r="H43" s="981"/>
      <c r="I43" s="529"/>
    </row>
    <row r="44" spans="1:9">
      <c r="A44" s="982"/>
      <c r="B44" s="983"/>
      <c r="C44" s="979">
        <v>0</v>
      </c>
      <c r="D44" s="979">
        <v>0</v>
      </c>
      <c r="E44" s="979">
        <v>0</v>
      </c>
      <c r="F44" s="979">
        <v>0</v>
      </c>
      <c r="G44" s="979">
        <v>0</v>
      </c>
      <c r="H44" s="981"/>
      <c r="I44" s="529"/>
    </row>
    <row r="45" spans="1:9">
      <c r="A45" s="983"/>
      <c r="B45" s="983"/>
      <c r="C45" s="979">
        <v>0</v>
      </c>
      <c r="D45" s="979">
        <v>0</v>
      </c>
      <c r="E45" s="979">
        <v>0</v>
      </c>
      <c r="F45" s="979">
        <v>0</v>
      </c>
      <c r="G45" s="979">
        <v>0</v>
      </c>
      <c r="H45" s="980"/>
      <c r="I45" s="529"/>
    </row>
    <row r="46" spans="1:9">
      <c r="A46" s="983"/>
      <c r="B46" s="983"/>
      <c r="C46" s="979">
        <v>0</v>
      </c>
      <c r="D46" s="979">
        <v>0</v>
      </c>
      <c r="E46" s="979">
        <v>0</v>
      </c>
      <c r="F46" s="979">
        <v>0</v>
      </c>
      <c r="G46" s="979">
        <v>0</v>
      </c>
      <c r="H46" s="980"/>
      <c r="I46" s="529"/>
    </row>
    <row r="47" spans="1:9">
      <c r="A47" s="983"/>
      <c r="B47" s="983"/>
      <c r="C47" s="979">
        <v>0</v>
      </c>
      <c r="D47" s="979">
        <v>0</v>
      </c>
      <c r="E47" s="979">
        <v>0</v>
      </c>
      <c r="F47" s="979">
        <v>0</v>
      </c>
      <c r="G47" s="979">
        <v>0</v>
      </c>
      <c r="H47" s="980"/>
      <c r="I47" s="529"/>
    </row>
    <row r="48" spans="1:9">
      <c r="A48" s="983"/>
      <c r="B48" s="983"/>
      <c r="C48" s="979">
        <v>0</v>
      </c>
      <c r="D48" s="979">
        <v>0</v>
      </c>
      <c r="E48" s="979">
        <v>0</v>
      </c>
      <c r="F48" s="979">
        <v>0</v>
      </c>
      <c r="G48" s="979">
        <v>0</v>
      </c>
      <c r="H48" s="981"/>
      <c r="I48" s="529"/>
    </row>
    <row r="49" spans="1:11">
      <c r="A49" s="983"/>
      <c r="B49" s="983"/>
      <c r="C49" s="979">
        <v>0</v>
      </c>
      <c r="D49" s="979">
        <v>0</v>
      </c>
      <c r="E49" s="979">
        <v>0</v>
      </c>
      <c r="F49" s="979">
        <v>0</v>
      </c>
      <c r="G49" s="979">
        <v>0</v>
      </c>
      <c r="H49" s="980"/>
      <c r="I49" s="529"/>
    </row>
    <row r="50" spans="1:11">
      <c r="A50" s="982"/>
      <c r="B50" s="983"/>
      <c r="C50" s="979">
        <v>0</v>
      </c>
      <c r="D50" s="979">
        <v>0</v>
      </c>
      <c r="E50" s="979">
        <v>0</v>
      </c>
      <c r="F50" s="979">
        <v>0</v>
      </c>
      <c r="G50" s="979">
        <v>0</v>
      </c>
      <c r="H50" s="981"/>
      <c r="I50" s="529"/>
    </row>
    <row r="51" spans="1:11">
      <c r="A51" s="983"/>
      <c r="B51" s="983"/>
      <c r="C51" s="979">
        <v>0</v>
      </c>
      <c r="D51" s="979">
        <v>0</v>
      </c>
      <c r="E51" s="979">
        <v>0</v>
      </c>
      <c r="F51" s="979">
        <v>0</v>
      </c>
      <c r="G51" s="979">
        <v>0</v>
      </c>
      <c r="H51" s="980"/>
      <c r="I51" s="529"/>
    </row>
    <row r="52" spans="1:11">
      <c r="A52" s="832" t="s">
        <v>379</v>
      </c>
      <c r="B52" s="949"/>
      <c r="C52" s="744">
        <f>SUM(C32:C51)</f>
        <v>0</v>
      </c>
      <c r="D52" s="744">
        <f>SUM(D32:D51)</f>
        <v>0</v>
      </c>
      <c r="E52" s="744">
        <f>SUM(E32:E51)</f>
        <v>0</v>
      </c>
      <c r="F52" s="744">
        <f>SUM(F32:F51)</f>
        <v>0</v>
      </c>
      <c r="G52" s="744">
        <f>SUM(G32:G51)</f>
        <v>0</v>
      </c>
      <c r="H52" s="681"/>
      <c r="I52" s="679"/>
      <c r="K52" s="960"/>
    </row>
    <row r="53" spans="1:11" s="276" customFormat="1">
      <c r="A53" s="819" t="s">
        <v>316</v>
      </c>
      <c r="B53" s="950"/>
      <c r="C53" s="813"/>
      <c r="D53" s="813"/>
      <c r="E53" s="813"/>
      <c r="F53" s="821"/>
      <c r="G53" s="817"/>
      <c r="H53" s="822"/>
      <c r="I53" s="672"/>
      <c r="K53" s="961"/>
    </row>
    <row r="54" spans="1:11" s="276" customFormat="1">
      <c r="A54" s="823" t="s">
        <v>317</v>
      </c>
      <c r="B54" s="951"/>
      <c r="C54" s="825"/>
      <c r="D54" s="825"/>
      <c r="E54" s="825"/>
      <c r="F54" s="825"/>
      <c r="G54" s="825">
        <f>C54</f>
        <v>0</v>
      </c>
      <c r="H54" s="822"/>
      <c r="I54" s="672"/>
    </row>
    <row r="55" spans="1:11" s="141" customFormat="1" ht="13.5" thickBot="1">
      <c r="A55" s="1248" t="s">
        <v>447</v>
      </c>
      <c r="B55" s="1249"/>
      <c r="C55" s="685">
        <f>+C52-C53-C54</f>
        <v>0</v>
      </c>
      <c r="D55" s="685">
        <f>+D52-D53-D54</f>
        <v>0</v>
      </c>
      <c r="E55" s="685">
        <f>+E52-E53-E54</f>
        <v>0</v>
      </c>
      <c r="F55" s="685">
        <f>+F52-F53-F54</f>
        <v>0</v>
      </c>
      <c r="G55" s="685">
        <f>+G52-G53-G54</f>
        <v>0</v>
      </c>
      <c r="H55" s="666"/>
      <c r="I55" s="679"/>
    </row>
    <row r="56" spans="1:11" s="141" customFormat="1" ht="13.5" thickTop="1">
      <c r="A56" s="677"/>
      <c r="B56" s="682"/>
      <c r="C56" s="683"/>
      <c r="D56" s="665"/>
      <c r="E56" s="679"/>
      <c r="F56" s="684"/>
      <c r="G56" s="664"/>
      <c r="H56" s="666"/>
      <c r="I56" s="679"/>
    </row>
    <row r="57" spans="1:11" s="141" customFormat="1">
      <c r="A57" s="677"/>
      <c r="B57" s="682"/>
      <c r="C57" s="683"/>
      <c r="D57" s="665"/>
      <c r="E57" s="679"/>
      <c r="F57" s="684"/>
      <c r="G57" s="664"/>
      <c r="H57" s="666"/>
      <c r="I57" s="679"/>
    </row>
    <row r="58" spans="1:11" s="141" customFormat="1">
      <c r="A58" s="677"/>
      <c r="B58" s="753" t="s">
        <v>31</v>
      </c>
      <c r="C58" s="952"/>
      <c r="D58" s="952"/>
      <c r="E58" s="953"/>
      <c r="F58" s="954"/>
      <c r="G58" s="955"/>
      <c r="H58" s="666"/>
      <c r="I58" s="679"/>
    </row>
    <row r="59" spans="1:11" s="141" customFormat="1">
      <c r="A59" s="677"/>
      <c r="B59" s="1238" t="s">
        <v>187</v>
      </c>
      <c r="C59" s="1239"/>
      <c r="D59" s="1239"/>
      <c r="E59" s="1239"/>
      <c r="F59" s="1239"/>
      <c r="G59" s="1240"/>
      <c r="H59" s="681"/>
      <c r="I59" s="679"/>
    </row>
    <row r="60" spans="1:11" s="141" customFormat="1">
      <c r="A60" s="677"/>
      <c r="B60" s="756" t="s">
        <v>188</v>
      </c>
      <c r="C60" s="956"/>
      <c r="D60" s="956"/>
      <c r="E60" s="956"/>
      <c r="F60" s="957"/>
      <c r="G60" s="958"/>
      <c r="H60" s="666"/>
      <c r="I60" s="679"/>
    </row>
    <row r="61" spans="1:11" s="141" customFormat="1">
      <c r="A61" s="677"/>
      <c r="B61" s="756" t="s">
        <v>416</v>
      </c>
      <c r="C61" s="956"/>
      <c r="D61" s="956"/>
      <c r="E61" s="956"/>
      <c r="F61" s="957"/>
      <c r="G61" s="958"/>
      <c r="H61" s="681"/>
      <c r="I61" s="679"/>
    </row>
    <row r="62" spans="1:11" s="141" customFormat="1">
      <c r="A62" s="677"/>
      <c r="B62" s="756" t="s">
        <v>417</v>
      </c>
      <c r="C62" s="956"/>
      <c r="D62" s="956"/>
      <c r="E62" s="956"/>
      <c r="F62" s="957"/>
      <c r="G62" s="958"/>
      <c r="H62" s="666"/>
      <c r="I62" s="679"/>
    </row>
    <row r="63" spans="1:11" s="238" customFormat="1" ht="27" customHeight="1">
      <c r="A63" s="677"/>
      <c r="B63" s="1235" t="s">
        <v>560</v>
      </c>
      <c r="C63" s="1236"/>
      <c r="D63" s="1236"/>
      <c r="E63" s="1236"/>
      <c r="F63" s="1236"/>
      <c r="G63" s="1237"/>
      <c r="H63" s="679"/>
      <c r="I63" s="680"/>
    </row>
    <row r="64" spans="1:11" s="238" customFormat="1" ht="27" customHeight="1">
      <c r="A64" s="677"/>
      <c r="B64" s="1104"/>
      <c r="C64" s="1104"/>
      <c r="D64" s="1104"/>
      <c r="E64" s="1104"/>
      <c r="F64" s="1104"/>
      <c r="G64" s="1104"/>
      <c r="H64" s="679"/>
      <c r="I64" s="680"/>
    </row>
    <row r="65" spans="1:9" s="238" customFormat="1" ht="27" customHeight="1">
      <c r="A65" s="677"/>
      <c r="B65" s="1104"/>
      <c r="C65" s="1104"/>
      <c r="D65" s="1104"/>
      <c r="E65" s="1104"/>
      <c r="F65" s="1104"/>
      <c r="G65" s="1104"/>
      <c r="H65" s="679"/>
      <c r="I65" s="680"/>
    </row>
    <row r="66" spans="1:9" s="238" customFormat="1" ht="27" customHeight="1">
      <c r="A66" s="677"/>
      <c r="B66" s="1104"/>
      <c r="C66" s="1104"/>
      <c r="D66" s="1104"/>
      <c r="E66" s="1104"/>
      <c r="F66" s="1104"/>
      <c r="G66" s="1104"/>
      <c r="H66" s="679"/>
      <c r="I66" s="680"/>
    </row>
    <row r="67" spans="1:9" s="238" customFormat="1" ht="27" customHeight="1">
      <c r="A67" s="677"/>
      <c r="B67" s="1104"/>
      <c r="C67" s="1104"/>
      <c r="D67" s="1104"/>
      <c r="E67" s="1104"/>
      <c r="F67" s="1104"/>
      <c r="G67" s="1104"/>
      <c r="H67" s="679"/>
      <c r="I67" s="680"/>
    </row>
    <row r="68" spans="1:9" s="238" customFormat="1" ht="27" customHeight="1">
      <c r="A68" s="677"/>
      <c r="B68" s="1104"/>
      <c r="C68" s="1104"/>
      <c r="D68" s="1104"/>
      <c r="E68" s="1104"/>
      <c r="F68" s="1104"/>
      <c r="G68" s="1104"/>
      <c r="H68" s="679"/>
      <c r="I68" s="680"/>
    </row>
    <row r="69" spans="1:9" s="238" customFormat="1" ht="27" customHeight="1">
      <c r="A69" s="677"/>
      <c r="B69" s="1104"/>
      <c r="C69" s="1104"/>
      <c r="D69" s="1104"/>
      <c r="E69" s="1104"/>
      <c r="F69" s="1104"/>
      <c r="G69" s="1104"/>
      <c r="H69" s="679"/>
      <c r="I69" s="680"/>
    </row>
    <row r="70" spans="1:9" s="238" customFormat="1" ht="27" customHeight="1">
      <c r="A70" s="677"/>
      <c r="B70" s="1104"/>
      <c r="C70" s="1104"/>
      <c r="D70" s="1104"/>
      <c r="E70" s="1104"/>
      <c r="F70" s="1104"/>
      <c r="G70" s="1104"/>
      <c r="H70" s="679"/>
      <c r="I70" s="680"/>
    </row>
    <row r="71" spans="1:9" s="238" customFormat="1" ht="27" customHeight="1">
      <c r="A71" s="677"/>
      <c r="B71" s="1104"/>
      <c r="C71" s="1104"/>
      <c r="D71" s="1104"/>
      <c r="E71" s="1104"/>
      <c r="F71" s="1104"/>
      <c r="G71" s="1104"/>
      <c r="H71" s="679"/>
      <c r="I71" s="680"/>
    </row>
    <row r="72" spans="1:9" s="238" customFormat="1" ht="27" customHeight="1">
      <c r="A72" s="1232" t="s">
        <v>661</v>
      </c>
      <c r="B72" s="1232"/>
      <c r="C72" s="1232"/>
      <c r="D72" s="1232"/>
      <c r="E72" s="1232"/>
      <c r="F72" s="1232"/>
      <c r="G72" s="1232"/>
      <c r="H72" s="1232"/>
      <c r="I72" s="680"/>
    </row>
    <row r="73" spans="1:9" s="141" customFormat="1" ht="18">
      <c r="A73" s="1232" t="str">
        <f>A3</f>
        <v xml:space="preserve">     of Appendix A -  RMU Transmission Service Formula Rate</v>
      </c>
      <c r="B73" s="1232"/>
      <c r="C73" s="1232"/>
      <c r="D73" s="1232"/>
      <c r="E73" s="1232"/>
      <c r="F73" s="1232"/>
      <c r="G73" s="1232"/>
      <c r="H73" s="1232"/>
      <c r="I73" s="679"/>
    </row>
    <row r="74" spans="1:9" s="238" customFormat="1">
      <c r="I74" s="672"/>
    </row>
    <row r="75" spans="1:9" s="238" customFormat="1">
      <c r="A75" s="529"/>
      <c r="B75" s="534"/>
      <c r="C75" s="534"/>
      <c r="D75" s="534"/>
      <c r="E75" s="534"/>
      <c r="F75" s="534"/>
      <c r="G75" s="534"/>
      <c r="H75" s="534"/>
      <c r="I75" s="672"/>
    </row>
    <row r="76" spans="1:9" s="141" customFormat="1">
      <c r="A76" s="1233" t="s">
        <v>355</v>
      </c>
      <c r="B76" s="1233"/>
      <c r="C76" s="972" t="s">
        <v>448</v>
      </c>
      <c r="D76" s="972" t="s">
        <v>339</v>
      </c>
      <c r="E76" s="972" t="s">
        <v>356</v>
      </c>
      <c r="F76" s="972" t="s">
        <v>354</v>
      </c>
      <c r="G76" s="972" t="s">
        <v>159</v>
      </c>
      <c r="H76" s="972" t="s">
        <v>357</v>
      </c>
      <c r="I76" s="529"/>
    </row>
    <row r="77" spans="1:9" s="238" customFormat="1">
      <c r="A77" s="1234"/>
      <c r="B77" s="1234"/>
      <c r="C77" s="529"/>
      <c r="D77" s="668" t="s">
        <v>28</v>
      </c>
      <c r="E77" s="668" t="s">
        <v>30</v>
      </c>
      <c r="F77" s="668"/>
      <c r="G77" s="668"/>
      <c r="H77" s="529"/>
      <c r="I77" s="530"/>
    </row>
    <row r="78" spans="1:9" s="238" customFormat="1">
      <c r="A78" s="1234"/>
      <c r="B78" s="1234"/>
      <c r="C78" s="668"/>
      <c r="D78" s="668" t="s">
        <v>29</v>
      </c>
      <c r="E78" s="668" t="s">
        <v>19</v>
      </c>
      <c r="F78" s="668" t="s">
        <v>25</v>
      </c>
      <c r="G78" s="668" t="s">
        <v>27</v>
      </c>
      <c r="H78" s="529"/>
      <c r="I78" s="530"/>
    </row>
    <row r="79" spans="1:9" s="141" customFormat="1" ht="15">
      <c r="A79" s="1246" t="s">
        <v>84</v>
      </c>
      <c r="B79" s="1246"/>
      <c r="C79" s="669" t="s">
        <v>447</v>
      </c>
      <c r="D79" s="669" t="s">
        <v>26</v>
      </c>
      <c r="E79" s="669" t="s">
        <v>26</v>
      </c>
      <c r="F79" s="669" t="s">
        <v>26</v>
      </c>
      <c r="G79" s="669" t="s">
        <v>26</v>
      </c>
      <c r="H79" s="670" t="s">
        <v>330</v>
      </c>
      <c r="I79" s="529"/>
    </row>
    <row r="80" spans="1:9" s="238" customFormat="1">
      <c r="A80" s="671"/>
      <c r="B80" s="679"/>
      <c r="C80" s="669"/>
      <c r="D80" s="669"/>
      <c r="E80" s="669"/>
      <c r="F80" s="669"/>
      <c r="G80" s="669"/>
      <c r="H80" s="670"/>
      <c r="I80" s="672"/>
    </row>
    <row r="81" spans="1:9">
      <c r="A81" s="983"/>
      <c r="B81" s="983"/>
      <c r="C81" s="979">
        <v>0</v>
      </c>
      <c r="D81" s="979">
        <v>0</v>
      </c>
      <c r="E81" s="979">
        <v>0</v>
      </c>
      <c r="F81" s="979">
        <v>0</v>
      </c>
      <c r="G81" s="979">
        <v>0</v>
      </c>
      <c r="H81" s="980"/>
      <c r="I81" s="529"/>
    </row>
    <row r="82" spans="1:9">
      <c r="A82" s="983"/>
      <c r="B82" s="983"/>
      <c r="C82" s="979">
        <v>0</v>
      </c>
      <c r="D82" s="979">
        <v>0</v>
      </c>
      <c r="E82" s="979">
        <v>0</v>
      </c>
      <c r="F82" s="979">
        <v>0</v>
      </c>
      <c r="G82" s="979">
        <v>0</v>
      </c>
      <c r="H82" s="981"/>
      <c r="I82" s="529"/>
    </row>
    <row r="83" spans="1:9">
      <c r="A83" s="983"/>
      <c r="B83" s="979"/>
      <c r="C83" s="979">
        <v>0</v>
      </c>
      <c r="D83" s="979">
        <v>0</v>
      </c>
      <c r="E83" s="979">
        <v>0</v>
      </c>
      <c r="F83" s="979">
        <v>0</v>
      </c>
      <c r="G83" s="979">
        <v>0</v>
      </c>
      <c r="H83" s="985"/>
      <c r="I83" s="529"/>
    </row>
    <row r="84" spans="1:9">
      <c r="A84" s="983"/>
      <c r="B84" s="979"/>
      <c r="C84" s="979">
        <v>0</v>
      </c>
      <c r="D84" s="979">
        <v>0</v>
      </c>
      <c r="E84" s="979">
        <v>0</v>
      </c>
      <c r="F84" s="979">
        <v>0</v>
      </c>
      <c r="G84" s="979">
        <v>0</v>
      </c>
      <c r="H84" s="981"/>
      <c r="I84" s="529"/>
    </row>
    <row r="85" spans="1:9">
      <c r="A85" s="983"/>
      <c r="B85" s="979"/>
      <c r="C85" s="979">
        <v>0</v>
      </c>
      <c r="D85" s="979">
        <v>0</v>
      </c>
      <c r="E85" s="979">
        <v>0</v>
      </c>
      <c r="F85" s="979">
        <v>0</v>
      </c>
      <c r="G85" s="979">
        <v>0</v>
      </c>
      <c r="H85" s="981"/>
      <c r="I85" s="529"/>
    </row>
    <row r="86" spans="1:9">
      <c r="A86" s="983"/>
      <c r="B86" s="979"/>
      <c r="C86" s="979">
        <v>0</v>
      </c>
      <c r="D86" s="979">
        <v>0</v>
      </c>
      <c r="E86" s="979">
        <v>0</v>
      </c>
      <c r="F86" s="979">
        <v>0</v>
      </c>
      <c r="G86" s="979">
        <v>0</v>
      </c>
      <c r="H86" s="980"/>
      <c r="I86" s="529"/>
    </row>
    <row r="87" spans="1:9">
      <c r="A87" s="983"/>
      <c r="B87" s="979"/>
      <c r="C87" s="979">
        <v>0</v>
      </c>
      <c r="D87" s="979">
        <v>0</v>
      </c>
      <c r="E87" s="979">
        <v>0</v>
      </c>
      <c r="F87" s="979">
        <v>0</v>
      </c>
      <c r="G87" s="979">
        <v>0</v>
      </c>
      <c r="H87" s="981"/>
      <c r="I87" s="529"/>
    </row>
    <row r="88" spans="1:9">
      <c r="A88" s="983"/>
      <c r="B88" s="979"/>
      <c r="C88" s="979">
        <v>0</v>
      </c>
      <c r="D88" s="979">
        <v>0</v>
      </c>
      <c r="E88" s="979">
        <v>0</v>
      </c>
      <c r="F88" s="979">
        <v>0</v>
      </c>
      <c r="G88" s="979">
        <v>0</v>
      </c>
      <c r="H88" s="980"/>
      <c r="I88" s="529"/>
    </row>
    <row r="89" spans="1:9">
      <c r="A89" s="983"/>
      <c r="B89" s="979"/>
      <c r="C89" s="979">
        <v>0</v>
      </c>
      <c r="D89" s="979">
        <v>0</v>
      </c>
      <c r="E89" s="979">
        <v>0</v>
      </c>
      <c r="F89" s="979">
        <v>0</v>
      </c>
      <c r="G89" s="979">
        <v>0</v>
      </c>
      <c r="H89" s="980"/>
      <c r="I89" s="529"/>
    </row>
    <row r="90" spans="1:9">
      <c r="A90" s="983"/>
      <c r="B90" s="979"/>
      <c r="C90" s="979">
        <v>0</v>
      </c>
      <c r="D90" s="979">
        <v>0</v>
      </c>
      <c r="E90" s="979">
        <v>0</v>
      </c>
      <c r="F90" s="979">
        <v>0</v>
      </c>
      <c r="G90" s="979">
        <v>0</v>
      </c>
      <c r="H90" s="980"/>
      <c r="I90" s="529"/>
    </row>
    <row r="91" spans="1:9">
      <c r="A91" s="983"/>
      <c r="B91" s="979"/>
      <c r="C91" s="979">
        <v>0</v>
      </c>
      <c r="D91" s="979">
        <v>0</v>
      </c>
      <c r="E91" s="979">
        <v>0</v>
      </c>
      <c r="F91" s="979">
        <v>0</v>
      </c>
      <c r="G91" s="979">
        <v>0</v>
      </c>
      <c r="H91" s="981"/>
      <c r="I91" s="529"/>
    </row>
    <row r="92" spans="1:9">
      <c r="A92" s="983"/>
      <c r="B92" s="987"/>
      <c r="C92" s="979">
        <v>0</v>
      </c>
      <c r="D92" s="979">
        <v>0</v>
      </c>
      <c r="E92" s="979">
        <v>0</v>
      </c>
      <c r="F92" s="979">
        <v>0</v>
      </c>
      <c r="G92" s="979">
        <v>0</v>
      </c>
      <c r="H92" s="980"/>
      <c r="I92" s="529"/>
    </row>
    <row r="93" spans="1:9">
      <c r="A93" s="983"/>
      <c r="B93" s="987"/>
      <c r="C93" s="979">
        <v>0</v>
      </c>
      <c r="D93" s="979">
        <v>0</v>
      </c>
      <c r="E93" s="979">
        <v>0</v>
      </c>
      <c r="F93" s="979">
        <v>0</v>
      </c>
      <c r="G93" s="979">
        <v>0</v>
      </c>
      <c r="H93" s="980"/>
      <c r="I93" s="529"/>
    </row>
    <row r="94" spans="1:9">
      <c r="A94" s="983"/>
      <c r="B94" s="979"/>
      <c r="C94" s="979">
        <v>0</v>
      </c>
      <c r="D94" s="979">
        <v>0</v>
      </c>
      <c r="E94" s="979">
        <v>0</v>
      </c>
      <c r="F94" s="979">
        <v>0</v>
      </c>
      <c r="G94" s="979">
        <v>0</v>
      </c>
      <c r="H94" s="980"/>
      <c r="I94" s="529"/>
    </row>
    <row r="95" spans="1:9">
      <c r="A95" s="983"/>
      <c r="B95" s="979"/>
      <c r="C95" s="979">
        <v>0</v>
      </c>
      <c r="D95" s="979">
        <v>0</v>
      </c>
      <c r="E95" s="979">
        <v>0</v>
      </c>
      <c r="F95" s="979">
        <v>0</v>
      </c>
      <c r="G95" s="979">
        <v>0</v>
      </c>
      <c r="H95" s="980"/>
      <c r="I95" s="529"/>
    </row>
    <row r="96" spans="1:9">
      <c r="A96" s="983"/>
      <c r="B96" s="986"/>
      <c r="C96" s="979">
        <v>0</v>
      </c>
      <c r="D96" s="979">
        <v>0</v>
      </c>
      <c r="E96" s="979">
        <v>0</v>
      </c>
      <c r="F96" s="979">
        <v>0</v>
      </c>
      <c r="G96" s="979">
        <v>0</v>
      </c>
      <c r="H96" s="980"/>
      <c r="I96" s="529"/>
    </row>
    <row r="97" spans="1:11">
      <c r="A97" s="983"/>
      <c r="B97" s="986"/>
      <c r="C97" s="979">
        <v>0</v>
      </c>
      <c r="D97" s="979">
        <v>0</v>
      </c>
      <c r="E97" s="979">
        <v>0</v>
      </c>
      <c r="F97" s="979">
        <v>0</v>
      </c>
      <c r="G97" s="979">
        <v>0</v>
      </c>
      <c r="H97" s="981"/>
      <c r="I97" s="529"/>
    </row>
    <row r="98" spans="1:11">
      <c r="A98" s="983"/>
      <c r="B98" s="986"/>
      <c r="C98" s="979">
        <v>0</v>
      </c>
      <c r="D98" s="979">
        <v>0</v>
      </c>
      <c r="E98" s="979">
        <v>0</v>
      </c>
      <c r="F98" s="979">
        <v>0</v>
      </c>
      <c r="G98" s="979">
        <v>0</v>
      </c>
      <c r="H98" s="981"/>
      <c r="I98" s="529"/>
    </row>
    <row r="99" spans="1:11">
      <c r="A99" s="983"/>
      <c r="B99" s="986"/>
      <c r="C99" s="979">
        <v>0</v>
      </c>
      <c r="D99" s="979">
        <v>0</v>
      </c>
      <c r="E99" s="979">
        <v>0</v>
      </c>
      <c r="F99" s="979">
        <v>0</v>
      </c>
      <c r="G99" s="979">
        <v>0</v>
      </c>
      <c r="H99" s="985"/>
      <c r="I99" s="529"/>
    </row>
    <row r="100" spans="1:11">
      <c r="A100" s="983"/>
      <c r="B100" s="986"/>
      <c r="C100" s="979">
        <v>0</v>
      </c>
      <c r="D100" s="979">
        <v>0</v>
      </c>
      <c r="E100" s="979">
        <v>0</v>
      </c>
      <c r="F100" s="979">
        <v>0</v>
      </c>
      <c r="G100" s="979">
        <v>0</v>
      </c>
      <c r="H100" s="980"/>
      <c r="I100" s="529"/>
      <c r="J100" s="716"/>
    </row>
    <row r="101" spans="1:11">
      <c r="A101" s="828"/>
      <c r="B101" s="829" t="s">
        <v>83</v>
      </c>
      <c r="C101" s="830">
        <f>SUBTOTAL(9,C83:C100)</f>
        <v>0</v>
      </c>
      <c r="D101" s="665"/>
      <c r="E101" s="665"/>
      <c r="F101" s="665"/>
      <c r="G101" s="665"/>
      <c r="H101" s="666"/>
      <c r="I101" s="529"/>
    </row>
    <row r="102" spans="1:11">
      <c r="A102" s="664"/>
      <c r="B102" s="664"/>
      <c r="C102" s="665"/>
      <c r="D102" s="665"/>
      <c r="E102" s="665"/>
      <c r="F102" s="665"/>
      <c r="G102" s="665"/>
      <c r="H102" s="666"/>
      <c r="I102" s="679"/>
    </row>
    <row r="103" spans="1:11">
      <c r="A103" s="831" t="s">
        <v>380</v>
      </c>
      <c r="B103" s="949"/>
      <c r="C103" s="744">
        <f>+C81+C82+C101</f>
        <v>0</v>
      </c>
      <c r="D103" s="744">
        <f>SUM(D81:D102)</f>
        <v>0</v>
      </c>
      <c r="E103" s="744">
        <f>SUM(E81:E102)</f>
        <v>0</v>
      </c>
      <c r="F103" s="744">
        <f>SUM(F81:F102)</f>
        <v>0</v>
      </c>
      <c r="G103" s="744">
        <f>SUM(G81:G102)</f>
        <v>0</v>
      </c>
      <c r="H103" s="681"/>
      <c r="I103" s="679"/>
      <c r="K103" s="960"/>
    </row>
    <row r="104" spans="1:11" s="276" customFormat="1">
      <c r="A104" s="819" t="s">
        <v>316</v>
      </c>
      <c r="B104" s="950"/>
      <c r="C104" s="813">
        <f>SUM(D104:G104)</f>
        <v>0</v>
      </c>
      <c r="D104" s="813"/>
      <c r="E104" s="813"/>
      <c r="F104" s="813"/>
      <c r="G104" s="813"/>
      <c r="H104" s="822"/>
      <c r="I104" s="672"/>
      <c r="K104" s="961"/>
    </row>
    <row r="105" spans="1:11" s="276" customFormat="1">
      <c r="A105" s="823" t="s">
        <v>317</v>
      </c>
      <c r="B105" s="951"/>
      <c r="C105" s="825">
        <f>SUM(D105:G105)</f>
        <v>0</v>
      </c>
      <c r="D105" s="825"/>
      <c r="E105" s="825"/>
      <c r="F105" s="825"/>
      <c r="G105" s="825"/>
      <c r="H105" s="822"/>
      <c r="I105" s="672"/>
    </row>
    <row r="106" spans="1:11" ht="13.5" thickBot="1">
      <c r="A106" s="1244" t="s">
        <v>447</v>
      </c>
      <c r="B106" s="1245"/>
      <c r="C106" s="688">
        <f>+C103-C104-C105</f>
        <v>0</v>
      </c>
      <c r="D106" s="688">
        <f>+D103-D104-D105</f>
        <v>0</v>
      </c>
      <c r="E106" s="688">
        <f>+E103-E104-E105</f>
        <v>0</v>
      </c>
      <c r="F106" s="688">
        <f>+F103-F104-F105</f>
        <v>0</v>
      </c>
      <c r="G106" s="688">
        <f>+G103-G104-G105</f>
        <v>0</v>
      </c>
      <c r="H106" s="639"/>
      <c r="I106" s="679"/>
    </row>
    <row r="107" spans="1:11" s="141" customFormat="1" ht="13.5" thickTop="1">
      <c r="A107" s="677"/>
      <c r="B107" s="682"/>
      <c r="C107" s="683"/>
      <c r="D107" s="679"/>
      <c r="E107" s="665"/>
      <c r="F107" s="664"/>
      <c r="G107" s="664"/>
      <c r="H107" s="666"/>
      <c r="I107" s="679"/>
    </row>
    <row r="108" spans="1:11" s="141" customFormat="1">
      <c r="A108" s="677"/>
      <c r="B108" s="682"/>
      <c r="C108" s="683"/>
      <c r="D108" s="679"/>
      <c r="E108" s="665"/>
      <c r="F108" s="664"/>
      <c r="G108" s="664"/>
      <c r="H108" s="666"/>
      <c r="I108" s="679"/>
    </row>
    <row r="109" spans="1:11" s="141" customFormat="1" ht="20.25" customHeight="1">
      <c r="A109" s="677"/>
      <c r="B109" s="753" t="s">
        <v>33</v>
      </c>
      <c r="C109" s="952"/>
      <c r="D109" s="952"/>
      <c r="E109" s="952"/>
      <c r="F109" s="959"/>
      <c r="G109" s="955"/>
      <c r="H109" s="666"/>
      <c r="I109" s="679"/>
    </row>
    <row r="110" spans="1:11" s="141" customFormat="1" ht="20.25" customHeight="1">
      <c r="A110" s="677"/>
      <c r="B110" s="1238" t="s">
        <v>187</v>
      </c>
      <c r="C110" s="1239"/>
      <c r="D110" s="1239"/>
      <c r="E110" s="1239"/>
      <c r="F110" s="1239"/>
      <c r="G110" s="1240"/>
      <c r="H110" s="666"/>
      <c r="I110" s="679"/>
    </row>
    <row r="111" spans="1:11" s="141" customFormat="1" ht="20.25" customHeight="1">
      <c r="A111" s="677"/>
      <c r="B111" s="756" t="s">
        <v>188</v>
      </c>
      <c r="C111" s="956"/>
      <c r="D111" s="956"/>
      <c r="E111" s="956"/>
      <c r="F111" s="957"/>
      <c r="G111" s="958"/>
      <c r="H111" s="666"/>
      <c r="I111" s="679"/>
    </row>
    <row r="112" spans="1:11" s="141" customFormat="1" ht="20.25" customHeight="1">
      <c r="A112" s="677"/>
      <c r="B112" s="756" t="s">
        <v>416</v>
      </c>
      <c r="C112" s="956"/>
      <c r="D112" s="956"/>
      <c r="E112" s="956"/>
      <c r="F112" s="957"/>
      <c r="G112" s="958"/>
      <c r="H112" s="666"/>
      <c r="I112" s="679"/>
    </row>
    <row r="113" spans="1:9" s="141" customFormat="1" ht="20.25" customHeight="1">
      <c r="A113" s="677"/>
      <c r="B113" s="756" t="s">
        <v>417</v>
      </c>
      <c r="C113" s="956"/>
      <c r="D113" s="956"/>
      <c r="E113" s="956"/>
      <c r="F113" s="957"/>
      <c r="G113" s="958"/>
      <c r="H113" s="666"/>
      <c r="I113" s="679"/>
    </row>
    <row r="114" spans="1:9" s="238" customFormat="1" ht="32.25" customHeight="1">
      <c r="A114" s="677"/>
      <c r="B114" s="1235" t="s">
        <v>560</v>
      </c>
      <c r="C114" s="1236"/>
      <c r="D114" s="1236"/>
      <c r="E114" s="1236"/>
      <c r="F114" s="1236"/>
      <c r="G114" s="1237"/>
      <c r="H114" s="679"/>
      <c r="I114" s="680"/>
    </row>
    <row r="115" spans="1:9" s="238" customFormat="1" ht="32.25" customHeight="1">
      <c r="A115" s="677"/>
      <c r="B115" s="1104"/>
      <c r="C115" s="1104"/>
      <c r="D115" s="1104"/>
      <c r="E115" s="1104"/>
      <c r="F115" s="1104"/>
      <c r="G115" s="1104"/>
      <c r="H115" s="679"/>
      <c r="I115" s="680"/>
    </row>
    <row r="116" spans="1:9" s="238" customFormat="1" ht="32.25" customHeight="1">
      <c r="A116" s="677"/>
      <c r="B116" s="1104"/>
      <c r="C116" s="1104"/>
      <c r="D116" s="1104"/>
      <c r="E116" s="1104"/>
      <c r="F116" s="1104"/>
      <c r="G116" s="1104"/>
      <c r="H116" s="679"/>
      <c r="I116" s="680"/>
    </row>
    <row r="117" spans="1:9" s="238" customFormat="1" ht="32.25" customHeight="1">
      <c r="A117" s="677"/>
      <c r="B117" s="1104"/>
      <c r="C117" s="1104"/>
      <c r="D117" s="1104"/>
      <c r="E117" s="1104"/>
      <c r="F117" s="1104"/>
      <c r="G117" s="1104"/>
      <c r="H117" s="679"/>
      <c r="I117" s="680"/>
    </row>
    <row r="118" spans="1:9" s="238" customFormat="1" ht="32.25" customHeight="1">
      <c r="A118" s="677"/>
      <c r="B118" s="1104"/>
      <c r="C118" s="1104"/>
      <c r="D118" s="1104"/>
      <c r="E118" s="1104"/>
      <c r="F118" s="1104"/>
      <c r="G118" s="1104"/>
      <c r="H118" s="679"/>
      <c r="I118" s="680"/>
    </row>
    <row r="119" spans="1:9" s="238" customFormat="1" ht="32.25" customHeight="1">
      <c r="A119" s="677"/>
      <c r="B119" s="1104"/>
      <c r="C119" s="1104"/>
      <c r="D119" s="1104"/>
      <c r="E119" s="1104"/>
      <c r="F119" s="1104"/>
      <c r="G119" s="1104"/>
      <c r="H119" s="679"/>
      <c r="I119" s="680"/>
    </row>
    <row r="120" spans="1:9" s="238" customFormat="1" ht="32.25" customHeight="1">
      <c r="A120" s="1232" t="s">
        <v>661</v>
      </c>
      <c r="B120" s="1232"/>
      <c r="C120" s="1232"/>
      <c r="D120" s="1232"/>
      <c r="E120" s="1232"/>
      <c r="F120" s="1232"/>
      <c r="G120" s="1232"/>
      <c r="H120" s="1232"/>
      <c r="I120" s="680"/>
    </row>
    <row r="121" spans="1:9" s="141" customFormat="1" ht="18">
      <c r="A121" s="674" t="str">
        <f>A3</f>
        <v xml:space="preserve">     of Appendix A -  RMU Transmission Service Formula Rate</v>
      </c>
      <c r="B121" s="675"/>
      <c r="C121" s="676"/>
      <c r="D121" s="676"/>
      <c r="E121" s="676"/>
      <c r="F121" s="676"/>
      <c r="G121" s="676"/>
      <c r="H121" s="676"/>
      <c r="I121" s="679"/>
    </row>
    <row r="122" spans="1:9" s="238" customFormat="1">
      <c r="I122" s="672"/>
    </row>
    <row r="123" spans="1:9" s="141" customFormat="1">
      <c r="A123" s="531"/>
      <c r="B123" s="534"/>
      <c r="C123" s="534"/>
      <c r="D123" s="534"/>
      <c r="E123" s="534"/>
      <c r="F123" s="534"/>
      <c r="G123" s="534"/>
      <c r="H123" s="534"/>
      <c r="I123" s="679"/>
    </row>
    <row r="124" spans="1:9" s="141" customFormat="1">
      <c r="A124" s="1233" t="s">
        <v>355</v>
      </c>
      <c r="B124" s="1233"/>
      <c r="C124" s="972" t="s">
        <v>448</v>
      </c>
      <c r="D124" s="972" t="s">
        <v>339</v>
      </c>
      <c r="E124" s="972" t="s">
        <v>356</v>
      </c>
      <c r="F124" s="972" t="s">
        <v>354</v>
      </c>
      <c r="G124" s="972" t="s">
        <v>159</v>
      </c>
      <c r="H124" s="972" t="s">
        <v>357</v>
      </c>
      <c r="I124" s="529"/>
    </row>
    <row r="125" spans="1:9" s="238" customFormat="1">
      <c r="A125" s="1234"/>
      <c r="B125" s="1234"/>
      <c r="C125" s="529"/>
      <c r="D125" s="668" t="s">
        <v>28</v>
      </c>
      <c r="E125" s="668" t="s">
        <v>30</v>
      </c>
      <c r="F125" s="668"/>
      <c r="G125" s="668"/>
      <c r="H125" s="529"/>
      <c r="I125" s="530"/>
    </row>
    <row r="126" spans="1:9" s="238" customFormat="1">
      <c r="A126" s="1234"/>
      <c r="B126" s="1234"/>
      <c r="C126" s="668"/>
      <c r="D126" s="668" t="s">
        <v>29</v>
      </c>
      <c r="E126" s="668" t="s">
        <v>19</v>
      </c>
      <c r="F126" s="668" t="s">
        <v>25</v>
      </c>
      <c r="G126" s="668" t="s">
        <v>27</v>
      </c>
      <c r="H126" s="529"/>
      <c r="I126" s="530"/>
    </row>
    <row r="127" spans="1:9" s="141" customFormat="1" ht="15">
      <c r="A127" s="1246" t="s">
        <v>22</v>
      </c>
      <c r="B127" s="1246"/>
      <c r="C127" s="669" t="s">
        <v>447</v>
      </c>
      <c r="D127" s="669" t="s">
        <v>26</v>
      </c>
      <c r="E127" s="669" t="s">
        <v>26</v>
      </c>
      <c r="F127" s="669" t="s">
        <v>26</v>
      </c>
      <c r="G127" s="669" t="s">
        <v>26</v>
      </c>
      <c r="H127" s="670" t="s">
        <v>330</v>
      </c>
      <c r="I127" s="529"/>
    </row>
    <row r="128" spans="1:9" s="141" customFormat="1">
      <c r="A128" s="531"/>
      <c r="B128" s="534"/>
      <c r="C128" s="534"/>
      <c r="D128" s="534"/>
      <c r="E128" s="534"/>
      <c r="F128" s="534"/>
      <c r="G128" s="534"/>
      <c r="H128" s="534"/>
      <c r="I128" s="679"/>
    </row>
    <row r="129" spans="1:9">
      <c r="A129" s="983"/>
      <c r="B129" s="983"/>
      <c r="C129" s="979">
        <v>0</v>
      </c>
      <c r="D129" s="979">
        <v>0</v>
      </c>
      <c r="E129" s="979">
        <v>0</v>
      </c>
      <c r="F129" s="979">
        <v>0</v>
      </c>
      <c r="G129" s="979">
        <v>0</v>
      </c>
      <c r="H129" s="980"/>
      <c r="I129" s="529"/>
    </row>
    <row r="130" spans="1:9">
      <c r="A130" s="982"/>
      <c r="B130" s="983"/>
      <c r="C130" s="979">
        <v>0</v>
      </c>
      <c r="D130" s="979">
        <v>0</v>
      </c>
      <c r="E130" s="979">
        <v>0</v>
      </c>
      <c r="F130" s="979">
        <v>0</v>
      </c>
      <c r="G130" s="979">
        <v>0</v>
      </c>
      <c r="H130" s="981"/>
      <c r="I130" s="529"/>
    </row>
    <row r="131" spans="1:9">
      <c r="A131" s="983"/>
      <c r="B131" s="983"/>
      <c r="C131" s="979">
        <v>0</v>
      </c>
      <c r="D131" s="979">
        <v>0</v>
      </c>
      <c r="E131" s="979">
        <v>0</v>
      </c>
      <c r="F131" s="979">
        <v>0</v>
      </c>
      <c r="G131" s="979">
        <v>0</v>
      </c>
      <c r="H131" s="981"/>
      <c r="I131" s="529"/>
    </row>
    <row r="132" spans="1:9">
      <c r="A132" s="983"/>
      <c r="B132" s="983"/>
      <c r="C132" s="979">
        <v>0</v>
      </c>
      <c r="D132" s="979">
        <v>0</v>
      </c>
      <c r="E132" s="979">
        <v>0</v>
      </c>
      <c r="F132" s="979">
        <v>0</v>
      </c>
      <c r="G132" s="979">
        <v>0</v>
      </c>
      <c r="H132" s="980"/>
      <c r="I132" s="529"/>
    </row>
    <row r="133" spans="1:9">
      <c r="A133" s="983"/>
      <c r="B133" s="983"/>
      <c r="C133" s="979">
        <v>0</v>
      </c>
      <c r="D133" s="979">
        <v>0</v>
      </c>
      <c r="E133" s="979">
        <v>0</v>
      </c>
      <c r="F133" s="979">
        <v>0</v>
      </c>
      <c r="G133" s="979">
        <v>0</v>
      </c>
      <c r="H133" s="980"/>
      <c r="I133" s="529"/>
    </row>
    <row r="134" spans="1:9">
      <c r="A134" s="983"/>
      <c r="B134" s="983"/>
      <c r="C134" s="979">
        <v>0</v>
      </c>
      <c r="D134" s="979">
        <v>0</v>
      </c>
      <c r="E134" s="979">
        <v>0</v>
      </c>
      <c r="F134" s="979">
        <v>0</v>
      </c>
      <c r="G134" s="979">
        <v>0</v>
      </c>
      <c r="H134" s="980"/>
      <c r="I134" s="529"/>
    </row>
    <row r="135" spans="1:9">
      <c r="A135" s="983"/>
      <c r="B135" s="983"/>
      <c r="C135" s="979">
        <v>0</v>
      </c>
      <c r="D135" s="979">
        <v>0</v>
      </c>
      <c r="E135" s="979">
        <v>0</v>
      </c>
      <c r="F135" s="979">
        <v>0</v>
      </c>
      <c r="G135" s="979">
        <v>0</v>
      </c>
      <c r="H135" s="981"/>
      <c r="I135" s="529"/>
    </row>
    <row r="136" spans="1:9">
      <c r="A136" s="983"/>
      <c r="B136" s="983"/>
      <c r="C136" s="979">
        <v>0</v>
      </c>
      <c r="D136" s="979">
        <v>0</v>
      </c>
      <c r="E136" s="979">
        <v>0</v>
      </c>
      <c r="F136" s="979">
        <v>0</v>
      </c>
      <c r="G136" s="979">
        <v>0</v>
      </c>
      <c r="H136" s="980"/>
      <c r="I136" s="529"/>
    </row>
    <row r="137" spans="1:9">
      <c r="A137" s="982"/>
      <c r="B137" s="987"/>
      <c r="C137" s="979">
        <v>0</v>
      </c>
      <c r="D137" s="979">
        <v>0</v>
      </c>
      <c r="E137" s="979">
        <v>0</v>
      </c>
      <c r="F137" s="979">
        <v>0</v>
      </c>
      <c r="G137" s="979">
        <v>0</v>
      </c>
      <c r="H137" s="981"/>
      <c r="I137" s="529"/>
    </row>
    <row r="138" spans="1:9">
      <c r="A138" s="983"/>
      <c r="B138" s="987"/>
      <c r="C138" s="979">
        <v>0</v>
      </c>
      <c r="D138" s="979">
        <v>0</v>
      </c>
      <c r="E138" s="979">
        <v>0</v>
      </c>
      <c r="F138" s="979">
        <v>0</v>
      </c>
      <c r="G138" s="979">
        <v>0</v>
      </c>
      <c r="H138" s="980"/>
      <c r="I138" s="529"/>
    </row>
    <row r="139" spans="1:9">
      <c r="A139" s="983"/>
      <c r="B139" s="983"/>
      <c r="C139" s="979">
        <v>0</v>
      </c>
      <c r="D139" s="979">
        <v>0</v>
      </c>
      <c r="E139" s="979">
        <v>0</v>
      </c>
      <c r="F139" s="979">
        <v>0</v>
      </c>
      <c r="G139" s="979">
        <v>0</v>
      </c>
      <c r="H139" s="981"/>
      <c r="I139" s="529"/>
    </row>
    <row r="140" spans="1:9">
      <c r="A140" s="983"/>
      <c r="B140" s="983"/>
      <c r="C140" s="979">
        <v>0</v>
      </c>
      <c r="D140" s="979">
        <v>0</v>
      </c>
      <c r="E140" s="979">
        <v>0</v>
      </c>
      <c r="F140" s="979">
        <v>0</v>
      </c>
      <c r="G140" s="979">
        <v>0</v>
      </c>
      <c r="H140" s="981"/>
      <c r="I140" s="529"/>
    </row>
    <row r="141" spans="1:9" s="637" customFormat="1">
      <c r="A141" s="983"/>
      <c r="B141" s="988"/>
      <c r="C141" s="979">
        <v>0</v>
      </c>
      <c r="D141" s="979">
        <v>0</v>
      </c>
      <c r="E141" s="979">
        <v>0</v>
      </c>
      <c r="F141" s="979">
        <v>0</v>
      </c>
      <c r="G141" s="979">
        <v>0</v>
      </c>
      <c r="H141" s="980"/>
      <c r="I141" s="686"/>
    </row>
    <row r="142" spans="1:9" s="637" customFormat="1">
      <c r="A142" s="983"/>
      <c r="B142" s="988"/>
      <c r="C142" s="979">
        <v>0</v>
      </c>
      <c r="D142" s="979">
        <v>0</v>
      </c>
      <c r="E142" s="979">
        <v>0</v>
      </c>
      <c r="F142" s="979">
        <v>0</v>
      </c>
      <c r="G142" s="979">
        <v>0</v>
      </c>
      <c r="H142" s="980"/>
      <c r="I142" s="686"/>
    </row>
    <row r="143" spans="1:9" s="637" customFormat="1">
      <c r="A143" s="983"/>
      <c r="B143" s="988"/>
      <c r="C143" s="979">
        <v>0</v>
      </c>
      <c r="D143" s="979">
        <v>0</v>
      </c>
      <c r="E143" s="979">
        <v>0</v>
      </c>
      <c r="F143" s="979">
        <v>0</v>
      </c>
      <c r="G143" s="979">
        <v>0</v>
      </c>
      <c r="H143" s="980"/>
      <c r="I143" s="686"/>
    </row>
    <row r="144" spans="1:9" s="637" customFormat="1">
      <c r="A144" s="982"/>
      <c r="B144" s="988"/>
      <c r="C144" s="979">
        <v>0</v>
      </c>
      <c r="D144" s="979">
        <v>0</v>
      </c>
      <c r="E144" s="979">
        <v>0</v>
      </c>
      <c r="F144" s="979">
        <v>0</v>
      </c>
      <c r="G144" s="979">
        <v>0</v>
      </c>
      <c r="H144" s="980"/>
      <c r="I144" s="686"/>
    </row>
    <row r="145" spans="1:11" s="637" customFormat="1">
      <c r="A145" s="983"/>
      <c r="B145" s="988"/>
      <c r="C145" s="979">
        <v>0</v>
      </c>
      <c r="D145" s="979">
        <v>0</v>
      </c>
      <c r="E145" s="979">
        <v>0</v>
      </c>
      <c r="F145" s="979">
        <v>0</v>
      </c>
      <c r="G145" s="979">
        <v>0</v>
      </c>
      <c r="H145" s="980"/>
      <c r="I145" s="686"/>
    </row>
    <row r="146" spans="1:11">
      <c r="A146" s="982"/>
      <c r="B146" s="983"/>
      <c r="C146" s="979">
        <v>0</v>
      </c>
      <c r="D146" s="979">
        <v>0</v>
      </c>
      <c r="E146" s="979">
        <v>0</v>
      </c>
      <c r="F146" s="979">
        <v>0</v>
      </c>
      <c r="G146" s="979">
        <v>0</v>
      </c>
      <c r="H146" s="981"/>
      <c r="I146" s="529"/>
    </row>
    <row r="147" spans="1:11">
      <c r="A147" s="982"/>
      <c r="B147" s="983"/>
      <c r="C147" s="979">
        <v>0</v>
      </c>
      <c r="D147" s="979">
        <v>0</v>
      </c>
      <c r="E147" s="979">
        <v>0</v>
      </c>
      <c r="F147" s="979">
        <v>0</v>
      </c>
      <c r="G147" s="979">
        <v>0</v>
      </c>
      <c r="H147" s="981"/>
      <c r="I147" s="529"/>
    </row>
    <row r="148" spans="1:11">
      <c r="A148" s="982"/>
      <c r="B148" s="983"/>
      <c r="C148" s="979">
        <v>0</v>
      </c>
      <c r="D148" s="979">
        <v>0</v>
      </c>
      <c r="E148" s="979">
        <v>0</v>
      </c>
      <c r="F148" s="979">
        <v>0</v>
      </c>
      <c r="G148" s="979">
        <v>0</v>
      </c>
      <c r="H148" s="981"/>
      <c r="I148" s="529"/>
    </row>
    <row r="149" spans="1:11">
      <c r="A149" s="982"/>
      <c r="B149" s="983"/>
      <c r="C149" s="979">
        <v>0</v>
      </c>
      <c r="D149" s="979">
        <v>0</v>
      </c>
      <c r="E149" s="979">
        <v>0</v>
      </c>
      <c r="F149" s="979">
        <v>0</v>
      </c>
      <c r="G149" s="979">
        <v>0</v>
      </c>
      <c r="H149" s="981"/>
      <c r="I149" s="529"/>
    </row>
    <row r="150" spans="1:11">
      <c r="A150" s="982"/>
      <c r="B150" s="983"/>
      <c r="C150" s="979">
        <v>0</v>
      </c>
      <c r="D150" s="979">
        <v>0</v>
      </c>
      <c r="E150" s="979">
        <v>0</v>
      </c>
      <c r="F150" s="979">
        <v>0</v>
      </c>
      <c r="G150" s="979">
        <v>0</v>
      </c>
      <c r="H150" s="981"/>
      <c r="I150" s="529"/>
    </row>
    <row r="151" spans="1:11">
      <c r="A151" s="982"/>
      <c r="B151" s="983"/>
      <c r="C151" s="979">
        <v>0</v>
      </c>
      <c r="D151" s="979">
        <v>0</v>
      </c>
      <c r="E151" s="979">
        <v>0</v>
      </c>
      <c r="F151" s="979">
        <v>0</v>
      </c>
      <c r="G151" s="979">
        <v>0</v>
      </c>
      <c r="H151" s="981"/>
      <c r="I151" s="529"/>
    </row>
    <row r="152" spans="1:11">
      <c r="A152" s="982"/>
      <c r="B152" s="994"/>
      <c r="C152" s="979">
        <v>0</v>
      </c>
      <c r="D152" s="979">
        <v>0</v>
      </c>
      <c r="E152" s="979">
        <v>0</v>
      </c>
      <c r="F152" s="979">
        <v>0</v>
      </c>
      <c r="G152" s="979">
        <v>0</v>
      </c>
      <c r="H152" s="981"/>
      <c r="I152" s="529"/>
    </row>
    <row r="153" spans="1:11">
      <c r="A153" s="982"/>
      <c r="B153" s="983"/>
      <c r="C153" s="979">
        <v>0</v>
      </c>
      <c r="D153" s="979">
        <v>0</v>
      </c>
      <c r="E153" s="979">
        <v>0</v>
      </c>
      <c r="F153" s="979">
        <v>0</v>
      </c>
      <c r="G153" s="979">
        <v>0</v>
      </c>
      <c r="H153" s="981"/>
      <c r="I153" s="529"/>
    </row>
    <row r="154" spans="1:11">
      <c r="A154" s="982"/>
      <c r="B154" s="983"/>
      <c r="C154" s="979">
        <v>0</v>
      </c>
      <c r="D154" s="979">
        <v>0</v>
      </c>
      <c r="E154" s="979">
        <v>0</v>
      </c>
      <c r="F154" s="979">
        <v>0</v>
      </c>
      <c r="G154" s="979">
        <v>0</v>
      </c>
      <c r="H154" s="981"/>
      <c r="I154" s="529"/>
    </row>
    <row r="155" spans="1:11">
      <c r="A155" s="831" t="s">
        <v>381</v>
      </c>
      <c r="B155" s="752"/>
      <c r="C155" s="744">
        <f>SUM(C129:C154)</f>
        <v>0</v>
      </c>
      <c r="D155" s="744">
        <f>SUM(D129:D154)</f>
        <v>0</v>
      </c>
      <c r="E155" s="744">
        <f>SUM(E129:E154)</f>
        <v>0</v>
      </c>
      <c r="F155" s="744">
        <f>SUM(F129:F154)</f>
        <v>0</v>
      </c>
      <c r="G155" s="744">
        <f>SUM(G129:G154)</f>
        <v>0</v>
      </c>
      <c r="H155" s="666"/>
      <c r="I155" s="679"/>
      <c r="K155" s="960"/>
    </row>
    <row r="156" spans="1:11">
      <c r="A156" s="819" t="s">
        <v>316</v>
      </c>
      <c r="B156" s="820"/>
      <c r="C156" s="826"/>
      <c r="D156" s="826"/>
      <c r="E156" s="826"/>
      <c r="F156" s="826">
        <f>C156</f>
        <v>0</v>
      </c>
      <c r="G156" s="826"/>
      <c r="H156" s="818"/>
      <c r="I156" s="679"/>
      <c r="K156" s="961"/>
    </row>
    <row r="157" spans="1:11">
      <c r="A157" s="823" t="s">
        <v>317</v>
      </c>
      <c r="B157" s="824"/>
      <c r="C157" s="827">
        <f>SUM(D157:G157)</f>
        <v>0</v>
      </c>
      <c r="D157" s="827"/>
      <c r="E157" s="827"/>
      <c r="F157" s="827"/>
      <c r="G157" s="827"/>
      <c r="H157" s="818"/>
      <c r="I157" s="679"/>
    </row>
    <row r="158" spans="1:11" s="141" customFormat="1" ht="13.5" thickBot="1">
      <c r="A158" s="1244" t="s">
        <v>447</v>
      </c>
      <c r="B158" s="1245"/>
      <c r="C158" s="687">
        <f>+C155-C156-C157</f>
        <v>0</v>
      </c>
      <c r="D158" s="687">
        <f>+D155-D156-D157</f>
        <v>0</v>
      </c>
      <c r="E158" s="687">
        <f>+E155-E156-E157</f>
        <v>0</v>
      </c>
      <c r="F158" s="687">
        <f>+F155-F156-F157</f>
        <v>0</v>
      </c>
      <c r="G158" s="687">
        <f>+G155-G156-G157</f>
        <v>0</v>
      </c>
      <c r="H158" s="639"/>
      <c r="I158" s="679"/>
    </row>
    <row r="159" spans="1:11" s="141" customFormat="1" ht="13.5" thickTop="1">
      <c r="A159" s="677"/>
      <c r="B159" s="682"/>
      <c r="C159" s="683"/>
      <c r="D159" s="665"/>
      <c r="E159" s="665"/>
      <c r="F159" s="665"/>
      <c r="G159" s="665"/>
      <c r="H159" s="666"/>
      <c r="I159" s="679"/>
    </row>
    <row r="160" spans="1:11" s="141" customFormat="1">
      <c r="A160" s="677"/>
      <c r="B160" s="682"/>
      <c r="C160" s="683"/>
      <c r="D160" s="665"/>
      <c r="E160" s="665"/>
      <c r="F160" s="665"/>
      <c r="G160" s="665"/>
      <c r="H160" s="666"/>
      <c r="I160" s="679"/>
    </row>
    <row r="161" spans="1:9" s="141" customFormat="1">
      <c r="A161" s="677"/>
      <c r="B161" s="753" t="s">
        <v>32</v>
      </c>
      <c r="C161" s="754"/>
      <c r="D161" s="754"/>
      <c r="E161" s="754"/>
      <c r="F161" s="760"/>
      <c r="G161" s="755"/>
      <c r="H161" s="678"/>
      <c r="I161" s="679"/>
    </row>
    <row r="162" spans="1:9" s="141" customFormat="1">
      <c r="A162" s="677"/>
      <c r="B162" s="1241" t="s">
        <v>187</v>
      </c>
      <c r="C162" s="1242"/>
      <c r="D162" s="1242"/>
      <c r="E162" s="1242"/>
      <c r="F162" s="1242"/>
      <c r="G162" s="1243"/>
      <c r="H162" s="666"/>
      <c r="I162" s="679"/>
    </row>
    <row r="163" spans="1:9" s="141" customFormat="1">
      <c r="A163" s="677"/>
      <c r="B163" s="756" t="s">
        <v>188</v>
      </c>
      <c r="C163" s="757"/>
      <c r="D163" s="757"/>
      <c r="E163" s="757"/>
      <c r="F163" s="758"/>
      <c r="G163" s="759"/>
      <c r="H163" s="678"/>
      <c r="I163" s="679"/>
    </row>
    <row r="164" spans="1:9" s="141" customFormat="1">
      <c r="A164" s="677"/>
      <c r="B164" s="756" t="s">
        <v>416</v>
      </c>
      <c r="C164" s="757"/>
      <c r="D164" s="757"/>
      <c r="E164" s="757"/>
      <c r="F164" s="758"/>
      <c r="G164" s="759"/>
      <c r="H164" s="666"/>
      <c r="I164" s="679"/>
    </row>
    <row r="165" spans="1:9" s="238" customFormat="1">
      <c r="A165" s="677"/>
      <c r="B165" s="756" t="s">
        <v>417</v>
      </c>
      <c r="C165" s="757"/>
      <c r="D165" s="757"/>
      <c r="E165" s="757"/>
      <c r="F165" s="757"/>
      <c r="G165" s="761"/>
      <c r="H165" s="680"/>
      <c r="I165" s="672"/>
    </row>
    <row r="166" spans="1:9" s="141" customFormat="1" ht="25.5" customHeight="1">
      <c r="A166" s="673"/>
      <c r="B166" s="1235" t="str">
        <f>+B114</f>
        <v>5. Deferred income taxes arise when items are included in taxable income in different periods than they are included in rates, therefore if the item giving rise to the ADIT is not included in the formula, the associated ADIT amount shall be excluded.</v>
      </c>
      <c r="C166" s="1236"/>
      <c r="D166" s="1236"/>
      <c r="E166" s="1236"/>
      <c r="F166" s="1236"/>
      <c r="G166" s="1237"/>
      <c r="H166" s="666"/>
      <c r="I166" s="679"/>
    </row>
    <row r="167" spans="1:9" s="141" customFormat="1">
      <c r="A167" s="856"/>
      <c r="B167" s="858"/>
      <c r="C167" s="858"/>
      <c r="D167" s="859"/>
      <c r="E167" s="859"/>
      <c r="F167" s="858"/>
      <c r="G167" s="858"/>
      <c r="H167" s="858"/>
      <c r="I167" s="857"/>
    </row>
    <row r="168" spans="1:9" s="141" customFormat="1">
      <c r="A168" s="247"/>
      <c r="B168" s="247"/>
      <c r="C168" s="247"/>
      <c r="D168" s="518"/>
      <c r="E168" s="518"/>
      <c r="F168" s="247"/>
      <c r="G168" s="247"/>
      <c r="H168" s="247"/>
      <c r="I168" s="247"/>
    </row>
  </sheetData>
  <mergeCells count="26">
    <mergeCell ref="A125:B125"/>
    <mergeCell ref="A124:B124"/>
    <mergeCell ref="A30:B30"/>
    <mergeCell ref="A28:B28"/>
    <mergeCell ref="A29:B29"/>
    <mergeCell ref="A106:B106"/>
    <mergeCell ref="A55:B55"/>
    <mergeCell ref="A78:B78"/>
    <mergeCell ref="A79:B79"/>
    <mergeCell ref="A120:H120"/>
    <mergeCell ref="B114:G114"/>
    <mergeCell ref="B110:G110"/>
    <mergeCell ref="B162:G162"/>
    <mergeCell ref="B166:G166"/>
    <mergeCell ref="A158:B158"/>
    <mergeCell ref="A126:B126"/>
    <mergeCell ref="A127:B127"/>
    <mergeCell ref="A2:H2"/>
    <mergeCell ref="A6:B6"/>
    <mergeCell ref="A76:B76"/>
    <mergeCell ref="A77:B77"/>
    <mergeCell ref="A72:H72"/>
    <mergeCell ref="A3:H3"/>
    <mergeCell ref="B63:G63"/>
    <mergeCell ref="B59:G59"/>
    <mergeCell ref="A73:H73"/>
  </mergeCells>
  <phoneticPr fontId="0" type="noConversion"/>
  <pageMargins left="0.5" right="0.5" top="0.95" bottom="0.5" header="0.5" footer="0.5"/>
  <pageSetup scale="55" fitToHeight="0" orientation="landscape" r:id="rId1"/>
  <headerFooter alignWithMargins="0">
    <oddHeader>&amp;R&amp;14Exhibit No. RMU-205
ATTACHMENT H-25B
Page &amp;P of &amp;N</oddHeader>
  </headerFooter>
  <rowBreaks count="2" manualBreakCount="2">
    <brk id="66" max="8" man="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74"/>
  <sheetViews>
    <sheetView zoomScale="80" zoomScaleNormal="80" zoomScalePageLayoutView="75" workbookViewId="0">
      <selection activeCell="F48" sqref="F48"/>
    </sheetView>
  </sheetViews>
  <sheetFormatPr defaultColWidth="9.140625" defaultRowHeight="12.75"/>
  <cols>
    <col min="1" max="2" width="4.7109375" style="276" customWidth="1"/>
    <col min="3" max="3" width="59.85546875" style="276" customWidth="1"/>
    <col min="4" max="4" width="3.140625" style="276" customWidth="1"/>
    <col min="5" max="5" width="15.140625" style="640" customWidth="1"/>
    <col min="6" max="6" width="20" style="276" customWidth="1"/>
    <col min="7" max="7" width="15.42578125" style="276" customWidth="1"/>
    <col min="8" max="16384" width="9.140625" style="276"/>
  </cols>
  <sheetData>
    <row r="1" spans="1:7" s="648" customFormat="1" ht="15.75">
      <c r="A1" s="1250" t="s">
        <v>662</v>
      </c>
      <c r="B1" s="1251"/>
      <c r="C1" s="1251"/>
      <c r="D1" s="1251"/>
      <c r="E1" s="1251"/>
      <c r="F1" s="1252"/>
      <c r="G1" s="1252"/>
    </row>
    <row r="2" spans="1:7" s="648" customFormat="1" ht="19.5" customHeight="1">
      <c r="A2" s="1250" t="s">
        <v>653</v>
      </c>
      <c r="B2" s="1251"/>
      <c r="C2" s="1251"/>
      <c r="D2" s="1251"/>
      <c r="E2" s="1251"/>
      <c r="F2" s="1252"/>
      <c r="G2" s="1252"/>
    </row>
    <row r="3" spans="1:7" s="648" customFormat="1" ht="24" customHeight="1"/>
    <row r="4" spans="1:7" ht="16.5" customHeight="1"/>
    <row r="5" spans="1:7" ht="16.5" customHeight="1"/>
    <row r="6" spans="1:7" s="648" customFormat="1" ht="15">
      <c r="D6" s="652"/>
      <c r="E6" s="652" t="s">
        <v>36</v>
      </c>
      <c r="F6" s="652"/>
      <c r="G6" s="652" t="s">
        <v>44</v>
      </c>
    </row>
    <row r="7" spans="1:7" s="648" customFormat="1" ht="15">
      <c r="A7" s="651" t="s">
        <v>361</v>
      </c>
      <c r="B7" s="651"/>
      <c r="D7" s="652"/>
      <c r="E7" s="652" t="s">
        <v>37</v>
      </c>
      <c r="F7" s="652" t="s">
        <v>473</v>
      </c>
      <c r="G7" s="652" t="s">
        <v>45</v>
      </c>
    </row>
    <row r="8" spans="1:7" s="221" customFormat="1">
      <c r="A8" s="286"/>
      <c r="B8" s="286"/>
      <c r="D8" s="229"/>
      <c r="E8" s="229"/>
      <c r="F8" s="229"/>
      <c r="G8" s="229"/>
    </row>
    <row r="9" spans="1:7" s="648" customFormat="1" ht="15">
      <c r="A9" s="650"/>
      <c r="B9" s="651" t="s">
        <v>35</v>
      </c>
      <c r="D9" s="652"/>
      <c r="E9" s="653"/>
      <c r="F9" s="654" t="s">
        <v>441</v>
      </c>
      <c r="G9" s="652"/>
    </row>
    <row r="10" spans="1:7">
      <c r="A10" s="452">
        <v>1</v>
      </c>
      <c r="C10" s="1108" t="s">
        <v>623</v>
      </c>
      <c r="D10" s="890"/>
      <c r="E10" s="1175"/>
      <c r="F10" s="891"/>
      <c r="G10" s="238"/>
    </row>
    <row r="11" spans="1:7">
      <c r="A11" s="452">
        <v>2</v>
      </c>
      <c r="B11" s="640"/>
      <c r="C11" s="1108" t="s">
        <v>656</v>
      </c>
      <c r="D11" s="890"/>
      <c r="E11" s="1001">
        <v>1966630</v>
      </c>
      <c r="F11" s="1209"/>
      <c r="G11" s="238"/>
    </row>
    <row r="12" spans="1:7">
      <c r="A12" s="452">
        <v>3</v>
      </c>
      <c r="C12" s="1108" t="s">
        <v>624</v>
      </c>
      <c r="D12" s="238"/>
      <c r="E12" s="1001">
        <v>0</v>
      </c>
      <c r="F12" s="891"/>
      <c r="G12" s="238"/>
    </row>
    <row r="13" spans="1:7">
      <c r="A13" s="452">
        <v>4</v>
      </c>
      <c r="C13" s="1108" t="s">
        <v>625</v>
      </c>
      <c r="D13" s="238"/>
      <c r="E13" s="1001">
        <v>0</v>
      </c>
      <c r="F13" s="891"/>
      <c r="G13" s="238"/>
    </row>
    <row r="14" spans="1:7">
      <c r="A14" s="452">
        <v>5</v>
      </c>
      <c r="C14" s="1109"/>
      <c r="D14" s="238"/>
      <c r="E14" s="1001">
        <v>0</v>
      </c>
      <c r="F14" s="891"/>
    </row>
    <row r="15" spans="1:7">
      <c r="A15" s="452">
        <v>6</v>
      </c>
      <c r="C15" s="1110"/>
      <c r="D15" s="238"/>
      <c r="E15" s="1001">
        <v>0</v>
      </c>
      <c r="F15" s="238"/>
    </row>
    <row r="16" spans="1:7">
      <c r="A16" s="452">
        <v>7</v>
      </c>
      <c r="C16" s="1109"/>
      <c r="D16" s="890"/>
      <c r="E16" s="1002">
        <v>0</v>
      </c>
      <c r="F16" s="891"/>
      <c r="G16" s="895"/>
    </row>
    <row r="17" spans="1:7" s="648" customFormat="1" ht="15">
      <c r="A17" s="650">
        <v>8</v>
      </c>
      <c r="B17" s="651" t="s">
        <v>40</v>
      </c>
      <c r="D17" s="655"/>
      <c r="E17" s="658">
        <f>SUM(E10:E16)</f>
        <v>1966630</v>
      </c>
      <c r="F17" s="932">
        <f>'Appendix A - TSRR Summary'!H$31</f>
        <v>0.18243956474081677</v>
      </c>
      <c r="G17" s="658">
        <f>+E17*F17</f>
        <v>358791.12120623246</v>
      </c>
    </row>
    <row r="18" spans="1:7">
      <c r="A18" s="452"/>
      <c r="D18" s="892"/>
      <c r="E18" s="893"/>
      <c r="F18" s="890"/>
      <c r="G18" s="892"/>
    </row>
    <row r="19" spans="1:7">
      <c r="A19" s="452"/>
      <c r="D19" s="892"/>
      <c r="E19" s="893"/>
      <c r="F19" s="890"/>
      <c r="G19" s="892"/>
    </row>
    <row r="20" spans="1:7" s="648" customFormat="1" ht="15">
      <c r="A20" s="650"/>
      <c r="B20" s="651" t="s">
        <v>38</v>
      </c>
      <c r="D20" s="655"/>
      <c r="E20" s="656"/>
      <c r="F20" s="657" t="s">
        <v>457</v>
      </c>
      <c r="G20" s="655"/>
    </row>
    <row r="21" spans="1:7">
      <c r="A21" s="452">
        <v>9</v>
      </c>
      <c r="C21" s="1108" t="s">
        <v>658</v>
      </c>
      <c r="D21" s="1184"/>
      <c r="E21" s="1001">
        <v>161861</v>
      </c>
      <c r="F21" s="1209"/>
      <c r="G21" s="894"/>
    </row>
    <row r="22" spans="1:7">
      <c r="A22" s="452">
        <v>10</v>
      </c>
      <c r="C22" s="1108" t="s">
        <v>353</v>
      </c>
      <c r="E22" s="1001">
        <v>0</v>
      </c>
      <c r="F22" s="238"/>
    </row>
    <row r="23" spans="1:7">
      <c r="A23" s="452">
        <v>11</v>
      </c>
      <c r="C23" s="1109"/>
      <c r="E23" s="1001">
        <v>0</v>
      </c>
      <c r="F23" s="238"/>
    </row>
    <row r="24" spans="1:7">
      <c r="A24" s="452">
        <v>12</v>
      </c>
      <c r="C24" s="1109"/>
      <c r="E24" s="1003" t="s">
        <v>152</v>
      </c>
      <c r="F24" s="238"/>
    </row>
    <row r="25" spans="1:7">
      <c r="A25" s="452">
        <v>13</v>
      </c>
      <c r="C25" s="1109"/>
      <c r="E25" s="1004"/>
      <c r="F25" s="238"/>
      <c r="G25" s="895"/>
    </row>
    <row r="26" spans="1:7" s="648" customFormat="1" ht="15">
      <c r="A26" s="650">
        <v>14</v>
      </c>
      <c r="B26" s="651" t="s">
        <v>41</v>
      </c>
      <c r="E26" s="658">
        <f>SUM(E21:E25)</f>
        <v>161861</v>
      </c>
      <c r="F26" s="933">
        <f>'Appendix A - TSRR Summary'!H16</f>
        <v>5.6750348909552557E-2</v>
      </c>
      <c r="G26" s="658">
        <f>+F26*E26</f>
        <v>9185.668224849087</v>
      </c>
    </row>
    <row r="27" spans="1:7" s="221" customFormat="1">
      <c r="A27" s="452"/>
      <c r="B27" s="286"/>
      <c r="C27" s="646"/>
      <c r="E27" s="645"/>
      <c r="F27" s="141"/>
    </row>
    <row r="28" spans="1:7" s="221" customFormat="1">
      <c r="A28" s="446"/>
      <c r="B28" s="286"/>
      <c r="C28" s="646"/>
      <c r="E28" s="645"/>
      <c r="F28" s="141"/>
    </row>
    <row r="29" spans="1:7" s="648" customFormat="1" ht="15">
      <c r="A29" s="650"/>
      <c r="B29" s="651" t="s">
        <v>39</v>
      </c>
      <c r="E29" s="649"/>
      <c r="F29" s="1210" t="s">
        <v>441</v>
      </c>
    </row>
    <row r="30" spans="1:7">
      <c r="A30" s="452">
        <v>15</v>
      </c>
      <c r="C30" s="1111" t="s">
        <v>626</v>
      </c>
      <c r="E30" s="1003"/>
      <c r="F30" s="238"/>
    </row>
    <row r="31" spans="1:7">
      <c r="A31" s="452">
        <v>16</v>
      </c>
      <c r="C31" s="1109"/>
      <c r="E31" s="1001"/>
      <c r="F31" s="238"/>
    </row>
    <row r="32" spans="1:7">
      <c r="A32" s="452">
        <v>17</v>
      </c>
      <c r="C32" s="1109"/>
      <c r="E32" s="1003"/>
      <c r="F32" s="238"/>
    </row>
    <row r="33" spans="1:7">
      <c r="A33" s="452">
        <v>18</v>
      </c>
      <c r="C33" s="1109"/>
      <c r="E33" s="1004"/>
      <c r="F33" s="238"/>
      <c r="G33" s="895"/>
    </row>
    <row r="34" spans="1:7" s="648" customFormat="1" ht="15">
      <c r="A34" s="650">
        <v>19</v>
      </c>
      <c r="B34" s="651" t="s">
        <v>42</v>
      </c>
      <c r="E34" s="658">
        <f>SUM(E30:E33)</f>
        <v>0</v>
      </c>
      <c r="F34" s="933">
        <f>'Appendix A - TSRR Summary'!H31</f>
        <v>0.18243956474081677</v>
      </c>
      <c r="G34" s="658">
        <f>+F34*E34</f>
        <v>0</v>
      </c>
    </row>
    <row r="35" spans="1:7">
      <c r="A35" s="452"/>
      <c r="F35" s="238"/>
    </row>
    <row r="36" spans="1:7" s="648" customFormat="1" ht="15">
      <c r="A36" s="650">
        <v>20</v>
      </c>
      <c r="B36" s="651" t="s">
        <v>405</v>
      </c>
      <c r="E36" s="659">
        <f>E17+E26+E34</f>
        <v>2128491</v>
      </c>
      <c r="F36" s="661"/>
      <c r="G36" s="658">
        <f>+G34+G26+G17</f>
        <v>367976.78943108156</v>
      </c>
    </row>
    <row r="37" spans="1:7">
      <c r="A37" s="452"/>
      <c r="C37" s="527"/>
      <c r="F37" s="238"/>
    </row>
    <row r="38" spans="1:7" s="648" customFormat="1" ht="15">
      <c r="A38" s="650"/>
      <c r="B38" s="660" t="s">
        <v>43</v>
      </c>
      <c r="C38" s="661"/>
      <c r="E38" s="649"/>
      <c r="F38" s="661"/>
    </row>
    <row r="39" spans="1:7">
      <c r="A39" s="452">
        <v>21</v>
      </c>
      <c r="C39" s="1108" t="s">
        <v>353</v>
      </c>
      <c r="D39" s="238"/>
      <c r="E39" s="1001">
        <v>0</v>
      </c>
      <c r="F39" s="238"/>
      <c r="G39" s="238"/>
    </row>
    <row r="40" spans="1:7">
      <c r="A40" s="452">
        <v>22</v>
      </c>
      <c r="C40" s="1108" t="s">
        <v>353</v>
      </c>
      <c r="D40" s="238"/>
      <c r="E40" s="1001">
        <v>0</v>
      </c>
      <c r="F40" s="238"/>
      <c r="G40" s="238"/>
    </row>
    <row r="41" spans="1:7">
      <c r="A41" s="452">
        <v>23</v>
      </c>
      <c r="C41" s="1108" t="s">
        <v>353</v>
      </c>
      <c r="D41" s="238"/>
      <c r="E41" s="1001">
        <v>0</v>
      </c>
      <c r="F41" s="238"/>
      <c r="G41" s="238"/>
    </row>
    <row r="42" spans="1:7">
      <c r="A42" s="452">
        <v>24</v>
      </c>
      <c r="C42" s="1112" t="s">
        <v>353</v>
      </c>
      <c r="D42" s="238"/>
      <c r="E42" s="1001">
        <v>0</v>
      </c>
      <c r="F42" s="238"/>
    </row>
    <row r="43" spans="1:7">
      <c r="A43" s="274">
        <v>25</v>
      </c>
      <c r="C43" s="1108" t="s">
        <v>353</v>
      </c>
      <c r="D43" s="890"/>
      <c r="E43" s="1001">
        <v>0</v>
      </c>
      <c r="F43" s="238"/>
    </row>
    <row r="44" spans="1:7">
      <c r="A44" s="274">
        <v>26</v>
      </c>
      <c r="C44" s="1108" t="s">
        <v>353</v>
      </c>
      <c r="D44" s="890"/>
      <c r="E44" s="1001">
        <v>0</v>
      </c>
      <c r="F44" s="238"/>
    </row>
    <row r="45" spans="1:7">
      <c r="A45" s="274">
        <v>27</v>
      </c>
      <c r="C45" s="1108" t="s">
        <v>353</v>
      </c>
      <c r="D45" s="238"/>
      <c r="E45" s="1001">
        <v>0</v>
      </c>
      <c r="F45" s="238"/>
    </row>
    <row r="46" spans="1:7" s="221" customFormat="1">
      <c r="A46" s="452">
        <v>28</v>
      </c>
      <c r="B46" s="276"/>
      <c r="C46" s="246" t="s">
        <v>404</v>
      </c>
      <c r="D46" s="141"/>
      <c r="E46" s="642">
        <f>SUM(E39:E45)</f>
        <v>0</v>
      </c>
      <c r="F46" s="141"/>
    </row>
    <row r="47" spans="1:7" s="221" customFormat="1">
      <c r="A47" s="446"/>
      <c r="C47" s="141"/>
      <c r="D47" s="141"/>
      <c r="E47" s="642"/>
      <c r="F47" s="141"/>
    </row>
    <row r="48" spans="1:7" s="648" customFormat="1" ht="15">
      <c r="A48" s="650">
        <v>29</v>
      </c>
      <c r="B48" s="660" t="s">
        <v>561</v>
      </c>
      <c r="C48" s="344"/>
      <c r="D48" s="661"/>
      <c r="E48" s="662">
        <f>E46+E36</f>
        <v>2128491</v>
      </c>
      <c r="F48" s="1209"/>
    </row>
    <row r="49" spans="1:7">
      <c r="A49" s="452"/>
      <c r="B49" s="238"/>
      <c r="C49" s="549"/>
      <c r="D49" s="238"/>
      <c r="E49" s="896"/>
      <c r="F49" s="238"/>
    </row>
    <row r="50" spans="1:7" s="648" customFormat="1" ht="15">
      <c r="A50" s="650">
        <v>30</v>
      </c>
      <c r="B50" s="660" t="s">
        <v>406</v>
      </c>
      <c r="C50" s="344"/>
      <c r="D50" s="1185"/>
      <c r="E50" s="1005">
        <v>2128491</v>
      </c>
      <c r="F50" s="663"/>
      <c r="G50" s="663"/>
    </row>
    <row r="51" spans="1:7">
      <c r="B51" s="238"/>
      <c r="C51" s="638"/>
      <c r="D51" s="638"/>
      <c r="E51" s="647"/>
      <c r="F51" s="643"/>
      <c r="G51" s="643"/>
    </row>
    <row r="52" spans="1:7">
      <c r="A52" s="452">
        <v>31</v>
      </c>
      <c r="B52" s="238"/>
      <c r="C52" s="638" t="s">
        <v>567</v>
      </c>
      <c r="D52" s="638"/>
      <c r="E52" s="644">
        <f>+E48-E50</f>
        <v>0</v>
      </c>
      <c r="F52" s="643"/>
      <c r="G52" s="643"/>
    </row>
    <row r="53" spans="1:7">
      <c r="B53" s="238"/>
      <c r="C53" s="638"/>
      <c r="D53" s="638"/>
      <c r="E53" s="644"/>
      <c r="F53" s="643"/>
      <c r="G53" s="643"/>
    </row>
    <row r="54" spans="1:7">
      <c r="B54" s="238"/>
      <c r="C54" s="638"/>
      <c r="D54" s="638"/>
      <c r="E54" s="644"/>
      <c r="F54" s="643"/>
      <c r="G54" s="643"/>
    </row>
    <row r="55" spans="1:7">
      <c r="B55" s="1113" t="s">
        <v>456</v>
      </c>
      <c r="C55" s="238"/>
      <c r="D55" s="238"/>
      <c r="E55" s="641"/>
      <c r="F55" s="238"/>
      <c r="G55" s="238"/>
    </row>
    <row r="56" spans="1:7">
      <c r="B56" s="238" t="s">
        <v>355</v>
      </c>
      <c r="C56" s="238" t="s">
        <v>325</v>
      </c>
      <c r="D56" s="238"/>
      <c r="E56" s="641"/>
      <c r="F56" s="238"/>
      <c r="G56" s="238"/>
    </row>
    <row r="57" spans="1:7">
      <c r="B57" s="238"/>
      <c r="C57" s="897" t="s">
        <v>10</v>
      </c>
      <c r="D57" s="238"/>
      <c r="E57" s="641"/>
      <c r="F57" s="238"/>
      <c r="G57" s="238"/>
    </row>
    <row r="58" spans="1:7">
      <c r="B58" s="238" t="s">
        <v>448</v>
      </c>
      <c r="C58" s="238" t="s">
        <v>326</v>
      </c>
      <c r="D58" s="238"/>
      <c r="E58" s="641"/>
      <c r="F58" s="238"/>
      <c r="G58" s="238"/>
    </row>
    <row r="59" spans="1:7">
      <c r="B59" s="238"/>
      <c r="C59" s="897" t="s">
        <v>10</v>
      </c>
      <c r="D59" s="238"/>
      <c r="E59" s="641"/>
      <c r="F59" s="238"/>
      <c r="G59" s="238"/>
    </row>
    <row r="60" spans="1:7">
      <c r="B60" s="238" t="s">
        <v>339</v>
      </c>
      <c r="C60" s="238" t="s">
        <v>9</v>
      </c>
      <c r="D60" s="238"/>
      <c r="E60" s="641"/>
      <c r="F60" s="238"/>
      <c r="G60" s="238"/>
    </row>
    <row r="61" spans="1:7">
      <c r="B61" s="238" t="s">
        <v>356</v>
      </c>
      <c r="C61" s="897" t="s">
        <v>497</v>
      </c>
      <c r="D61" s="238"/>
      <c r="E61" s="641"/>
      <c r="F61" s="238"/>
      <c r="G61" s="238"/>
    </row>
    <row r="62" spans="1:7">
      <c r="B62" s="238"/>
      <c r="C62" s="238" t="s">
        <v>498</v>
      </c>
      <c r="D62" s="238"/>
      <c r="E62" s="641"/>
      <c r="F62" s="238"/>
      <c r="G62" s="238"/>
    </row>
    <row r="63" spans="1:7">
      <c r="B63" s="238"/>
      <c r="C63" s="238" t="s">
        <v>513</v>
      </c>
    </row>
    <row r="64" spans="1:7">
      <c r="B64" s="238" t="s">
        <v>354</v>
      </c>
      <c r="C64" s="238" t="s">
        <v>514</v>
      </c>
    </row>
    <row r="74" spans="1:8" ht="15.75">
      <c r="A74" s="1"/>
      <c r="B74" s="39"/>
      <c r="C74" s="154"/>
      <c r="D74" s="435"/>
      <c r="E74" s="888"/>
      <c r="F74" s="435"/>
      <c r="G74" s="889"/>
      <c r="H74" s="648"/>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G1"/>
    <mergeCell ref="A2:G2"/>
  </mergeCells>
  <phoneticPr fontId="0" type="noConversion"/>
  <pageMargins left="0.5" right="0.5" top="0.95" bottom="0.5" header="0.5" footer="0.5"/>
  <pageSetup scale="79" fitToHeight="0" orientation="portrait" r:id="rId9"/>
  <headerFooter alignWithMargins="0">
    <oddHeader>&amp;R&amp;14Exhibit No. RMU-205
ATTACHMENT H-25B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74"/>
  <sheetViews>
    <sheetView zoomScale="80" zoomScaleNormal="80" workbookViewId="0">
      <selection activeCell="H7" sqref="H7"/>
    </sheetView>
  </sheetViews>
  <sheetFormatPr defaultColWidth="9.140625" defaultRowHeight="12.75"/>
  <cols>
    <col min="1" max="1" width="4.140625" style="900" customWidth="1"/>
    <col min="2" max="2" width="84.7109375" style="872" customWidth="1"/>
    <col min="3" max="3" width="16.28515625" style="872" bestFit="1" customWidth="1"/>
    <col min="4" max="4" width="14" style="901" bestFit="1" customWidth="1"/>
    <col min="5" max="5" width="15" style="872" bestFit="1" customWidth="1"/>
    <col min="6" max="6" width="10.85546875" style="872" bestFit="1" customWidth="1"/>
    <col min="7" max="16384" width="9.140625" style="872"/>
  </cols>
  <sheetData>
    <row r="1" spans="1:75" ht="26.25" customHeight="1">
      <c r="A1" s="1255" t="s">
        <v>278</v>
      </c>
      <c r="B1" s="1255"/>
      <c r="C1" s="1255"/>
      <c r="D1" s="1255"/>
    </row>
    <row r="2" spans="1:75" ht="27" customHeight="1">
      <c r="A2" s="1256" t="s">
        <v>653</v>
      </c>
      <c r="B2" s="1256"/>
      <c r="C2" s="1256"/>
      <c r="D2" s="1256"/>
      <c r="E2" s="141"/>
      <c r="F2" s="141"/>
      <c r="G2" s="141"/>
      <c r="H2" s="141"/>
      <c r="I2" s="141"/>
      <c r="J2" s="899"/>
      <c r="K2" s="899"/>
      <c r="L2" s="899"/>
      <c r="M2" s="899"/>
      <c r="N2" s="899"/>
      <c r="O2" s="899"/>
      <c r="P2" s="899"/>
      <c r="Q2" s="899"/>
      <c r="R2" s="899"/>
      <c r="S2" s="899"/>
      <c r="T2" s="899"/>
    </row>
    <row r="3" spans="1:75" ht="6.75" customHeight="1">
      <c r="A3" s="1253"/>
      <c r="B3" s="1254"/>
      <c r="C3" s="1254"/>
      <c r="D3" s="1254"/>
    </row>
    <row r="4" spans="1:75">
      <c r="B4" s="221"/>
      <c r="C4" s="900"/>
      <c r="E4" s="900"/>
    </row>
    <row r="5" spans="1:75">
      <c r="B5" s="221"/>
      <c r="C5" s="900"/>
      <c r="E5" s="900"/>
    </row>
    <row r="6" spans="1:75">
      <c r="B6" s="286" t="s">
        <v>518</v>
      </c>
      <c r="C6" s="1176">
        <f>134016+9326</f>
        <v>143342</v>
      </c>
      <c r="D6" s="1211"/>
      <c r="E6" s="900"/>
    </row>
    <row r="7" spans="1:75">
      <c r="A7" s="900">
        <v>1</v>
      </c>
      <c r="B7" s="221" t="s">
        <v>517</v>
      </c>
      <c r="D7" s="1088">
        <v>0</v>
      </c>
      <c r="E7" s="900"/>
    </row>
    <row r="8" spans="1:75">
      <c r="B8" s="902"/>
      <c r="E8" s="900"/>
    </row>
    <row r="9" spans="1:75">
      <c r="B9" s="218" t="s">
        <v>276</v>
      </c>
      <c r="C9" s="1176">
        <v>50146</v>
      </c>
      <c r="D9" s="1211"/>
    </row>
    <row r="10" spans="1:75">
      <c r="A10" s="900">
        <v>2</v>
      </c>
      <c r="B10" s="903" t="s">
        <v>528</v>
      </c>
      <c r="C10" s="220"/>
      <c r="D10" s="1089">
        <v>0</v>
      </c>
      <c r="E10" s="1016"/>
      <c r="F10" s="904"/>
      <c r="G10" s="905"/>
    </row>
    <row r="11" spans="1:75">
      <c r="B11" s="906"/>
      <c r="C11" s="906"/>
      <c r="D11" s="995"/>
      <c r="G11" s="907"/>
    </row>
    <row r="12" spans="1:75" s="910" customFormat="1">
      <c r="A12" s="908"/>
      <c r="B12" s="1204" t="s">
        <v>675</v>
      </c>
      <c r="C12" s="1205">
        <v>2582116</v>
      </c>
      <c r="D12" s="1211"/>
      <c r="E12" s="899"/>
      <c r="F12" s="899"/>
      <c r="G12" s="909"/>
      <c r="H12" s="899"/>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899"/>
      <c r="BT12" s="899"/>
      <c r="BU12" s="899"/>
      <c r="BV12" s="899"/>
      <c r="BW12" s="899"/>
    </row>
    <row r="13" spans="1:75" s="910" customFormat="1">
      <c r="A13" s="908">
        <v>3</v>
      </c>
      <c r="B13" s="1114" t="s">
        <v>673</v>
      </c>
      <c r="C13" s="1192"/>
      <c r="D13" s="1090">
        <v>0</v>
      </c>
      <c r="E13" s="899"/>
      <c r="F13" s="899"/>
      <c r="G13" s="909"/>
      <c r="H13" s="899"/>
      <c r="I13" s="899"/>
      <c r="J13" s="899"/>
      <c r="K13" s="899"/>
      <c r="L13" s="899"/>
      <c r="M13" s="899"/>
      <c r="N13" s="899"/>
      <c r="O13" s="899"/>
      <c r="P13" s="899"/>
      <c r="Q13" s="899"/>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row>
    <row r="14" spans="1:75">
      <c r="A14" s="908"/>
      <c r="B14" s="1193"/>
      <c r="C14" s="1194"/>
      <c r="D14" s="995"/>
      <c r="F14" s="899"/>
      <c r="G14" s="912"/>
      <c r="H14" s="899"/>
    </row>
    <row r="15" spans="1:75">
      <c r="A15" s="908">
        <f>A13+1</f>
        <v>4</v>
      </c>
      <c r="B15" s="913" t="s">
        <v>360</v>
      </c>
      <c r="C15" s="905"/>
      <c r="D15" s="1088">
        <v>0</v>
      </c>
      <c r="E15" s="899"/>
      <c r="F15" s="246"/>
      <c r="G15" s="914"/>
      <c r="H15" s="899"/>
    </row>
    <row r="16" spans="1:75" ht="38.25">
      <c r="A16" s="915">
        <f t="shared" ref="A16:A22" si="0">+A15+1</f>
        <v>5</v>
      </c>
      <c r="B16" s="905" t="s">
        <v>572</v>
      </c>
      <c r="C16" s="905"/>
      <c r="D16" s="1088">
        <v>0</v>
      </c>
      <c r="E16" s="899"/>
      <c r="F16" s="899"/>
      <c r="G16" s="914"/>
      <c r="H16" s="899"/>
      <c r="I16" s="899"/>
      <c r="J16" s="899"/>
    </row>
    <row r="17" spans="1:28">
      <c r="A17" s="908">
        <f t="shared" si="0"/>
        <v>6</v>
      </c>
      <c r="B17" s="907" t="s">
        <v>12</v>
      </c>
      <c r="C17" s="905"/>
      <c r="D17" s="1088">
        <v>0</v>
      </c>
      <c r="G17" s="914"/>
      <c r="H17" s="899"/>
      <c r="I17" s="899"/>
      <c r="J17" s="899"/>
    </row>
    <row r="18" spans="1:28">
      <c r="A18" s="900">
        <f t="shared" si="0"/>
        <v>7</v>
      </c>
      <c r="B18" s="907" t="s">
        <v>182</v>
      </c>
      <c r="C18" s="911"/>
      <c r="D18" s="1088">
        <v>0</v>
      </c>
      <c r="E18" s="899"/>
      <c r="F18" s="899"/>
      <c r="G18" s="912"/>
      <c r="H18" s="899"/>
      <c r="I18" s="899"/>
      <c r="J18" s="899"/>
    </row>
    <row r="19" spans="1:28">
      <c r="A19" s="900">
        <f t="shared" si="0"/>
        <v>8</v>
      </c>
      <c r="B19" s="907" t="s">
        <v>183</v>
      </c>
      <c r="C19" s="905"/>
      <c r="D19" s="1088">
        <v>0</v>
      </c>
      <c r="E19" s="899"/>
      <c r="F19" s="141"/>
      <c r="G19" s="914"/>
      <c r="H19" s="899"/>
      <c r="I19" s="899"/>
      <c r="J19" s="899"/>
    </row>
    <row r="20" spans="1:28">
      <c r="A20" s="900">
        <f t="shared" si="0"/>
        <v>9</v>
      </c>
      <c r="B20" s="1114" t="s">
        <v>627</v>
      </c>
      <c r="C20" s="220"/>
      <c r="D20" s="1088">
        <v>0</v>
      </c>
      <c r="E20" s="899"/>
      <c r="G20" s="901"/>
    </row>
    <row r="21" spans="1:28">
      <c r="A21" s="900">
        <f t="shared" si="0"/>
        <v>10</v>
      </c>
      <c r="B21" s="906" t="s">
        <v>184</v>
      </c>
      <c r="C21" s="141"/>
      <c r="D21" s="1088">
        <v>0</v>
      </c>
      <c r="H21" s="1158"/>
    </row>
    <row r="22" spans="1:28">
      <c r="A22" s="900">
        <f t="shared" si="0"/>
        <v>11</v>
      </c>
      <c r="B22" s="906" t="s">
        <v>527</v>
      </c>
      <c r="C22" s="141"/>
      <c r="D22" s="1088">
        <v>0</v>
      </c>
      <c r="E22" s="899"/>
    </row>
    <row r="23" spans="1:28">
      <c r="B23" s="907"/>
      <c r="C23" s="141"/>
      <c r="D23" s="1088"/>
      <c r="E23" s="899"/>
    </row>
    <row r="24" spans="1:28" ht="13.5" thickBot="1">
      <c r="A24" s="900">
        <f>+A22+1</f>
        <v>12</v>
      </c>
      <c r="B24" s="907" t="s">
        <v>327</v>
      </c>
      <c r="C24" s="221" t="s">
        <v>519</v>
      </c>
      <c r="D24" s="1091">
        <f>SUM(D7:D22)</f>
        <v>0</v>
      </c>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row>
    <row r="25" spans="1:28" ht="13.5" thickTop="1">
      <c r="A25" s="275"/>
      <c r="B25" s="277"/>
      <c r="C25" s="276"/>
      <c r="D25" s="278"/>
      <c r="E25" s="899"/>
    </row>
    <row r="26" spans="1:28">
      <c r="A26" s="275">
        <v>13</v>
      </c>
      <c r="B26" s="141" t="s">
        <v>93</v>
      </c>
      <c r="C26" s="141"/>
      <c r="D26" s="228"/>
      <c r="E26" s="899"/>
    </row>
    <row r="27" spans="1:28">
      <c r="A27" s="275"/>
      <c r="B27" s="141"/>
      <c r="C27" s="141"/>
      <c r="D27" s="228"/>
      <c r="E27" s="899"/>
    </row>
    <row r="28" spans="1:28">
      <c r="A28" s="275">
        <v>14</v>
      </c>
      <c r="B28" s="141" t="s">
        <v>332</v>
      </c>
      <c r="C28" s="141"/>
      <c r="D28" s="228"/>
      <c r="E28" s="899"/>
    </row>
    <row r="29" spans="1:28">
      <c r="A29" s="275"/>
      <c r="B29" s="141"/>
      <c r="C29" s="221"/>
      <c r="D29" s="228"/>
      <c r="E29" s="899"/>
    </row>
    <row r="30" spans="1:28" ht="50.25" customHeight="1">
      <c r="A30" s="279">
        <v>15</v>
      </c>
      <c r="B30" s="1156" t="s">
        <v>651</v>
      </c>
      <c r="C30" s="221"/>
      <c r="D30" s="228"/>
      <c r="E30" s="340"/>
    </row>
    <row r="31" spans="1:28">
      <c r="A31" s="279"/>
      <c r="B31" s="220"/>
      <c r="C31" s="221"/>
      <c r="D31" s="228"/>
      <c r="E31" s="899"/>
    </row>
    <row r="32" spans="1:28" ht="49.5" customHeight="1">
      <c r="A32" s="279">
        <v>16</v>
      </c>
      <c r="B32" s="272" t="s">
        <v>11</v>
      </c>
      <c r="C32" s="286"/>
      <c r="D32" s="809"/>
      <c r="E32" s="340"/>
    </row>
    <row r="33" spans="1:7">
      <c r="A33" s="279"/>
      <c r="B33" s="141"/>
      <c r="C33" s="221"/>
      <c r="D33" s="808"/>
      <c r="E33" s="899"/>
      <c r="F33" s="899"/>
      <c r="G33" s="899"/>
    </row>
    <row r="34" spans="1:7" ht="61.5" customHeight="1">
      <c r="A34" s="279">
        <v>17</v>
      </c>
      <c r="B34" s="272" t="s">
        <v>526</v>
      </c>
      <c r="C34" s="280"/>
      <c r="D34" s="237"/>
      <c r="E34" s="340"/>
    </row>
    <row r="35" spans="1:7">
      <c r="A35" s="908"/>
      <c r="B35" s="899"/>
      <c r="D35" s="909"/>
      <c r="E35" s="899"/>
    </row>
    <row r="36" spans="1:7">
      <c r="A36" s="908"/>
      <c r="B36" s="899"/>
      <c r="D36" s="909"/>
      <c r="E36" s="141"/>
    </row>
    <row r="37" spans="1:7">
      <c r="D37" s="916"/>
      <c r="E37" s="900"/>
    </row>
    <row r="38" spans="1:7">
      <c r="C38" s="141"/>
      <c r="D38" s="273"/>
      <c r="E38" s="228"/>
      <c r="F38" s="221"/>
      <c r="G38" s="221"/>
    </row>
    <row r="39" spans="1:7">
      <c r="D39" s="909"/>
    </row>
    <row r="40" spans="1:7">
      <c r="D40" s="909"/>
    </row>
    <row r="74" spans="1:8" ht="18">
      <c r="A74" s="898"/>
      <c r="B74" s="1256" t="s">
        <v>653</v>
      </c>
      <c r="C74" s="1256"/>
      <c r="D74" s="1256"/>
      <c r="E74" s="141"/>
      <c r="F74" s="141"/>
      <c r="G74" s="141"/>
      <c r="H74" s="141"/>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4">
    <mergeCell ref="A3:D3"/>
    <mergeCell ref="A1:D1"/>
    <mergeCell ref="B74:D74"/>
    <mergeCell ref="A2:D2"/>
  </mergeCells>
  <phoneticPr fontId="0" type="noConversion"/>
  <pageMargins left="0.5" right="0.5" top="0.95" bottom="0.5" header="0.5" footer="0.5"/>
  <pageSetup scale="81" fitToHeight="0" orientation="portrait" r:id="rId9"/>
  <headerFooter alignWithMargins="0">
    <oddHeader>&amp;R&amp;14Exhibit No. RMU-205
ATTACHMENT H-25B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49"/>
  <sheetViews>
    <sheetView zoomScale="60" zoomScaleNormal="60" workbookViewId="0">
      <selection activeCell="A3" sqref="A3:I3"/>
    </sheetView>
  </sheetViews>
  <sheetFormatPr defaultRowHeight="12.75"/>
  <cols>
    <col min="1" max="1" width="12.5703125" customWidth="1"/>
    <col min="2" max="2" width="3" customWidth="1"/>
    <col min="3" max="3" width="8.140625" customWidth="1"/>
    <col min="4" max="4" width="38.7109375" customWidth="1"/>
    <col min="5" max="5" width="28.7109375" customWidth="1"/>
    <col min="6" max="6" width="34.28515625" bestFit="1" customWidth="1"/>
    <col min="7" max="7" width="37.140625" bestFit="1" customWidth="1"/>
    <col min="8" max="8" width="3.85546875" customWidth="1"/>
    <col min="9" max="9" width="19.7109375" bestFit="1" customWidth="1"/>
  </cols>
  <sheetData>
    <row r="1" spans="1:10" ht="21.75" customHeight="1"/>
    <row r="2" spans="1:10" ht="36.75" customHeight="1">
      <c r="A2" s="1259" t="s">
        <v>198</v>
      </c>
      <c r="B2" s="1259"/>
      <c r="C2" s="1259"/>
      <c r="D2" s="1259"/>
      <c r="E2" s="1259"/>
      <c r="F2" s="1259"/>
      <c r="G2" s="1259"/>
      <c r="H2" s="1259"/>
      <c r="I2" s="1259"/>
    </row>
    <row r="3" spans="1:10" s="39" customFormat="1" ht="22.5" customHeight="1">
      <c r="A3" s="1257" t="s">
        <v>653</v>
      </c>
      <c r="B3" s="1257"/>
      <c r="C3" s="1257"/>
      <c r="D3" s="1257"/>
      <c r="E3" s="1257"/>
      <c r="F3" s="1257"/>
      <c r="G3" s="1257"/>
      <c r="H3" s="1257"/>
      <c r="I3" s="1257"/>
    </row>
    <row r="4" spans="1:10" s="39" customFormat="1" ht="15"/>
    <row r="5" spans="1:10" s="39" customFormat="1" ht="15"/>
    <row r="6" spans="1:10" s="39" customFormat="1" ht="15">
      <c r="C6" s="39" t="s">
        <v>189</v>
      </c>
    </row>
    <row r="7" spans="1:10" s="39" customFormat="1" ht="15">
      <c r="A7" s="77" t="s">
        <v>355</v>
      </c>
      <c r="B7" s="77"/>
      <c r="D7" s="39" t="s">
        <v>190</v>
      </c>
      <c r="G7" s="35" t="str">
        <f>"Line "&amp;A54&amp;" + Line "&amp;A74&amp;"  from below"</f>
        <v>Line 30 + Line 41  from below</v>
      </c>
      <c r="I7" s="1164">
        <f>+I54+I74</f>
        <v>550523.38979584991</v>
      </c>
    </row>
    <row r="8" spans="1:10" s="39" customFormat="1" ht="15">
      <c r="A8" s="77"/>
      <c r="B8" s="77"/>
      <c r="G8" s="44"/>
    </row>
    <row r="9" spans="1:10" s="39" customFormat="1" ht="15">
      <c r="A9" s="77" t="s">
        <v>448</v>
      </c>
      <c r="B9" s="77"/>
      <c r="D9" s="39" t="str">
        <f>I9*10000&amp;" Basis Point increase in ROE"</f>
        <v>100 Basis Point increase in ROE</v>
      </c>
      <c r="I9" s="157">
        <v>0.01</v>
      </c>
    </row>
    <row r="10" spans="1:10" s="44" customFormat="1" ht="15">
      <c r="A10" s="77"/>
      <c r="B10" s="77"/>
      <c r="C10" s="39"/>
      <c r="D10" s="39"/>
      <c r="E10" s="39"/>
      <c r="F10" s="39"/>
      <c r="G10" s="39"/>
      <c r="H10" s="39"/>
    </row>
    <row r="11" spans="1:10" s="44" customFormat="1" ht="23.25" customHeight="1">
      <c r="A11" s="1258" t="s">
        <v>268</v>
      </c>
      <c r="B11" s="1258"/>
      <c r="C11" s="1258"/>
      <c r="D11" s="1258"/>
      <c r="E11" s="1258"/>
      <c r="F11" s="1258"/>
      <c r="G11" s="1258"/>
      <c r="H11" s="1258"/>
      <c r="I11" s="1258"/>
    </row>
    <row r="12" spans="1:10" s="44" customFormat="1" ht="15.75">
      <c r="A12" s="251"/>
      <c r="G12" s="252" t="s">
        <v>413</v>
      </c>
    </row>
    <row r="13" spans="1:10" s="39" customFormat="1" ht="15">
      <c r="A13" s="44"/>
      <c r="D13" s="44"/>
      <c r="E13" s="44"/>
      <c r="F13" s="44"/>
      <c r="G13" s="44"/>
      <c r="H13" s="44"/>
      <c r="I13" s="250"/>
      <c r="J13" s="44"/>
    </row>
    <row r="14" spans="1:10" s="39" customFormat="1" ht="15.75">
      <c r="A14" s="78">
        <v>1</v>
      </c>
      <c r="C14" s="331" t="str">
        <f>+'Appendix A - TSRR Summary'!B101</f>
        <v>Rate Base</v>
      </c>
      <c r="D14" s="54"/>
      <c r="E14" s="44"/>
      <c r="F14" s="54"/>
      <c r="G14" s="54" t="str">
        <f>+'Appendix A - TSRR Summary'!F101</f>
        <v>(Line 41 + Line 54)</v>
      </c>
      <c r="H14" s="54"/>
      <c r="I14" s="240">
        <f>+'Appendix A - TSRR Summary'!H101</f>
        <v>6346219.3374599442</v>
      </c>
      <c r="J14" s="44"/>
    </row>
    <row r="15" spans="1:10" s="39" customFormat="1" ht="15">
      <c r="A15" s="44"/>
      <c r="G15" s="55"/>
      <c r="I15" s="155"/>
    </row>
    <row r="16" spans="1:10" s="39" customFormat="1" ht="15.75">
      <c r="A16" s="44"/>
      <c r="B16" s="55"/>
      <c r="C16" s="264" t="str">
        <f>'Appendix A - TSRR Summary'!B171</f>
        <v>Long Term Interest</v>
      </c>
      <c r="D16" s="73"/>
      <c r="E16" s="32"/>
      <c r="F16" s="27"/>
      <c r="G16" s="172"/>
      <c r="H16" s="20"/>
    </row>
    <row r="17" spans="1:9" s="39" customFormat="1" ht="15">
      <c r="A17" s="24">
        <f>A14+1</f>
        <v>2</v>
      </c>
      <c r="B17" s="55"/>
      <c r="C17" s="116"/>
      <c r="D17" s="116" t="str">
        <f>'Appendix A - TSRR Summary'!C172</f>
        <v>Long Term Interest</v>
      </c>
      <c r="E17" s="32"/>
      <c r="F17" s="27"/>
      <c r="G17" s="116" t="str">
        <f>'Appendix A - TSRR Summary'!F172</f>
        <v>p117.62-67.c</v>
      </c>
      <c r="H17" s="20"/>
      <c r="I17" s="240">
        <f>'Appendix A - TSRR Summary'!H172</f>
        <v>523841</v>
      </c>
    </row>
    <row r="18" spans="1:9" s="39" customFormat="1" ht="15.75">
      <c r="A18" s="24">
        <f>A17+1</f>
        <v>3</v>
      </c>
      <c r="B18" s="55"/>
      <c r="C18" s="116"/>
      <c r="D18" s="222" t="str">
        <f>'Appendix A - TSRR Summary'!C173</f>
        <v xml:space="preserve">    Less LTD Interest on Securitization Bonds</v>
      </c>
      <c r="E18" s="152"/>
      <c r="F18" s="328"/>
      <c r="G18" s="222" t="str">
        <f>'Appendix A - TSRR Summary'!F173</f>
        <v>Attachment 8</v>
      </c>
      <c r="H18" s="91"/>
      <c r="I18" s="327">
        <f>'Appendix A - TSRR Summary'!H173</f>
        <v>0</v>
      </c>
    </row>
    <row r="19" spans="1:9" s="39" customFormat="1" ht="15.75">
      <c r="A19" s="24">
        <v>4</v>
      </c>
      <c r="B19" s="55"/>
      <c r="C19" s="116"/>
      <c r="D19" s="116" t="str">
        <f>'Appendix A - TSRR Summary'!C174</f>
        <v>Long Term Interest</v>
      </c>
      <c r="E19" s="32"/>
      <c r="F19" s="73"/>
      <c r="G19" s="116" t="str">
        <f>'Appendix A - TSRR Summary'!F174</f>
        <v>(Line 99 - Line 100)</v>
      </c>
      <c r="H19" s="20"/>
      <c r="I19" s="240">
        <f>'Appendix A - TSRR Summary'!H174</f>
        <v>523841</v>
      </c>
    </row>
    <row r="20" spans="1:9" s="39" customFormat="1" ht="15">
      <c r="A20" s="24"/>
      <c r="B20" s="55"/>
      <c r="C20" s="4"/>
      <c r="D20" s="40"/>
      <c r="E20" s="9"/>
      <c r="F20" s="5"/>
      <c r="G20" s="148"/>
      <c r="H20" s="5"/>
      <c r="I20" s="240"/>
    </row>
    <row r="21" spans="1:9" s="39" customFormat="1" ht="15.75">
      <c r="A21" s="65">
        <v>5</v>
      </c>
      <c r="B21" s="55"/>
      <c r="C21" s="331" t="str">
        <f>'Appendix A - TSRR Summary'!B176</f>
        <v>Preferred Dividends</v>
      </c>
      <c r="D21" s="171"/>
      <c r="F21" s="9" t="str">
        <f>'Appendix A - TSRR Summary'!E176</f>
        <v xml:space="preserve"> enter positive</v>
      </c>
      <c r="G21" s="118" t="str">
        <f>'Appendix A - TSRR Summary'!F176</f>
        <v>p118.29.c</v>
      </c>
      <c r="H21" s="5"/>
      <c r="I21" s="35">
        <f>+'Appendix A - TSRR Summary'!H176</f>
        <v>0</v>
      </c>
    </row>
    <row r="22" spans="1:9" s="39" customFormat="1" ht="15">
      <c r="A22" s="24"/>
      <c r="B22" s="55"/>
      <c r="C22" s="4"/>
      <c r="D22" s="40"/>
      <c r="E22" s="9"/>
      <c r="F22" s="3"/>
      <c r="G22" s="118"/>
      <c r="H22" s="5"/>
      <c r="I22" s="10"/>
    </row>
    <row r="23" spans="1:9" s="39" customFormat="1" ht="15.75">
      <c r="A23" s="24"/>
      <c r="B23" s="55"/>
      <c r="C23" s="85" t="str">
        <f>'Appendix A - TSRR Summary'!B178</f>
        <v>Common Stock</v>
      </c>
      <c r="D23" s="85"/>
      <c r="E23" s="9"/>
      <c r="F23" s="27"/>
      <c r="G23" s="118"/>
      <c r="H23" s="5"/>
      <c r="I23" s="10"/>
    </row>
    <row r="24" spans="1:9" s="39" customFormat="1" ht="15">
      <c r="A24" s="24">
        <f>A21+1</f>
        <v>6</v>
      </c>
      <c r="B24" s="55"/>
      <c r="C24" s="55"/>
      <c r="D24" s="40" t="str">
        <f>'Appendix A - TSRR Summary'!C179</f>
        <v>Proprietary Capital</v>
      </c>
      <c r="E24" s="5"/>
      <c r="F24" s="5"/>
      <c r="G24" s="118" t="str">
        <f>'Appendix A - TSRR Summary'!F179</f>
        <v>p112.16.c</v>
      </c>
      <c r="H24" s="5"/>
      <c r="I24" s="35">
        <f>+'Appendix A - TSRR Summary'!H179</f>
        <v>49666054</v>
      </c>
    </row>
    <row r="25" spans="1:9" s="39" customFormat="1" ht="15">
      <c r="A25" s="24">
        <v>7</v>
      </c>
      <c r="B25" s="55"/>
      <c r="C25" s="55"/>
      <c r="D25" s="10" t="s">
        <v>537</v>
      </c>
      <c r="E25" s="10"/>
      <c r="F25" s="23"/>
      <c r="G25" s="10" t="s">
        <v>538</v>
      </c>
      <c r="H25" s="5"/>
      <c r="I25" s="10">
        <f>'Appendix A - TSRR Summary'!H180</f>
        <v>0</v>
      </c>
    </row>
    <row r="26" spans="1:9" s="39" customFormat="1" ht="15">
      <c r="A26" s="24">
        <v>8</v>
      </c>
      <c r="B26" s="55"/>
      <c r="C26" s="55"/>
      <c r="D26" s="42" t="str">
        <f>'Appendix A - TSRR Summary'!C181</f>
        <v xml:space="preserve">    Less Preferred Stock</v>
      </c>
      <c r="F26" s="10"/>
      <c r="G26" s="173" t="str">
        <f>'Appendix A - TSRR Summary'!F181</f>
        <v>(Line 114)</v>
      </c>
      <c r="H26" s="5"/>
      <c r="I26" s="10">
        <f>-I37</f>
        <v>0</v>
      </c>
    </row>
    <row r="27" spans="1:9" s="39" customFormat="1" ht="15">
      <c r="A27" s="24">
        <v>9</v>
      </c>
      <c r="B27" s="55"/>
      <c r="C27" s="55"/>
      <c r="D27" s="114" t="str">
        <f>'Appendix A - TSRR Summary'!C182</f>
        <v xml:space="preserve">    Less Account 216.1</v>
      </c>
      <c r="E27" s="156"/>
      <c r="F27" s="93"/>
      <c r="G27" s="330" t="str">
        <f>'Appendix A - TSRR Summary'!F182</f>
        <v>p112.12.c</v>
      </c>
      <c r="H27" s="91"/>
      <c r="I27" s="93">
        <f>+'Appendix A - TSRR Summary'!H182</f>
        <v>0</v>
      </c>
    </row>
    <row r="28" spans="1:9" s="39" customFormat="1" ht="15">
      <c r="A28" s="24">
        <v>10</v>
      </c>
      <c r="B28" s="55"/>
      <c r="C28" s="55"/>
      <c r="D28" s="42" t="str">
        <f>'Appendix A - TSRR Summary'!C183</f>
        <v>Common Stock</v>
      </c>
      <c r="F28" s="35"/>
      <c r="G28" s="174" t="str">
        <f>'Appendix A - TSRR Summary'!F183</f>
        <v>(Line 103 - 104 - 105 - 106)</v>
      </c>
      <c r="H28" s="101"/>
      <c r="I28" s="5">
        <f>I24-I25-I26-I27</f>
        <v>49666054</v>
      </c>
    </row>
    <row r="29" spans="1:9" s="39" customFormat="1" ht="15">
      <c r="A29" s="24"/>
      <c r="B29" s="55"/>
      <c r="C29" s="4"/>
      <c r="D29" s="40"/>
      <c r="F29" s="9"/>
      <c r="G29" s="118"/>
      <c r="H29" s="27"/>
      <c r="I29" s="10"/>
    </row>
    <row r="30" spans="1:9" s="39" customFormat="1" ht="15.75">
      <c r="A30" s="24"/>
      <c r="B30" s="55"/>
      <c r="C30" s="85" t="str">
        <f>'Appendix A - TSRR Summary'!B185</f>
        <v>Capitalization</v>
      </c>
      <c r="D30" s="85"/>
      <c r="F30" s="9"/>
      <c r="G30" s="118"/>
      <c r="H30" s="27"/>
      <c r="I30" s="10"/>
    </row>
    <row r="31" spans="1:9" s="39" customFormat="1" ht="15">
      <c r="A31" s="24">
        <f>A28+1</f>
        <v>11</v>
      </c>
      <c r="B31" s="55"/>
      <c r="C31" s="55"/>
      <c r="D31" s="40" t="str">
        <f>'Appendix A - TSRR Summary'!C186</f>
        <v>Long Term Debt</v>
      </c>
      <c r="F31" s="9"/>
      <c r="G31" s="4" t="str">
        <f>'Appendix A - TSRR Summary'!F186</f>
        <v>p112.18-21.c</v>
      </c>
      <c r="H31" s="27"/>
      <c r="I31" s="35">
        <f>+'Appendix A - TSRR Summary'!H186</f>
        <v>13265000</v>
      </c>
    </row>
    <row r="32" spans="1:9" s="39" customFormat="1" ht="15">
      <c r="A32" s="24">
        <f t="shared" ref="A32:A39" si="0">A31+1</f>
        <v>12</v>
      </c>
      <c r="B32" s="55"/>
      <c r="C32" s="55"/>
      <c r="D32" s="40" t="str">
        <f>'Appendix A - TSRR Summary'!C187</f>
        <v xml:space="preserve">      Less Loss on Reacquired Debt </v>
      </c>
      <c r="F32" s="9"/>
      <c r="G32" s="118" t="str">
        <f>'Appendix A - TSRR Summary'!F187</f>
        <v>p111.81.c</v>
      </c>
      <c r="H32" s="27"/>
      <c r="I32" s="35">
        <f>+'Appendix A - TSRR Summary'!H187</f>
        <v>167698</v>
      </c>
    </row>
    <row r="33" spans="1:12" s="39" customFormat="1" ht="15">
      <c r="A33" s="24">
        <f t="shared" si="0"/>
        <v>13</v>
      </c>
      <c r="B33" s="54"/>
      <c r="C33" s="54"/>
      <c r="D33" s="42" t="str">
        <f>'Appendix A - TSRR Summary'!C188</f>
        <v xml:space="preserve">      Plus Gain on Reacquired Debt</v>
      </c>
      <c r="F33" s="22"/>
      <c r="G33" s="116" t="str">
        <f>'Appendix A - TSRR Summary'!F188</f>
        <v>p113.61.c</v>
      </c>
      <c r="H33" s="43"/>
      <c r="I33" s="35">
        <f>+'Appendix A - TSRR Summary'!H188</f>
        <v>0</v>
      </c>
    </row>
    <row r="34" spans="1:12" s="39" customFormat="1" ht="15">
      <c r="A34" s="24">
        <f t="shared" si="0"/>
        <v>14</v>
      </c>
      <c r="B34" s="54"/>
      <c r="C34" s="54"/>
      <c r="D34" s="42" t="str">
        <f>'Appendix A - TSRR Summary'!C189</f>
        <v xml:space="preserve">      Less ADIT associated with Gain or Loss</v>
      </c>
      <c r="F34" s="9"/>
      <c r="G34" s="116" t="str">
        <f>'Appendix A - TSRR Summary'!F189</f>
        <v>Attachment 1</v>
      </c>
      <c r="H34" s="43"/>
      <c r="I34" s="35">
        <f>+'Appendix A - TSRR Summary'!H189</f>
        <v>0</v>
      </c>
    </row>
    <row r="35" spans="1:12" s="39" customFormat="1" ht="15">
      <c r="A35" s="24">
        <f t="shared" si="0"/>
        <v>15</v>
      </c>
      <c r="B35" s="54"/>
      <c r="C35" s="54"/>
      <c r="D35" s="114" t="str">
        <f>'Appendix A - TSRR Summary'!C190</f>
        <v xml:space="preserve">      Less LTD on Securitization Bonds</v>
      </c>
      <c r="F35" s="22"/>
      <c r="G35" s="116" t="str">
        <f>'Appendix A - TSRR Summary'!F190</f>
        <v>Attachment 8</v>
      </c>
      <c r="H35" s="43"/>
      <c r="I35" s="35">
        <f>+'Appendix A - TSRR Summary'!H190</f>
        <v>0</v>
      </c>
    </row>
    <row r="36" spans="1:12" s="39" customFormat="1" ht="15">
      <c r="A36" s="24">
        <f t="shared" si="0"/>
        <v>16</v>
      </c>
      <c r="B36" s="54"/>
      <c r="C36" s="54"/>
      <c r="D36" s="42" t="str">
        <f>'Appendix A - TSRR Summary'!C191</f>
        <v>Total Long Term Debt</v>
      </c>
      <c r="E36" s="234"/>
      <c r="F36" s="38"/>
      <c r="G36" s="239" t="str">
        <f>'Appendix A - TSRR Summary'!F191</f>
        <v>(Line 108 - 109 + 110 - 111 - 112)</v>
      </c>
      <c r="H36" s="45"/>
      <c r="I36" s="48">
        <f>I31-I32+I33-I34-I35</f>
        <v>13097302</v>
      </c>
    </row>
    <row r="37" spans="1:12" s="39" customFormat="1" ht="15">
      <c r="A37" s="24">
        <f t="shared" si="0"/>
        <v>17</v>
      </c>
      <c r="B37" s="54"/>
      <c r="C37" s="54"/>
      <c r="D37" s="42" t="str">
        <f>'Appendix A - TSRR Summary'!C192</f>
        <v>Preferred Stock</v>
      </c>
      <c r="E37" s="22"/>
      <c r="F37" s="21"/>
      <c r="G37" s="116" t="str">
        <f>'Appendix A - TSRR Summary'!F192</f>
        <v>p112.3.c</v>
      </c>
      <c r="H37" s="43"/>
      <c r="I37" s="35">
        <f>+'Appendix A - TSRR Summary'!H192</f>
        <v>0</v>
      </c>
    </row>
    <row r="38" spans="1:12" s="39" customFormat="1" ht="15">
      <c r="A38" s="24">
        <f t="shared" si="0"/>
        <v>18</v>
      </c>
      <c r="B38" s="55"/>
      <c r="C38" s="55"/>
      <c r="D38" s="81" t="str">
        <f>'Appendix A - TSRR Summary'!C193</f>
        <v>Common Stock</v>
      </c>
      <c r="E38" s="83"/>
      <c r="F38" s="3"/>
      <c r="G38" s="55" t="str">
        <f>'Appendix A - TSRR Summary'!F193</f>
        <v>(Line 107)</v>
      </c>
      <c r="H38" s="27"/>
      <c r="I38" s="35">
        <f>I28</f>
        <v>49666054</v>
      </c>
    </row>
    <row r="39" spans="1:12" s="39" customFormat="1" ht="15.75">
      <c r="A39" s="24">
        <f t="shared" si="0"/>
        <v>19</v>
      </c>
      <c r="B39" s="55"/>
      <c r="C39" s="55"/>
      <c r="D39" s="40" t="str">
        <f>'Appendix A - TSRR Summary'!C194</f>
        <v>Total  Capitalization</v>
      </c>
      <c r="E39" s="51"/>
      <c r="F39" s="76"/>
      <c r="G39" s="175" t="str">
        <f>'Appendix A - TSRR Summary'!F194</f>
        <v>(Sum Lines 113 to 115)</v>
      </c>
      <c r="H39" s="30"/>
      <c r="I39" s="48">
        <f>I38+I37+I36</f>
        <v>62763356</v>
      </c>
    </row>
    <row r="40" spans="1:12" s="39" customFormat="1" ht="15">
      <c r="A40" s="24"/>
      <c r="B40" s="55"/>
      <c r="C40" s="55"/>
      <c r="D40" s="40"/>
      <c r="E40" s="27"/>
      <c r="F40" s="3"/>
      <c r="G40" s="55"/>
      <c r="H40" s="5"/>
      <c r="I40" s="23"/>
    </row>
    <row r="41" spans="1:12" s="39" customFormat="1" ht="15">
      <c r="A41" s="65">
        <f>A39+1</f>
        <v>20</v>
      </c>
      <c r="B41" s="55"/>
      <c r="C41" s="55"/>
      <c r="D41" s="40" t="str">
        <f>'Appendix A - TSRR Summary'!C196</f>
        <v>Debt %</v>
      </c>
      <c r="E41" s="37"/>
      <c r="F41" s="117" t="str">
        <f>'Appendix A - TSRR Summary'!D196</f>
        <v>Total Long Term Debt</v>
      </c>
      <c r="G41" s="55" t="str">
        <f>'Appendix A - TSRR Summary'!F196</f>
        <v>(Line 113 / Line 116)</v>
      </c>
      <c r="H41" s="5"/>
      <c r="I41" s="745">
        <f>1-I42-I43</f>
        <v>0.44999999999999996</v>
      </c>
    </row>
    <row r="42" spans="1:12" s="39" customFormat="1" ht="15">
      <c r="A42" s="24">
        <f>A41+1</f>
        <v>21</v>
      </c>
      <c r="B42" s="55"/>
      <c r="C42" s="55"/>
      <c r="D42" s="40" t="str">
        <f>'Appendix A - TSRR Summary'!C197</f>
        <v>Preferred %</v>
      </c>
      <c r="E42" s="3"/>
      <c r="F42" s="117" t="str">
        <f>'Appendix A - TSRR Summary'!D197</f>
        <v>Preferred Stock</v>
      </c>
      <c r="G42" s="55" t="str">
        <f>'Appendix A - TSRR Summary'!F197</f>
        <v>(Line 114 / Line 116)</v>
      </c>
      <c r="H42" s="5"/>
      <c r="I42" s="415">
        <f>I37/I39</f>
        <v>0</v>
      </c>
    </row>
    <row r="43" spans="1:12" s="39" customFormat="1" ht="15">
      <c r="A43" s="24">
        <f>A42+1</f>
        <v>22</v>
      </c>
      <c r="B43" s="55"/>
      <c r="C43" s="55"/>
      <c r="D43" s="40" t="str">
        <f>'Appendix A - TSRR Summary'!C198</f>
        <v>Common %</v>
      </c>
      <c r="E43" s="3"/>
      <c r="F43" s="117" t="str">
        <f>'Appendix A - TSRR Summary'!D198</f>
        <v>Common Stock</v>
      </c>
      <c r="G43" s="55" t="str">
        <f>'Appendix A - TSRR Summary'!F198</f>
        <v>(Line 115 / Line 116)</v>
      </c>
      <c r="H43" s="5"/>
      <c r="I43" s="745">
        <f>'Appendix A - TSRR Summary'!H198</f>
        <v>0.55000000000000004</v>
      </c>
      <c r="L43" s="871"/>
    </row>
    <row r="44" spans="1:12" s="39" customFormat="1" ht="15">
      <c r="A44" s="24"/>
      <c r="B44" s="55"/>
      <c r="C44" s="55"/>
      <c r="D44" s="40"/>
      <c r="E44" s="27"/>
      <c r="F44" s="118"/>
      <c r="G44" s="55"/>
      <c r="H44" s="5"/>
      <c r="I44" s="23"/>
    </row>
    <row r="45" spans="1:12" s="39" customFormat="1" ht="15">
      <c r="A45" s="65">
        <f>A43+1</f>
        <v>23</v>
      </c>
      <c r="B45" s="55"/>
      <c r="C45" s="55"/>
      <c r="D45" s="40" t="str">
        <f>'Appendix A - TSRR Summary'!C200</f>
        <v>Debt Cost</v>
      </c>
      <c r="E45" s="37"/>
      <c r="F45" s="118" t="str">
        <f>'Appendix A - TSRR Summary'!D200</f>
        <v>Total Long Term Debt</v>
      </c>
      <c r="G45" s="55" t="str">
        <f>'Appendix A - TSRR Summary'!F200</f>
        <v>(Line 101 / Line 113)</v>
      </c>
      <c r="H45" s="5"/>
      <c r="I45" s="132">
        <f>IF(I36&gt;0,I19/I36,0)</f>
        <v>3.9996099960129192E-2</v>
      </c>
    </row>
    <row r="46" spans="1:12" s="39" customFormat="1" ht="15">
      <c r="A46" s="24">
        <f>A45+1</f>
        <v>24</v>
      </c>
      <c r="B46" s="55"/>
      <c r="C46" s="55"/>
      <c r="D46" s="40" t="str">
        <f>'Appendix A - TSRR Summary'!C201</f>
        <v>Preferred Cost</v>
      </c>
      <c r="E46" s="3"/>
      <c r="F46" s="118" t="str">
        <f>'Appendix A - TSRR Summary'!D201</f>
        <v>Preferred Stock</v>
      </c>
      <c r="G46" s="55" t="str">
        <f>'Appendix A - TSRR Summary'!F201</f>
        <v>(Line 102 / Line 114)</v>
      </c>
      <c r="H46" s="5"/>
      <c r="I46" s="132">
        <f>IF(I37&gt;0,I21/I37,0)</f>
        <v>0</v>
      </c>
    </row>
    <row r="47" spans="1:12" s="39" customFormat="1" ht="15">
      <c r="A47" s="24">
        <f>A46+1</f>
        <v>25</v>
      </c>
      <c r="B47" s="55"/>
      <c r="C47" s="55"/>
      <c r="D47" s="40" t="str">
        <f>'Appendix A - TSRR Summary'!C202</f>
        <v>Common Cost</v>
      </c>
      <c r="E47" s="285"/>
      <c r="F47" s="173" t="str">
        <f>'Appendix A - TSRR Summary'!D202</f>
        <v>Common Stock</v>
      </c>
      <c r="G47" s="35" t="str">
        <f>"(Line "&amp;'Appendix A - TSRR Summary'!A202&amp;" + 100 basis points)"</f>
        <v>(Line 122 + 100 basis points)</v>
      </c>
      <c r="H47" s="5"/>
      <c r="I47" s="934">
        <f>+'Appendix A - TSRR Summary'!H202+I9</f>
        <v>0.125</v>
      </c>
    </row>
    <row r="48" spans="1:12" s="39" customFormat="1" ht="15">
      <c r="A48" s="24"/>
      <c r="B48" s="55"/>
      <c r="C48" s="55"/>
      <c r="D48" s="40"/>
      <c r="E48" s="27"/>
      <c r="F48" s="118"/>
      <c r="G48" s="55"/>
      <c r="H48" s="5"/>
      <c r="I48" s="436"/>
    </row>
    <row r="49" spans="1:10" s="39" customFormat="1" ht="15">
      <c r="A49" s="65">
        <f>A47+1</f>
        <v>26</v>
      </c>
      <c r="B49" s="55"/>
      <c r="C49" s="55"/>
      <c r="D49" s="40" t="str">
        <f>'Appendix A - TSRR Summary'!C204</f>
        <v>Weighted Cost of Debt</v>
      </c>
      <c r="E49" s="37"/>
      <c r="F49" s="117" t="str">
        <f>'Appendix A - TSRR Summary'!D204</f>
        <v>Total Long Term Debt (WCLTD)</v>
      </c>
      <c r="G49" s="55" t="str">
        <f>'Appendix A - TSRR Summary'!F204</f>
        <v>(Line 117 * Line 120)</v>
      </c>
      <c r="H49" s="25"/>
      <c r="I49" s="935">
        <f>I45*I41</f>
        <v>1.7998244982058133E-2</v>
      </c>
    </row>
    <row r="50" spans="1:10" s="39" customFormat="1" ht="15">
      <c r="A50" s="24">
        <f>A49+1</f>
        <v>27</v>
      </c>
      <c r="B50" s="55"/>
      <c r="C50" s="55"/>
      <c r="D50" s="40" t="str">
        <f>'Appendix A - TSRR Summary'!C205</f>
        <v>Weighted Cost of Preferred</v>
      </c>
      <c r="E50" s="3"/>
      <c r="F50" s="117" t="str">
        <f>'Appendix A - TSRR Summary'!D205</f>
        <v>Preferred Stock</v>
      </c>
      <c r="G50" s="55" t="str">
        <f>'Appendix A - TSRR Summary'!F205</f>
        <v>(Line 118 * Line 121)</v>
      </c>
      <c r="H50" s="63"/>
      <c r="I50" s="935">
        <f>I46*I42</f>
        <v>0</v>
      </c>
    </row>
    <row r="51" spans="1:10" s="39" customFormat="1" ht="15">
      <c r="A51" s="24">
        <f>A50+1</f>
        <v>28</v>
      </c>
      <c r="B51" s="55"/>
      <c r="C51" s="55"/>
      <c r="D51" s="81" t="str">
        <f>'Appendix A - TSRR Summary'!C206</f>
        <v>Weighted Cost of Common</v>
      </c>
      <c r="E51" s="121"/>
      <c r="F51" s="120" t="str">
        <f>'Appendix A - TSRR Summary'!D206</f>
        <v>Common Stock</v>
      </c>
      <c r="G51" s="176" t="str">
        <f>'Appendix A - TSRR Summary'!F206</f>
        <v>(Line 119 * Line 122)</v>
      </c>
      <c r="H51" s="92"/>
      <c r="I51" s="936">
        <f>I47*I43</f>
        <v>6.8750000000000006E-2</v>
      </c>
    </row>
    <row r="52" spans="1:10" s="39" customFormat="1" ht="15.75">
      <c r="A52" s="24">
        <f>A51+1</f>
        <v>29</v>
      </c>
      <c r="B52" s="55"/>
      <c r="C52" s="331" t="str">
        <f>'Appendix A - TSRR Summary'!B207</f>
        <v>Rate of Return on Rate Base ( ROR )</v>
      </c>
      <c r="D52" s="55"/>
      <c r="E52" s="102"/>
      <c r="F52" s="72"/>
      <c r="G52" s="177" t="str">
        <f>'Appendix A - TSRR Summary'!F207</f>
        <v>(Sum Lines 123 to 125)</v>
      </c>
      <c r="H52" s="74"/>
      <c r="I52" s="931">
        <f>SUM(I49:I51)</f>
        <v>8.6748244982058131E-2</v>
      </c>
    </row>
    <row r="53" spans="1:10" s="39" customFormat="1" ht="15.75">
      <c r="A53" s="36"/>
      <c r="B53" s="55"/>
      <c r="C53" s="55"/>
      <c r="D53" s="55"/>
      <c r="E53" s="102"/>
      <c r="F53" s="72"/>
      <c r="G53" s="177"/>
      <c r="H53" s="74"/>
      <c r="I53" s="64"/>
    </row>
    <row r="54" spans="1:10" s="39" customFormat="1" ht="16.5" thickBot="1">
      <c r="A54" s="65">
        <f>A52+1</f>
        <v>30</v>
      </c>
      <c r="B54" s="55"/>
      <c r="C54" s="89" t="str">
        <f>'Appendix A - TSRR Summary'!B209</f>
        <v>Investment Return = Rate Base * Rate of Return</v>
      </c>
      <c r="D54" s="89"/>
      <c r="E54" s="89"/>
      <c r="F54" s="90"/>
      <c r="G54" s="178" t="str">
        <f>'Appendix A - TSRR Summary'!F209</f>
        <v>(Line 55 * Line 126)</v>
      </c>
      <c r="H54" s="95"/>
      <c r="I54" s="34">
        <f>+I52*I14</f>
        <v>550523.38979584991</v>
      </c>
    </row>
    <row r="55" spans="1:10" s="39" customFormat="1" ht="15.75" thickTop="1">
      <c r="A55" s="24"/>
      <c r="B55" s="6"/>
      <c r="C55" s="26"/>
      <c r="D55" s="3"/>
      <c r="E55" s="27"/>
      <c r="F55" s="77"/>
      <c r="G55" s="5"/>
      <c r="H55" s="5"/>
      <c r="I55" s="17"/>
    </row>
    <row r="56" spans="1:10" s="39" customFormat="1" ht="27" customHeight="1">
      <c r="A56" s="1258" t="s">
        <v>191</v>
      </c>
      <c r="B56" s="1258"/>
      <c r="C56" s="1258"/>
      <c r="D56" s="1258"/>
      <c r="E56" s="1258"/>
      <c r="F56" s="1258"/>
      <c r="G56" s="1258"/>
      <c r="H56" s="1258"/>
      <c r="I56" s="1258"/>
    </row>
    <row r="57" spans="1:10" s="39" customFormat="1" ht="15.75">
      <c r="A57" s="42"/>
      <c r="B57" s="42"/>
      <c r="C57" s="26"/>
      <c r="D57" s="19"/>
      <c r="E57" s="43"/>
      <c r="F57" s="16"/>
      <c r="G57" s="27"/>
      <c r="H57" s="27"/>
      <c r="I57" s="33"/>
    </row>
    <row r="58" spans="1:10" s="39" customFormat="1" ht="15.75">
      <c r="A58" s="65" t="s">
        <v>353</v>
      </c>
      <c r="B58" s="26"/>
      <c r="C58" s="106" t="s">
        <v>426</v>
      </c>
      <c r="D58" s="27"/>
      <c r="E58" s="27"/>
      <c r="F58" s="16"/>
      <c r="G58" s="5"/>
      <c r="H58" s="13"/>
      <c r="I58" s="27"/>
    </row>
    <row r="59" spans="1:10" s="39" customFormat="1" ht="15">
      <c r="A59" s="65">
        <f>+A54+1</f>
        <v>31</v>
      </c>
      <c r="B59" s="77"/>
      <c r="C59" s="26"/>
      <c r="D59" s="27" t="s">
        <v>424</v>
      </c>
      <c r="E59" s="27"/>
      <c r="F59" s="77"/>
      <c r="G59" s="225"/>
      <c r="H59" s="28"/>
      <c r="I59" s="165">
        <f>+'Appendix A - TSRR Summary'!H214</f>
        <v>0</v>
      </c>
    </row>
    <row r="60" spans="1:10" s="39" customFormat="1" ht="15">
      <c r="A60" s="24">
        <f>+A59+1</f>
        <v>32</v>
      </c>
      <c r="B60" s="77"/>
      <c r="C60" s="26"/>
      <c r="D60" s="28" t="s">
        <v>423</v>
      </c>
      <c r="E60" s="18"/>
      <c r="F60" s="77"/>
      <c r="G60" s="225"/>
      <c r="H60" s="28"/>
      <c r="I60" s="165">
        <f>+'Appendix A - TSRR Summary'!H215</f>
        <v>0</v>
      </c>
    </row>
    <row r="61" spans="1:10" s="39" customFormat="1" ht="15">
      <c r="A61" s="24">
        <f>+A60+1</f>
        <v>33</v>
      </c>
      <c r="B61" s="77"/>
      <c r="C61" s="26"/>
      <c r="D61" s="28" t="s">
        <v>119</v>
      </c>
      <c r="E61" s="28"/>
      <c r="F61" s="77"/>
      <c r="G61" s="7" t="str">
        <f>+'Appendix A - TSRR Summary'!F216</f>
        <v>Per State Tax Code</v>
      </c>
      <c r="H61" s="28"/>
      <c r="I61" s="165">
        <f>+'Appendix A - TSRR Summary'!H216</f>
        <v>0</v>
      </c>
    </row>
    <row r="62" spans="1:10" s="39" customFormat="1" ht="15">
      <c r="A62" s="24">
        <f>+A61+1</f>
        <v>34</v>
      </c>
      <c r="B62" s="77"/>
      <c r="C62" s="26"/>
      <c r="D62" s="28" t="s">
        <v>476</v>
      </c>
      <c r="E62" s="12" t="s">
        <v>486</v>
      </c>
      <c r="F62" s="77"/>
      <c r="G62" s="31"/>
      <c r="H62" s="28"/>
      <c r="I62" s="165">
        <f>+'Appendix A - TSRR Summary'!H217</f>
        <v>0</v>
      </c>
    </row>
    <row r="63" spans="1:10" s="39" customFormat="1" ht="15">
      <c r="A63" s="24">
        <v>35</v>
      </c>
      <c r="B63" s="78"/>
      <c r="C63" s="65"/>
      <c r="D63" s="281" t="s">
        <v>588</v>
      </c>
      <c r="E63" s="2"/>
      <c r="F63" s="2"/>
      <c r="G63" s="2"/>
      <c r="H63" s="2"/>
      <c r="I63" s="297">
        <f>I62/(1-I62)</f>
        <v>0</v>
      </c>
      <c r="J63" s="44"/>
    </row>
    <row r="64" spans="1:10" s="39" customFormat="1" ht="15">
      <c r="A64" s="24">
        <v>36</v>
      </c>
      <c r="B64" s="78"/>
      <c r="C64" s="65"/>
      <c r="D64" s="281" t="s">
        <v>587</v>
      </c>
      <c r="E64" s="329"/>
      <c r="F64" s="78"/>
      <c r="G64" s="43"/>
      <c r="H64" s="28"/>
      <c r="I64" s="297">
        <f>1/(1-I62)</f>
        <v>1</v>
      </c>
      <c r="J64" s="44"/>
    </row>
    <row r="65" spans="1:11" s="39" customFormat="1" ht="15">
      <c r="A65" s="65"/>
      <c r="B65" s="26"/>
      <c r="C65" s="26"/>
      <c r="D65" s="27"/>
      <c r="E65" s="27"/>
      <c r="F65" s="11"/>
      <c r="G65" s="12"/>
      <c r="H65" s="13"/>
      <c r="I65" s="14"/>
    </row>
    <row r="66" spans="1:11" s="39" customFormat="1" ht="15.75">
      <c r="A66" s="65"/>
      <c r="B66" s="26"/>
      <c r="C66" s="106" t="s">
        <v>400</v>
      </c>
      <c r="D66" s="3"/>
      <c r="E66" s="27"/>
      <c r="F66" s="16"/>
      <c r="G66" s="5"/>
      <c r="H66" s="13"/>
      <c r="I66" s="132"/>
    </row>
    <row r="67" spans="1:11" s="39" customFormat="1" ht="15">
      <c r="A67" s="65">
        <f>+A64+1</f>
        <v>37</v>
      </c>
      <c r="B67" s="77"/>
      <c r="C67" s="26"/>
      <c r="D67" s="3" t="s">
        <v>451</v>
      </c>
      <c r="E67" s="27"/>
      <c r="F67" s="23" t="s">
        <v>474</v>
      </c>
      <c r="G67" s="7" t="str">
        <f>+'Appendix A - TSRR Summary'!F221</f>
        <v>p266.8.f</v>
      </c>
      <c r="H67" s="13"/>
      <c r="I67" s="241">
        <f>+'Appendix A - TSRR Summary'!H221</f>
        <v>0</v>
      </c>
    </row>
    <row r="68" spans="1:11" s="39" customFormat="1" ht="15">
      <c r="A68" s="65">
        <f>+A67+1</f>
        <v>38</v>
      </c>
      <c r="B68" s="77"/>
      <c r="C68" s="26"/>
      <c r="D68" s="3" t="s">
        <v>469</v>
      </c>
      <c r="E68" s="27"/>
      <c r="F68" s="6"/>
      <c r="G68" s="7" t="str">
        <f>+'Appendix A - TSRR Summary'!F222</f>
        <v>1 / (1 -Line 131)</v>
      </c>
      <c r="H68" s="13"/>
      <c r="I68" s="242">
        <f>+'Appendix A - TSRR Summary'!H222</f>
        <v>1</v>
      </c>
    </row>
    <row r="69" spans="1:11" s="39" customFormat="1" ht="15.75">
      <c r="A69" s="65">
        <f>+A68+1</f>
        <v>39</v>
      </c>
      <c r="B69" s="77"/>
      <c r="C69" s="66"/>
      <c r="D69" s="79" t="s">
        <v>395</v>
      </c>
      <c r="E69" s="80"/>
      <c r="F69" s="119"/>
      <c r="G69" s="253" t="str">
        <f>+'Appendix A - TSRR Summary'!F223</f>
        <v>(Line 14)</v>
      </c>
      <c r="H69" s="69"/>
      <c r="I69" s="103">
        <f>+'Appendix A - TSRR Summary'!H31</f>
        <v>0.18243956474081677</v>
      </c>
    </row>
    <row r="70" spans="1:11" s="39" customFormat="1" ht="15.75">
      <c r="A70" s="24">
        <f>+A69+1</f>
        <v>40</v>
      </c>
      <c r="B70" s="77"/>
      <c r="C70" s="26"/>
      <c r="D70" s="108" t="s">
        <v>422</v>
      </c>
      <c r="E70" s="45"/>
      <c r="F70" s="130"/>
      <c r="G70" s="7" t="str">
        <f>+'Appendix A - TSRR Summary'!F224</f>
        <v>(Line 133 * Line 134 * Line 135)</v>
      </c>
      <c r="H70" s="71"/>
      <c r="I70" s="833">
        <f>+I67*I68*I69</f>
        <v>0</v>
      </c>
      <c r="K70" s="75"/>
    </row>
    <row r="71" spans="1:11" s="39" customFormat="1" ht="15.75">
      <c r="A71" s="24"/>
      <c r="B71" s="6"/>
      <c r="C71" s="26"/>
      <c r="D71" s="115"/>
      <c r="E71" s="68"/>
      <c r="F71" s="136"/>
      <c r="G71" s="133"/>
      <c r="H71" s="69"/>
      <c r="I71" s="134"/>
    </row>
    <row r="72" spans="1:11" s="39" customFormat="1" ht="15.75">
      <c r="A72" s="24"/>
      <c r="B72" s="6"/>
      <c r="C72" s="26"/>
      <c r="D72" s="115"/>
      <c r="E72" s="68"/>
      <c r="F72" s="136"/>
      <c r="G72" s="133"/>
      <c r="H72" s="69"/>
      <c r="I72" s="135"/>
    </row>
    <row r="73" spans="1:11" s="39" customFormat="1" ht="15.75">
      <c r="A73" s="65"/>
      <c r="B73" s="26"/>
      <c r="C73" s="26"/>
      <c r="D73" s="67"/>
      <c r="E73" s="68"/>
      <c r="F73" s="124"/>
      <c r="G73" s="20"/>
      <c r="H73" s="69"/>
      <c r="I73" s="53"/>
    </row>
    <row r="74" spans="1:11" s="39" customFormat="1" ht="16.5" thickBot="1">
      <c r="A74" s="65">
        <f>+A70+1</f>
        <v>41</v>
      </c>
      <c r="B74" s="77"/>
      <c r="C74" s="94" t="s">
        <v>333</v>
      </c>
      <c r="D74" s="94"/>
      <c r="E74" s="89"/>
      <c r="F74" s="123"/>
      <c r="G74" s="34"/>
      <c r="H74" s="105"/>
      <c r="I74" s="34">
        <f>+I63*(1-I49/I52)*I54</f>
        <v>0</v>
      </c>
    </row>
    <row r="75" spans="1:11" s="39" customFormat="1" ht="15.75" thickTop="1">
      <c r="A75" s="65"/>
      <c r="B75" s="26"/>
      <c r="C75" s="26"/>
      <c r="D75" s="12"/>
      <c r="E75" s="27"/>
      <c r="F75" s="77"/>
      <c r="G75" s="15"/>
      <c r="H75" s="8"/>
      <c r="I75" s="107"/>
    </row>
    <row r="76" spans="1:11" s="39" customFormat="1" ht="15">
      <c r="A76" s="44"/>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11"/>
      <c r="B305" s="211"/>
      <c r="C305" s="211"/>
      <c r="D305" s="211"/>
      <c r="E305" s="211"/>
      <c r="F305" s="211"/>
    </row>
    <row r="306" spans="1:6">
      <c r="A306" s="211"/>
      <c r="B306" s="211"/>
      <c r="C306" s="211"/>
      <c r="D306" s="211"/>
      <c r="E306" s="211"/>
      <c r="F306" s="211"/>
    </row>
    <row r="307" spans="1:6">
      <c r="A307" s="211"/>
      <c r="B307" s="211"/>
      <c r="C307" s="211"/>
      <c r="D307" s="211"/>
      <c r="E307" s="211"/>
      <c r="F307" s="211"/>
    </row>
    <row r="308" spans="1:6">
      <c r="A308" s="211"/>
      <c r="B308" s="211"/>
      <c r="C308" s="211"/>
      <c r="D308" s="211"/>
      <c r="E308" s="211"/>
      <c r="F308" s="211"/>
    </row>
    <row r="309" spans="1:6">
      <c r="A309" s="211"/>
      <c r="B309" s="211"/>
      <c r="C309" s="211"/>
      <c r="D309" s="211"/>
      <c r="E309" s="211"/>
      <c r="F309" s="211"/>
    </row>
    <row r="310" spans="1:6">
      <c r="A310" s="211"/>
      <c r="B310" s="211"/>
      <c r="C310" s="211"/>
      <c r="D310" s="211"/>
      <c r="E310" s="211"/>
      <c r="F310" s="211"/>
    </row>
    <row r="311" spans="1:6">
      <c r="A311" s="211"/>
      <c r="B311" s="211"/>
      <c r="C311" s="211"/>
      <c r="D311" s="211"/>
      <c r="E311" s="211"/>
      <c r="F311" s="211"/>
    </row>
    <row r="312" spans="1:6">
      <c r="A312" s="211"/>
      <c r="B312" s="211"/>
      <c r="C312" s="211"/>
      <c r="D312" s="211"/>
      <c r="E312" s="211"/>
      <c r="F312" s="211"/>
    </row>
    <row r="313" spans="1:6">
      <c r="A313" s="211"/>
      <c r="B313" s="211"/>
      <c r="C313" s="211"/>
      <c r="D313" s="211"/>
      <c r="E313" s="211"/>
      <c r="F313" s="211"/>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4">
    <mergeCell ref="A3:I3"/>
    <mergeCell ref="A11:I11"/>
    <mergeCell ref="A56:I56"/>
    <mergeCell ref="A2:I2"/>
  </mergeCells>
  <phoneticPr fontId="0" type="noConversion"/>
  <pageMargins left="0.5" right="0.5" top="0.95" bottom="0.5" header="0.5" footer="0.5"/>
  <pageSetup scale="52" fitToHeight="0" orientation="portrait" r:id="rId9"/>
  <headerFooter alignWithMargins="0">
    <oddHeader>&amp;R&amp;14Exhibit No. RMU-205
ATTACHMENT H-25B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L176"/>
  <sheetViews>
    <sheetView zoomScale="60" zoomScaleNormal="60" zoomScaleSheetLayoutView="50" workbookViewId="0">
      <selection activeCell="E131" sqref="E131:E133"/>
    </sheetView>
  </sheetViews>
  <sheetFormatPr defaultColWidth="9.140625" defaultRowHeight="12.75"/>
  <cols>
    <col min="1" max="1" width="6.42578125" style="221" customWidth="1"/>
    <col min="2" max="2" width="4.28515625" style="221" customWidth="1"/>
    <col min="3" max="3" width="58" style="221" customWidth="1"/>
    <col min="4" max="4" width="17.7109375" style="221" customWidth="1"/>
    <col min="5" max="5" width="13.42578125" style="221" bestFit="1" customWidth="1"/>
    <col min="6" max="6" width="20.28515625" style="221" bestFit="1" customWidth="1"/>
    <col min="7" max="7" width="15.28515625" style="221" customWidth="1"/>
    <col min="8" max="8" width="19.7109375" style="221" customWidth="1"/>
    <col min="9" max="9" width="16.140625" style="221" customWidth="1"/>
    <col min="10" max="10" width="13.7109375" style="336" customWidth="1"/>
    <col min="11" max="11" width="12.28515625" style="336" customWidth="1"/>
    <col min="12" max="12" width="10.5703125" style="336" customWidth="1"/>
    <col min="13" max="13" width="11.140625" style="336" customWidth="1"/>
    <col min="14" max="14" width="11.5703125" style="336" customWidth="1"/>
    <col min="15" max="15" width="10.42578125" style="336" customWidth="1"/>
    <col min="16" max="16" width="9.7109375" style="336" customWidth="1"/>
    <col min="17" max="17" width="7.42578125" style="336" customWidth="1"/>
    <col min="18" max="18" width="4.7109375" style="221" customWidth="1"/>
    <col min="19" max="16384" width="9.140625" style="221"/>
  </cols>
  <sheetData>
    <row r="1" spans="1:18" ht="21" customHeight="1">
      <c r="A1" s="532"/>
      <c r="B1" s="533"/>
      <c r="C1" s="529"/>
      <c r="D1" s="534"/>
      <c r="E1" s="535"/>
      <c r="F1" s="536"/>
      <c r="G1" s="1160" t="s">
        <v>458</v>
      </c>
      <c r="H1" s="529"/>
      <c r="I1" s="529"/>
      <c r="J1" s="614"/>
      <c r="K1" s="614"/>
      <c r="L1" s="614"/>
      <c r="M1" s="614"/>
      <c r="N1" s="614"/>
      <c r="O1" s="614"/>
      <c r="P1" s="614"/>
      <c r="Q1" s="614"/>
      <c r="R1" s="529"/>
    </row>
    <row r="2" spans="1:18" ht="3.75" customHeight="1">
      <c r="A2" s="537"/>
      <c r="B2" s="533"/>
      <c r="C2" s="537"/>
      <c r="D2" s="534"/>
      <c r="E2" s="535"/>
      <c r="F2" s="536"/>
      <c r="G2" s="1159"/>
      <c r="H2" s="529"/>
      <c r="I2" s="529"/>
      <c r="J2" s="614"/>
      <c r="K2" s="614"/>
      <c r="L2" s="614"/>
      <c r="M2" s="614"/>
      <c r="N2" s="614"/>
      <c r="O2" s="614"/>
      <c r="P2" s="614"/>
      <c r="Q2" s="614"/>
      <c r="R2" s="529"/>
    </row>
    <row r="3" spans="1:18" s="276" customFormat="1" ht="19.5" customHeight="1">
      <c r="A3" s="537"/>
      <c r="B3" s="533"/>
      <c r="C3" s="529"/>
      <c r="D3" s="534"/>
      <c r="E3" s="535"/>
      <c r="F3" s="536"/>
      <c r="G3" s="1160" t="s">
        <v>653</v>
      </c>
      <c r="H3" s="530"/>
      <c r="I3" s="530"/>
      <c r="J3" s="615"/>
      <c r="K3" s="615"/>
      <c r="L3" s="615"/>
      <c r="M3" s="615"/>
      <c r="N3" s="615"/>
      <c r="O3" s="615"/>
      <c r="P3" s="615"/>
      <c r="Q3" s="615"/>
      <c r="R3" s="530"/>
    </row>
    <row r="4" spans="1:18" ht="36.75" customHeight="1" thickBot="1">
      <c r="A4" s="1060" t="s">
        <v>244</v>
      </c>
      <c r="B4" s="1059"/>
      <c r="C4" s="762"/>
      <c r="D4" s="763"/>
      <c r="E4" s="535"/>
      <c r="F4" s="764"/>
      <c r="G4" s="765"/>
      <c r="H4" s="765"/>
      <c r="I4" s="765"/>
      <c r="J4" s="766"/>
      <c r="K4" s="766"/>
      <c r="L4" s="766"/>
      <c r="M4" s="766"/>
      <c r="N4" s="766"/>
      <c r="O4" s="766"/>
      <c r="P4" s="766"/>
      <c r="Q4" s="766"/>
      <c r="R4" s="529"/>
    </row>
    <row r="5" spans="1:18" ht="29.25" customHeight="1">
      <c r="A5" s="1285" t="s">
        <v>543</v>
      </c>
      <c r="B5" s="1286"/>
      <c r="C5" s="1286"/>
      <c r="D5" s="1286"/>
      <c r="E5" s="1286"/>
      <c r="F5" s="1286"/>
      <c r="G5" s="1061" t="s">
        <v>132</v>
      </c>
      <c r="H5" s="1062" t="s">
        <v>123</v>
      </c>
      <c r="I5" s="1062"/>
      <c r="J5" s="1269" t="s">
        <v>59</v>
      </c>
      <c r="K5" s="1270"/>
      <c r="L5" s="1270"/>
      <c r="M5" s="1270"/>
      <c r="N5" s="1270"/>
      <c r="O5" s="1270"/>
      <c r="P5" s="1270"/>
      <c r="Q5" s="1271"/>
      <c r="R5" s="529"/>
    </row>
    <row r="6" spans="1:18" ht="25.5" customHeight="1">
      <c r="A6" s="524"/>
      <c r="B6" s="538" t="s">
        <v>445</v>
      </c>
      <c r="C6" s="525"/>
      <c r="D6" s="502"/>
      <c r="E6" s="447"/>
      <c r="F6" s="502"/>
      <c r="G6" s="503"/>
      <c r="H6" s="502"/>
      <c r="I6" s="502"/>
      <c r="J6" s="1287"/>
      <c r="K6" s="1276"/>
      <c r="L6" s="1276"/>
      <c r="M6" s="1276"/>
      <c r="N6" s="1276"/>
      <c r="O6" s="1276"/>
      <c r="P6" s="1276"/>
      <c r="Q6" s="1277"/>
      <c r="R6" s="529"/>
    </row>
    <row r="7" spans="1:18" s="276" customFormat="1">
      <c r="A7" s="539">
        <f>+'Appendix A - TSRR Summary'!A22</f>
        <v>8</v>
      </c>
      <c r="B7" s="247"/>
      <c r="C7" s="166" t="str">
        <f>+'Appendix A - TSRR Summary'!C22</f>
        <v>Accumulated Amortization</v>
      </c>
      <c r="D7" s="1178"/>
      <c r="E7" s="547" t="str">
        <f>+'Appendix A - TSRR Summary'!E22</f>
        <v>(Note A)</v>
      </c>
      <c r="F7" s="600" t="str">
        <f>+'Appendix A - TSRR Summary'!F22</f>
        <v xml:space="preserve">p200.21.c   </v>
      </c>
      <c r="G7" s="541">
        <v>0</v>
      </c>
      <c r="H7" s="1006">
        <v>1</v>
      </c>
      <c r="I7" s="634"/>
      <c r="J7" s="1260"/>
      <c r="K7" s="1261"/>
      <c r="L7" s="1261"/>
      <c r="M7" s="1261"/>
      <c r="N7" s="1261"/>
      <c r="O7" s="1261"/>
      <c r="P7" s="1261"/>
      <c r="Q7" s="1262"/>
      <c r="R7" s="530"/>
    </row>
    <row r="8" spans="1:18" s="276" customFormat="1">
      <c r="A8" s="542"/>
      <c r="B8" s="543"/>
      <c r="C8" s="527"/>
      <c r="D8" s="544"/>
      <c r="E8" s="540"/>
      <c r="F8" s="626"/>
      <c r="G8" s="541"/>
      <c r="H8" s="477"/>
      <c r="I8" s="477"/>
      <c r="J8" s="1260"/>
      <c r="K8" s="1261"/>
      <c r="L8" s="1261"/>
      <c r="M8" s="1261"/>
      <c r="N8" s="1261"/>
      <c r="O8" s="1261"/>
      <c r="P8" s="1261"/>
      <c r="Q8" s="1262"/>
      <c r="R8" s="530"/>
    </row>
    <row r="9" spans="1:18">
      <c r="A9" s="542"/>
      <c r="B9" s="546" t="s">
        <v>1</v>
      </c>
      <c r="C9" s="166"/>
      <c r="D9" s="525"/>
      <c r="E9" s="540"/>
      <c r="F9" s="581"/>
      <c r="G9" s="541"/>
      <c r="H9" s="767" t="s">
        <v>2</v>
      </c>
      <c r="I9" s="483"/>
      <c r="J9" s="1289"/>
      <c r="K9" s="1276"/>
      <c r="L9" s="1276"/>
      <c r="M9" s="1276"/>
      <c r="N9" s="1276"/>
      <c r="O9" s="1276"/>
      <c r="P9" s="1276"/>
      <c r="Q9" s="1277"/>
      <c r="R9" s="529"/>
    </row>
    <row r="10" spans="1:18" s="276" customFormat="1">
      <c r="A10" s="539">
        <f>'Appendix A - TSRR Summary'!A48</f>
        <v>26</v>
      </c>
      <c r="B10" s="547"/>
      <c r="C10" s="166" t="str">
        <f>'Appendix A - TSRR Summary'!C48</f>
        <v>Account No. 397 Directly Assigned to Transmission</v>
      </c>
      <c r="D10" s="1178"/>
      <c r="E10" s="540"/>
      <c r="F10" s="581" t="s">
        <v>461</v>
      </c>
      <c r="G10" s="1195">
        <v>0</v>
      </c>
      <c r="H10" s="1007">
        <v>0</v>
      </c>
      <c r="I10" s="461"/>
      <c r="J10" s="1290" t="s">
        <v>666</v>
      </c>
      <c r="K10" s="1276"/>
      <c r="L10" s="1276"/>
      <c r="M10" s="1276"/>
      <c r="N10" s="1276"/>
      <c r="O10" s="1276"/>
      <c r="P10" s="1276"/>
      <c r="Q10" s="1277"/>
      <c r="R10" s="530"/>
    </row>
    <row r="11" spans="1:18" s="276" customFormat="1">
      <c r="A11" s="542"/>
      <c r="B11" s="481"/>
      <c r="C11" s="527"/>
      <c r="D11" s="544"/>
      <c r="E11" s="540"/>
      <c r="F11" s="581"/>
      <c r="G11" s="541"/>
      <c r="H11" s="548"/>
      <c r="I11" s="461"/>
      <c r="J11" s="1290"/>
      <c r="K11" s="1276"/>
      <c r="L11" s="1276"/>
      <c r="M11" s="1276"/>
      <c r="N11" s="1276"/>
      <c r="O11" s="1276"/>
      <c r="P11" s="1276"/>
      <c r="Q11" s="1277"/>
      <c r="R11" s="530"/>
    </row>
    <row r="12" spans="1:18" s="276" customFormat="1">
      <c r="A12" s="542"/>
      <c r="B12" s="546" t="s">
        <v>150</v>
      </c>
      <c r="C12" s="546"/>
      <c r="D12" s="525"/>
      <c r="E12" s="540"/>
      <c r="F12" s="581"/>
      <c r="G12" s="541"/>
      <c r="H12" s="461"/>
      <c r="I12" s="461"/>
      <c r="J12" s="1263"/>
      <c r="K12" s="1264"/>
      <c r="L12" s="1264"/>
      <c r="M12" s="1264"/>
      <c r="N12" s="1264"/>
      <c r="O12" s="1264"/>
      <c r="P12" s="1264"/>
      <c r="Q12" s="1265"/>
      <c r="R12" s="530"/>
    </row>
    <row r="13" spans="1:18" s="276" customFormat="1">
      <c r="A13" s="542"/>
      <c r="B13" s="481"/>
      <c r="C13" s="527"/>
      <c r="D13" s="544"/>
      <c r="E13" s="481"/>
      <c r="F13" s="581"/>
      <c r="G13" s="541"/>
      <c r="H13" s="548"/>
      <c r="I13" s="461"/>
      <c r="J13" s="1260"/>
      <c r="K13" s="1261"/>
      <c r="L13" s="1261"/>
      <c r="M13" s="1261"/>
      <c r="N13" s="1261"/>
      <c r="O13" s="1261"/>
      <c r="P13" s="1261"/>
      <c r="Q13" s="1262"/>
      <c r="R13" s="530"/>
    </row>
    <row r="14" spans="1:18" s="276" customFormat="1">
      <c r="A14" s="542">
        <f>'Appendix A - TSRR Summary'!A60</f>
        <v>32</v>
      </c>
      <c r="B14" s="481"/>
      <c r="C14" s="527" t="str">
        <f>'Appendix A - TSRR Summary'!C60</f>
        <v>Less: Amount of General Depreciation Associated with Acct. 397</v>
      </c>
      <c r="D14" s="1178"/>
      <c r="E14" s="481"/>
      <c r="F14" s="581" t="s">
        <v>51</v>
      </c>
      <c r="G14" s="1177">
        <v>1136981</v>
      </c>
      <c r="H14" s="1055">
        <v>0</v>
      </c>
      <c r="I14" s="461"/>
      <c r="J14" s="1272" t="s">
        <v>666</v>
      </c>
      <c r="K14" s="1273"/>
      <c r="L14" s="1273"/>
      <c r="M14" s="1273"/>
      <c r="N14" s="1273"/>
      <c r="O14" s="1273"/>
      <c r="P14" s="1273"/>
      <c r="Q14" s="1274"/>
      <c r="R14" s="530"/>
    </row>
    <row r="15" spans="1:18" s="276" customFormat="1">
      <c r="A15" s="542"/>
      <c r="B15" s="543"/>
      <c r="C15" s="527"/>
      <c r="D15" s="544"/>
      <c r="E15" s="540"/>
      <c r="F15" s="626"/>
      <c r="G15" s="541"/>
      <c r="H15" s="483"/>
      <c r="I15" s="477"/>
      <c r="J15" s="1260"/>
      <c r="K15" s="1261"/>
      <c r="L15" s="1261"/>
      <c r="M15" s="1261"/>
      <c r="N15" s="1261"/>
      <c r="O15" s="1261"/>
      <c r="P15" s="1261"/>
      <c r="Q15" s="1262"/>
      <c r="R15" s="530"/>
    </row>
    <row r="16" spans="1:18" s="276" customFormat="1">
      <c r="A16" s="542"/>
      <c r="B16" s="546" t="s">
        <v>383</v>
      </c>
      <c r="C16" s="512"/>
      <c r="D16" s="247"/>
      <c r="E16" s="451"/>
      <c r="F16" s="627"/>
      <c r="G16" s="541"/>
      <c r="H16" s="247"/>
      <c r="I16" s="550"/>
      <c r="J16" s="1260"/>
      <c r="K16" s="1261"/>
      <c r="L16" s="1261"/>
      <c r="M16" s="1261"/>
      <c r="N16" s="1261"/>
      <c r="O16" s="1261"/>
      <c r="P16" s="1261"/>
      <c r="Q16" s="1262"/>
      <c r="R16" s="530"/>
    </row>
    <row r="17" spans="1:18" s="276" customFormat="1" ht="15.75" customHeight="1">
      <c r="A17" s="551">
        <f>+'Appendix A - TSRR Summary'!A85</f>
        <v>45</v>
      </c>
      <c r="B17" s="549"/>
      <c r="C17" s="466" t="str">
        <f>+'Appendix A - TSRR Summary'!C85</f>
        <v>Undistributed Stores Expense</v>
      </c>
      <c r="D17" s="552"/>
      <c r="E17" s="465" t="str">
        <f>+'Appendix A - TSRR Summary'!E85</f>
        <v>(Note A)</v>
      </c>
      <c r="F17" s="552" t="str">
        <f>+'Appendix A - TSRR Summary'!F85</f>
        <v>p227.6.c &amp; 16.c</v>
      </c>
      <c r="G17" s="541">
        <v>0</v>
      </c>
      <c r="H17" s="1006">
        <v>1</v>
      </c>
      <c r="I17" s="477"/>
      <c r="J17" s="1260"/>
      <c r="K17" s="1261"/>
      <c r="L17" s="1261"/>
      <c r="M17" s="1261"/>
      <c r="N17" s="1261"/>
      <c r="O17" s="1261"/>
      <c r="P17" s="1261"/>
      <c r="Q17" s="1262"/>
      <c r="R17" s="530"/>
    </row>
    <row r="18" spans="1:18" s="276" customFormat="1" ht="15.75" customHeight="1">
      <c r="A18" s="551"/>
      <c r="B18" s="549"/>
      <c r="C18" s="466"/>
      <c r="D18" s="552"/>
      <c r="E18" s="451"/>
      <c r="F18" s="552"/>
      <c r="G18" s="541"/>
      <c r="H18" s="810"/>
      <c r="I18" s="477"/>
      <c r="J18" s="1260"/>
      <c r="K18" s="1261"/>
      <c r="L18" s="1261"/>
      <c r="M18" s="1261"/>
      <c r="N18" s="1261"/>
      <c r="O18" s="1261"/>
      <c r="P18" s="1261"/>
      <c r="Q18" s="1262"/>
      <c r="R18" s="530"/>
    </row>
    <row r="19" spans="1:18" s="276" customFormat="1">
      <c r="A19" s="542"/>
      <c r="B19" s="538" t="s">
        <v>367</v>
      </c>
      <c r="C19" s="512"/>
      <c r="D19" s="553"/>
      <c r="E19" s="505"/>
      <c r="F19" s="552"/>
      <c r="G19" s="541"/>
      <c r="H19" s="247"/>
      <c r="I19" s="550"/>
      <c r="J19" s="1260"/>
      <c r="K19" s="1261"/>
      <c r="L19" s="1261"/>
      <c r="M19" s="1261"/>
      <c r="N19" s="1261"/>
      <c r="O19" s="1261"/>
      <c r="P19" s="1261"/>
      <c r="Q19" s="1262"/>
      <c r="R19" s="530"/>
    </row>
    <row r="20" spans="1:18" s="276" customFormat="1">
      <c r="A20" s="542">
        <f>+'Appendix A - TSRR Summary'!A110</f>
        <v>60</v>
      </c>
      <c r="B20" s="538"/>
      <c r="C20" s="166" t="str">
        <f>+'Appendix A - TSRR Summary'!C110</f>
        <v xml:space="preserve">     Plus Transmission Lease Payments</v>
      </c>
      <c r="D20" s="544"/>
      <c r="E20" s="547" t="str">
        <f>+'Appendix A - TSRR Summary'!E110</f>
        <v>(Note A)</v>
      </c>
      <c r="F20" s="626" t="str">
        <f>+'Appendix A - TSRR Summary'!F110</f>
        <v>p200.4.c</v>
      </c>
      <c r="G20" s="541">
        <v>0</v>
      </c>
      <c r="H20" s="1006">
        <v>1</v>
      </c>
      <c r="I20" s="550"/>
      <c r="J20" s="1266"/>
      <c r="K20" s="1264"/>
      <c r="L20" s="1264"/>
      <c r="M20" s="1264"/>
      <c r="N20" s="1264"/>
      <c r="O20" s="1264"/>
      <c r="P20" s="1264"/>
      <c r="Q20" s="1265"/>
      <c r="R20" s="530"/>
    </row>
    <row r="21" spans="1:18" s="276" customFormat="1">
      <c r="A21" s="542"/>
      <c r="B21" s="481"/>
      <c r="C21" s="527"/>
      <c r="D21" s="552"/>
      <c r="E21" s="540"/>
      <c r="F21" s="626"/>
      <c r="G21" s="541"/>
      <c r="H21" s="810"/>
      <c r="I21" s="477"/>
      <c r="J21" s="1263"/>
      <c r="K21" s="1264"/>
      <c r="L21" s="1264"/>
      <c r="M21" s="1264"/>
      <c r="N21" s="1264"/>
      <c r="O21" s="1264"/>
      <c r="P21" s="1264"/>
      <c r="Q21" s="1265"/>
      <c r="R21" s="530"/>
    </row>
    <row r="22" spans="1:18">
      <c r="A22" s="555"/>
      <c r="B22" s="556" t="s">
        <v>348</v>
      </c>
      <c r="C22" s="519"/>
      <c r="D22" s="525"/>
      <c r="E22" s="557"/>
      <c r="F22" s="544"/>
      <c r="G22" s="541"/>
      <c r="H22" s="502"/>
      <c r="I22" s="550"/>
      <c r="J22" s="1275"/>
      <c r="K22" s="1275"/>
      <c r="L22" s="1275"/>
      <c r="M22" s="1275"/>
      <c r="N22" s="1275"/>
      <c r="O22" s="1275"/>
      <c r="P22" s="1275"/>
      <c r="Q22" s="1288"/>
      <c r="R22" s="529"/>
    </row>
    <row r="23" spans="1:18" s="238" customFormat="1" ht="15.75" customHeight="1">
      <c r="A23" s="539">
        <f>+'Appendix A - TSRR Summary'!A151</f>
        <v>88</v>
      </c>
      <c r="B23" s="559"/>
      <c r="C23" s="1169" t="str">
        <f>+'Appendix A - TSRR Summary'!C151</f>
        <v>Amount of General Depreciation Expense Associated with Acct. 397</v>
      </c>
      <c r="D23" s="553"/>
      <c r="E23" s="540"/>
      <c r="F23" s="1008" t="s">
        <v>667</v>
      </c>
      <c r="G23" s="1177">
        <f>G14*0.05*(20-8)</f>
        <v>682188.60000000009</v>
      </c>
      <c r="H23" s="1055">
        <v>0</v>
      </c>
      <c r="I23" s="461"/>
      <c r="J23" s="1272" t="s">
        <v>666</v>
      </c>
      <c r="K23" s="1273"/>
      <c r="L23" s="1273"/>
      <c r="M23" s="1273"/>
      <c r="N23" s="1273"/>
      <c r="O23" s="1273"/>
      <c r="P23" s="1273"/>
      <c r="Q23" s="1274"/>
      <c r="R23" s="530"/>
    </row>
    <row r="24" spans="1:18" s="276" customFormat="1">
      <c r="A24" s="560"/>
      <c r="B24" s="561"/>
      <c r="C24" s="562"/>
      <c r="D24" s="552"/>
      <c r="E24" s="563"/>
      <c r="F24" s="628"/>
      <c r="G24" s="541"/>
      <c r="H24" s="461"/>
      <c r="I24" s="477"/>
      <c r="J24" s="1260"/>
      <c r="K24" s="1261"/>
      <c r="L24" s="1261"/>
      <c r="M24" s="1261"/>
      <c r="N24" s="1261"/>
      <c r="O24" s="1261"/>
      <c r="P24" s="1261"/>
      <c r="Q24" s="1262"/>
      <c r="R24" s="530"/>
    </row>
    <row r="25" spans="1:18" s="276" customFormat="1">
      <c r="A25" s="560"/>
      <c r="B25" s="561"/>
      <c r="C25" s="562"/>
      <c r="D25" s="552"/>
      <c r="E25" s="563"/>
      <c r="F25" s="628"/>
      <c r="G25" s="541"/>
      <c r="H25" s="461"/>
      <c r="I25" s="477"/>
      <c r="J25" s="1260"/>
      <c r="K25" s="1261"/>
      <c r="L25" s="1261"/>
      <c r="M25" s="1261"/>
      <c r="N25" s="1261"/>
      <c r="O25" s="1261"/>
      <c r="P25" s="1261"/>
      <c r="Q25" s="1262"/>
      <c r="R25" s="530"/>
    </row>
    <row r="26" spans="1:18" s="276" customFormat="1">
      <c r="A26" s="560"/>
      <c r="B26" s="561"/>
      <c r="C26" s="562"/>
      <c r="D26" s="552"/>
      <c r="E26" s="563"/>
      <c r="F26" s="628"/>
      <c r="G26" s="545"/>
      <c r="H26" s="461"/>
      <c r="I26" s="477"/>
      <c r="J26" s="1260"/>
      <c r="K26" s="1261"/>
      <c r="L26" s="1261"/>
      <c r="M26" s="1261"/>
      <c r="N26" s="1261"/>
      <c r="O26" s="1261"/>
      <c r="P26" s="1261"/>
      <c r="Q26" s="1262"/>
      <c r="R26" s="530"/>
    </row>
    <row r="27" spans="1:18" s="276" customFormat="1" ht="13.5" thickBot="1">
      <c r="A27" s="564"/>
      <c r="B27" s="565"/>
      <c r="C27" s="513"/>
      <c r="D27" s="566"/>
      <c r="E27" s="567"/>
      <c r="F27" s="629"/>
      <c r="G27" s="568"/>
      <c r="H27" s="569"/>
      <c r="I27" s="570"/>
      <c r="J27" s="1282"/>
      <c r="K27" s="1282"/>
      <c r="L27" s="1282"/>
      <c r="M27" s="1282"/>
      <c r="N27" s="1282"/>
      <c r="O27" s="1282"/>
      <c r="P27" s="1282"/>
      <c r="Q27" s="1283"/>
      <c r="R27" s="530"/>
    </row>
    <row r="28" spans="1:18">
      <c r="A28" s="529"/>
      <c r="B28" s="529"/>
      <c r="C28" s="529"/>
      <c r="D28" s="529"/>
      <c r="E28" s="529"/>
      <c r="F28" s="529"/>
      <c r="G28" s="529"/>
      <c r="H28" s="529"/>
      <c r="I28" s="529"/>
      <c r="J28" s="614"/>
      <c r="K28" s="614"/>
      <c r="L28" s="614"/>
      <c r="M28" s="614"/>
      <c r="N28" s="614"/>
      <c r="O28" s="614"/>
      <c r="P28" s="614"/>
      <c r="Q28" s="614"/>
      <c r="R28" s="529"/>
    </row>
    <row r="29" spans="1:18">
      <c r="A29" s="1063"/>
      <c r="B29" s="1063"/>
      <c r="C29" s="1063"/>
      <c r="D29" s="1063"/>
      <c r="E29" s="1063"/>
      <c r="F29" s="1063"/>
      <c r="G29" s="1063"/>
      <c r="H29" s="1063"/>
      <c r="I29" s="1063"/>
      <c r="J29" s="1064"/>
      <c r="K29" s="1064"/>
      <c r="L29" s="1064"/>
      <c r="M29" s="1064"/>
      <c r="N29" s="1064"/>
      <c r="O29" s="1064"/>
      <c r="P29" s="1064"/>
      <c r="Q29" s="614"/>
      <c r="R29" s="529"/>
    </row>
    <row r="30" spans="1:18" s="276" customFormat="1" ht="24.75" customHeight="1" thickBot="1">
      <c r="A30" s="1065" t="s">
        <v>258</v>
      </c>
      <c r="B30" s="1066"/>
      <c r="C30" s="1066"/>
      <c r="D30" s="1066"/>
      <c r="E30" s="1066"/>
      <c r="F30" s="1066"/>
      <c r="G30" s="1066"/>
      <c r="H30" s="1066"/>
      <c r="I30" s="1066"/>
      <c r="J30" s="1067"/>
      <c r="K30" s="1067"/>
      <c r="L30" s="1067"/>
      <c r="M30" s="1067"/>
      <c r="N30" s="1067"/>
      <c r="O30" s="1067"/>
      <c r="P30" s="1067"/>
      <c r="Q30" s="768"/>
      <c r="R30" s="530"/>
    </row>
    <row r="31" spans="1:18" ht="40.5" customHeight="1">
      <c r="A31" s="1285" t="s">
        <v>543</v>
      </c>
      <c r="B31" s="1286"/>
      <c r="C31" s="1286"/>
      <c r="D31" s="1286"/>
      <c r="E31" s="1286"/>
      <c r="F31" s="1286"/>
      <c r="G31" s="1061" t="s">
        <v>132</v>
      </c>
      <c r="H31" s="1062" t="s">
        <v>133</v>
      </c>
      <c r="I31" s="1062" t="s">
        <v>241</v>
      </c>
      <c r="J31" s="1269" t="s">
        <v>59</v>
      </c>
      <c r="K31" s="1270"/>
      <c r="L31" s="1270"/>
      <c r="M31" s="1270"/>
      <c r="N31" s="1270"/>
      <c r="O31" s="1270"/>
      <c r="P31" s="1270"/>
      <c r="Q31" s="1271"/>
      <c r="R31" s="529"/>
    </row>
    <row r="32" spans="1:18" s="276" customFormat="1" ht="24.75" customHeight="1">
      <c r="A32" s="539">
        <f>+'Appendix A - TSRR Summary'!A51</f>
        <v>28</v>
      </c>
      <c r="B32" s="547"/>
      <c r="C32" s="546" t="str">
        <f>+'Appendix A - TSRR Summary'!C51</f>
        <v>Plant Held for Future Use (Including Land)</v>
      </c>
      <c r="D32" s="553"/>
      <c r="E32" s="547" t="str">
        <f>+'Appendix A - TSRR Summary'!E51</f>
        <v>(Note C)</v>
      </c>
      <c r="F32" s="1189" t="s">
        <v>580</v>
      </c>
      <c r="G32" s="1056">
        <v>0</v>
      </c>
      <c r="H32" s="1055">
        <v>0</v>
      </c>
      <c r="I32" s="974">
        <f>G32-H32</f>
        <v>0</v>
      </c>
      <c r="J32" s="1267"/>
      <c r="K32" s="1267"/>
      <c r="L32" s="1267"/>
      <c r="M32" s="1267"/>
      <c r="N32" s="1267"/>
      <c r="O32" s="1267"/>
      <c r="P32" s="1267"/>
      <c r="Q32" s="1268"/>
      <c r="R32" s="530"/>
    </row>
    <row r="33" spans="1:18" s="276" customFormat="1">
      <c r="A33" s="542"/>
      <c r="B33" s="561"/>
      <c r="C33" s="527"/>
      <c r="D33" s="552"/>
      <c r="E33" s="540"/>
      <c r="F33" s="527"/>
      <c r="G33" s="506"/>
      <c r="H33" s="1009">
        <v>0</v>
      </c>
      <c r="I33" s="247"/>
      <c r="J33" s="1278"/>
      <c r="K33" s="1267"/>
      <c r="L33" s="1267"/>
      <c r="M33" s="1267"/>
      <c r="N33" s="1267"/>
      <c r="O33" s="1267"/>
      <c r="P33" s="1267"/>
      <c r="Q33" s="1268"/>
      <c r="R33" s="530"/>
    </row>
    <row r="34" spans="1:18" ht="12.75" customHeight="1">
      <c r="A34" s="542"/>
      <c r="B34" s="561"/>
      <c r="C34" s="527"/>
      <c r="D34" s="552"/>
      <c r="E34" s="540"/>
      <c r="F34" s="527"/>
      <c r="G34" s="558"/>
      <c r="H34" s="493">
        <f>H32+H33</f>
        <v>0</v>
      </c>
      <c r="I34" s="502"/>
      <c r="J34" s="1260" t="s">
        <v>459</v>
      </c>
      <c r="K34" s="1261"/>
      <c r="L34" s="1261"/>
      <c r="M34" s="1261"/>
      <c r="N34" s="1261"/>
      <c r="O34" s="1261"/>
      <c r="P34" s="1261"/>
      <c r="Q34" s="1262"/>
      <c r="R34" s="529"/>
    </row>
    <row r="35" spans="1:18">
      <c r="A35" s="539"/>
      <c r="B35" s="559"/>
      <c r="C35" s="166"/>
      <c r="D35" s="553"/>
      <c r="E35" s="540"/>
      <c r="F35" s="527"/>
      <c r="G35" s="558"/>
      <c r="H35" s="493"/>
      <c r="I35" s="502"/>
      <c r="J35" s="1260"/>
      <c r="K35" s="1261"/>
      <c r="L35" s="1261"/>
      <c r="M35" s="1261"/>
      <c r="N35" s="1261"/>
      <c r="O35" s="1261"/>
      <c r="P35" s="1261"/>
      <c r="Q35" s="1262"/>
      <c r="R35" s="529"/>
    </row>
    <row r="36" spans="1:18" ht="25.5" customHeight="1">
      <c r="A36" s="539"/>
      <c r="B36" s="559"/>
      <c r="C36" s="166"/>
      <c r="D36" s="553"/>
      <c r="E36" s="540"/>
      <c r="F36" s="527"/>
      <c r="G36" s="558"/>
      <c r="H36" s="493"/>
      <c r="I36" s="502"/>
      <c r="J36" s="1284" t="s">
        <v>629</v>
      </c>
      <c r="K36" s="1261"/>
      <c r="L36" s="1261"/>
      <c r="M36" s="1261"/>
      <c r="N36" s="1261"/>
      <c r="O36" s="1261"/>
      <c r="P36" s="1261"/>
      <c r="Q36" s="1262"/>
      <c r="R36" s="529"/>
    </row>
    <row r="37" spans="1:18">
      <c r="A37" s="539"/>
      <c r="B37" s="559"/>
      <c r="C37" s="166"/>
      <c r="D37" s="553"/>
      <c r="E37" s="540"/>
      <c r="F37" s="527"/>
      <c r="G37" s="558"/>
      <c r="H37" s="493"/>
      <c r="I37" s="502"/>
      <c r="J37" s="1260"/>
      <c r="K37" s="1261"/>
      <c r="L37" s="1261"/>
      <c r="M37" s="1261"/>
      <c r="N37" s="1261"/>
      <c r="O37" s="1261"/>
      <c r="P37" s="1261"/>
      <c r="Q37" s="1262"/>
      <c r="R37" s="529"/>
    </row>
    <row r="38" spans="1:18" ht="13.5" thickBot="1">
      <c r="A38" s="509"/>
      <c r="B38" s="510"/>
      <c r="C38" s="510"/>
      <c r="D38" s="511"/>
      <c r="E38" s="510"/>
      <c r="F38" s="510"/>
      <c r="G38" s="509"/>
      <c r="H38" s="511"/>
      <c r="I38" s="510"/>
      <c r="J38" s="1279"/>
      <c r="K38" s="1280"/>
      <c r="L38" s="1280"/>
      <c r="M38" s="1280"/>
      <c r="N38" s="1280"/>
      <c r="O38" s="1280"/>
      <c r="P38" s="1280"/>
      <c r="Q38" s="1281"/>
      <c r="R38" s="529"/>
    </row>
    <row r="39" spans="1:18">
      <c r="A39" s="529"/>
      <c r="B39" s="529"/>
      <c r="C39" s="529"/>
      <c r="D39" s="529"/>
      <c r="E39" s="529"/>
      <c r="F39" s="529"/>
      <c r="G39" s="529"/>
      <c r="H39" s="529"/>
      <c r="I39" s="529"/>
      <c r="J39" s="614"/>
      <c r="K39" s="614"/>
      <c r="L39" s="614"/>
      <c r="M39" s="614"/>
      <c r="N39" s="614"/>
      <c r="O39" s="614"/>
      <c r="P39" s="614"/>
      <c r="Q39" s="614"/>
      <c r="R39" s="529"/>
    </row>
    <row r="40" spans="1:18">
      <c r="A40" s="529"/>
      <c r="B40" s="529"/>
      <c r="C40" s="529"/>
      <c r="D40" s="529"/>
      <c r="E40" s="529"/>
      <c r="F40" s="529"/>
      <c r="G40" s="529"/>
      <c r="H40" s="529"/>
      <c r="I40" s="529"/>
      <c r="J40" s="614"/>
      <c r="K40" s="614"/>
      <c r="L40" s="614"/>
      <c r="M40" s="614"/>
      <c r="N40" s="614"/>
      <c r="O40" s="614"/>
      <c r="P40" s="614"/>
      <c r="Q40" s="614"/>
      <c r="R40" s="529"/>
    </row>
    <row r="41" spans="1:18" s="1069" customFormat="1" ht="18.75" thickBot="1">
      <c r="A41" s="1206" t="s">
        <v>267</v>
      </c>
      <c r="B41" s="1207"/>
      <c r="C41" s="1207"/>
      <c r="D41" s="1066"/>
      <c r="E41" s="1066"/>
      <c r="F41" s="1066"/>
      <c r="G41" s="1066"/>
      <c r="H41" s="1066"/>
      <c r="I41" s="1066"/>
      <c r="J41" s="1067"/>
      <c r="K41" s="1067"/>
      <c r="L41" s="1067"/>
      <c r="M41" s="1067"/>
      <c r="N41" s="1067"/>
      <c r="O41" s="1067"/>
      <c r="P41" s="1067"/>
      <c r="Q41" s="1067"/>
      <c r="R41" s="1068"/>
    </row>
    <row r="42" spans="1:18" ht="45.75" customHeight="1">
      <c r="A42" s="1285" t="s">
        <v>543</v>
      </c>
      <c r="B42" s="1286"/>
      <c r="C42" s="1286"/>
      <c r="D42" s="1286"/>
      <c r="E42" s="1286"/>
      <c r="F42" s="1286"/>
      <c r="G42" s="1061" t="str">
        <f>+G31</f>
        <v>Form 1 Amount</v>
      </c>
      <c r="H42" s="1062" t="s">
        <v>242</v>
      </c>
      <c r="I42" s="1062" t="s">
        <v>134</v>
      </c>
      <c r="J42" s="1269" t="s">
        <v>59</v>
      </c>
      <c r="K42" s="1270"/>
      <c r="L42" s="1270"/>
      <c r="M42" s="1270"/>
      <c r="N42" s="1270"/>
      <c r="O42" s="1270"/>
      <c r="P42" s="1270"/>
      <c r="Q42" s="1271"/>
      <c r="R42" s="529"/>
    </row>
    <row r="43" spans="1:18" ht="27.75" customHeight="1">
      <c r="A43" s="524"/>
      <c r="B43" s="538" t="s">
        <v>445</v>
      </c>
      <c r="C43" s="519"/>
      <c r="D43" s="502"/>
      <c r="E43" s="447"/>
      <c r="F43" s="502"/>
      <c r="G43" s="503"/>
      <c r="H43" s="502"/>
      <c r="I43" s="502"/>
      <c r="J43" s="1275"/>
      <c r="K43" s="1276"/>
      <c r="L43" s="1276"/>
      <c r="M43" s="1276"/>
      <c r="N43" s="1276"/>
      <c r="O43" s="1276"/>
      <c r="P43" s="1276"/>
      <c r="Q43" s="1277"/>
      <c r="R43" s="529"/>
    </row>
    <row r="44" spans="1:18" s="276" customFormat="1">
      <c r="A44" s="539">
        <f>+'Appendix A - TSRR Summary'!A19</f>
        <v>6</v>
      </c>
      <c r="B44" s="502"/>
      <c r="C44" s="166" t="str">
        <f>+'Appendix A - TSRR Summary'!C19</f>
        <v>Electric Plant in Service</v>
      </c>
      <c r="D44" s="525"/>
      <c r="E44" s="547" t="str">
        <f>+'Appendix A - TSRR Summary'!E19</f>
        <v>(Note B)</v>
      </c>
      <c r="F44" s="527" t="str">
        <f>+'Appendix A - TSRR Summary'!F19</f>
        <v>p207.104.g</v>
      </c>
      <c r="G44" s="1170" t="s">
        <v>353</v>
      </c>
      <c r="H44" s="1086">
        <v>0</v>
      </c>
      <c r="I44" s="477"/>
      <c r="J44" s="1264" t="s">
        <v>579</v>
      </c>
      <c r="K44" s="1264"/>
      <c r="L44" s="1264"/>
      <c r="M44" s="1264"/>
      <c r="N44" s="1264"/>
      <c r="O44" s="1264"/>
      <c r="P44" s="1264"/>
      <c r="Q44" s="1265"/>
      <c r="R44" s="530"/>
    </row>
    <row r="45" spans="1:18" s="276" customFormat="1">
      <c r="A45" s="555"/>
      <c r="B45" s="538" t="s">
        <v>394</v>
      </c>
      <c r="C45" s="519"/>
      <c r="D45" s="525"/>
      <c r="E45" s="554"/>
      <c r="F45" s="610"/>
      <c r="G45" s="632"/>
      <c r="H45" s="247"/>
      <c r="I45" s="550"/>
      <c r="J45" s="1264"/>
      <c r="K45" s="1264"/>
      <c r="L45" s="1264"/>
      <c r="M45" s="1264"/>
      <c r="N45" s="1264"/>
      <c r="O45" s="1264"/>
      <c r="P45" s="1264"/>
      <c r="Q45" s="1265"/>
      <c r="R45" s="530"/>
    </row>
    <row r="46" spans="1:18" s="276" customFormat="1">
      <c r="A46" s="542">
        <f>+'Appendix A - TSRR Summary'!A36</f>
        <v>15</v>
      </c>
      <c r="B46" s="543"/>
      <c r="C46" s="527" t="str">
        <f>+'Appendix A - TSRR Summary'!C36</f>
        <v>Transmission Plant In Service</v>
      </c>
      <c r="D46" s="544"/>
      <c r="E46" s="547" t="str">
        <f>+'Appendix A - TSRR Summary'!E36</f>
        <v>(Note B)</v>
      </c>
      <c r="F46" s="527" t="str">
        <f>+'Appendix A - TSRR Summary'!F36</f>
        <v>p207.58.g</v>
      </c>
      <c r="G46" s="631"/>
      <c r="H46" s="1086">
        <v>0</v>
      </c>
      <c r="I46" s="484"/>
      <c r="J46" s="1264" t="s">
        <v>579</v>
      </c>
      <c r="K46" s="1264"/>
      <c r="L46" s="1264"/>
      <c r="M46" s="1264"/>
      <c r="N46" s="1264"/>
      <c r="O46" s="1264"/>
      <c r="P46" s="1264"/>
      <c r="Q46" s="1265"/>
      <c r="R46" s="530"/>
    </row>
    <row r="47" spans="1:18" s="276" customFormat="1">
      <c r="A47" s="555"/>
      <c r="B47" s="550"/>
      <c r="C47" s="571"/>
      <c r="D47" s="550"/>
      <c r="E47" s="557"/>
      <c r="F47" s="571"/>
      <c r="G47" s="631"/>
      <c r="H47" s="999"/>
      <c r="I47" s="484"/>
      <c r="J47" s="1264"/>
      <c r="K47" s="1264"/>
      <c r="L47" s="1264"/>
      <c r="M47" s="1264"/>
      <c r="N47" s="1264"/>
      <c r="O47" s="1264"/>
      <c r="P47" s="1264"/>
      <c r="Q47" s="1265"/>
      <c r="R47" s="530"/>
    </row>
    <row r="48" spans="1:18" s="276" customFormat="1">
      <c r="A48" s="542"/>
      <c r="B48" s="538" t="s">
        <v>385</v>
      </c>
      <c r="C48" s="546"/>
      <c r="D48" s="572"/>
      <c r="E48" s="573"/>
      <c r="F48" s="630"/>
      <c r="G48" s="558"/>
      <c r="H48" s="247"/>
      <c r="I48" s="550"/>
      <c r="J48" s="1264"/>
      <c r="K48" s="1264"/>
      <c r="L48" s="1264"/>
      <c r="M48" s="1264"/>
      <c r="N48" s="1264"/>
      <c r="O48" s="1264"/>
      <c r="P48" s="1264"/>
      <c r="Q48" s="618"/>
      <c r="R48" s="530"/>
    </row>
    <row r="49" spans="1:18" s="276" customFormat="1" ht="13.5" thickBot="1">
      <c r="A49" s="564">
        <f>+'Appendix A - TSRR Summary'!A57</f>
        <v>30</v>
      </c>
      <c r="B49" s="574"/>
      <c r="C49" s="513" t="str">
        <f>+'Appendix A - TSRR Summary'!C57</f>
        <v>Transmission Accumulated Depreciation</v>
      </c>
      <c r="D49" s="575"/>
      <c r="E49" s="578" t="str">
        <f>+'Appendix A - TSRR Summary'!E57</f>
        <v>(Note J)</v>
      </c>
      <c r="F49" s="513" t="str">
        <f>+'Appendix A - TSRR Summary'!F57</f>
        <v>p219.25.c</v>
      </c>
      <c r="G49" s="633"/>
      <c r="H49" s="1087">
        <v>0</v>
      </c>
      <c r="I49" s="576"/>
      <c r="J49" s="1282" t="s">
        <v>579</v>
      </c>
      <c r="K49" s="1282"/>
      <c r="L49" s="1282"/>
      <c r="M49" s="1282"/>
      <c r="N49" s="1282"/>
      <c r="O49" s="1282"/>
      <c r="P49" s="1282"/>
      <c r="Q49" s="1283"/>
      <c r="R49" s="530"/>
    </row>
    <row r="50" spans="1:18">
      <c r="A50" s="529"/>
      <c r="B50" s="529"/>
      <c r="C50" s="529"/>
      <c r="D50" s="529"/>
      <c r="E50" s="529"/>
      <c r="F50" s="529"/>
      <c r="G50" s="529"/>
      <c r="H50" s="529"/>
      <c r="I50" s="529"/>
      <c r="J50" s="614"/>
      <c r="K50" s="614"/>
      <c r="L50" s="614"/>
      <c r="M50" s="614"/>
      <c r="N50" s="614"/>
      <c r="O50" s="614"/>
      <c r="P50" s="614"/>
      <c r="Q50" s="614"/>
      <c r="R50" s="529"/>
    </row>
    <row r="51" spans="1:18">
      <c r="A51" s="529"/>
      <c r="B51" s="529"/>
      <c r="C51" s="529"/>
      <c r="D51" s="529"/>
      <c r="E51" s="529"/>
      <c r="F51" s="529"/>
      <c r="G51" s="529"/>
      <c r="H51" s="529"/>
      <c r="I51" s="529"/>
      <c r="J51" s="614"/>
      <c r="K51" s="614"/>
      <c r="L51" s="614"/>
      <c r="M51" s="614"/>
      <c r="N51" s="614"/>
      <c r="O51" s="614"/>
      <c r="P51" s="614"/>
      <c r="Q51" s="614"/>
      <c r="R51" s="529"/>
    </row>
    <row r="52" spans="1:18" s="276" customFormat="1" ht="18.75" thickBot="1">
      <c r="A52" s="1060" t="s">
        <v>259</v>
      </c>
      <c r="B52" s="762"/>
      <c r="C52" s="762"/>
      <c r="D52" s="762"/>
      <c r="E52" s="762"/>
      <c r="F52" s="762"/>
      <c r="G52" s="762"/>
      <c r="H52" s="762"/>
      <c r="I52" s="762"/>
      <c r="J52" s="768"/>
      <c r="K52" s="768"/>
      <c r="L52" s="768"/>
      <c r="M52" s="768"/>
      <c r="N52" s="768"/>
      <c r="O52" s="768"/>
      <c r="P52" s="768"/>
      <c r="Q52" s="768"/>
      <c r="R52" s="530"/>
    </row>
    <row r="53" spans="1:18" ht="36.75" customHeight="1">
      <c r="A53" s="1285" t="s">
        <v>331</v>
      </c>
      <c r="B53" s="1286"/>
      <c r="C53" s="1286"/>
      <c r="D53" s="1286"/>
      <c r="E53" s="1286"/>
      <c r="F53" s="1286"/>
      <c r="G53" s="1061" t="str">
        <f>+G42</f>
        <v>Form 1 Amount</v>
      </c>
      <c r="H53" s="1062" t="s">
        <v>124</v>
      </c>
      <c r="I53" s="1062"/>
      <c r="J53" s="1269" t="s">
        <v>59</v>
      </c>
      <c r="K53" s="1270"/>
      <c r="L53" s="1270"/>
      <c r="M53" s="1270"/>
      <c r="N53" s="1270"/>
      <c r="O53" s="1270"/>
      <c r="P53" s="1270"/>
      <c r="Q53" s="1271"/>
      <c r="R53" s="529"/>
    </row>
    <row r="54" spans="1:18" ht="13.5" thickBot="1">
      <c r="A54" s="539"/>
      <c r="B54" s="538" t="s">
        <v>367</v>
      </c>
      <c r="C54" s="553"/>
      <c r="D54" s="553"/>
      <c r="E54" s="505"/>
      <c r="F54" s="553"/>
      <c r="G54" s="503"/>
      <c r="H54" s="502"/>
      <c r="I54" s="502"/>
      <c r="J54" s="1275"/>
      <c r="K54" s="1276"/>
      <c r="L54" s="1276"/>
      <c r="M54" s="1276"/>
      <c r="N54" s="1276"/>
      <c r="O54" s="1276"/>
      <c r="P54" s="1276"/>
      <c r="Q54" s="1277"/>
      <c r="R54" s="529"/>
    </row>
    <row r="55" spans="1:18" s="276" customFormat="1" ht="13.5" customHeight="1" thickBot="1">
      <c r="A55" s="577">
        <f>+'Appendix A - TSRR Summary'!A122</f>
        <v>70</v>
      </c>
      <c r="B55" s="578"/>
      <c r="C55" s="579" t="str">
        <f>+'Appendix A - TSRR Summary'!C122</f>
        <v xml:space="preserve">    Less EPRI Dues</v>
      </c>
      <c r="D55" s="510"/>
      <c r="E55" s="578" t="str">
        <f>+'Appendix A - TSRR Summary'!E122</f>
        <v>(Note D)</v>
      </c>
      <c r="F55" s="1190" t="str">
        <f>+'Appendix A - TSRR Summary'!F122</f>
        <v>p352 &amp; 353</v>
      </c>
      <c r="G55" s="1085">
        <v>0</v>
      </c>
      <c r="H55" s="1119">
        <f>G55</f>
        <v>0</v>
      </c>
      <c r="I55" s="576"/>
      <c r="J55" s="1362" t="s">
        <v>615</v>
      </c>
      <c r="K55" s="1363"/>
      <c r="L55" s="1363"/>
      <c r="M55" s="1363"/>
      <c r="N55" s="1363"/>
      <c r="O55" s="1363"/>
      <c r="P55" s="1363"/>
      <c r="Q55" s="1364"/>
      <c r="R55" s="530"/>
    </row>
    <row r="56" spans="1:18">
      <c r="A56" s="529"/>
      <c r="B56" s="529"/>
      <c r="C56" s="529"/>
      <c r="D56" s="529"/>
      <c r="E56" s="529"/>
      <c r="F56" s="529"/>
      <c r="G56" s="529"/>
      <c r="H56" s="529"/>
      <c r="I56" s="529"/>
      <c r="J56" s="614"/>
      <c r="K56" s="614"/>
      <c r="L56" s="614"/>
      <c r="M56" s="614"/>
      <c r="N56" s="614"/>
      <c r="O56" s="614"/>
      <c r="P56" s="614"/>
      <c r="Q56" s="614"/>
      <c r="R56" s="529"/>
    </row>
    <row r="57" spans="1:18">
      <c r="A57" s="762"/>
      <c r="B57" s="762"/>
      <c r="C57" s="762"/>
      <c r="D57" s="762"/>
      <c r="E57" s="762"/>
      <c r="F57" s="762"/>
      <c r="G57" s="762"/>
      <c r="H57" s="762"/>
      <c r="I57" s="762"/>
      <c r="J57" s="768"/>
      <c r="K57" s="768"/>
      <c r="L57" s="768"/>
      <c r="M57" s="768"/>
      <c r="N57" s="768"/>
      <c r="O57" s="768"/>
      <c r="P57" s="768"/>
      <c r="Q57" s="768"/>
      <c r="R57" s="529"/>
    </row>
    <row r="58" spans="1:18" s="276" customFormat="1" ht="18.75" thickBot="1">
      <c r="A58" s="1060" t="s">
        <v>307</v>
      </c>
      <c r="B58" s="762"/>
      <c r="C58" s="762"/>
      <c r="D58" s="762"/>
      <c r="E58" s="762"/>
      <c r="F58" s="762"/>
      <c r="G58" s="762"/>
      <c r="H58" s="762"/>
      <c r="I58" s="762"/>
      <c r="J58" s="768"/>
      <c r="K58" s="768"/>
      <c r="L58" s="768"/>
      <c r="M58" s="768"/>
      <c r="N58" s="768"/>
      <c r="O58" s="768"/>
      <c r="P58" s="768"/>
      <c r="Q58" s="768"/>
      <c r="R58" s="530"/>
    </row>
    <row r="59" spans="1:18" ht="39.75" customHeight="1">
      <c r="A59" s="1285" t="s">
        <v>331</v>
      </c>
      <c r="B59" s="1286"/>
      <c r="C59" s="1286"/>
      <c r="D59" s="1286"/>
      <c r="E59" s="1286"/>
      <c r="F59" s="1286"/>
      <c r="G59" s="1061" t="s">
        <v>447</v>
      </c>
      <c r="H59" s="1062" t="s">
        <v>304</v>
      </c>
      <c r="I59" s="1062" t="s">
        <v>305</v>
      </c>
      <c r="J59" s="1269" t="s">
        <v>59</v>
      </c>
      <c r="K59" s="1270"/>
      <c r="L59" s="1270"/>
      <c r="M59" s="1270"/>
      <c r="N59" s="1270"/>
      <c r="O59" s="1270"/>
      <c r="P59" s="1270"/>
      <c r="Q59" s="1271"/>
      <c r="R59" s="529"/>
    </row>
    <row r="60" spans="1:18">
      <c r="A60" s="539"/>
      <c r="B60" s="538" t="s">
        <v>367</v>
      </c>
      <c r="C60" s="553"/>
      <c r="D60" s="553"/>
      <c r="E60" s="505"/>
      <c r="F60" s="553"/>
      <c r="G60" s="503"/>
      <c r="H60" s="447"/>
      <c r="I60" s="502"/>
      <c r="J60" s="1260"/>
      <c r="K60" s="1261"/>
      <c r="L60" s="1261"/>
      <c r="M60" s="1261"/>
      <c r="N60" s="1261"/>
      <c r="O60" s="1261"/>
      <c r="P60" s="1261"/>
      <c r="Q60" s="1262"/>
      <c r="R60" s="529"/>
    </row>
    <row r="61" spans="1:18">
      <c r="A61" s="539"/>
      <c r="B61" s="538"/>
      <c r="C61" s="553"/>
      <c r="D61" s="553"/>
      <c r="E61" s="505"/>
      <c r="F61" s="553"/>
      <c r="G61" s="1212"/>
      <c r="H61" s="447"/>
      <c r="I61" s="502"/>
      <c r="J61" s="1260"/>
      <c r="K61" s="1261"/>
      <c r="L61" s="1261"/>
      <c r="M61" s="1261"/>
      <c r="N61" s="1261"/>
      <c r="O61" s="1261"/>
      <c r="P61" s="1261"/>
      <c r="Q61" s="1262"/>
      <c r="R61" s="529"/>
    </row>
    <row r="62" spans="1:18" ht="12.75" customHeight="1">
      <c r="A62" s="539">
        <f>'Appendix A - TSRR Summary'!A114</f>
        <v>62</v>
      </c>
      <c r="B62" s="538"/>
      <c r="C62" s="166" t="str">
        <f>'Appendix A - TSRR Summary'!C114</f>
        <v>Total A&amp;G</v>
      </c>
      <c r="D62" s="553"/>
      <c r="E62" s="505"/>
      <c r="F62" s="1191" t="s">
        <v>52</v>
      </c>
      <c r="G62" s="1057">
        <v>1839088</v>
      </c>
      <c r="H62" s="1010">
        <v>0</v>
      </c>
      <c r="I62" s="504">
        <f>H62+G62</f>
        <v>1839088</v>
      </c>
      <c r="J62" s="1294"/>
      <c r="K62" s="1294"/>
      <c r="L62" s="1294"/>
      <c r="M62" s="1294"/>
      <c r="N62" s="1294"/>
      <c r="O62" s="1294"/>
      <c r="P62" s="1294"/>
      <c r="Q62" s="1295"/>
      <c r="R62" s="529"/>
    </row>
    <row r="63" spans="1:18">
      <c r="A63" s="539"/>
      <c r="B63" s="538"/>
      <c r="C63" s="166"/>
      <c r="D63" s="553"/>
      <c r="E63" s="505"/>
      <c r="F63" s="998"/>
      <c r="G63" s="853"/>
      <c r="H63" s="504"/>
      <c r="I63" s="504"/>
      <c r="J63" s="1294"/>
      <c r="K63" s="1294"/>
      <c r="L63" s="1294"/>
      <c r="M63" s="1294"/>
      <c r="N63" s="1294"/>
      <c r="O63" s="1294"/>
      <c r="P63" s="1294"/>
      <c r="Q63" s="1295"/>
      <c r="R63" s="529"/>
    </row>
    <row r="64" spans="1:18">
      <c r="A64" s="580">
        <f>+'Appendix A - TSRR Summary'!A115</f>
        <v>63</v>
      </c>
      <c r="B64" s="538"/>
      <c r="C64" s="166" t="s">
        <v>531</v>
      </c>
      <c r="D64" s="553"/>
      <c r="E64" s="505"/>
      <c r="F64" s="997" t="s">
        <v>418</v>
      </c>
      <c r="G64" s="1057">
        <v>0</v>
      </c>
      <c r="H64" s="502"/>
      <c r="I64" s="504"/>
      <c r="J64" s="1260"/>
      <c r="K64" s="1261"/>
      <c r="L64" s="1261"/>
      <c r="M64" s="1261"/>
      <c r="N64" s="1261"/>
      <c r="O64" s="1261"/>
      <c r="P64" s="1261"/>
      <c r="Q64" s="1262"/>
      <c r="R64" s="529"/>
    </row>
    <row r="65" spans="1:18" ht="12.75" customHeight="1">
      <c r="A65" s="580">
        <f>+'Appendix A - TSRR Summary'!A116</f>
        <v>64</v>
      </c>
      <c r="B65" s="502"/>
      <c r="C65" s="581" t="s">
        <v>532</v>
      </c>
      <c r="D65" s="502"/>
      <c r="E65" s="502"/>
      <c r="F65" s="1172" t="s">
        <v>53</v>
      </c>
      <c r="G65" s="1057">
        <v>0</v>
      </c>
      <c r="H65" s="502"/>
      <c r="I65" s="502"/>
      <c r="J65" s="1289" t="s">
        <v>236</v>
      </c>
      <c r="K65" s="1276"/>
      <c r="L65" s="1276"/>
      <c r="M65" s="1276"/>
      <c r="N65" s="1276"/>
      <c r="O65" s="1276"/>
      <c r="P65" s="1276"/>
      <c r="Q65" s="1277"/>
      <c r="R65" s="529"/>
    </row>
    <row r="66" spans="1:18" ht="15.75" customHeight="1">
      <c r="A66" s="580">
        <v>65</v>
      </c>
      <c r="B66" s="538"/>
      <c r="C66" s="1021" t="s">
        <v>631</v>
      </c>
      <c r="D66" s="553"/>
      <c r="E66" s="505"/>
      <c r="F66" s="1172"/>
      <c r="G66" s="1057"/>
      <c r="H66" s="502"/>
      <c r="I66" s="504"/>
      <c r="J66" s="1289"/>
      <c r="K66" s="1276"/>
      <c r="L66" s="1276"/>
      <c r="M66" s="1276"/>
      <c r="N66" s="1276"/>
      <c r="O66" s="1276"/>
      <c r="P66" s="1276"/>
      <c r="Q66" s="1277"/>
      <c r="R66" s="529"/>
    </row>
    <row r="67" spans="1:18" ht="12.75" customHeight="1">
      <c r="A67" s="580">
        <f>+'Appendix A - TSRR Summary'!A118</f>
        <v>66</v>
      </c>
      <c r="B67" s="502"/>
      <c r="C67" s="581" t="s">
        <v>516</v>
      </c>
      <c r="D67" s="247"/>
      <c r="E67" s="247"/>
      <c r="F67" s="1172" t="s">
        <v>53</v>
      </c>
      <c r="G67" s="1057">
        <v>0</v>
      </c>
      <c r="H67" s="502"/>
      <c r="I67" s="247"/>
      <c r="J67" s="1291" t="s">
        <v>353</v>
      </c>
      <c r="K67" s="1292"/>
      <c r="L67" s="1292"/>
      <c r="M67" s="1292"/>
      <c r="N67" s="1292"/>
      <c r="O67" s="1292"/>
      <c r="P67" s="1292"/>
      <c r="Q67" s="1293"/>
      <c r="R67" s="529"/>
    </row>
    <row r="68" spans="1:18" ht="13.5" thickBot="1">
      <c r="A68" s="577"/>
      <c r="B68" s="578"/>
      <c r="C68" s="579"/>
      <c r="D68" s="511"/>
      <c r="E68" s="567"/>
      <c r="F68" s="513"/>
      <c r="G68" s="582"/>
      <c r="H68" s="514"/>
      <c r="I68" s="583"/>
      <c r="J68" s="1359"/>
      <c r="K68" s="1360"/>
      <c r="L68" s="1360"/>
      <c r="M68" s="1360"/>
      <c r="N68" s="1360"/>
      <c r="O68" s="1360"/>
      <c r="P68" s="1360"/>
      <c r="Q68" s="1361"/>
      <c r="R68" s="529"/>
    </row>
    <row r="69" spans="1:18">
      <c r="A69" s="529"/>
      <c r="B69" s="529"/>
      <c r="C69" s="529"/>
      <c r="D69" s="529"/>
      <c r="E69" s="529"/>
      <c r="F69" s="529"/>
      <c r="G69" s="529"/>
      <c r="H69" s="529"/>
      <c r="I69" s="529"/>
      <c r="J69" s="614"/>
      <c r="K69" s="614"/>
      <c r="L69" s="614"/>
      <c r="M69" s="614"/>
      <c r="N69" s="614"/>
      <c r="O69" s="614"/>
      <c r="P69" s="614"/>
      <c r="Q69" s="614"/>
      <c r="R69" s="529"/>
    </row>
    <row r="70" spans="1:18">
      <c r="A70" s="529"/>
      <c r="B70" s="529"/>
      <c r="C70" s="529"/>
      <c r="D70" s="529"/>
      <c r="E70" s="529"/>
      <c r="F70" s="529"/>
      <c r="G70" s="529"/>
      <c r="H70" s="529"/>
      <c r="I70" s="529"/>
      <c r="J70" s="614"/>
      <c r="K70" s="614"/>
      <c r="L70" s="614"/>
      <c r="M70" s="614"/>
      <c r="N70" s="614"/>
      <c r="O70" s="614"/>
      <c r="P70" s="614"/>
      <c r="Q70" s="614"/>
      <c r="R70" s="529"/>
    </row>
    <row r="71" spans="1:18" s="276" customFormat="1" ht="18.75" thickBot="1">
      <c r="A71" s="1060" t="s">
        <v>260</v>
      </c>
      <c r="B71" s="762"/>
      <c r="C71" s="762"/>
      <c r="D71" s="762"/>
      <c r="E71" s="762"/>
      <c r="F71" s="762"/>
      <c r="G71" s="762"/>
      <c r="H71" s="762"/>
      <c r="I71" s="762"/>
      <c r="J71" s="768"/>
      <c r="K71" s="768"/>
      <c r="L71" s="768"/>
      <c r="M71" s="768"/>
      <c r="N71" s="768"/>
      <c r="O71" s="768"/>
      <c r="P71" s="768"/>
      <c r="Q71" s="768"/>
      <c r="R71" s="530"/>
    </row>
    <row r="72" spans="1:18" ht="48" customHeight="1">
      <c r="A72" s="1285" t="s">
        <v>543</v>
      </c>
      <c r="B72" s="1286"/>
      <c r="C72" s="1286"/>
      <c r="D72" s="1286"/>
      <c r="E72" s="1286"/>
      <c r="F72" s="1286"/>
      <c r="G72" s="1061" t="s">
        <v>132</v>
      </c>
      <c r="H72" s="1062" t="s">
        <v>133</v>
      </c>
      <c r="I72" s="1062" t="s">
        <v>241</v>
      </c>
      <c r="J72" s="1269" t="s">
        <v>59</v>
      </c>
      <c r="K72" s="1270"/>
      <c r="L72" s="1270"/>
      <c r="M72" s="1270"/>
      <c r="N72" s="1270"/>
      <c r="O72" s="1270"/>
      <c r="P72" s="1270"/>
      <c r="Q72" s="1271"/>
      <c r="R72" s="529"/>
    </row>
    <row r="73" spans="1:18">
      <c r="A73" s="539"/>
      <c r="B73" s="538" t="s">
        <v>366</v>
      </c>
      <c r="C73" s="512"/>
      <c r="D73" s="553"/>
      <c r="E73" s="573"/>
      <c r="F73" s="571"/>
      <c r="G73" s="516"/>
      <c r="H73" s="483"/>
      <c r="I73" s="474"/>
      <c r="J73" s="1260"/>
      <c r="K73" s="1261"/>
      <c r="L73" s="1261"/>
      <c r="M73" s="1261"/>
      <c r="N73" s="1261"/>
      <c r="O73" s="1261"/>
      <c r="P73" s="1261"/>
      <c r="Q73" s="1262"/>
      <c r="R73" s="529"/>
    </row>
    <row r="74" spans="1:18" s="276" customFormat="1" ht="29.25" customHeight="1" thickBot="1">
      <c r="A74" s="537"/>
      <c r="B74" s="533"/>
      <c r="C74" s="537"/>
      <c r="D74" s="534"/>
      <c r="E74" s="535"/>
      <c r="F74" s="536"/>
      <c r="G74" s="1159"/>
      <c r="H74" s="529"/>
      <c r="I74" s="569">
        <f>G74-H74</f>
        <v>0</v>
      </c>
      <c r="J74" s="1359" t="s">
        <v>502</v>
      </c>
      <c r="K74" s="1360"/>
      <c r="L74" s="1360"/>
      <c r="M74" s="1360"/>
      <c r="N74" s="1360"/>
      <c r="O74" s="1360"/>
      <c r="P74" s="1360"/>
      <c r="Q74" s="1361"/>
      <c r="R74" s="530"/>
    </row>
    <row r="75" spans="1:18">
      <c r="A75" s="529"/>
      <c r="B75" s="529"/>
      <c r="C75" s="529"/>
      <c r="D75" s="529"/>
      <c r="E75" s="529"/>
      <c r="F75" s="529"/>
      <c r="G75" s="529"/>
      <c r="H75" s="529"/>
      <c r="I75" s="529"/>
      <c r="J75" s="614"/>
      <c r="K75" s="614"/>
      <c r="L75" s="614"/>
      <c r="M75" s="614"/>
      <c r="N75" s="614"/>
      <c r="O75" s="614"/>
      <c r="P75" s="614"/>
      <c r="Q75" s="614"/>
      <c r="R75" s="529"/>
    </row>
    <row r="76" spans="1:18">
      <c r="A76" s="529"/>
      <c r="B76" s="529"/>
      <c r="C76" s="529"/>
      <c r="D76" s="529"/>
      <c r="E76" s="529"/>
      <c r="F76" s="529"/>
      <c r="G76" s="529"/>
      <c r="H76" s="614"/>
      <c r="I76" s="529"/>
      <c r="J76" s="636"/>
      <c r="K76" s="614"/>
      <c r="L76" s="614"/>
      <c r="M76" s="614"/>
      <c r="N76" s="614"/>
      <c r="O76" s="614"/>
      <c r="P76" s="614"/>
      <c r="Q76" s="614"/>
      <c r="R76" s="529"/>
    </row>
    <row r="77" spans="1:18" s="276" customFormat="1" ht="18.75" thickBot="1">
      <c r="A77" s="1060" t="s">
        <v>261</v>
      </c>
      <c r="B77" s="762"/>
      <c r="C77" s="762"/>
      <c r="D77" s="762"/>
      <c r="E77" s="762"/>
      <c r="F77" s="762"/>
      <c r="G77" s="762"/>
      <c r="H77" s="762"/>
      <c r="I77" s="762"/>
      <c r="J77" s="768"/>
      <c r="K77" s="768"/>
      <c r="L77" s="768"/>
      <c r="M77" s="768"/>
      <c r="N77" s="768"/>
      <c r="O77" s="768"/>
      <c r="P77" s="768"/>
      <c r="Q77" s="768"/>
      <c r="R77" s="530"/>
    </row>
    <row r="78" spans="1:18" ht="31.5" customHeight="1">
      <c r="A78" s="1285" t="s">
        <v>543</v>
      </c>
      <c r="B78" s="1286"/>
      <c r="C78" s="1286"/>
      <c r="D78" s="1286"/>
      <c r="E78" s="1286"/>
      <c r="F78" s="1286"/>
      <c r="G78" s="1061" t="s">
        <v>132</v>
      </c>
      <c r="H78" s="1062" t="s">
        <v>135</v>
      </c>
      <c r="I78" s="1062" t="s">
        <v>243</v>
      </c>
      <c r="J78" s="1269" t="s">
        <v>59</v>
      </c>
      <c r="K78" s="1270"/>
      <c r="L78" s="1270"/>
      <c r="M78" s="1270"/>
      <c r="N78" s="1270"/>
      <c r="O78" s="1270"/>
      <c r="P78" s="1270"/>
      <c r="Q78" s="1271"/>
      <c r="R78" s="529"/>
    </row>
    <row r="79" spans="1:18">
      <c r="A79" s="539"/>
      <c r="B79" s="538" t="s">
        <v>366</v>
      </c>
      <c r="C79" s="247"/>
      <c r="D79" s="553"/>
      <c r="E79" s="483"/>
      <c r="F79" s="525"/>
      <c r="G79" s="503"/>
      <c r="H79" s="502"/>
      <c r="I79" s="502"/>
      <c r="J79" s="1260"/>
      <c r="K79" s="1261"/>
      <c r="L79" s="1261"/>
      <c r="M79" s="1261"/>
      <c r="N79" s="1261"/>
      <c r="O79" s="1261"/>
      <c r="P79" s="1261"/>
      <c r="Q79" s="1262"/>
      <c r="R79" s="529"/>
    </row>
    <row r="80" spans="1:18" s="276" customFormat="1" ht="13.5" thickBot="1">
      <c r="A80" s="585">
        <f>+'Appendix A - TSRR Summary'!A133</f>
        <v>78</v>
      </c>
      <c r="B80" s="584"/>
      <c r="C80" s="579" t="str">
        <f>+'Appendix A - TSRR Summary'!C133</f>
        <v>General Advertising Exp Account 930.1 - Safety</v>
      </c>
      <c r="D80" s="587"/>
      <c r="E80" s="578" t="str">
        <f>+'Appendix A - TSRR Summary'!E133</f>
        <v>(Note F)</v>
      </c>
      <c r="F80" s="579" t="str">
        <f>'Appendix A - TSRR Summary'!F121</f>
        <v>p323.191.b</v>
      </c>
      <c r="G80" s="1084">
        <v>983</v>
      </c>
      <c r="H80" s="1011">
        <v>0</v>
      </c>
      <c r="I80" s="588">
        <f>G80</f>
        <v>983</v>
      </c>
      <c r="J80" s="1357" t="s">
        <v>523</v>
      </c>
      <c r="K80" s="1357"/>
      <c r="L80" s="1357"/>
      <c r="M80" s="1357"/>
      <c r="N80" s="1357"/>
      <c r="O80" s="1357"/>
      <c r="P80" s="1357"/>
      <c r="Q80" s="1358"/>
      <c r="R80" s="530"/>
    </row>
    <row r="81" spans="1:18">
      <c r="A81" s="529"/>
      <c r="B81" s="529"/>
      <c r="C81" s="529"/>
      <c r="D81" s="529"/>
      <c r="E81" s="529"/>
      <c r="F81" s="529"/>
      <c r="G81" s="529"/>
      <c r="H81" s="529"/>
      <c r="I81" s="529"/>
      <c r="J81" s="614"/>
      <c r="K81" s="614"/>
      <c r="L81" s="614"/>
      <c r="M81" s="614"/>
      <c r="N81" s="614"/>
      <c r="O81" s="614"/>
      <c r="P81" s="614"/>
      <c r="Q81" s="614"/>
      <c r="R81" s="529"/>
    </row>
    <row r="82" spans="1:18">
      <c r="A82" s="529"/>
      <c r="B82" s="529"/>
      <c r="C82" s="529"/>
      <c r="D82" s="529"/>
      <c r="E82" s="529"/>
      <c r="F82" s="529"/>
      <c r="G82" s="529"/>
      <c r="H82" s="529"/>
      <c r="I82" s="529"/>
      <c r="J82" s="614"/>
      <c r="K82" s="614"/>
      <c r="L82" s="614"/>
      <c r="M82" s="614"/>
      <c r="N82" s="614"/>
      <c r="O82" s="614"/>
      <c r="P82" s="614"/>
      <c r="Q82" s="614"/>
      <c r="R82" s="529"/>
    </row>
    <row r="83" spans="1:18" s="276" customFormat="1" ht="18.75" thickBot="1">
      <c r="A83" s="1060" t="s">
        <v>131</v>
      </c>
      <c r="B83" s="762"/>
      <c r="C83" s="762"/>
      <c r="D83" s="762"/>
      <c r="E83" s="762"/>
      <c r="F83" s="762"/>
      <c r="G83" s="762"/>
      <c r="H83" s="762"/>
      <c r="I83" s="762"/>
      <c r="J83" s="768"/>
      <c r="K83" s="768"/>
      <c r="L83" s="768"/>
      <c r="M83" s="768"/>
      <c r="N83" s="768"/>
      <c r="O83" s="768"/>
      <c r="P83" s="768"/>
      <c r="Q83" s="768"/>
      <c r="R83" s="530"/>
    </row>
    <row r="84" spans="1:18" ht="30.75" customHeight="1">
      <c r="A84" s="1285" t="s">
        <v>543</v>
      </c>
      <c r="B84" s="1286"/>
      <c r="C84" s="1286"/>
      <c r="D84" s="1286"/>
      <c r="E84" s="1286"/>
      <c r="F84" s="1286"/>
      <c r="G84" s="1061" t="s">
        <v>136</v>
      </c>
      <c r="H84" s="1062" t="s">
        <v>137</v>
      </c>
      <c r="I84" s="1062" t="s">
        <v>138</v>
      </c>
      <c r="J84" s="1070" t="s">
        <v>139</v>
      </c>
      <c r="K84" s="1070" t="s">
        <v>140</v>
      </c>
      <c r="L84" s="1269" t="s">
        <v>59</v>
      </c>
      <c r="M84" s="1270"/>
      <c r="N84" s="1270"/>
      <c r="O84" s="1270"/>
      <c r="P84" s="1270"/>
      <c r="Q84" s="1271"/>
      <c r="R84" s="529"/>
    </row>
    <row r="85" spans="1:18">
      <c r="A85" s="590" t="s">
        <v>353</v>
      </c>
      <c r="B85" s="591" t="s">
        <v>426</v>
      </c>
      <c r="C85" s="525"/>
      <c r="D85" s="525"/>
      <c r="E85" s="483"/>
      <c r="F85" s="621"/>
      <c r="G85" s="503"/>
      <c r="H85" s="502"/>
      <c r="I85" s="502"/>
      <c r="J85" s="519"/>
      <c r="K85" s="519"/>
      <c r="L85" s="1367"/>
      <c r="M85" s="1367"/>
      <c r="N85" s="1367"/>
      <c r="O85" s="1367"/>
      <c r="P85" s="1367"/>
      <c r="Q85" s="1368"/>
      <c r="R85" s="529"/>
    </row>
    <row r="86" spans="1:18">
      <c r="A86" s="590"/>
      <c r="B86" s="591"/>
      <c r="C86" s="525"/>
      <c r="D86" s="525"/>
      <c r="E86" s="483"/>
      <c r="F86" s="621"/>
      <c r="G86" s="516" t="s">
        <v>586</v>
      </c>
      <c r="H86" s="474"/>
      <c r="I86" s="474"/>
      <c r="J86" s="601"/>
      <c r="K86" s="601"/>
      <c r="L86" s="1275"/>
      <c r="M86" s="1275"/>
      <c r="N86" s="1275"/>
      <c r="O86" s="1275"/>
      <c r="P86" s="1275"/>
      <c r="Q86" s="1288"/>
      <c r="R86" s="529"/>
    </row>
    <row r="87" spans="1:18" s="276" customFormat="1" ht="13.5" thickBot="1">
      <c r="A87" s="585">
        <f>+'Appendix A - TSRR Summary'!A215</f>
        <v>129</v>
      </c>
      <c r="B87" s="592"/>
      <c r="C87" s="586" t="str">
        <f>+'Appendix A - TSRR Summary'!C215</f>
        <v>SIT=State Income Tax Rate or Composite</v>
      </c>
      <c r="D87" s="593"/>
      <c r="E87" s="578" t="str">
        <f>'Appendix A - TSRR Summary'!E214</f>
        <v>(Note I)</v>
      </c>
      <c r="F87" s="622"/>
      <c r="G87" s="1083">
        <f>'Appendix A - TSRR Summary'!H215</f>
        <v>0</v>
      </c>
      <c r="H87" s="594"/>
      <c r="I87" s="576"/>
      <c r="J87" s="619"/>
      <c r="K87" s="619"/>
      <c r="L87" s="1304"/>
      <c r="M87" s="1304"/>
      <c r="N87" s="1304"/>
      <c r="O87" s="1304"/>
      <c r="P87" s="1304"/>
      <c r="Q87" s="1356"/>
      <c r="R87" s="530"/>
    </row>
    <row r="88" spans="1:18">
      <c r="A88" s="529"/>
      <c r="B88" s="529"/>
      <c r="C88" s="529"/>
      <c r="D88" s="529"/>
      <c r="E88" s="529"/>
      <c r="F88" s="529"/>
      <c r="G88" s="529"/>
      <c r="H88" s="529"/>
      <c r="I88" s="529"/>
      <c r="J88" s="614"/>
      <c r="K88" s="614"/>
      <c r="L88" s="614"/>
      <c r="M88" s="614"/>
      <c r="N88" s="614"/>
      <c r="O88" s="614"/>
      <c r="P88" s="614"/>
      <c r="Q88" s="614"/>
      <c r="R88" s="529"/>
    </row>
    <row r="89" spans="1:18">
      <c r="A89" s="529"/>
      <c r="B89" s="529"/>
      <c r="C89" s="529"/>
      <c r="D89" s="529"/>
      <c r="E89" s="529"/>
      <c r="F89" s="529"/>
      <c r="G89" s="529"/>
      <c r="H89" s="529"/>
      <c r="I89" s="529"/>
      <c r="J89" s="614"/>
      <c r="K89" s="614"/>
      <c r="L89" s="614"/>
      <c r="M89" s="614"/>
      <c r="N89" s="614"/>
      <c r="O89" s="614"/>
      <c r="P89" s="614"/>
      <c r="Q89" s="614"/>
      <c r="R89" s="529"/>
    </row>
    <row r="90" spans="1:18" s="276" customFormat="1" ht="18.75" thickBot="1">
      <c r="A90" s="1060" t="s">
        <v>262</v>
      </c>
      <c r="B90" s="762"/>
      <c r="C90" s="762"/>
      <c r="D90" s="762"/>
      <c r="E90" s="762"/>
      <c r="F90" s="762"/>
      <c r="G90" s="762"/>
      <c r="H90" s="762"/>
      <c r="I90" s="762"/>
      <c r="J90" s="768"/>
      <c r="K90" s="768"/>
      <c r="L90" s="768"/>
      <c r="M90" s="768"/>
      <c r="N90" s="768"/>
      <c r="O90" s="768"/>
      <c r="P90" s="768"/>
      <c r="Q90" s="768"/>
      <c r="R90" s="530"/>
    </row>
    <row r="91" spans="1:18" ht="33.75" customHeight="1">
      <c r="A91" s="1285" t="s">
        <v>543</v>
      </c>
      <c r="B91" s="1286"/>
      <c r="C91" s="1286"/>
      <c r="D91" s="1286"/>
      <c r="E91" s="1286"/>
      <c r="F91" s="1286"/>
      <c r="G91" s="1061" t="s">
        <v>132</v>
      </c>
      <c r="H91" s="1062" t="s">
        <v>141</v>
      </c>
      <c r="I91" s="1062" t="s">
        <v>142</v>
      </c>
      <c r="J91" s="1269" t="s">
        <v>59</v>
      </c>
      <c r="K91" s="1270"/>
      <c r="L91" s="1270"/>
      <c r="M91" s="1270"/>
      <c r="N91" s="1270"/>
      <c r="O91" s="1270"/>
      <c r="P91" s="1270"/>
      <c r="Q91" s="1271"/>
      <c r="R91" s="529"/>
    </row>
    <row r="92" spans="1:18">
      <c r="A92" s="539"/>
      <c r="B92" s="538" t="s">
        <v>366</v>
      </c>
      <c r="C92" s="247"/>
      <c r="D92" s="553"/>
      <c r="E92" s="483"/>
      <c r="F92" s="525"/>
      <c r="G92" s="503"/>
      <c r="H92" s="502"/>
      <c r="I92" s="502"/>
      <c r="J92" s="1365"/>
      <c r="K92" s="1365"/>
      <c r="L92" s="1365"/>
      <c r="M92" s="1365"/>
      <c r="N92" s="1365"/>
      <c r="O92" s="1365"/>
      <c r="P92" s="1365"/>
      <c r="Q92" s="1366"/>
      <c r="R92" s="529"/>
    </row>
    <row r="93" spans="1:18" s="276" customFormat="1" ht="13.5" thickBot="1">
      <c r="A93" s="585">
        <f>+'Appendix A - TSRR Summary'!A129</f>
        <v>75</v>
      </c>
      <c r="B93" s="584"/>
      <c r="C93" s="579" t="str">
        <f>+'Appendix A - TSRR Summary'!C129</f>
        <v>General Advertising Exp Account 930.1 - Edu. &amp; Outreach</v>
      </c>
      <c r="D93" s="595"/>
      <c r="E93" s="578" t="str">
        <f>+'Appendix A - TSRR Summary'!E129</f>
        <v>(Note K)</v>
      </c>
      <c r="F93" s="513" t="str">
        <f>'Appendix A - TSRR Summary'!F121</f>
        <v>p323.191.b</v>
      </c>
      <c r="G93" s="1161">
        <v>0</v>
      </c>
      <c r="H93" s="1058">
        <v>0</v>
      </c>
      <c r="I93" s="596">
        <f>G93-H93</f>
        <v>0</v>
      </c>
      <c r="J93" s="1357" t="s">
        <v>524</v>
      </c>
      <c r="K93" s="1357"/>
      <c r="L93" s="1357"/>
      <c r="M93" s="1357"/>
      <c r="N93" s="1357"/>
      <c r="O93" s="1357"/>
      <c r="P93" s="1357"/>
      <c r="Q93" s="1358"/>
      <c r="R93" s="530"/>
    </row>
    <row r="94" spans="1:18">
      <c r="A94" s="529"/>
      <c r="B94" s="529"/>
      <c r="C94" s="529"/>
      <c r="D94" s="529"/>
      <c r="E94" s="529"/>
      <c r="F94" s="529"/>
      <c r="G94" s="529"/>
      <c r="H94" s="529"/>
      <c r="I94" s="529"/>
      <c r="J94" s="614"/>
      <c r="K94" s="614"/>
      <c r="L94" s="614"/>
      <c r="M94" s="614"/>
      <c r="N94" s="614"/>
      <c r="O94" s="614"/>
      <c r="P94" s="614"/>
      <c r="Q94" s="614"/>
      <c r="R94" s="529"/>
    </row>
    <row r="95" spans="1:18">
      <c r="A95" s="529"/>
      <c r="B95" s="529"/>
      <c r="C95" s="529"/>
      <c r="D95" s="529"/>
      <c r="E95" s="529"/>
      <c r="F95" s="529"/>
      <c r="G95" s="529"/>
      <c r="H95" s="529"/>
      <c r="I95" s="529"/>
      <c r="J95" s="614"/>
      <c r="K95" s="614"/>
      <c r="L95" s="614"/>
      <c r="M95" s="614"/>
      <c r="N95" s="614"/>
      <c r="O95" s="614"/>
      <c r="P95" s="614"/>
      <c r="Q95" s="614"/>
      <c r="R95" s="529"/>
    </row>
    <row r="96" spans="1:18" s="276" customFormat="1" ht="18.75" thickBot="1">
      <c r="A96" s="1060" t="s">
        <v>264</v>
      </c>
      <c r="B96" s="762"/>
      <c r="C96" s="762"/>
      <c r="D96" s="762"/>
      <c r="E96" s="762"/>
      <c r="F96" s="762"/>
      <c r="G96" s="762"/>
      <c r="H96" s="762"/>
      <c r="I96" s="762"/>
      <c r="J96" s="768"/>
      <c r="K96" s="768"/>
      <c r="L96" s="768"/>
      <c r="M96" s="768"/>
      <c r="N96" s="768"/>
      <c r="O96" s="768"/>
      <c r="P96" s="768"/>
      <c r="Q96" s="768"/>
      <c r="R96" s="530"/>
    </row>
    <row r="97" spans="1:18" ht="43.5" customHeight="1">
      <c r="A97" s="1285" t="s">
        <v>543</v>
      </c>
      <c r="B97" s="1286"/>
      <c r="C97" s="1286"/>
      <c r="D97" s="1286"/>
      <c r="E97" s="1286"/>
      <c r="F97" s="1286"/>
      <c r="G97" s="1061" t="str">
        <f>+C99</f>
        <v>Excluded Transmission Facilities</v>
      </c>
      <c r="H97" s="1307" t="s">
        <v>144</v>
      </c>
      <c r="I97" s="1308"/>
      <c r="J97" s="1308"/>
      <c r="K97" s="1308"/>
      <c r="L97" s="1308"/>
      <c r="M97" s="1308"/>
      <c r="N97" s="1308"/>
      <c r="O97" s="1308"/>
      <c r="P97" s="1308"/>
      <c r="Q97" s="1309"/>
      <c r="R97" s="529"/>
    </row>
    <row r="98" spans="1:18" ht="25.5" customHeight="1">
      <c r="A98" s="597"/>
      <c r="B98" s="538" t="s">
        <v>369</v>
      </c>
      <c r="C98" s="538"/>
      <c r="D98" s="598"/>
      <c r="E98" s="492"/>
      <c r="F98" s="599"/>
      <c r="G98" s="503"/>
      <c r="H98" s="502"/>
      <c r="I98" s="502"/>
      <c r="J98" s="519"/>
      <c r="K98" s="519"/>
      <c r="L98" s="519"/>
      <c r="M98" s="519"/>
      <c r="N98" s="519"/>
      <c r="O98" s="519"/>
      <c r="P98" s="519"/>
      <c r="Q98" s="520"/>
      <c r="R98" s="529"/>
    </row>
    <row r="99" spans="1:18">
      <c r="A99" s="539">
        <f>+'Appendix A - TSRR Summary'!A248</f>
        <v>149</v>
      </c>
      <c r="B99" s="547"/>
      <c r="C99" s="166" t="str">
        <f>+'Appendix A - TSRR Summary'!C248</f>
        <v>Excluded Transmission Facilities</v>
      </c>
      <c r="D99" s="598"/>
      <c r="E99" s="547" t="str">
        <f>+'Appendix A - TSRR Summary'!E248</f>
        <v>(Note M)</v>
      </c>
      <c r="F99" s="527"/>
      <c r="G99" s="515"/>
      <c r="H99" s="1316" t="s">
        <v>155</v>
      </c>
      <c r="I99" s="1326"/>
      <c r="J99" s="1326"/>
      <c r="K99" s="1326"/>
      <c r="L99" s="1326"/>
      <c r="M99" s="1326"/>
      <c r="N99" s="1326"/>
      <c r="O99" s="1326"/>
      <c r="P99" s="1326"/>
      <c r="Q99" s="1327"/>
      <c r="R99" s="529"/>
    </row>
    <row r="100" spans="1:18">
      <c r="A100" s="539"/>
      <c r="B100" s="547"/>
      <c r="C100" s="581"/>
      <c r="D100" s="598"/>
      <c r="E100" s="554"/>
      <c r="F100" s="600"/>
      <c r="G100" s="558"/>
      <c r="H100" s="550"/>
      <c r="I100" s="550"/>
      <c r="J100" s="571"/>
      <c r="K100" s="571"/>
      <c r="L100" s="571"/>
      <c r="M100" s="571"/>
      <c r="N100" s="571"/>
      <c r="O100" s="601"/>
      <c r="P100" s="519"/>
      <c r="Q100" s="520"/>
      <c r="R100" s="529"/>
    </row>
    <row r="101" spans="1:18">
      <c r="A101" s="539"/>
      <c r="B101" s="547"/>
      <c r="C101" s="581" t="s">
        <v>328</v>
      </c>
      <c r="D101" s="598"/>
      <c r="E101" s="554"/>
      <c r="F101" s="600"/>
      <c r="G101" s="516" t="s">
        <v>143</v>
      </c>
      <c r="H101" s="1316"/>
      <c r="I101" s="1326"/>
      <c r="J101" s="1326"/>
      <c r="K101" s="1326"/>
      <c r="L101" s="1326"/>
      <c r="M101" s="1326"/>
      <c r="N101" s="1326"/>
      <c r="O101" s="1326"/>
      <c r="P101" s="1326"/>
      <c r="Q101" s="1327"/>
      <c r="R101" s="529"/>
    </row>
    <row r="102" spans="1:18">
      <c r="A102" s="539"/>
      <c r="B102" s="547">
        <v>1</v>
      </c>
      <c r="C102" s="1008" t="s">
        <v>619</v>
      </c>
      <c r="D102" s="598"/>
      <c r="E102" s="554"/>
      <c r="F102" s="600"/>
      <c r="G102" s="1082">
        <v>0</v>
      </c>
      <c r="H102" s="1275" t="s">
        <v>632</v>
      </c>
      <c r="I102" s="1276"/>
      <c r="J102" s="1276"/>
      <c r="K102" s="1276"/>
      <c r="L102" s="1276"/>
      <c r="M102" s="1276"/>
      <c r="N102" s="1276"/>
      <c r="O102" s="1276"/>
      <c r="P102" s="1276"/>
      <c r="Q102" s="1277"/>
      <c r="R102" s="529"/>
    </row>
    <row r="103" spans="1:18">
      <c r="A103" s="539"/>
      <c r="B103" s="547"/>
      <c r="C103" s="581" t="s">
        <v>499</v>
      </c>
      <c r="D103" s="598"/>
      <c r="E103" s="554"/>
      <c r="F103" s="600"/>
      <c r="G103" s="712"/>
      <c r="H103" s="345"/>
      <c r="I103" s="346"/>
      <c r="J103" s="507"/>
      <c r="K103" s="507"/>
      <c r="L103" s="507"/>
      <c r="M103" s="507"/>
      <c r="N103" s="507"/>
      <c r="O103" s="507"/>
      <c r="P103" s="507"/>
      <c r="Q103" s="508"/>
      <c r="R103" s="529"/>
    </row>
    <row r="104" spans="1:18">
      <c r="A104" s="506"/>
      <c r="B104" s="517"/>
      <c r="C104" s="581"/>
      <c r="D104" s="518"/>
      <c r="E104" s="247"/>
      <c r="F104" s="247"/>
      <c r="G104" s="1012"/>
      <c r="H104" s="1316"/>
      <c r="I104" s="1326"/>
      <c r="J104" s="1326"/>
      <c r="K104" s="1326"/>
      <c r="L104" s="1326"/>
      <c r="M104" s="1326"/>
      <c r="N104" s="1326"/>
      <c r="O104" s="1326"/>
      <c r="P104" s="1326"/>
      <c r="Q104" s="1327"/>
      <c r="R104" s="529"/>
    </row>
    <row r="105" spans="1:18" ht="13.5" thickBot="1">
      <c r="A105" s="509"/>
      <c r="B105" s="510"/>
      <c r="C105" s="510"/>
      <c r="D105" s="510"/>
      <c r="E105" s="510"/>
      <c r="F105" s="510"/>
      <c r="G105" s="815"/>
      <c r="H105" s="510"/>
      <c r="I105" s="510"/>
      <c r="J105" s="616"/>
      <c r="K105" s="1078" t="s">
        <v>154</v>
      </c>
      <c r="L105" s="616"/>
      <c r="M105" s="616"/>
      <c r="N105" s="616"/>
      <c r="O105" s="616"/>
      <c r="P105" s="616"/>
      <c r="Q105" s="617"/>
      <c r="R105" s="529"/>
    </row>
    <row r="106" spans="1:18">
      <c r="A106" s="529"/>
      <c r="B106" s="529"/>
      <c r="C106" s="529"/>
      <c r="D106" s="529"/>
      <c r="E106" s="529"/>
      <c r="F106" s="529"/>
      <c r="G106" s="529"/>
      <c r="H106" s="529"/>
      <c r="I106" s="529"/>
      <c r="J106" s="614"/>
      <c r="K106" s="614"/>
      <c r="L106" s="614"/>
      <c r="M106" s="614"/>
      <c r="N106" s="614"/>
      <c r="O106" s="614"/>
      <c r="P106" s="614"/>
      <c r="Q106" s="614"/>
      <c r="R106" s="529"/>
    </row>
    <row r="107" spans="1:18">
      <c r="A107" s="529"/>
      <c r="B107" s="529"/>
      <c r="C107" s="529"/>
      <c r="D107" s="529"/>
      <c r="E107" s="529"/>
      <c r="F107" s="529"/>
      <c r="G107" s="529"/>
      <c r="H107" s="529"/>
      <c r="I107" s="529"/>
      <c r="J107" s="614"/>
      <c r="K107" s="614"/>
      <c r="L107" s="614"/>
      <c r="M107" s="614"/>
      <c r="N107" s="614"/>
      <c r="O107" s="614"/>
      <c r="P107" s="614"/>
      <c r="Q107" s="614"/>
      <c r="R107" s="529"/>
    </row>
    <row r="108" spans="1:18" s="276" customFormat="1" ht="18.75" thickBot="1">
      <c r="A108" s="1060" t="s">
        <v>298</v>
      </c>
      <c r="B108" s="762"/>
      <c r="C108" s="762"/>
      <c r="D108" s="762"/>
      <c r="E108" s="762"/>
      <c r="F108" s="762"/>
      <c r="G108" s="762"/>
      <c r="H108" s="762"/>
      <c r="I108" s="762"/>
      <c r="J108" s="768"/>
      <c r="K108" s="768"/>
      <c r="L108" s="768"/>
      <c r="M108" s="768"/>
      <c r="N108" s="768"/>
      <c r="O108" s="768"/>
      <c r="P108" s="768"/>
      <c r="Q108" s="768"/>
      <c r="R108" s="530"/>
    </row>
    <row r="109" spans="1:18" ht="30.75" customHeight="1">
      <c r="A109" s="1285" t="s">
        <v>543</v>
      </c>
      <c r="B109" s="1286"/>
      <c r="C109" s="1286"/>
      <c r="D109" s="1286"/>
      <c r="E109" s="1286"/>
      <c r="F109" s="1337"/>
      <c r="G109" s="1335" t="s">
        <v>329</v>
      </c>
      <c r="H109" s="1324"/>
      <c r="I109" s="1324"/>
      <c r="J109" s="1324"/>
      <c r="K109" s="1324"/>
      <c r="L109" s="1324"/>
      <c r="M109" s="1324"/>
      <c r="N109" s="1324"/>
      <c r="O109" s="1324"/>
      <c r="P109" s="1324"/>
      <c r="Q109" s="1325"/>
      <c r="R109" s="529"/>
    </row>
    <row r="110" spans="1:18">
      <c r="A110" s="506">
        <f>+'Appendix A - TSRR Summary'!A82</f>
        <v>44</v>
      </c>
      <c r="B110" s="546" t="s">
        <v>386</v>
      </c>
      <c r="C110" s="522"/>
      <c r="D110" s="1213"/>
      <c r="E110" s="483" t="s">
        <v>300</v>
      </c>
      <c r="F110" s="602"/>
      <c r="G110" s="1336"/>
      <c r="H110" s="1329"/>
      <c r="I110" s="1329"/>
      <c r="J110" s="1329"/>
      <c r="K110" s="1329"/>
      <c r="L110" s="1329"/>
      <c r="M110" s="1329"/>
      <c r="N110" s="1329"/>
      <c r="O110" s="1329"/>
      <c r="P110" s="1329"/>
      <c r="Q110" s="1330"/>
      <c r="R110" s="529"/>
    </row>
    <row r="111" spans="1:18">
      <c r="A111" s="539"/>
      <c r="B111" s="547"/>
      <c r="C111" s="1157" t="s">
        <v>652</v>
      </c>
      <c r="D111" s="1081">
        <v>2885</v>
      </c>
      <c r="E111" s="939">
        <f>+'Appendix A - TSRR Summary'!H16</f>
        <v>5.6750348909552557E-2</v>
      </c>
      <c r="F111" s="603">
        <f>+D111*E111</f>
        <v>163.72475660405914</v>
      </c>
      <c r="G111" s="1328" t="s">
        <v>674</v>
      </c>
      <c r="H111" s="1329"/>
      <c r="I111" s="1329"/>
      <c r="J111" s="1329"/>
      <c r="K111" s="1329"/>
      <c r="L111" s="1329"/>
      <c r="M111" s="1329"/>
      <c r="N111" s="1329"/>
      <c r="O111" s="1329"/>
      <c r="P111" s="1329"/>
      <c r="Q111" s="1330"/>
      <c r="R111" s="529"/>
    </row>
    <row r="112" spans="1:18">
      <c r="A112" s="539"/>
      <c r="B112" s="547"/>
      <c r="C112" s="247"/>
      <c r="D112" s="518"/>
      <c r="E112" s="604"/>
      <c r="F112" s="603"/>
      <c r="G112" s="1336"/>
      <c r="H112" s="1329"/>
      <c r="I112" s="1329"/>
      <c r="J112" s="1329"/>
      <c r="K112" s="1329"/>
      <c r="L112" s="1329"/>
      <c r="M112" s="1329"/>
      <c r="N112" s="1329"/>
      <c r="O112" s="1329"/>
      <c r="P112" s="1329"/>
      <c r="Q112" s="1330"/>
      <c r="R112" s="529"/>
    </row>
    <row r="113" spans="1:18">
      <c r="B113" s="546" t="s">
        <v>299</v>
      </c>
      <c r="C113" s="247"/>
      <c r="D113" s="518"/>
      <c r="E113" s="604"/>
      <c r="F113" s="603"/>
      <c r="G113" s="1336"/>
      <c r="H113" s="1329"/>
      <c r="I113" s="1329"/>
      <c r="J113" s="1329"/>
      <c r="K113" s="1329"/>
      <c r="L113" s="1329"/>
      <c r="M113" s="1329"/>
      <c r="N113" s="1329"/>
      <c r="O113" s="1329"/>
      <c r="P113" s="1329"/>
      <c r="Q113" s="1330"/>
      <c r="R113" s="529"/>
    </row>
    <row r="114" spans="1:18" ht="18.75" customHeight="1">
      <c r="A114" s="539"/>
      <c r="B114" s="547"/>
      <c r="C114" s="605" t="s">
        <v>192</v>
      </c>
      <c r="D114" s="1081">
        <v>0</v>
      </c>
      <c r="E114" s="604"/>
      <c r="F114" s="603"/>
      <c r="G114" s="1338"/>
      <c r="H114" s="1339"/>
      <c r="I114" s="1339"/>
      <c r="J114" s="1339"/>
      <c r="K114" s="1339"/>
      <c r="L114" s="1339"/>
      <c r="M114" s="1339"/>
      <c r="N114" s="1339"/>
      <c r="O114" s="1339"/>
      <c r="P114" s="1339"/>
      <c r="Q114" s="1340"/>
      <c r="R114" s="529"/>
    </row>
    <row r="115" spans="1:18" ht="13.5" thickBot="1">
      <c r="A115" s="539"/>
      <c r="B115" s="547"/>
      <c r="C115" s="247" t="s">
        <v>193</v>
      </c>
      <c r="D115" s="863">
        <v>0</v>
      </c>
      <c r="E115" s="606"/>
      <c r="F115" s="607"/>
      <c r="G115" s="1336"/>
      <c r="H115" s="1329"/>
      <c r="I115" s="1329"/>
      <c r="J115" s="1329"/>
      <c r="K115" s="1329"/>
      <c r="L115" s="1329"/>
      <c r="M115" s="1329"/>
      <c r="N115" s="1329"/>
      <c r="O115" s="1329"/>
      <c r="P115" s="1329"/>
      <c r="Q115" s="1330"/>
      <c r="R115" s="529"/>
    </row>
    <row r="116" spans="1:18" ht="14.25" thickTop="1" thickBot="1">
      <c r="A116" s="506">
        <f>+'Appendix A - TSRR Summary'!A139</f>
        <v>82</v>
      </c>
      <c r="B116" s="578"/>
      <c r="C116" s="579" t="s">
        <v>194</v>
      </c>
      <c r="D116" s="864">
        <f>D114+D115</f>
        <v>0</v>
      </c>
      <c r="E116" s="940">
        <f>E111</f>
        <v>5.6750348909552557E-2</v>
      </c>
      <c r="F116" s="608">
        <f>D116*E116</f>
        <v>0</v>
      </c>
      <c r="G116" s="1331"/>
      <c r="H116" s="1332"/>
      <c r="I116" s="1332"/>
      <c r="J116" s="1332"/>
      <c r="K116" s="1332"/>
      <c r="L116" s="1332"/>
      <c r="M116" s="1332"/>
      <c r="N116" s="1332"/>
      <c r="O116" s="1332"/>
      <c r="P116" s="1332"/>
      <c r="Q116" s="1333"/>
      <c r="R116" s="529"/>
    </row>
    <row r="117" spans="1:18">
      <c r="A117" s="529"/>
      <c r="B117" s="529"/>
      <c r="C117" s="529"/>
      <c r="D117" s="529"/>
      <c r="E117" s="529"/>
      <c r="F117" s="529"/>
      <c r="G117" s="529"/>
      <c r="H117" s="529"/>
      <c r="I117" s="529"/>
      <c r="J117" s="614"/>
      <c r="K117" s="614"/>
      <c r="L117" s="614"/>
      <c r="M117" s="614"/>
      <c r="N117" s="614"/>
      <c r="O117" s="614"/>
      <c r="P117" s="614"/>
      <c r="Q117" s="614"/>
      <c r="R117" s="529"/>
    </row>
    <row r="118" spans="1:18">
      <c r="A118" s="529"/>
      <c r="B118" s="529"/>
      <c r="C118" s="529"/>
      <c r="D118" s="529"/>
      <c r="E118" s="529"/>
      <c r="F118" s="529"/>
      <c r="G118" s="529"/>
      <c r="H118" s="529"/>
      <c r="I118" s="529"/>
      <c r="J118" s="614"/>
      <c r="K118" s="614"/>
      <c r="L118" s="614"/>
      <c r="M118" s="614"/>
      <c r="N118" s="614"/>
      <c r="O118" s="614"/>
      <c r="P118" s="614"/>
      <c r="Q118" s="614"/>
      <c r="R118" s="529"/>
    </row>
    <row r="119" spans="1:18" s="276" customFormat="1" ht="18.75" thickBot="1">
      <c r="A119" s="1060" t="s">
        <v>265</v>
      </c>
      <c r="B119" s="762"/>
      <c r="C119" s="762"/>
      <c r="D119" s="762"/>
      <c r="E119" s="762"/>
      <c r="F119" s="762"/>
      <c r="G119" s="762"/>
      <c r="H119" s="762"/>
      <c r="I119" s="762"/>
      <c r="J119" s="768"/>
      <c r="K119" s="768"/>
      <c r="L119" s="768"/>
      <c r="M119" s="768"/>
      <c r="N119" s="768"/>
      <c r="O119" s="768"/>
      <c r="P119" s="768"/>
      <c r="Q119" s="768"/>
      <c r="R119" s="530"/>
    </row>
    <row r="120" spans="1:18" ht="38.25">
      <c r="A120" s="1285" t="s">
        <v>543</v>
      </c>
      <c r="B120" s="1286"/>
      <c r="C120" s="1286"/>
      <c r="D120" s="1286"/>
      <c r="E120" s="1286"/>
      <c r="F120" s="1286"/>
      <c r="G120" s="1061" t="str">
        <f>+C122</f>
        <v>Outstanding Network Credits</v>
      </c>
      <c r="H120" s="1307" t="s">
        <v>156</v>
      </c>
      <c r="I120" s="1308"/>
      <c r="J120" s="1308"/>
      <c r="K120" s="1308"/>
      <c r="L120" s="1308"/>
      <c r="M120" s="1308"/>
      <c r="N120" s="1308"/>
      <c r="O120" s="1308"/>
      <c r="P120" s="1308"/>
      <c r="Q120" s="1309"/>
      <c r="R120" s="529"/>
    </row>
    <row r="121" spans="1:18">
      <c r="A121" s="515"/>
      <c r="B121" s="546" t="s">
        <v>112</v>
      </c>
      <c r="C121" s="522"/>
      <c r="D121" s="601"/>
      <c r="E121" s="573"/>
      <c r="F121" s="623"/>
      <c r="G121" s="516" t="s">
        <v>143</v>
      </c>
      <c r="H121" s="502"/>
      <c r="I121" s="502"/>
      <c r="J121" s="519"/>
      <c r="K121" s="519"/>
      <c r="L121" s="519"/>
      <c r="M121" s="519"/>
      <c r="N121" s="519"/>
      <c r="O121" s="519"/>
      <c r="P121" s="519"/>
      <c r="Q121" s="520"/>
      <c r="R121" s="529"/>
    </row>
    <row r="122" spans="1:18" ht="12.75" customHeight="1">
      <c r="A122" s="539">
        <f>+'Appendix A - TSRR Summary'!A97</f>
        <v>53</v>
      </c>
      <c r="B122" s="547"/>
      <c r="C122" s="166" t="str">
        <f>+'Appendix A - TSRR Summary'!C97</f>
        <v>Outstanding Network Credits</v>
      </c>
      <c r="D122" s="547"/>
      <c r="E122" s="502"/>
      <c r="F122" s="547" t="str">
        <f>+'Appendix A - TSRR Summary'!E97</f>
        <v>(Note N)</v>
      </c>
      <c r="G122" s="1013">
        <v>0</v>
      </c>
      <c r="H122" s="1334" t="s">
        <v>617</v>
      </c>
      <c r="I122" s="1276"/>
      <c r="J122" s="1276"/>
      <c r="K122" s="1276"/>
      <c r="L122" s="1276"/>
      <c r="M122" s="1276"/>
      <c r="N122" s="1276"/>
      <c r="O122" s="1276"/>
      <c r="P122" s="1276"/>
      <c r="Q122" s="1277"/>
      <c r="R122" s="529"/>
    </row>
    <row r="123" spans="1:18">
      <c r="A123" s="539"/>
      <c r="B123" s="547"/>
      <c r="C123" s="166"/>
      <c r="D123" s="547"/>
      <c r="E123" s="502"/>
      <c r="F123" s="540"/>
      <c r="G123" s="991"/>
      <c r="H123" s="247"/>
      <c r="I123" s="247"/>
      <c r="J123" s="512"/>
      <c r="K123" s="512"/>
      <c r="L123" s="512"/>
      <c r="M123" s="512"/>
      <c r="N123" s="512"/>
      <c r="O123" s="512"/>
      <c r="P123" s="512"/>
      <c r="Q123" s="521"/>
      <c r="R123" s="529"/>
    </row>
    <row r="124" spans="1:18">
      <c r="A124" s="539"/>
      <c r="B124" s="547"/>
      <c r="C124" s="166"/>
      <c r="D124" s="547"/>
      <c r="E124" s="502"/>
      <c r="F124" s="540"/>
      <c r="G124" s="992">
        <f>SUM(G122:G123)</f>
        <v>0</v>
      </c>
      <c r="H124" s="1276" t="s">
        <v>447</v>
      </c>
      <c r="I124" s="1276"/>
      <c r="J124" s="1276"/>
      <c r="K124" s="1276"/>
      <c r="L124" s="1276"/>
      <c r="M124" s="1276"/>
      <c r="N124" s="1276"/>
      <c r="O124" s="1276"/>
      <c r="P124" s="1276"/>
      <c r="Q124" s="1277"/>
      <c r="R124" s="529"/>
    </row>
    <row r="125" spans="1:18" ht="13.5" thickBot="1">
      <c r="A125" s="577"/>
      <c r="B125" s="578"/>
      <c r="C125" s="578"/>
      <c r="D125" s="578"/>
      <c r="E125" s="567"/>
      <c r="F125" s="611"/>
      <c r="G125" s="609"/>
      <c r="H125" s="523"/>
      <c r="I125" s="523"/>
      <c r="J125" s="619"/>
      <c r="K125" s="1078" t="s">
        <v>154</v>
      </c>
      <c r="L125" s="616"/>
      <c r="M125" s="616"/>
      <c r="N125" s="616"/>
      <c r="O125" s="616"/>
      <c r="P125" s="616"/>
      <c r="Q125" s="617"/>
      <c r="R125" s="529"/>
    </row>
    <row r="126" spans="1:18">
      <c r="A126" s="529"/>
      <c r="B126" s="529"/>
      <c r="C126" s="529"/>
      <c r="D126" s="529"/>
      <c r="E126" s="529"/>
      <c r="F126" s="529"/>
      <c r="G126" s="529"/>
      <c r="H126" s="529"/>
      <c r="I126" s="529"/>
      <c r="J126" s="614"/>
      <c r="K126" s="614"/>
      <c r="L126" s="614"/>
      <c r="M126" s="614"/>
      <c r="N126" s="614"/>
      <c r="O126" s="614"/>
      <c r="P126" s="614"/>
      <c r="Q126" s="614"/>
      <c r="R126" s="529"/>
    </row>
    <row r="127" spans="1:18">
      <c r="A127" s="529"/>
      <c r="B127" s="529"/>
      <c r="C127" s="529"/>
      <c r="D127" s="529"/>
      <c r="E127" s="529"/>
      <c r="F127" s="529"/>
      <c r="G127" s="529"/>
      <c r="H127" s="529"/>
      <c r="I127" s="529"/>
      <c r="J127" s="614"/>
      <c r="K127" s="614"/>
      <c r="L127" s="614"/>
      <c r="M127" s="614"/>
      <c r="N127" s="614"/>
      <c r="O127" s="614"/>
      <c r="P127" s="614"/>
      <c r="Q127" s="614"/>
      <c r="R127" s="529"/>
    </row>
    <row r="128" spans="1:18" s="276" customFormat="1" ht="18.75" thickBot="1">
      <c r="A128" s="1060" t="s">
        <v>541</v>
      </c>
      <c r="B128" s="762"/>
      <c r="C128" s="762"/>
      <c r="D128" s="762"/>
      <c r="E128" s="762"/>
      <c r="F128" s="762"/>
      <c r="G128" s="762"/>
      <c r="H128" s="762"/>
      <c r="I128" s="762"/>
      <c r="J128" s="768"/>
      <c r="K128" s="768"/>
      <c r="L128" s="768"/>
      <c r="M128" s="768"/>
      <c r="N128" s="768"/>
      <c r="O128" s="768"/>
      <c r="P128" s="768"/>
      <c r="Q128" s="768"/>
      <c r="R128" s="530"/>
    </row>
    <row r="129" spans="1:246" ht="35.25" customHeight="1">
      <c r="A129" s="1285" t="s">
        <v>543</v>
      </c>
      <c r="B129" s="1286"/>
      <c r="C129" s="1286"/>
      <c r="D129" s="1286"/>
      <c r="E129" s="1286"/>
      <c r="F129" s="1286"/>
      <c r="G129" s="1061" t="s">
        <v>447</v>
      </c>
      <c r="H129" s="1062" t="s">
        <v>309</v>
      </c>
      <c r="I129" s="1062" t="s">
        <v>133</v>
      </c>
      <c r="J129" s="1269" t="s">
        <v>59</v>
      </c>
      <c r="K129" s="1270"/>
      <c r="L129" s="1270"/>
      <c r="M129" s="1270"/>
      <c r="N129" s="1270"/>
      <c r="O129" s="1270"/>
      <c r="P129" s="1270"/>
      <c r="Q129" s="1271"/>
      <c r="R129" s="529"/>
      <c r="S129" s="166"/>
      <c r="T129" s="547"/>
      <c r="U129" s="547"/>
      <c r="V129" s="547"/>
      <c r="W129" s="166"/>
      <c r="X129" s="547"/>
      <c r="Y129" s="547"/>
      <c r="Z129" s="547"/>
      <c r="AA129" s="547"/>
      <c r="AB129" s="547"/>
      <c r="AC129" s="166"/>
      <c r="AD129" s="547"/>
      <c r="AE129" s="547"/>
      <c r="AF129" s="547"/>
      <c r="AG129" s="547"/>
      <c r="AH129" s="547"/>
      <c r="AI129" s="166"/>
      <c r="AJ129" s="547"/>
      <c r="AK129" s="547"/>
      <c r="AL129" s="547"/>
      <c r="AM129" s="547"/>
      <c r="AN129" s="547"/>
      <c r="AO129" s="166"/>
      <c r="AP129" s="547"/>
      <c r="AQ129" s="547"/>
      <c r="AR129" s="547"/>
      <c r="AS129" s="547"/>
      <c r="AT129" s="547"/>
      <c r="AU129" s="166"/>
      <c r="AV129" s="547"/>
      <c r="AW129" s="547"/>
      <c r="AX129" s="547"/>
      <c r="AY129" s="547"/>
      <c r="AZ129" s="547"/>
      <c r="BA129" s="166"/>
      <c r="BB129" s="547"/>
      <c r="BC129" s="547"/>
      <c r="BD129" s="547"/>
      <c r="BE129" s="547"/>
      <c r="BF129" s="547"/>
      <c r="BG129" s="166"/>
      <c r="BH129" s="547"/>
      <c r="BI129" s="547"/>
      <c r="BJ129" s="547"/>
      <c r="BK129" s="547"/>
      <c r="BL129" s="547"/>
      <c r="BM129" s="166"/>
      <c r="BN129" s="547"/>
      <c r="BO129" s="547"/>
      <c r="BP129" s="547"/>
      <c r="BQ129" s="547"/>
      <c r="BR129" s="547"/>
      <c r="BS129" s="166"/>
      <c r="BT129" s="547"/>
      <c r="BU129" s="547"/>
      <c r="BV129" s="547"/>
      <c r="BW129" s="547"/>
      <c r="BX129" s="547"/>
      <c r="BY129" s="166"/>
      <c r="BZ129" s="547"/>
      <c r="CA129" s="547"/>
      <c r="CB129" s="547"/>
      <c r="CC129" s="547"/>
      <c r="CD129" s="547"/>
      <c r="CE129" s="166"/>
      <c r="CF129" s="547"/>
      <c r="CG129" s="547"/>
      <c r="CH129" s="547"/>
      <c r="CI129" s="547"/>
      <c r="CJ129" s="547"/>
      <c r="CK129" s="166"/>
      <c r="CL129" s="547"/>
      <c r="CM129" s="547"/>
      <c r="CN129" s="547"/>
      <c r="CO129" s="547"/>
      <c r="CP129" s="547"/>
      <c r="CQ129" s="166"/>
      <c r="CR129" s="547"/>
      <c r="CS129" s="547"/>
      <c r="CT129" s="547"/>
      <c r="CU129" s="547"/>
      <c r="CV129" s="547"/>
      <c r="CW129" s="166"/>
      <c r="CX129" s="547"/>
      <c r="CY129" s="547"/>
      <c r="CZ129" s="547"/>
      <c r="DA129" s="547"/>
      <c r="DB129" s="547"/>
      <c r="DC129" s="166"/>
      <c r="DD129" s="547"/>
      <c r="DE129" s="547"/>
      <c r="DF129" s="547"/>
      <c r="DG129" s="547"/>
      <c r="DH129" s="547"/>
      <c r="DI129" s="166"/>
      <c r="DJ129" s="547"/>
      <c r="DK129" s="547"/>
      <c r="DL129" s="547"/>
      <c r="DM129" s="547"/>
      <c r="DN129" s="547"/>
      <c r="DO129" s="166"/>
      <c r="DP129" s="547"/>
      <c r="DQ129" s="547"/>
      <c r="DR129" s="547"/>
      <c r="DS129" s="547"/>
      <c r="DT129" s="547"/>
      <c r="DU129" s="166"/>
      <c r="DV129" s="547"/>
      <c r="DW129" s="547"/>
      <c r="DX129" s="547"/>
      <c r="DY129" s="547"/>
      <c r="DZ129" s="547"/>
      <c r="EA129" s="166"/>
      <c r="EB129" s="547"/>
      <c r="EC129" s="547"/>
      <c r="ED129" s="547"/>
      <c r="EE129" s="547"/>
      <c r="EF129" s="547"/>
      <c r="EG129" s="166"/>
      <c r="EH129" s="547"/>
      <c r="EI129" s="547"/>
      <c r="EJ129" s="547"/>
      <c r="EK129" s="547"/>
      <c r="EL129" s="547"/>
      <c r="EM129" s="166"/>
      <c r="EN129" s="547"/>
      <c r="EO129" s="547"/>
      <c r="EP129" s="547"/>
      <c r="EQ129" s="547"/>
      <c r="ER129" s="547"/>
      <c r="ES129" s="166"/>
      <c r="ET129" s="547"/>
      <c r="EU129" s="547"/>
      <c r="EV129" s="547"/>
      <c r="EW129" s="547"/>
      <c r="EX129" s="547"/>
      <c r="EY129" s="166"/>
      <c r="EZ129" s="547"/>
      <c r="FA129" s="547"/>
      <c r="FB129" s="547"/>
      <c r="FC129" s="547"/>
      <c r="FD129" s="547"/>
      <c r="FE129" s="166"/>
      <c r="FF129" s="547"/>
      <c r="FG129" s="547"/>
      <c r="FH129" s="547"/>
      <c r="FI129" s="547"/>
      <c r="FJ129" s="547"/>
      <c r="FK129" s="166"/>
      <c r="FL129" s="547"/>
      <c r="FM129" s="547"/>
      <c r="FN129" s="547"/>
      <c r="FO129" s="547"/>
      <c r="FP129" s="547"/>
      <c r="FQ129" s="166"/>
      <c r="FR129" s="547"/>
      <c r="FS129" s="547"/>
      <c r="FT129" s="547"/>
      <c r="FU129" s="547"/>
      <c r="FV129" s="547"/>
      <c r="FW129" s="166"/>
      <c r="FX129" s="547"/>
      <c r="FY129" s="547"/>
      <c r="FZ129" s="547"/>
      <c r="GA129" s="547"/>
      <c r="GB129" s="547"/>
      <c r="GC129" s="166"/>
      <c r="GD129" s="547"/>
      <c r="GE129" s="547"/>
      <c r="GF129" s="547"/>
      <c r="GG129" s="547"/>
      <c r="GH129" s="547"/>
      <c r="GI129" s="166"/>
      <c r="GJ129" s="547"/>
      <c r="GK129" s="547"/>
      <c r="GL129" s="547"/>
      <c r="GM129" s="547"/>
      <c r="GN129" s="547"/>
      <c r="GO129" s="166"/>
      <c r="GP129" s="547"/>
      <c r="GQ129" s="547"/>
      <c r="GR129" s="547"/>
      <c r="GS129" s="547"/>
      <c r="GT129" s="547"/>
      <c r="GU129" s="166"/>
      <c r="GV129" s="547"/>
      <c r="GW129" s="547"/>
      <c r="GX129" s="547"/>
      <c r="GY129" s="547"/>
      <c r="GZ129" s="547"/>
      <c r="HA129" s="166"/>
      <c r="HB129" s="547"/>
      <c r="HC129" s="547"/>
      <c r="HD129" s="547"/>
      <c r="HE129" s="547"/>
      <c r="HF129" s="547"/>
      <c r="HG129" s="166"/>
      <c r="HH129" s="547"/>
      <c r="HI129" s="547"/>
      <c r="HJ129" s="547"/>
      <c r="HK129" s="547"/>
      <c r="HL129" s="547"/>
      <c r="HM129" s="166"/>
      <c r="HN129" s="547"/>
      <c r="HO129" s="547"/>
      <c r="HP129" s="547"/>
      <c r="HQ129" s="547"/>
      <c r="HR129" s="547"/>
      <c r="HS129" s="166"/>
      <c r="HT129" s="547"/>
      <c r="HU129" s="547"/>
      <c r="HV129" s="547"/>
      <c r="HW129" s="547"/>
      <c r="HX129" s="547"/>
      <c r="HY129" s="166"/>
      <c r="HZ129" s="547"/>
      <c r="IA129" s="547"/>
      <c r="IB129" s="547"/>
      <c r="IC129" s="547"/>
      <c r="ID129" s="547"/>
      <c r="IE129" s="166"/>
      <c r="IF129" s="547"/>
      <c r="IG129" s="547"/>
      <c r="IH129" s="547"/>
      <c r="II129" s="547"/>
      <c r="IJ129" s="547"/>
      <c r="IK129" s="166"/>
      <c r="IL129" s="547"/>
    </row>
    <row r="130" spans="1:246">
      <c r="A130" s="539"/>
      <c r="B130" s="547"/>
      <c r="C130" s="166"/>
      <c r="D130" s="547"/>
      <c r="E130" s="547"/>
      <c r="F130" s="547"/>
      <c r="G130" s="539"/>
      <c r="H130" s="547"/>
      <c r="I130" s="166"/>
      <c r="J130" s="1314"/>
      <c r="K130" s="1314"/>
      <c r="L130" s="1314"/>
      <c r="M130" s="1314"/>
      <c r="N130" s="1314"/>
      <c r="O130" s="1314"/>
      <c r="P130" s="1314"/>
      <c r="Q130" s="1315"/>
      <c r="R130" s="533"/>
      <c r="S130" s="166"/>
      <c r="T130" s="547"/>
      <c r="U130" s="547"/>
      <c r="V130" s="547"/>
      <c r="W130" s="166"/>
      <c r="X130" s="547"/>
      <c r="Y130" s="547"/>
      <c r="Z130" s="547"/>
      <c r="AA130" s="547"/>
      <c r="AB130" s="547"/>
      <c r="AC130" s="166"/>
      <c r="AD130" s="547"/>
      <c r="AE130" s="547"/>
      <c r="AF130" s="547"/>
      <c r="AG130" s="547"/>
      <c r="AH130" s="547"/>
      <c r="AI130" s="166"/>
      <c r="AJ130" s="547"/>
      <c r="AK130" s="547"/>
      <c r="AL130" s="547"/>
      <c r="AM130" s="547"/>
      <c r="AN130" s="547"/>
      <c r="AO130" s="166"/>
      <c r="AP130" s="547"/>
      <c r="AQ130" s="547"/>
      <c r="AR130" s="547"/>
      <c r="AS130" s="547"/>
      <c r="AT130" s="547"/>
      <c r="AU130" s="166"/>
      <c r="AV130" s="547"/>
      <c r="AW130" s="547"/>
      <c r="AX130" s="547"/>
      <c r="AY130" s="547"/>
      <c r="AZ130" s="547"/>
      <c r="BA130" s="166"/>
      <c r="BB130" s="547"/>
      <c r="BC130" s="547"/>
      <c r="BD130" s="547"/>
      <c r="BE130" s="547"/>
      <c r="BF130" s="547"/>
      <c r="BG130" s="166"/>
      <c r="BH130" s="547"/>
      <c r="BI130" s="547"/>
      <c r="BJ130" s="547"/>
      <c r="BK130" s="547"/>
      <c r="BL130" s="547"/>
      <c r="BM130" s="166"/>
      <c r="BN130" s="547"/>
      <c r="BO130" s="547"/>
      <c r="BP130" s="547"/>
      <c r="BQ130" s="547"/>
      <c r="BR130" s="547"/>
      <c r="BS130" s="166"/>
      <c r="BT130" s="547"/>
      <c r="BU130" s="547"/>
      <c r="BV130" s="547"/>
      <c r="BW130" s="547"/>
      <c r="BX130" s="547"/>
      <c r="BY130" s="166"/>
      <c r="BZ130" s="547"/>
      <c r="CA130" s="547"/>
      <c r="CB130" s="547"/>
      <c r="CC130" s="547"/>
      <c r="CD130" s="547"/>
      <c r="CE130" s="166"/>
      <c r="CF130" s="547"/>
      <c r="CG130" s="547"/>
      <c r="CH130" s="547"/>
      <c r="CI130" s="547"/>
      <c r="CJ130" s="547"/>
      <c r="CK130" s="166"/>
      <c r="CL130" s="547"/>
      <c r="CM130" s="547"/>
      <c r="CN130" s="547"/>
      <c r="CO130" s="547"/>
      <c r="CP130" s="547"/>
      <c r="CQ130" s="166"/>
      <c r="CR130" s="547"/>
      <c r="CS130" s="547"/>
      <c r="CT130" s="547"/>
      <c r="CU130" s="547"/>
      <c r="CV130" s="547"/>
      <c r="CW130" s="166"/>
      <c r="CX130" s="547"/>
      <c r="CY130" s="547"/>
      <c r="CZ130" s="547"/>
      <c r="DA130" s="547"/>
      <c r="DB130" s="547"/>
      <c r="DC130" s="166"/>
      <c r="DD130" s="547"/>
      <c r="DE130" s="547"/>
      <c r="DF130" s="547"/>
      <c r="DG130" s="547"/>
      <c r="DH130" s="547"/>
      <c r="DI130" s="166"/>
      <c r="DJ130" s="547"/>
      <c r="DK130" s="547"/>
      <c r="DL130" s="547"/>
      <c r="DM130" s="547"/>
      <c r="DN130" s="547"/>
      <c r="DO130" s="166"/>
      <c r="DP130" s="547"/>
      <c r="DQ130" s="547"/>
      <c r="DR130" s="547"/>
      <c r="DS130" s="547"/>
      <c r="DT130" s="547"/>
      <c r="DU130" s="166"/>
      <c r="DV130" s="547"/>
      <c r="DW130" s="547"/>
      <c r="DX130" s="547"/>
      <c r="DY130" s="547"/>
      <c r="DZ130" s="547"/>
      <c r="EA130" s="166"/>
      <c r="EB130" s="547"/>
      <c r="EC130" s="547"/>
      <c r="ED130" s="547"/>
      <c r="EE130" s="547"/>
      <c r="EF130" s="547"/>
      <c r="EG130" s="166"/>
      <c r="EH130" s="547"/>
      <c r="EI130" s="547"/>
      <c r="EJ130" s="547"/>
      <c r="EK130" s="547"/>
      <c r="EL130" s="547"/>
      <c r="EM130" s="166"/>
      <c r="EN130" s="547"/>
      <c r="EO130" s="547"/>
      <c r="EP130" s="547"/>
      <c r="EQ130" s="547"/>
      <c r="ER130" s="547"/>
      <c r="ES130" s="166"/>
      <c r="ET130" s="547"/>
      <c r="EU130" s="547"/>
      <c r="EV130" s="547"/>
      <c r="EW130" s="547"/>
      <c r="EX130" s="547"/>
      <c r="EY130" s="166"/>
      <c r="EZ130" s="547"/>
      <c r="FA130" s="547"/>
      <c r="FB130" s="547"/>
      <c r="FC130" s="547"/>
      <c r="FD130" s="547"/>
      <c r="FE130" s="166"/>
      <c r="FF130" s="547"/>
      <c r="FG130" s="547"/>
      <c r="FH130" s="547"/>
      <c r="FI130" s="547"/>
      <c r="FJ130" s="547"/>
      <c r="FK130" s="166"/>
      <c r="FL130" s="547"/>
      <c r="FM130" s="547"/>
      <c r="FN130" s="547"/>
      <c r="FO130" s="547"/>
      <c r="FP130" s="547"/>
      <c r="FQ130" s="166"/>
      <c r="FR130" s="547"/>
      <c r="FS130" s="547"/>
      <c r="FT130" s="547"/>
      <c r="FU130" s="547"/>
      <c r="FV130" s="547"/>
      <c r="FW130" s="166"/>
      <c r="FX130" s="547"/>
      <c r="FY130" s="547"/>
      <c r="FZ130" s="547"/>
      <c r="GA130" s="547"/>
      <c r="GB130" s="547"/>
      <c r="GC130" s="166"/>
      <c r="GD130" s="547"/>
      <c r="GE130" s="547"/>
      <c r="GF130" s="547"/>
      <c r="GG130" s="547"/>
      <c r="GH130" s="547"/>
      <c r="GI130" s="166"/>
      <c r="GJ130" s="547"/>
      <c r="GK130" s="547"/>
      <c r="GL130" s="547"/>
      <c r="GM130" s="547"/>
      <c r="GN130" s="547"/>
      <c r="GO130" s="166"/>
      <c r="GP130" s="547"/>
      <c r="GQ130" s="547"/>
      <c r="GR130" s="547"/>
      <c r="GS130" s="547"/>
      <c r="GT130" s="547"/>
      <c r="GU130" s="166"/>
      <c r="GV130" s="547"/>
      <c r="GW130" s="547"/>
      <c r="GX130" s="547"/>
      <c r="GY130" s="547"/>
      <c r="GZ130" s="547"/>
      <c r="HA130" s="166"/>
      <c r="HB130" s="547"/>
      <c r="HC130" s="547"/>
      <c r="HD130" s="547"/>
      <c r="HE130" s="547"/>
      <c r="HF130" s="547"/>
      <c r="HG130" s="166"/>
      <c r="HH130" s="547"/>
      <c r="HI130" s="547"/>
      <c r="HJ130" s="547"/>
      <c r="HK130" s="547"/>
      <c r="HL130" s="547"/>
      <c r="HM130" s="166"/>
      <c r="HN130" s="547"/>
      <c r="HO130" s="547"/>
      <c r="HP130" s="547"/>
      <c r="HQ130" s="547"/>
      <c r="HR130" s="547"/>
      <c r="HS130" s="166"/>
      <c r="HT130" s="547"/>
      <c r="HU130" s="547"/>
      <c r="HV130" s="547"/>
      <c r="HW130" s="547"/>
      <c r="HX130" s="547"/>
      <c r="HY130" s="166"/>
      <c r="HZ130" s="547"/>
      <c r="IA130" s="547"/>
      <c r="IB130" s="547"/>
      <c r="IC130" s="547"/>
      <c r="ID130" s="547"/>
      <c r="IE130" s="166"/>
      <c r="IF130" s="547"/>
      <c r="IG130" s="547"/>
      <c r="IH130" s="547"/>
      <c r="II130" s="547"/>
      <c r="IJ130" s="547"/>
      <c r="IK130" s="166"/>
      <c r="IL130" s="547"/>
    </row>
    <row r="131" spans="1:246" s="276" customFormat="1">
      <c r="A131" s="539">
        <f>'Appendix A - TSRR Summary'!A106</f>
        <v>56</v>
      </c>
      <c r="B131" s="547"/>
      <c r="C131" s="166" t="str">
        <f>'Appendix A - TSRR Summary'!C106</f>
        <v>Transmission O&amp;M</v>
      </c>
      <c r="D131" s="547"/>
      <c r="E131" s="1213"/>
      <c r="F131" s="811" t="s">
        <v>87</v>
      </c>
      <c r="G131" s="1079">
        <v>1901717</v>
      </c>
      <c r="H131" s="1080">
        <f>-81505-14657</f>
        <v>-96162</v>
      </c>
      <c r="I131" s="548">
        <f>G131+H131</f>
        <v>1805555</v>
      </c>
      <c r="J131" s="1319" t="s">
        <v>657</v>
      </c>
      <c r="K131" s="1319"/>
      <c r="L131" s="1319"/>
      <c r="M131" s="1319"/>
      <c r="N131" s="1319"/>
      <c r="O131" s="1319"/>
      <c r="P131" s="1319"/>
      <c r="Q131" s="1320"/>
      <c r="R131" s="589"/>
      <c r="S131" s="527"/>
      <c r="T131" s="481"/>
      <c r="U131" s="481"/>
      <c r="V131" s="481"/>
      <c r="W131" s="527"/>
      <c r="X131" s="481"/>
      <c r="Y131" s="481"/>
      <c r="Z131" s="481"/>
      <c r="AA131" s="481"/>
      <c r="AB131" s="481"/>
      <c r="AC131" s="527"/>
      <c r="AD131" s="481"/>
      <c r="AE131" s="481"/>
      <c r="AF131" s="481"/>
      <c r="AG131" s="481"/>
      <c r="AH131" s="481"/>
      <c r="AI131" s="527"/>
      <c r="AJ131" s="481"/>
      <c r="AK131" s="481"/>
      <c r="AL131" s="481"/>
      <c r="AM131" s="481"/>
      <c r="AN131" s="481"/>
      <c r="AO131" s="527"/>
      <c r="AP131" s="481"/>
      <c r="AQ131" s="481"/>
      <c r="AR131" s="481"/>
      <c r="AS131" s="481"/>
      <c r="AT131" s="481"/>
      <c r="AU131" s="527"/>
      <c r="AV131" s="481"/>
      <c r="AW131" s="481"/>
      <c r="AX131" s="481"/>
      <c r="AY131" s="481"/>
      <c r="AZ131" s="481"/>
      <c r="BA131" s="527"/>
      <c r="BB131" s="481"/>
      <c r="BC131" s="481"/>
      <c r="BD131" s="481"/>
      <c r="BE131" s="481"/>
      <c r="BF131" s="481"/>
      <c r="BG131" s="527"/>
      <c r="BH131" s="481"/>
      <c r="BI131" s="481"/>
      <c r="BJ131" s="481"/>
      <c r="BK131" s="481"/>
      <c r="BL131" s="481"/>
      <c r="BM131" s="527"/>
      <c r="BN131" s="481"/>
      <c r="BO131" s="481"/>
      <c r="BP131" s="481"/>
      <c r="BQ131" s="481"/>
      <c r="BR131" s="481"/>
      <c r="BS131" s="527"/>
      <c r="BT131" s="481"/>
      <c r="BU131" s="481"/>
      <c r="BV131" s="481"/>
      <c r="BW131" s="481"/>
      <c r="BX131" s="481"/>
      <c r="BY131" s="527"/>
      <c r="BZ131" s="481"/>
      <c r="CA131" s="481"/>
      <c r="CB131" s="481"/>
      <c r="CC131" s="481"/>
      <c r="CD131" s="481"/>
      <c r="CE131" s="527"/>
      <c r="CF131" s="481"/>
      <c r="CG131" s="481"/>
      <c r="CH131" s="481"/>
      <c r="CI131" s="481"/>
      <c r="CJ131" s="481"/>
      <c r="CK131" s="527"/>
      <c r="CL131" s="481"/>
      <c r="CM131" s="481"/>
      <c r="CN131" s="481"/>
      <c r="CO131" s="481"/>
      <c r="CP131" s="481"/>
      <c r="CQ131" s="527"/>
      <c r="CR131" s="481"/>
      <c r="CS131" s="481"/>
      <c r="CT131" s="481"/>
      <c r="CU131" s="481"/>
      <c r="CV131" s="481"/>
      <c r="CW131" s="527"/>
      <c r="CX131" s="481"/>
      <c r="CY131" s="481"/>
      <c r="CZ131" s="481"/>
      <c r="DA131" s="481"/>
      <c r="DB131" s="481"/>
      <c r="DC131" s="527"/>
      <c r="DD131" s="481"/>
      <c r="DE131" s="481"/>
      <c r="DF131" s="481"/>
      <c r="DG131" s="481"/>
      <c r="DH131" s="481"/>
      <c r="DI131" s="527"/>
      <c r="DJ131" s="481"/>
      <c r="DK131" s="481"/>
      <c r="DL131" s="481"/>
      <c r="DM131" s="481"/>
      <c r="DN131" s="481"/>
      <c r="DO131" s="527"/>
      <c r="DP131" s="481"/>
      <c r="DQ131" s="481"/>
      <c r="DR131" s="481"/>
      <c r="DS131" s="481"/>
      <c r="DT131" s="481"/>
      <c r="DU131" s="527"/>
      <c r="DV131" s="481"/>
      <c r="DW131" s="481"/>
      <c r="DX131" s="481"/>
      <c r="DY131" s="481"/>
      <c r="DZ131" s="481"/>
      <c r="EA131" s="527"/>
      <c r="EB131" s="481"/>
      <c r="EC131" s="481"/>
      <c r="ED131" s="481"/>
      <c r="EE131" s="481"/>
      <c r="EF131" s="481"/>
      <c r="EG131" s="527"/>
      <c r="EH131" s="481"/>
      <c r="EI131" s="481"/>
      <c r="EJ131" s="481"/>
      <c r="EK131" s="481"/>
      <c r="EL131" s="481"/>
      <c r="EM131" s="527"/>
      <c r="EN131" s="481"/>
      <c r="EO131" s="481"/>
      <c r="EP131" s="481"/>
      <c r="EQ131" s="481"/>
      <c r="ER131" s="481"/>
      <c r="ES131" s="527"/>
      <c r="ET131" s="481"/>
      <c r="EU131" s="481"/>
      <c r="EV131" s="481"/>
      <c r="EW131" s="481"/>
      <c r="EX131" s="481"/>
      <c r="EY131" s="527"/>
      <c r="EZ131" s="481"/>
      <c r="FA131" s="481"/>
      <c r="FB131" s="481"/>
      <c r="FC131" s="481"/>
      <c r="FD131" s="481"/>
      <c r="FE131" s="527"/>
      <c r="FF131" s="481"/>
      <c r="FG131" s="481"/>
      <c r="FH131" s="481"/>
      <c r="FI131" s="481"/>
      <c r="FJ131" s="481"/>
      <c r="FK131" s="527"/>
      <c r="FL131" s="481"/>
      <c r="FM131" s="481"/>
      <c r="FN131" s="481"/>
      <c r="FO131" s="481"/>
      <c r="FP131" s="481"/>
      <c r="FQ131" s="527"/>
      <c r="FR131" s="481"/>
      <c r="FS131" s="481"/>
      <c r="FT131" s="481"/>
      <c r="FU131" s="481"/>
      <c r="FV131" s="481"/>
      <c r="FW131" s="527"/>
      <c r="FX131" s="481"/>
      <c r="FY131" s="481"/>
      <c r="FZ131" s="481"/>
      <c r="GA131" s="481"/>
      <c r="GB131" s="481"/>
      <c r="GC131" s="527"/>
      <c r="GD131" s="481"/>
      <c r="GE131" s="481"/>
      <c r="GF131" s="481"/>
      <c r="GG131" s="481"/>
      <c r="GH131" s="481"/>
      <c r="GI131" s="527"/>
      <c r="GJ131" s="481"/>
      <c r="GK131" s="481"/>
      <c r="GL131" s="481"/>
      <c r="GM131" s="481"/>
      <c r="GN131" s="481"/>
      <c r="GO131" s="527"/>
      <c r="GP131" s="481"/>
      <c r="GQ131" s="481"/>
      <c r="GR131" s="481"/>
      <c r="GS131" s="481"/>
      <c r="GT131" s="481"/>
      <c r="GU131" s="527"/>
      <c r="GV131" s="481"/>
      <c r="GW131" s="481"/>
      <c r="GX131" s="481"/>
      <c r="GY131" s="481"/>
      <c r="GZ131" s="481"/>
      <c r="HA131" s="527"/>
      <c r="HB131" s="481"/>
      <c r="HC131" s="481"/>
      <c r="HD131" s="481"/>
      <c r="HE131" s="481"/>
      <c r="HF131" s="481"/>
      <c r="HG131" s="527"/>
      <c r="HH131" s="481"/>
      <c r="HI131" s="481"/>
      <c r="HJ131" s="481"/>
      <c r="HK131" s="481"/>
      <c r="HL131" s="481"/>
      <c r="HM131" s="527"/>
      <c r="HN131" s="481"/>
      <c r="HO131" s="481"/>
      <c r="HP131" s="481"/>
      <c r="HQ131" s="481"/>
      <c r="HR131" s="481"/>
      <c r="HS131" s="527"/>
      <c r="HT131" s="481"/>
      <c r="HU131" s="481"/>
      <c r="HV131" s="481"/>
      <c r="HW131" s="481"/>
      <c r="HX131" s="481"/>
      <c r="HY131" s="527"/>
      <c r="HZ131" s="481"/>
      <c r="IA131" s="481"/>
      <c r="IB131" s="481"/>
      <c r="IC131" s="481"/>
      <c r="ID131" s="481"/>
      <c r="IE131" s="527"/>
      <c r="IF131" s="481"/>
      <c r="IG131" s="481"/>
      <c r="IH131" s="481"/>
      <c r="II131" s="481"/>
      <c r="IJ131" s="481"/>
      <c r="IK131" s="527"/>
      <c r="IL131" s="481"/>
    </row>
    <row r="132" spans="1:246" s="276" customFormat="1">
      <c r="A132" s="542"/>
      <c r="B132" s="481"/>
      <c r="C132" s="527"/>
      <c r="D132" s="481"/>
      <c r="E132" s="540"/>
      <c r="F132" s="811"/>
      <c r="G132" s="743"/>
      <c r="H132" s="505"/>
      <c r="I132" s="548"/>
      <c r="J132" s="1318"/>
      <c r="K132" s="1310"/>
      <c r="L132" s="1310"/>
      <c r="M132" s="1310"/>
      <c r="N132" s="1310"/>
      <c r="O132" s="1310"/>
      <c r="P132" s="1310"/>
      <c r="Q132" s="1311"/>
      <c r="R132" s="589"/>
      <c r="S132" s="527"/>
      <c r="T132" s="481"/>
      <c r="U132" s="481"/>
      <c r="V132" s="481"/>
      <c r="W132" s="527"/>
      <c r="X132" s="481"/>
      <c r="Y132" s="481"/>
      <c r="Z132" s="481"/>
      <c r="AA132" s="481"/>
      <c r="AB132" s="481"/>
      <c r="AC132" s="527"/>
      <c r="AD132" s="481"/>
      <c r="AE132" s="481"/>
      <c r="AF132" s="481"/>
      <c r="AG132" s="481"/>
      <c r="AH132" s="481"/>
      <c r="AI132" s="527"/>
      <c r="AJ132" s="481"/>
      <c r="AK132" s="481"/>
      <c r="AL132" s="481"/>
      <c r="AM132" s="481"/>
      <c r="AN132" s="481"/>
      <c r="AO132" s="527"/>
      <c r="AP132" s="481"/>
      <c r="AQ132" s="481"/>
      <c r="AR132" s="481"/>
      <c r="AS132" s="481"/>
      <c r="AT132" s="481"/>
      <c r="AU132" s="527"/>
      <c r="AV132" s="481"/>
      <c r="AW132" s="481"/>
      <c r="AX132" s="481"/>
      <c r="AY132" s="481"/>
      <c r="AZ132" s="481"/>
      <c r="BA132" s="527"/>
      <c r="BB132" s="481"/>
      <c r="BC132" s="481"/>
      <c r="BD132" s="481"/>
      <c r="BE132" s="481"/>
      <c r="BF132" s="481"/>
      <c r="BG132" s="527"/>
      <c r="BH132" s="481"/>
      <c r="BI132" s="481"/>
      <c r="BJ132" s="481"/>
      <c r="BK132" s="481"/>
      <c r="BL132" s="481"/>
      <c r="BM132" s="527"/>
      <c r="BN132" s="481"/>
      <c r="BO132" s="481"/>
      <c r="BP132" s="481"/>
      <c r="BQ132" s="481"/>
      <c r="BR132" s="481"/>
      <c r="BS132" s="527"/>
      <c r="BT132" s="481"/>
      <c r="BU132" s="481"/>
      <c r="BV132" s="481"/>
      <c r="BW132" s="481"/>
      <c r="BX132" s="481"/>
      <c r="BY132" s="527"/>
      <c r="BZ132" s="481"/>
      <c r="CA132" s="481"/>
      <c r="CB132" s="481"/>
      <c r="CC132" s="481"/>
      <c r="CD132" s="481"/>
      <c r="CE132" s="527"/>
      <c r="CF132" s="481"/>
      <c r="CG132" s="481"/>
      <c r="CH132" s="481"/>
      <c r="CI132" s="481"/>
      <c r="CJ132" s="481"/>
      <c r="CK132" s="527"/>
      <c r="CL132" s="481"/>
      <c r="CM132" s="481"/>
      <c r="CN132" s="481"/>
      <c r="CO132" s="481"/>
      <c r="CP132" s="481"/>
      <c r="CQ132" s="527"/>
      <c r="CR132" s="481"/>
      <c r="CS132" s="481"/>
      <c r="CT132" s="481"/>
      <c r="CU132" s="481"/>
      <c r="CV132" s="481"/>
      <c r="CW132" s="527"/>
      <c r="CX132" s="481"/>
      <c r="CY132" s="481"/>
      <c r="CZ132" s="481"/>
      <c r="DA132" s="481"/>
      <c r="DB132" s="481"/>
      <c r="DC132" s="527"/>
      <c r="DD132" s="481"/>
      <c r="DE132" s="481"/>
      <c r="DF132" s="481"/>
      <c r="DG132" s="481"/>
      <c r="DH132" s="481"/>
      <c r="DI132" s="527"/>
      <c r="DJ132" s="481"/>
      <c r="DK132" s="481"/>
      <c r="DL132" s="481"/>
      <c r="DM132" s="481"/>
      <c r="DN132" s="481"/>
      <c r="DO132" s="527"/>
      <c r="DP132" s="481"/>
      <c r="DQ132" s="481"/>
      <c r="DR132" s="481"/>
      <c r="DS132" s="481"/>
      <c r="DT132" s="481"/>
      <c r="DU132" s="527"/>
      <c r="DV132" s="481"/>
      <c r="DW132" s="481"/>
      <c r="DX132" s="481"/>
      <c r="DY132" s="481"/>
      <c r="DZ132" s="481"/>
      <c r="EA132" s="527"/>
      <c r="EB132" s="481"/>
      <c r="EC132" s="481"/>
      <c r="ED132" s="481"/>
      <c r="EE132" s="481"/>
      <c r="EF132" s="481"/>
      <c r="EG132" s="527"/>
      <c r="EH132" s="481"/>
      <c r="EI132" s="481"/>
      <c r="EJ132" s="481"/>
      <c r="EK132" s="481"/>
      <c r="EL132" s="481"/>
      <c r="EM132" s="527"/>
      <c r="EN132" s="481"/>
      <c r="EO132" s="481"/>
      <c r="EP132" s="481"/>
      <c r="EQ132" s="481"/>
      <c r="ER132" s="481"/>
      <c r="ES132" s="527"/>
      <c r="ET132" s="481"/>
      <c r="EU132" s="481"/>
      <c r="EV132" s="481"/>
      <c r="EW132" s="481"/>
      <c r="EX132" s="481"/>
      <c r="EY132" s="527"/>
      <c r="EZ132" s="481"/>
      <c r="FA132" s="481"/>
      <c r="FB132" s="481"/>
      <c r="FC132" s="481"/>
      <c r="FD132" s="481"/>
      <c r="FE132" s="527"/>
      <c r="FF132" s="481"/>
      <c r="FG132" s="481"/>
      <c r="FH132" s="481"/>
      <c r="FI132" s="481"/>
      <c r="FJ132" s="481"/>
      <c r="FK132" s="527"/>
      <c r="FL132" s="481"/>
      <c r="FM132" s="481"/>
      <c r="FN132" s="481"/>
      <c r="FO132" s="481"/>
      <c r="FP132" s="481"/>
      <c r="FQ132" s="527"/>
      <c r="FR132" s="481"/>
      <c r="FS132" s="481"/>
      <c r="FT132" s="481"/>
      <c r="FU132" s="481"/>
      <c r="FV132" s="481"/>
      <c r="FW132" s="527"/>
      <c r="FX132" s="481"/>
      <c r="FY132" s="481"/>
      <c r="FZ132" s="481"/>
      <c r="GA132" s="481"/>
      <c r="GB132" s="481"/>
      <c r="GC132" s="527"/>
      <c r="GD132" s="481"/>
      <c r="GE132" s="481"/>
      <c r="GF132" s="481"/>
      <c r="GG132" s="481"/>
      <c r="GH132" s="481"/>
      <c r="GI132" s="527"/>
      <c r="GJ132" s="481"/>
      <c r="GK132" s="481"/>
      <c r="GL132" s="481"/>
      <c r="GM132" s="481"/>
      <c r="GN132" s="481"/>
      <c r="GO132" s="527"/>
      <c r="GP132" s="481"/>
      <c r="GQ132" s="481"/>
      <c r="GR132" s="481"/>
      <c r="GS132" s="481"/>
      <c r="GT132" s="481"/>
      <c r="GU132" s="527"/>
      <c r="GV132" s="481"/>
      <c r="GW132" s="481"/>
      <c r="GX132" s="481"/>
      <c r="GY132" s="481"/>
      <c r="GZ132" s="481"/>
      <c r="HA132" s="527"/>
      <c r="HB132" s="481"/>
      <c r="HC132" s="481"/>
      <c r="HD132" s="481"/>
      <c r="HE132" s="481"/>
      <c r="HF132" s="481"/>
      <c r="HG132" s="527"/>
      <c r="HH132" s="481"/>
      <c r="HI132" s="481"/>
      <c r="HJ132" s="481"/>
      <c r="HK132" s="481"/>
      <c r="HL132" s="481"/>
      <c r="HM132" s="527"/>
      <c r="HN132" s="481"/>
      <c r="HO132" s="481"/>
      <c r="HP132" s="481"/>
      <c r="HQ132" s="481"/>
      <c r="HR132" s="481"/>
      <c r="HS132" s="527"/>
      <c r="HT132" s="481"/>
      <c r="HU132" s="481"/>
      <c r="HV132" s="481"/>
      <c r="HW132" s="481"/>
      <c r="HX132" s="481"/>
      <c r="HY132" s="527"/>
      <c r="HZ132" s="481"/>
      <c r="IA132" s="481"/>
      <c r="IB132" s="481"/>
      <c r="IC132" s="481"/>
      <c r="ID132" s="481"/>
      <c r="IE132" s="527"/>
      <c r="IF132" s="481"/>
      <c r="IG132" s="481"/>
      <c r="IH132" s="481"/>
      <c r="II132" s="481"/>
      <c r="IJ132" s="481"/>
      <c r="IK132" s="527"/>
      <c r="IL132" s="481"/>
    </row>
    <row r="133" spans="1:246" s="276" customFormat="1" ht="13.5" customHeight="1">
      <c r="A133" s="542">
        <f>'Appendix A - TSRR Summary'!A107</f>
        <v>57</v>
      </c>
      <c r="B133" s="481"/>
      <c r="C133" s="527" t="str">
        <f>'Appendix A - TSRR Summary'!C107</f>
        <v xml:space="preserve">     Less Account 565</v>
      </c>
      <c r="D133" s="481"/>
      <c r="E133" s="1213"/>
      <c r="F133" s="1188" t="s">
        <v>88</v>
      </c>
      <c r="G133" s="1079">
        <v>1056214</v>
      </c>
      <c r="H133" s="993">
        <v>0</v>
      </c>
      <c r="I133" s="974">
        <f>G133+H133</f>
        <v>1056214</v>
      </c>
      <c r="J133" s="1318" t="s">
        <v>353</v>
      </c>
      <c r="K133" s="1310"/>
      <c r="L133" s="1310"/>
      <c r="M133" s="1310"/>
      <c r="N133" s="1310"/>
      <c r="O133" s="1310"/>
      <c r="P133" s="1310"/>
      <c r="Q133" s="1311"/>
      <c r="R133" s="589"/>
      <c r="S133" s="527"/>
      <c r="T133" s="481"/>
      <c r="U133" s="481"/>
      <c r="V133" s="481"/>
      <c r="W133" s="527"/>
      <c r="X133" s="481"/>
      <c r="Y133" s="481"/>
      <c r="Z133" s="481"/>
      <c r="AA133" s="481"/>
      <c r="AB133" s="481"/>
      <c r="AC133" s="527"/>
      <c r="AD133" s="481"/>
      <c r="AE133" s="481"/>
      <c r="AF133" s="481"/>
      <c r="AG133" s="481"/>
      <c r="AH133" s="481"/>
      <c r="AI133" s="527"/>
      <c r="AJ133" s="481"/>
      <c r="AK133" s="481"/>
      <c r="AL133" s="481"/>
      <c r="AM133" s="481"/>
      <c r="AN133" s="481"/>
      <c r="AO133" s="527"/>
      <c r="AP133" s="481"/>
      <c r="AQ133" s="481"/>
      <c r="AR133" s="481"/>
      <c r="AS133" s="481"/>
      <c r="AT133" s="481"/>
      <c r="AU133" s="527"/>
      <c r="AV133" s="481"/>
      <c r="AW133" s="481"/>
      <c r="AX133" s="481"/>
      <c r="AY133" s="481"/>
      <c r="AZ133" s="481"/>
      <c r="BA133" s="527"/>
      <c r="BB133" s="481"/>
      <c r="BC133" s="481"/>
      <c r="BD133" s="481"/>
      <c r="BE133" s="481"/>
      <c r="BF133" s="481"/>
      <c r="BG133" s="527"/>
      <c r="BH133" s="481"/>
      <c r="BI133" s="481"/>
      <c r="BJ133" s="481"/>
      <c r="BK133" s="481"/>
      <c r="BL133" s="481"/>
      <c r="BM133" s="527"/>
      <c r="BN133" s="481"/>
      <c r="BO133" s="481"/>
      <c r="BP133" s="481"/>
      <c r="BQ133" s="481"/>
      <c r="BR133" s="481"/>
      <c r="BS133" s="527"/>
      <c r="BT133" s="481"/>
      <c r="BU133" s="481"/>
      <c r="BV133" s="481"/>
      <c r="BW133" s="481"/>
      <c r="BX133" s="481"/>
      <c r="BY133" s="527"/>
      <c r="BZ133" s="481"/>
      <c r="CA133" s="481"/>
      <c r="CB133" s="481"/>
      <c r="CC133" s="481"/>
      <c r="CD133" s="481"/>
      <c r="CE133" s="527"/>
      <c r="CF133" s="481"/>
      <c r="CG133" s="481"/>
      <c r="CH133" s="481"/>
      <c r="CI133" s="481"/>
      <c r="CJ133" s="481"/>
      <c r="CK133" s="527"/>
      <c r="CL133" s="481"/>
      <c r="CM133" s="481"/>
      <c r="CN133" s="481"/>
      <c r="CO133" s="481"/>
      <c r="CP133" s="481"/>
      <c r="CQ133" s="527"/>
      <c r="CR133" s="481"/>
      <c r="CS133" s="481"/>
      <c r="CT133" s="481"/>
      <c r="CU133" s="481"/>
      <c r="CV133" s="481"/>
      <c r="CW133" s="527"/>
      <c r="CX133" s="481"/>
      <c r="CY133" s="481"/>
      <c r="CZ133" s="481"/>
      <c r="DA133" s="481"/>
      <c r="DB133" s="481"/>
      <c r="DC133" s="527"/>
      <c r="DD133" s="481"/>
      <c r="DE133" s="481"/>
      <c r="DF133" s="481"/>
      <c r="DG133" s="481"/>
      <c r="DH133" s="481"/>
      <c r="DI133" s="527"/>
      <c r="DJ133" s="481"/>
      <c r="DK133" s="481"/>
      <c r="DL133" s="481"/>
      <c r="DM133" s="481"/>
      <c r="DN133" s="481"/>
      <c r="DO133" s="527"/>
      <c r="DP133" s="481"/>
      <c r="DQ133" s="481"/>
      <c r="DR133" s="481"/>
      <c r="DS133" s="481"/>
      <c r="DT133" s="481"/>
      <c r="DU133" s="527"/>
      <c r="DV133" s="481"/>
      <c r="DW133" s="481"/>
      <c r="DX133" s="481"/>
      <c r="DY133" s="481"/>
      <c r="DZ133" s="481"/>
      <c r="EA133" s="527"/>
      <c r="EB133" s="481"/>
      <c r="EC133" s="481"/>
      <c r="ED133" s="481"/>
      <c r="EE133" s="481"/>
      <c r="EF133" s="481"/>
      <c r="EG133" s="527"/>
      <c r="EH133" s="481"/>
      <c r="EI133" s="481"/>
      <c r="EJ133" s="481"/>
      <c r="EK133" s="481"/>
      <c r="EL133" s="481"/>
      <c r="EM133" s="527"/>
      <c r="EN133" s="481"/>
      <c r="EO133" s="481"/>
      <c r="EP133" s="481"/>
      <c r="EQ133" s="481"/>
      <c r="ER133" s="481"/>
      <c r="ES133" s="527"/>
      <c r="ET133" s="481"/>
      <c r="EU133" s="481"/>
      <c r="EV133" s="481"/>
      <c r="EW133" s="481"/>
      <c r="EX133" s="481"/>
      <c r="EY133" s="527"/>
      <c r="EZ133" s="481"/>
      <c r="FA133" s="481"/>
      <c r="FB133" s="481"/>
      <c r="FC133" s="481"/>
      <c r="FD133" s="481"/>
      <c r="FE133" s="527"/>
      <c r="FF133" s="481"/>
      <c r="FG133" s="481"/>
      <c r="FH133" s="481"/>
      <c r="FI133" s="481"/>
      <c r="FJ133" s="481"/>
      <c r="FK133" s="527"/>
      <c r="FL133" s="481"/>
      <c r="FM133" s="481"/>
      <c r="FN133" s="481"/>
      <c r="FO133" s="481"/>
      <c r="FP133" s="481"/>
      <c r="FQ133" s="527"/>
      <c r="FR133" s="481"/>
      <c r="FS133" s="481"/>
      <c r="FT133" s="481"/>
      <c r="FU133" s="481"/>
      <c r="FV133" s="481"/>
      <c r="FW133" s="527"/>
      <c r="FX133" s="481"/>
      <c r="FY133" s="481"/>
      <c r="FZ133" s="481"/>
      <c r="GA133" s="481"/>
      <c r="GB133" s="481"/>
      <c r="GC133" s="527"/>
      <c r="GD133" s="481"/>
      <c r="GE133" s="481"/>
      <c r="GF133" s="481"/>
      <c r="GG133" s="481"/>
      <c r="GH133" s="481"/>
      <c r="GI133" s="527"/>
      <c r="GJ133" s="481"/>
      <c r="GK133" s="481"/>
      <c r="GL133" s="481"/>
      <c r="GM133" s="481"/>
      <c r="GN133" s="481"/>
      <c r="GO133" s="527"/>
      <c r="GP133" s="481"/>
      <c r="GQ133" s="481"/>
      <c r="GR133" s="481"/>
      <c r="GS133" s="481"/>
      <c r="GT133" s="481"/>
      <c r="GU133" s="527"/>
      <c r="GV133" s="481"/>
      <c r="GW133" s="481"/>
      <c r="GX133" s="481"/>
      <c r="GY133" s="481"/>
      <c r="GZ133" s="481"/>
      <c r="HA133" s="527"/>
      <c r="HB133" s="481"/>
      <c r="HC133" s="481"/>
      <c r="HD133" s="481"/>
      <c r="HE133" s="481"/>
      <c r="HF133" s="481"/>
      <c r="HG133" s="527"/>
      <c r="HH133" s="481"/>
      <c r="HI133" s="481"/>
      <c r="HJ133" s="481"/>
      <c r="HK133" s="481"/>
      <c r="HL133" s="481"/>
      <c r="HM133" s="527"/>
      <c r="HN133" s="481"/>
      <c r="HO133" s="481"/>
      <c r="HP133" s="481"/>
      <c r="HQ133" s="481"/>
      <c r="HR133" s="481"/>
      <c r="HS133" s="527"/>
      <c r="HT133" s="481"/>
      <c r="HU133" s="481"/>
      <c r="HV133" s="481"/>
      <c r="HW133" s="481"/>
      <c r="HX133" s="481"/>
      <c r="HY133" s="527"/>
      <c r="HZ133" s="481"/>
      <c r="IA133" s="481"/>
      <c r="IB133" s="481"/>
      <c r="IC133" s="481"/>
      <c r="ID133" s="481"/>
      <c r="IE133" s="527"/>
      <c r="IF133" s="481"/>
      <c r="IG133" s="481"/>
      <c r="IH133" s="481"/>
      <c r="II133" s="481"/>
      <c r="IJ133" s="481"/>
      <c r="IK133" s="527"/>
      <c r="IL133" s="481"/>
    </row>
    <row r="134" spans="1:246" s="276" customFormat="1" ht="13.5" customHeight="1">
      <c r="B134" s="481"/>
      <c r="C134" s="1109"/>
      <c r="D134" s="1109"/>
      <c r="E134" s="1109"/>
      <c r="F134" s="1109"/>
      <c r="G134" s="1109"/>
      <c r="H134" s="1109"/>
      <c r="I134" s="1162">
        <f>I131-I133</f>
        <v>749341</v>
      </c>
      <c r="J134" s="1321" t="s">
        <v>353</v>
      </c>
      <c r="K134" s="1322"/>
      <c r="L134" s="1322"/>
      <c r="M134" s="1322"/>
      <c r="N134" s="1322"/>
      <c r="O134" s="1322"/>
      <c r="P134" s="1322"/>
      <c r="Q134" s="1323"/>
      <c r="R134" s="589"/>
      <c r="S134" s="527"/>
      <c r="T134" s="481"/>
      <c r="U134" s="481"/>
      <c r="V134" s="481"/>
      <c r="W134" s="527"/>
      <c r="X134" s="481"/>
      <c r="Y134" s="481"/>
      <c r="Z134" s="481"/>
      <c r="AA134" s="481"/>
      <c r="AB134" s="481"/>
      <c r="AC134" s="527"/>
      <c r="AD134" s="481"/>
      <c r="AE134" s="481"/>
      <c r="AF134" s="481"/>
      <c r="AG134" s="481"/>
      <c r="AH134" s="481"/>
      <c r="AI134" s="527"/>
      <c r="AJ134" s="481"/>
      <c r="AK134" s="481"/>
      <c r="AL134" s="481"/>
      <c r="AM134" s="481"/>
      <c r="AN134" s="481"/>
      <c r="AO134" s="527"/>
      <c r="AP134" s="481"/>
      <c r="AQ134" s="481"/>
      <c r="AR134" s="481"/>
      <c r="AS134" s="481"/>
      <c r="AT134" s="481"/>
      <c r="AU134" s="527"/>
      <c r="AV134" s="481"/>
      <c r="AW134" s="481"/>
      <c r="AX134" s="481"/>
      <c r="AY134" s="481"/>
      <c r="AZ134" s="481"/>
      <c r="BA134" s="527"/>
      <c r="BB134" s="481"/>
      <c r="BC134" s="481"/>
      <c r="BD134" s="481"/>
      <c r="BE134" s="481"/>
      <c r="BF134" s="481"/>
      <c r="BG134" s="527"/>
      <c r="BH134" s="481"/>
      <c r="BI134" s="481"/>
      <c r="BJ134" s="481"/>
      <c r="BK134" s="481"/>
      <c r="BL134" s="481"/>
      <c r="BM134" s="527"/>
      <c r="BN134" s="481"/>
      <c r="BO134" s="481"/>
      <c r="BP134" s="481"/>
      <c r="BQ134" s="481"/>
      <c r="BR134" s="481"/>
      <c r="BS134" s="527"/>
      <c r="BT134" s="481"/>
      <c r="BU134" s="481"/>
      <c r="BV134" s="481"/>
      <c r="BW134" s="481"/>
      <c r="BX134" s="481"/>
      <c r="BY134" s="527"/>
      <c r="BZ134" s="481"/>
      <c r="CA134" s="481"/>
      <c r="CB134" s="481"/>
      <c r="CC134" s="481"/>
      <c r="CD134" s="481"/>
      <c r="CE134" s="527"/>
      <c r="CF134" s="481"/>
      <c r="CG134" s="481"/>
      <c r="CH134" s="481"/>
      <c r="CI134" s="481"/>
      <c r="CJ134" s="481"/>
      <c r="CK134" s="527"/>
      <c r="CL134" s="481"/>
      <c r="CM134" s="481"/>
      <c r="CN134" s="481"/>
      <c r="CO134" s="481"/>
      <c r="CP134" s="481"/>
      <c r="CQ134" s="527"/>
      <c r="CR134" s="481"/>
      <c r="CS134" s="481"/>
      <c r="CT134" s="481"/>
      <c r="CU134" s="481"/>
      <c r="CV134" s="481"/>
      <c r="CW134" s="527"/>
      <c r="CX134" s="481"/>
      <c r="CY134" s="481"/>
      <c r="CZ134" s="481"/>
      <c r="DA134" s="481"/>
      <c r="DB134" s="481"/>
      <c r="DC134" s="527"/>
      <c r="DD134" s="481"/>
      <c r="DE134" s="481"/>
      <c r="DF134" s="481"/>
      <c r="DG134" s="481"/>
      <c r="DH134" s="481"/>
      <c r="DI134" s="527"/>
      <c r="DJ134" s="481"/>
      <c r="DK134" s="481"/>
      <c r="DL134" s="481"/>
      <c r="DM134" s="481"/>
      <c r="DN134" s="481"/>
      <c r="DO134" s="527"/>
      <c r="DP134" s="481"/>
      <c r="DQ134" s="481"/>
      <c r="DR134" s="481"/>
      <c r="DS134" s="481"/>
      <c r="DT134" s="481"/>
      <c r="DU134" s="527"/>
      <c r="DV134" s="481"/>
      <c r="DW134" s="481"/>
      <c r="DX134" s="481"/>
      <c r="DY134" s="481"/>
      <c r="DZ134" s="481"/>
      <c r="EA134" s="527"/>
      <c r="EB134" s="481"/>
      <c r="EC134" s="481"/>
      <c r="ED134" s="481"/>
      <c r="EE134" s="481"/>
      <c r="EF134" s="481"/>
      <c r="EG134" s="527"/>
      <c r="EH134" s="481"/>
      <c r="EI134" s="481"/>
      <c r="EJ134" s="481"/>
      <c r="EK134" s="481"/>
      <c r="EL134" s="481"/>
      <c r="EM134" s="527"/>
      <c r="EN134" s="481"/>
      <c r="EO134" s="481"/>
      <c r="EP134" s="481"/>
      <c r="EQ134" s="481"/>
      <c r="ER134" s="481"/>
      <c r="ES134" s="527"/>
      <c r="ET134" s="481"/>
      <c r="EU134" s="481"/>
      <c r="EV134" s="481"/>
      <c r="EW134" s="481"/>
      <c r="EX134" s="481"/>
      <c r="EY134" s="527"/>
      <c r="EZ134" s="481"/>
      <c r="FA134" s="481"/>
      <c r="FB134" s="481"/>
      <c r="FC134" s="481"/>
      <c r="FD134" s="481"/>
      <c r="FE134" s="527"/>
      <c r="FF134" s="481"/>
      <c r="FG134" s="481"/>
      <c r="FH134" s="481"/>
      <c r="FI134" s="481"/>
      <c r="FJ134" s="481"/>
      <c r="FK134" s="527"/>
      <c r="FL134" s="481"/>
      <c r="FM134" s="481"/>
      <c r="FN134" s="481"/>
      <c r="FO134" s="481"/>
      <c r="FP134" s="481"/>
      <c r="FQ134" s="527"/>
      <c r="FR134" s="481"/>
      <c r="FS134" s="481"/>
      <c r="FT134" s="481"/>
      <c r="FU134" s="481"/>
      <c r="FV134" s="481"/>
      <c r="FW134" s="527"/>
      <c r="FX134" s="481"/>
      <c r="FY134" s="481"/>
      <c r="FZ134" s="481"/>
      <c r="GA134" s="481"/>
      <c r="GB134" s="481"/>
      <c r="GC134" s="527"/>
      <c r="GD134" s="481"/>
      <c r="GE134" s="481"/>
      <c r="GF134" s="481"/>
      <c r="GG134" s="481"/>
      <c r="GH134" s="481"/>
      <c r="GI134" s="527"/>
      <c r="GJ134" s="481"/>
      <c r="GK134" s="481"/>
      <c r="GL134" s="481"/>
      <c r="GM134" s="481"/>
      <c r="GN134" s="481"/>
      <c r="GO134" s="527"/>
      <c r="GP134" s="481"/>
      <c r="GQ134" s="481"/>
      <c r="GR134" s="481"/>
      <c r="GS134" s="481"/>
      <c r="GT134" s="481"/>
      <c r="GU134" s="527"/>
      <c r="GV134" s="481"/>
      <c r="GW134" s="481"/>
      <c r="GX134" s="481"/>
      <c r="GY134" s="481"/>
      <c r="GZ134" s="481"/>
      <c r="HA134" s="527"/>
      <c r="HB134" s="481"/>
      <c r="HC134" s="481"/>
      <c r="HD134" s="481"/>
      <c r="HE134" s="481"/>
      <c r="HF134" s="481"/>
      <c r="HG134" s="527"/>
      <c r="HH134" s="481"/>
      <c r="HI134" s="481"/>
      <c r="HJ134" s="481"/>
      <c r="HK134" s="481"/>
      <c r="HL134" s="481"/>
      <c r="HM134" s="527"/>
      <c r="HN134" s="481"/>
      <c r="HO134" s="481"/>
      <c r="HP134" s="481"/>
      <c r="HQ134" s="481"/>
      <c r="HR134" s="481"/>
      <c r="HS134" s="527"/>
      <c r="HT134" s="481"/>
      <c r="HU134" s="481"/>
      <c r="HV134" s="481"/>
      <c r="HW134" s="481"/>
      <c r="HX134" s="481"/>
      <c r="HY134" s="527"/>
      <c r="HZ134" s="481"/>
      <c r="IA134" s="481"/>
      <c r="IB134" s="481"/>
      <c r="IC134" s="481"/>
      <c r="ID134" s="481"/>
      <c r="IE134" s="527"/>
      <c r="IF134" s="481"/>
      <c r="IG134" s="481"/>
      <c r="IH134" s="481"/>
      <c r="II134" s="481"/>
      <c r="IJ134" s="481"/>
      <c r="IK134" s="527"/>
      <c r="IL134" s="481"/>
    </row>
    <row r="135" spans="1:246" ht="13.5" thickBot="1">
      <c r="A135" s="564"/>
      <c r="B135" s="611"/>
      <c r="C135" s="611"/>
      <c r="D135" s="611"/>
      <c r="E135" s="567"/>
      <c r="F135" s="611"/>
      <c r="G135" s="624"/>
      <c r="H135" s="612"/>
      <c r="I135" s="612"/>
      <c r="J135" s="1312"/>
      <c r="K135" s="1312"/>
      <c r="L135" s="1312"/>
      <c r="M135" s="1312"/>
      <c r="N135" s="1312"/>
      <c r="O135" s="1312"/>
      <c r="P135" s="1312"/>
      <c r="Q135" s="1313"/>
      <c r="R135" s="533"/>
      <c r="S135" s="166"/>
      <c r="T135" s="547"/>
      <c r="U135" s="547"/>
      <c r="V135" s="547"/>
      <c r="W135" s="166"/>
      <c r="X135" s="547"/>
      <c r="Y135" s="547"/>
      <c r="Z135" s="547"/>
      <c r="AA135" s="547"/>
      <c r="AB135" s="547"/>
      <c r="AC135" s="166"/>
      <c r="AD135" s="547"/>
      <c r="AE135" s="547"/>
      <c r="AF135" s="547"/>
      <c r="AG135" s="547"/>
      <c r="AH135" s="547"/>
      <c r="AI135" s="166"/>
      <c r="AJ135" s="547"/>
      <c r="AK135" s="547"/>
      <c r="AL135" s="547"/>
      <c r="AM135" s="547"/>
      <c r="AN135" s="547"/>
      <c r="AO135" s="166"/>
      <c r="AP135" s="547"/>
      <c r="AQ135" s="547"/>
      <c r="AR135" s="547"/>
      <c r="AS135" s="547"/>
      <c r="AT135" s="547"/>
      <c r="AU135" s="166"/>
      <c r="AV135" s="547"/>
      <c r="AW135" s="547"/>
      <c r="AX135" s="547"/>
      <c r="AY135" s="547"/>
      <c r="AZ135" s="547"/>
      <c r="BA135" s="166"/>
      <c r="BB135" s="547"/>
      <c r="BC135" s="547"/>
      <c r="BD135" s="547"/>
      <c r="BE135" s="547"/>
      <c r="BF135" s="547"/>
      <c r="BG135" s="166"/>
      <c r="BH135" s="547"/>
      <c r="BI135" s="547"/>
      <c r="BJ135" s="547"/>
      <c r="BK135" s="547"/>
      <c r="BL135" s="547"/>
      <c r="BM135" s="166"/>
      <c r="BN135" s="547"/>
      <c r="BO135" s="547"/>
      <c r="BP135" s="547"/>
      <c r="BQ135" s="547"/>
      <c r="BR135" s="547"/>
      <c r="BS135" s="166"/>
      <c r="BT135" s="547"/>
      <c r="BU135" s="547"/>
      <c r="BV135" s="547"/>
      <c r="BW135" s="547"/>
      <c r="BX135" s="547"/>
      <c r="BY135" s="166"/>
      <c r="BZ135" s="547"/>
      <c r="CA135" s="547"/>
      <c r="CB135" s="547"/>
      <c r="CC135" s="547"/>
      <c r="CD135" s="547"/>
      <c r="CE135" s="166"/>
      <c r="CF135" s="547"/>
      <c r="CG135" s="547"/>
      <c r="CH135" s="547"/>
      <c r="CI135" s="547"/>
      <c r="CJ135" s="547"/>
      <c r="CK135" s="166"/>
      <c r="CL135" s="547"/>
      <c r="CM135" s="547"/>
      <c r="CN135" s="547"/>
      <c r="CO135" s="547"/>
      <c r="CP135" s="547"/>
      <c r="CQ135" s="166"/>
      <c r="CR135" s="547"/>
      <c r="CS135" s="547"/>
      <c r="CT135" s="547"/>
      <c r="CU135" s="547"/>
      <c r="CV135" s="547"/>
      <c r="CW135" s="166"/>
      <c r="CX135" s="547"/>
      <c r="CY135" s="547"/>
      <c r="CZ135" s="547"/>
      <c r="DA135" s="547"/>
      <c r="DB135" s="547"/>
      <c r="DC135" s="166"/>
      <c r="DD135" s="547"/>
      <c r="DE135" s="547"/>
      <c r="DF135" s="547"/>
      <c r="DG135" s="547"/>
      <c r="DH135" s="547"/>
      <c r="DI135" s="166"/>
      <c r="DJ135" s="547"/>
      <c r="DK135" s="547"/>
      <c r="DL135" s="547"/>
      <c r="DM135" s="547"/>
      <c r="DN135" s="547"/>
      <c r="DO135" s="166"/>
      <c r="DP135" s="547"/>
      <c r="DQ135" s="547"/>
      <c r="DR135" s="547"/>
      <c r="DS135" s="547"/>
      <c r="DT135" s="547"/>
      <c r="DU135" s="166"/>
      <c r="DV135" s="547"/>
      <c r="DW135" s="547"/>
      <c r="DX135" s="547"/>
      <c r="DY135" s="547"/>
      <c r="DZ135" s="547"/>
      <c r="EA135" s="166"/>
      <c r="EB135" s="547"/>
      <c r="EC135" s="547"/>
      <c r="ED135" s="547"/>
      <c r="EE135" s="547"/>
      <c r="EF135" s="547"/>
      <c r="EG135" s="166"/>
      <c r="EH135" s="547"/>
      <c r="EI135" s="547"/>
      <c r="EJ135" s="547"/>
      <c r="EK135" s="547"/>
      <c r="EL135" s="547"/>
      <c r="EM135" s="166"/>
      <c r="EN135" s="547"/>
      <c r="EO135" s="547"/>
      <c r="EP135" s="547"/>
      <c r="EQ135" s="547"/>
      <c r="ER135" s="547"/>
      <c r="ES135" s="166"/>
      <c r="ET135" s="547"/>
      <c r="EU135" s="547"/>
      <c r="EV135" s="547"/>
      <c r="EW135" s="547"/>
      <c r="EX135" s="547"/>
      <c r="EY135" s="166"/>
      <c r="EZ135" s="547"/>
      <c r="FA135" s="547"/>
      <c r="FB135" s="547"/>
      <c r="FC135" s="547"/>
      <c r="FD135" s="547"/>
      <c r="FE135" s="166"/>
      <c r="FF135" s="547"/>
      <c r="FG135" s="547"/>
      <c r="FH135" s="547"/>
      <c r="FI135" s="547"/>
      <c r="FJ135" s="547"/>
      <c r="FK135" s="166"/>
      <c r="FL135" s="547"/>
      <c r="FM135" s="547"/>
      <c r="FN135" s="547"/>
      <c r="FO135" s="547"/>
      <c r="FP135" s="547"/>
      <c r="FQ135" s="166"/>
      <c r="FR135" s="547"/>
      <c r="FS135" s="547"/>
      <c r="FT135" s="547"/>
      <c r="FU135" s="547"/>
      <c r="FV135" s="547"/>
      <c r="FW135" s="166"/>
      <c r="FX135" s="547"/>
      <c r="FY135" s="547"/>
      <c r="FZ135" s="547"/>
      <c r="GA135" s="547"/>
      <c r="GB135" s="547"/>
      <c r="GC135" s="166"/>
      <c r="GD135" s="547"/>
      <c r="GE135" s="547"/>
      <c r="GF135" s="547"/>
      <c r="GG135" s="547"/>
      <c r="GH135" s="547"/>
      <c r="GI135" s="166"/>
      <c r="GJ135" s="547"/>
      <c r="GK135" s="547"/>
      <c r="GL135" s="547"/>
      <c r="GM135" s="547"/>
      <c r="GN135" s="547"/>
      <c r="GO135" s="166"/>
      <c r="GP135" s="547"/>
      <c r="GQ135" s="547"/>
      <c r="GR135" s="547"/>
      <c r="GS135" s="547"/>
      <c r="GT135" s="547"/>
      <c r="GU135" s="166"/>
      <c r="GV135" s="547"/>
      <c r="GW135" s="547"/>
      <c r="GX135" s="547"/>
      <c r="GY135" s="547"/>
      <c r="GZ135" s="547"/>
      <c r="HA135" s="166"/>
      <c r="HB135" s="547"/>
      <c r="HC135" s="547"/>
      <c r="HD135" s="547"/>
      <c r="HE135" s="547"/>
      <c r="HF135" s="547"/>
      <c r="HG135" s="166"/>
      <c r="HH135" s="547"/>
      <c r="HI135" s="547"/>
      <c r="HJ135" s="547"/>
      <c r="HK135" s="547"/>
      <c r="HL135" s="547"/>
      <c r="HM135" s="166"/>
      <c r="HN135" s="547"/>
      <c r="HO135" s="547"/>
      <c r="HP135" s="547"/>
      <c r="HQ135" s="547"/>
      <c r="HR135" s="547"/>
      <c r="HS135" s="166"/>
      <c r="HT135" s="547"/>
      <c r="HU135" s="547"/>
      <c r="HV135" s="547"/>
      <c r="HW135" s="547"/>
      <c r="HX135" s="547"/>
      <c r="HY135" s="166"/>
      <c r="HZ135" s="547"/>
      <c r="IA135" s="547"/>
      <c r="IB135" s="547"/>
      <c r="IC135" s="547"/>
      <c r="ID135" s="547"/>
      <c r="IE135" s="166"/>
      <c r="IF135" s="547"/>
      <c r="IG135" s="547"/>
      <c r="IH135" s="547"/>
      <c r="II135" s="547"/>
      <c r="IJ135" s="547"/>
      <c r="IK135" s="166"/>
      <c r="IL135" s="547"/>
    </row>
    <row r="136" spans="1:246">
      <c r="A136" s="529"/>
      <c r="B136" s="529"/>
      <c r="C136" s="529"/>
      <c r="D136" s="529"/>
      <c r="E136" s="529"/>
      <c r="F136" s="529"/>
      <c r="G136" s="529"/>
      <c r="H136" s="529"/>
      <c r="I136" s="529"/>
      <c r="J136" s="614"/>
      <c r="K136" s="614"/>
      <c r="L136" s="614"/>
      <c r="M136" s="614"/>
      <c r="N136" s="614"/>
      <c r="O136" s="614"/>
      <c r="P136" s="614"/>
      <c r="Q136" s="614"/>
      <c r="R136" s="529"/>
    </row>
    <row r="137" spans="1:246">
      <c r="A137" s="529"/>
      <c r="B137" s="529"/>
      <c r="C137" s="529"/>
      <c r="D137" s="529"/>
      <c r="E137" s="529"/>
      <c r="F137" s="529"/>
      <c r="G137" s="529"/>
      <c r="H137" s="529"/>
      <c r="I137" s="529"/>
      <c r="J137" s="614"/>
      <c r="K137" s="614"/>
      <c r="L137" s="614"/>
      <c r="M137" s="614"/>
      <c r="N137" s="614"/>
      <c r="O137" s="614"/>
      <c r="P137" s="614"/>
      <c r="Q137" s="614"/>
      <c r="R137" s="529"/>
    </row>
    <row r="138" spans="1:246" s="276" customFormat="1" ht="18.75" thickBot="1">
      <c r="A138" s="1060" t="s">
        <v>501</v>
      </c>
      <c r="B138" s="762"/>
      <c r="C138" s="762"/>
      <c r="D138" s="762"/>
      <c r="E138" s="762"/>
      <c r="F138" s="762"/>
      <c r="G138" s="762"/>
      <c r="H138" s="762"/>
      <c r="I138" s="762"/>
      <c r="J138" s="768"/>
      <c r="K138" s="768"/>
      <c r="L138" s="768"/>
      <c r="M138" s="768"/>
      <c r="N138" s="768"/>
      <c r="O138" s="768"/>
      <c r="P138" s="768"/>
      <c r="Q138" s="768"/>
      <c r="R138" s="530"/>
    </row>
    <row r="139" spans="1:246" ht="48.75" customHeight="1">
      <c r="A139" s="1285" t="s">
        <v>543</v>
      </c>
      <c r="B139" s="1286"/>
      <c r="C139" s="1286"/>
      <c r="D139" s="1286"/>
      <c r="E139" s="1286"/>
      <c r="F139" s="1286"/>
      <c r="G139" s="1061" t="s">
        <v>504</v>
      </c>
      <c r="H139" s="1062" t="s">
        <v>581</v>
      </c>
      <c r="I139" s="1062" t="s">
        <v>505</v>
      </c>
      <c r="J139" s="1269" t="s">
        <v>59</v>
      </c>
      <c r="K139" s="1270"/>
      <c r="L139" s="1270"/>
      <c r="M139" s="1270"/>
      <c r="N139" s="1270"/>
      <c r="O139" s="1270"/>
      <c r="P139" s="1270"/>
      <c r="Q139" s="1271"/>
      <c r="R139" s="533"/>
      <c r="S139" s="166"/>
      <c r="T139" s="547"/>
      <c r="U139" s="547"/>
      <c r="V139" s="547"/>
      <c r="W139" s="166"/>
      <c r="X139" s="547"/>
      <c r="Y139" s="547"/>
      <c r="Z139" s="547"/>
      <c r="AA139" s="547"/>
      <c r="AB139" s="547"/>
      <c r="AC139" s="166"/>
      <c r="AD139" s="547"/>
      <c r="AE139" s="547"/>
      <c r="AF139" s="547"/>
      <c r="AG139" s="547"/>
      <c r="AH139" s="547"/>
      <c r="AI139" s="166"/>
      <c r="AJ139" s="547"/>
      <c r="AK139" s="547"/>
      <c r="AL139" s="547"/>
      <c r="AM139" s="547"/>
      <c r="AN139" s="547"/>
      <c r="AO139" s="166"/>
      <c r="AP139" s="547"/>
      <c r="AQ139" s="547"/>
      <c r="AR139" s="547"/>
      <c r="AS139" s="547"/>
      <c r="AT139" s="547"/>
      <c r="AU139" s="166"/>
      <c r="AV139" s="547"/>
      <c r="AW139" s="547"/>
      <c r="AX139" s="547"/>
      <c r="AY139" s="547"/>
      <c r="AZ139" s="547"/>
      <c r="BA139" s="166"/>
      <c r="BB139" s="547"/>
      <c r="BC139" s="547"/>
      <c r="BD139" s="547"/>
      <c r="BE139" s="547"/>
      <c r="BF139" s="547"/>
      <c r="BG139" s="166"/>
      <c r="BH139" s="547"/>
      <c r="BI139" s="547"/>
      <c r="BJ139" s="547"/>
      <c r="BK139" s="547"/>
      <c r="BL139" s="547"/>
      <c r="BM139" s="166"/>
      <c r="BN139" s="547"/>
      <c r="BO139" s="547"/>
      <c r="BP139" s="547"/>
      <c r="BQ139" s="547"/>
      <c r="BR139" s="547"/>
      <c r="BS139" s="166"/>
      <c r="BT139" s="547"/>
      <c r="BU139" s="547"/>
      <c r="BV139" s="547"/>
      <c r="BW139" s="547"/>
      <c r="BX139" s="547"/>
      <c r="BY139" s="166"/>
      <c r="BZ139" s="547"/>
      <c r="CA139" s="547"/>
      <c r="CB139" s="547"/>
      <c r="CC139" s="547"/>
      <c r="CD139" s="547"/>
      <c r="CE139" s="166"/>
      <c r="CF139" s="547"/>
      <c r="CG139" s="547"/>
      <c r="CH139" s="547"/>
      <c r="CI139" s="547"/>
      <c r="CJ139" s="547"/>
      <c r="CK139" s="166"/>
      <c r="CL139" s="547"/>
      <c r="CM139" s="547"/>
      <c r="CN139" s="547"/>
      <c r="CO139" s="547"/>
      <c r="CP139" s="547"/>
      <c r="CQ139" s="166"/>
      <c r="CR139" s="547"/>
      <c r="CS139" s="547"/>
      <c r="CT139" s="547"/>
      <c r="CU139" s="547"/>
      <c r="CV139" s="547"/>
      <c r="CW139" s="166"/>
      <c r="CX139" s="547"/>
      <c r="CY139" s="547"/>
      <c r="CZ139" s="547"/>
      <c r="DA139" s="547"/>
      <c r="DB139" s="547"/>
      <c r="DC139" s="166"/>
      <c r="DD139" s="547"/>
      <c r="DE139" s="547"/>
      <c r="DF139" s="547"/>
      <c r="DG139" s="547"/>
      <c r="DH139" s="547"/>
      <c r="DI139" s="166"/>
      <c r="DJ139" s="547"/>
      <c r="DK139" s="547"/>
      <c r="DL139" s="547"/>
      <c r="DM139" s="547"/>
      <c r="DN139" s="547"/>
      <c r="DO139" s="166"/>
      <c r="DP139" s="547"/>
      <c r="DQ139" s="547"/>
      <c r="DR139" s="547"/>
      <c r="DS139" s="547"/>
      <c r="DT139" s="547"/>
      <c r="DU139" s="166"/>
      <c r="DV139" s="547"/>
      <c r="DW139" s="547"/>
      <c r="DX139" s="547"/>
      <c r="DY139" s="547"/>
      <c r="DZ139" s="547"/>
      <c r="EA139" s="166"/>
      <c r="EB139" s="547"/>
      <c r="EC139" s="547"/>
      <c r="ED139" s="547"/>
      <c r="EE139" s="547"/>
      <c r="EF139" s="547"/>
      <c r="EG139" s="166"/>
      <c r="EH139" s="547"/>
      <c r="EI139" s="547"/>
      <c r="EJ139" s="547"/>
      <c r="EK139" s="547"/>
      <c r="EL139" s="547"/>
      <c r="EM139" s="166"/>
      <c r="EN139" s="547"/>
      <c r="EO139" s="547"/>
      <c r="EP139" s="547"/>
      <c r="EQ139" s="547"/>
      <c r="ER139" s="547"/>
      <c r="ES139" s="166"/>
      <c r="ET139" s="547"/>
      <c r="EU139" s="547"/>
      <c r="EV139" s="547"/>
      <c r="EW139" s="547"/>
      <c r="EX139" s="547"/>
      <c r="EY139" s="166"/>
      <c r="EZ139" s="547"/>
      <c r="FA139" s="547"/>
      <c r="FB139" s="547"/>
      <c r="FC139" s="547"/>
      <c r="FD139" s="547"/>
      <c r="FE139" s="166"/>
      <c r="FF139" s="547"/>
      <c r="FG139" s="547"/>
      <c r="FH139" s="547"/>
      <c r="FI139" s="547"/>
      <c r="FJ139" s="547"/>
      <c r="FK139" s="166"/>
      <c r="FL139" s="547"/>
      <c r="FM139" s="547"/>
      <c r="FN139" s="547"/>
      <c r="FO139" s="547"/>
      <c r="FP139" s="547"/>
      <c r="FQ139" s="166"/>
      <c r="FR139" s="547"/>
      <c r="FS139" s="547"/>
      <c r="FT139" s="547"/>
      <c r="FU139" s="547"/>
      <c r="FV139" s="547"/>
      <c r="FW139" s="166"/>
      <c r="FX139" s="547"/>
      <c r="FY139" s="547"/>
      <c r="FZ139" s="547"/>
      <c r="GA139" s="547"/>
      <c r="GB139" s="547"/>
      <c r="GC139" s="166"/>
      <c r="GD139" s="547"/>
      <c r="GE139" s="547"/>
      <c r="GF139" s="547"/>
      <c r="GG139" s="547"/>
      <c r="GH139" s="547"/>
      <c r="GI139" s="166"/>
      <c r="GJ139" s="547"/>
      <c r="GK139" s="547"/>
      <c r="GL139" s="547"/>
      <c r="GM139" s="547"/>
      <c r="GN139" s="547"/>
      <c r="GO139" s="166"/>
      <c r="GP139" s="547"/>
      <c r="GQ139" s="547"/>
      <c r="GR139" s="547"/>
      <c r="GS139" s="547"/>
      <c r="GT139" s="547"/>
      <c r="GU139" s="166"/>
      <c r="GV139" s="547"/>
      <c r="GW139" s="547"/>
      <c r="GX139" s="547"/>
      <c r="GY139" s="547"/>
      <c r="GZ139" s="547"/>
      <c r="HA139" s="166"/>
      <c r="HB139" s="547"/>
      <c r="HC139" s="547"/>
      <c r="HD139" s="547"/>
      <c r="HE139" s="547"/>
      <c r="HF139" s="547"/>
      <c r="HG139" s="166"/>
      <c r="HH139" s="547"/>
      <c r="HI139" s="547"/>
      <c r="HJ139" s="547"/>
      <c r="HK139" s="547"/>
      <c r="HL139" s="547"/>
      <c r="HM139" s="166"/>
      <c r="HN139" s="547"/>
      <c r="HO139" s="547"/>
      <c r="HP139" s="547"/>
      <c r="HQ139" s="547"/>
      <c r="HR139" s="547"/>
      <c r="HS139" s="166"/>
      <c r="HT139" s="547"/>
      <c r="HU139" s="547"/>
      <c r="HV139" s="547"/>
      <c r="HW139" s="547"/>
      <c r="HX139" s="547"/>
      <c r="HY139" s="166"/>
      <c r="HZ139" s="547"/>
      <c r="IA139" s="547"/>
      <c r="IB139" s="547"/>
      <c r="IC139" s="547"/>
      <c r="ID139" s="547"/>
      <c r="IE139" s="166"/>
      <c r="IF139" s="547"/>
      <c r="IG139" s="547"/>
      <c r="IH139" s="547"/>
      <c r="II139" s="547"/>
      <c r="IJ139" s="547"/>
      <c r="IK139" s="166"/>
      <c r="IL139" s="547"/>
    </row>
    <row r="140" spans="1:246">
      <c r="A140" s="539"/>
      <c r="B140" s="546" t="s">
        <v>503</v>
      </c>
      <c r="C140" s="547"/>
      <c r="D140" s="547"/>
      <c r="E140" s="547"/>
      <c r="F140" s="547"/>
      <c r="G140" s="503"/>
      <c r="H140" s="502"/>
      <c r="I140" s="502"/>
      <c r="J140" s="1314"/>
      <c r="K140" s="1314"/>
      <c r="L140" s="1314"/>
      <c r="M140" s="1314"/>
      <c r="N140" s="1314"/>
      <c r="O140" s="1314"/>
      <c r="P140" s="1314"/>
      <c r="Q140" s="1315"/>
      <c r="R140" s="533"/>
      <c r="S140" s="166"/>
      <c r="T140" s="547"/>
      <c r="U140" s="547"/>
      <c r="V140" s="547"/>
      <c r="W140" s="166"/>
      <c r="X140" s="547"/>
      <c r="Y140" s="547"/>
      <c r="Z140" s="547"/>
      <c r="AA140" s="547"/>
      <c r="AB140" s="547"/>
      <c r="AC140" s="166"/>
      <c r="AD140" s="547"/>
      <c r="AE140" s="547"/>
      <c r="AF140" s="547"/>
      <c r="AG140" s="547"/>
      <c r="AH140" s="547"/>
      <c r="AI140" s="166"/>
      <c r="AJ140" s="547"/>
      <c r="AK140" s="547"/>
      <c r="AL140" s="547"/>
      <c r="AM140" s="547"/>
      <c r="AN140" s="547"/>
      <c r="AO140" s="166"/>
      <c r="AP140" s="547"/>
      <c r="AQ140" s="547"/>
      <c r="AR140" s="547"/>
      <c r="AS140" s="547"/>
      <c r="AT140" s="547"/>
      <c r="AU140" s="166"/>
      <c r="AV140" s="547"/>
      <c r="AW140" s="547"/>
      <c r="AX140" s="547"/>
      <c r="AY140" s="547"/>
      <c r="AZ140" s="547"/>
      <c r="BA140" s="166"/>
      <c r="BB140" s="547"/>
      <c r="BC140" s="547"/>
      <c r="BD140" s="547"/>
      <c r="BE140" s="547"/>
      <c r="BF140" s="547"/>
      <c r="BG140" s="166"/>
      <c r="BH140" s="547"/>
      <c r="BI140" s="547"/>
      <c r="BJ140" s="547"/>
      <c r="BK140" s="547"/>
      <c r="BL140" s="547"/>
      <c r="BM140" s="166"/>
      <c r="BN140" s="547"/>
      <c r="BO140" s="547"/>
      <c r="BP140" s="547"/>
      <c r="BQ140" s="547"/>
      <c r="BR140" s="547"/>
      <c r="BS140" s="166"/>
      <c r="BT140" s="547"/>
      <c r="BU140" s="547"/>
      <c r="BV140" s="547"/>
      <c r="BW140" s="547"/>
      <c r="BX140" s="547"/>
      <c r="BY140" s="166"/>
      <c r="BZ140" s="547"/>
      <c r="CA140" s="547"/>
      <c r="CB140" s="547"/>
      <c r="CC140" s="547"/>
      <c r="CD140" s="547"/>
      <c r="CE140" s="166"/>
      <c r="CF140" s="547"/>
      <c r="CG140" s="547"/>
      <c r="CH140" s="547"/>
      <c r="CI140" s="547"/>
      <c r="CJ140" s="547"/>
      <c r="CK140" s="166"/>
      <c r="CL140" s="547"/>
      <c r="CM140" s="547"/>
      <c r="CN140" s="547"/>
      <c r="CO140" s="547"/>
      <c r="CP140" s="547"/>
      <c r="CQ140" s="166"/>
      <c r="CR140" s="547"/>
      <c r="CS140" s="547"/>
      <c r="CT140" s="547"/>
      <c r="CU140" s="547"/>
      <c r="CV140" s="547"/>
      <c r="CW140" s="166"/>
      <c r="CX140" s="547"/>
      <c r="CY140" s="547"/>
      <c r="CZ140" s="547"/>
      <c r="DA140" s="547"/>
      <c r="DB140" s="547"/>
      <c r="DC140" s="166"/>
      <c r="DD140" s="547"/>
      <c r="DE140" s="547"/>
      <c r="DF140" s="547"/>
      <c r="DG140" s="547"/>
      <c r="DH140" s="547"/>
      <c r="DI140" s="166"/>
      <c r="DJ140" s="547"/>
      <c r="DK140" s="547"/>
      <c r="DL140" s="547"/>
      <c r="DM140" s="547"/>
      <c r="DN140" s="547"/>
      <c r="DO140" s="166"/>
      <c r="DP140" s="547"/>
      <c r="DQ140" s="547"/>
      <c r="DR140" s="547"/>
      <c r="DS140" s="547"/>
      <c r="DT140" s="547"/>
      <c r="DU140" s="166"/>
      <c r="DV140" s="547"/>
      <c r="DW140" s="547"/>
      <c r="DX140" s="547"/>
      <c r="DY140" s="547"/>
      <c r="DZ140" s="547"/>
      <c r="EA140" s="166"/>
      <c r="EB140" s="547"/>
      <c r="EC140" s="547"/>
      <c r="ED140" s="547"/>
      <c r="EE140" s="547"/>
      <c r="EF140" s="547"/>
      <c r="EG140" s="166"/>
      <c r="EH140" s="547"/>
      <c r="EI140" s="547"/>
      <c r="EJ140" s="547"/>
      <c r="EK140" s="547"/>
      <c r="EL140" s="547"/>
      <c r="EM140" s="166"/>
      <c r="EN140" s="547"/>
      <c r="EO140" s="547"/>
      <c r="EP140" s="547"/>
      <c r="EQ140" s="547"/>
      <c r="ER140" s="547"/>
      <c r="ES140" s="166"/>
      <c r="ET140" s="547"/>
      <c r="EU140" s="547"/>
      <c r="EV140" s="547"/>
      <c r="EW140" s="547"/>
      <c r="EX140" s="547"/>
      <c r="EY140" s="166"/>
      <c r="EZ140" s="547"/>
      <c r="FA140" s="547"/>
      <c r="FB140" s="547"/>
      <c r="FC140" s="547"/>
      <c r="FD140" s="547"/>
      <c r="FE140" s="166"/>
      <c r="FF140" s="547"/>
      <c r="FG140" s="547"/>
      <c r="FH140" s="547"/>
      <c r="FI140" s="547"/>
      <c r="FJ140" s="547"/>
      <c r="FK140" s="166"/>
      <c r="FL140" s="547"/>
      <c r="FM140" s="547"/>
      <c r="FN140" s="547"/>
      <c r="FO140" s="547"/>
      <c r="FP140" s="547"/>
      <c r="FQ140" s="166"/>
      <c r="FR140" s="547"/>
      <c r="FS140" s="547"/>
      <c r="FT140" s="547"/>
      <c r="FU140" s="547"/>
      <c r="FV140" s="547"/>
      <c r="FW140" s="166"/>
      <c r="FX140" s="547"/>
      <c r="FY140" s="547"/>
      <c r="FZ140" s="547"/>
      <c r="GA140" s="547"/>
      <c r="GB140" s="547"/>
      <c r="GC140" s="166"/>
      <c r="GD140" s="547"/>
      <c r="GE140" s="547"/>
      <c r="GF140" s="547"/>
      <c r="GG140" s="547"/>
      <c r="GH140" s="547"/>
      <c r="GI140" s="166"/>
      <c r="GJ140" s="547"/>
      <c r="GK140" s="547"/>
      <c r="GL140" s="547"/>
      <c r="GM140" s="547"/>
      <c r="GN140" s="547"/>
      <c r="GO140" s="166"/>
      <c r="GP140" s="547"/>
      <c r="GQ140" s="547"/>
      <c r="GR140" s="547"/>
      <c r="GS140" s="547"/>
      <c r="GT140" s="547"/>
      <c r="GU140" s="166"/>
      <c r="GV140" s="547"/>
      <c r="GW140" s="547"/>
      <c r="GX140" s="547"/>
      <c r="GY140" s="547"/>
      <c r="GZ140" s="547"/>
      <c r="HA140" s="166"/>
      <c r="HB140" s="547"/>
      <c r="HC140" s="547"/>
      <c r="HD140" s="547"/>
      <c r="HE140" s="547"/>
      <c r="HF140" s="547"/>
      <c r="HG140" s="166"/>
      <c r="HH140" s="547"/>
      <c r="HI140" s="547"/>
      <c r="HJ140" s="547"/>
      <c r="HK140" s="547"/>
      <c r="HL140" s="547"/>
      <c r="HM140" s="166"/>
      <c r="HN140" s="547"/>
      <c r="HO140" s="547"/>
      <c r="HP140" s="547"/>
      <c r="HQ140" s="547"/>
      <c r="HR140" s="547"/>
      <c r="HS140" s="166"/>
      <c r="HT140" s="547"/>
      <c r="HU140" s="547"/>
      <c r="HV140" s="547"/>
      <c r="HW140" s="547"/>
      <c r="HX140" s="547"/>
      <c r="HY140" s="166"/>
      <c r="HZ140" s="547"/>
      <c r="IA140" s="547"/>
      <c r="IB140" s="547"/>
      <c r="IC140" s="547"/>
      <c r="ID140" s="547"/>
      <c r="IE140" s="166"/>
      <c r="IF140" s="547"/>
      <c r="IG140" s="547"/>
      <c r="IH140" s="547"/>
      <c r="II140" s="547"/>
      <c r="IJ140" s="547"/>
      <c r="IK140" s="166"/>
      <c r="IL140" s="547"/>
    </row>
    <row r="141" spans="1:246">
      <c r="A141" s="539"/>
      <c r="B141" s="546"/>
      <c r="C141" s="547"/>
      <c r="D141" s="547"/>
      <c r="E141" s="547"/>
      <c r="F141" s="547"/>
      <c r="G141" s="503"/>
      <c r="H141" s="502"/>
      <c r="I141" s="502"/>
      <c r="J141" s="1314"/>
      <c r="K141" s="1314"/>
      <c r="L141" s="1314"/>
      <c r="M141" s="1314"/>
      <c r="N141" s="1314"/>
      <c r="O141" s="1314"/>
      <c r="P141" s="1314"/>
      <c r="Q141" s="1315"/>
      <c r="R141" s="533"/>
      <c r="S141" s="166"/>
      <c r="T141" s="547"/>
      <c r="U141" s="547"/>
      <c r="V141" s="547"/>
      <c r="W141" s="166"/>
      <c r="X141" s="547"/>
      <c r="Y141" s="547"/>
      <c r="Z141" s="547"/>
      <c r="AA141" s="547"/>
      <c r="AB141" s="547"/>
      <c r="AC141" s="166"/>
      <c r="AD141" s="547"/>
      <c r="AE141" s="547"/>
      <c r="AF141" s="547"/>
      <c r="AG141" s="547"/>
      <c r="AH141" s="547"/>
      <c r="AI141" s="166"/>
      <c r="AJ141" s="547"/>
      <c r="AK141" s="547"/>
      <c r="AL141" s="547"/>
      <c r="AM141" s="547"/>
      <c r="AN141" s="547"/>
      <c r="AO141" s="166"/>
      <c r="AP141" s="547"/>
      <c r="AQ141" s="547"/>
      <c r="AR141" s="547"/>
      <c r="AS141" s="547"/>
      <c r="AT141" s="547"/>
      <c r="AU141" s="166"/>
      <c r="AV141" s="547"/>
      <c r="AW141" s="547"/>
      <c r="AX141" s="547"/>
      <c r="AY141" s="547"/>
      <c r="AZ141" s="547"/>
      <c r="BA141" s="166"/>
      <c r="BB141" s="547"/>
      <c r="BC141" s="547"/>
      <c r="BD141" s="547"/>
      <c r="BE141" s="547"/>
      <c r="BF141" s="547"/>
      <c r="BG141" s="166"/>
      <c r="BH141" s="547"/>
      <c r="BI141" s="547"/>
      <c r="BJ141" s="547"/>
      <c r="BK141" s="547"/>
      <c r="BL141" s="547"/>
      <c r="BM141" s="166"/>
      <c r="BN141" s="547"/>
      <c r="BO141" s="547"/>
      <c r="BP141" s="547"/>
      <c r="BQ141" s="547"/>
      <c r="BR141" s="547"/>
      <c r="BS141" s="166"/>
      <c r="BT141" s="547"/>
      <c r="BU141" s="547"/>
      <c r="BV141" s="547"/>
      <c r="BW141" s="547"/>
      <c r="BX141" s="547"/>
      <c r="BY141" s="166"/>
      <c r="BZ141" s="547"/>
      <c r="CA141" s="547"/>
      <c r="CB141" s="547"/>
      <c r="CC141" s="547"/>
      <c r="CD141" s="547"/>
      <c r="CE141" s="166"/>
      <c r="CF141" s="547"/>
      <c r="CG141" s="547"/>
      <c r="CH141" s="547"/>
      <c r="CI141" s="547"/>
      <c r="CJ141" s="547"/>
      <c r="CK141" s="166"/>
      <c r="CL141" s="547"/>
      <c r="CM141" s="547"/>
      <c r="CN141" s="547"/>
      <c r="CO141" s="547"/>
      <c r="CP141" s="547"/>
      <c r="CQ141" s="166"/>
      <c r="CR141" s="547"/>
      <c r="CS141" s="547"/>
      <c r="CT141" s="547"/>
      <c r="CU141" s="547"/>
      <c r="CV141" s="547"/>
      <c r="CW141" s="166"/>
      <c r="CX141" s="547"/>
      <c r="CY141" s="547"/>
      <c r="CZ141" s="547"/>
      <c r="DA141" s="547"/>
      <c r="DB141" s="547"/>
      <c r="DC141" s="166"/>
      <c r="DD141" s="547"/>
      <c r="DE141" s="547"/>
      <c r="DF141" s="547"/>
      <c r="DG141" s="547"/>
      <c r="DH141" s="547"/>
      <c r="DI141" s="166"/>
      <c r="DJ141" s="547"/>
      <c r="DK141" s="547"/>
      <c r="DL141" s="547"/>
      <c r="DM141" s="547"/>
      <c r="DN141" s="547"/>
      <c r="DO141" s="166"/>
      <c r="DP141" s="547"/>
      <c r="DQ141" s="547"/>
      <c r="DR141" s="547"/>
      <c r="DS141" s="547"/>
      <c r="DT141" s="547"/>
      <c r="DU141" s="166"/>
      <c r="DV141" s="547"/>
      <c r="DW141" s="547"/>
      <c r="DX141" s="547"/>
      <c r="DY141" s="547"/>
      <c r="DZ141" s="547"/>
      <c r="EA141" s="166"/>
      <c r="EB141" s="547"/>
      <c r="EC141" s="547"/>
      <c r="ED141" s="547"/>
      <c r="EE141" s="547"/>
      <c r="EF141" s="547"/>
      <c r="EG141" s="166"/>
      <c r="EH141" s="547"/>
      <c r="EI141" s="547"/>
      <c r="EJ141" s="547"/>
      <c r="EK141" s="547"/>
      <c r="EL141" s="547"/>
      <c r="EM141" s="166"/>
      <c r="EN141" s="547"/>
      <c r="EO141" s="547"/>
      <c r="EP141" s="547"/>
      <c r="EQ141" s="547"/>
      <c r="ER141" s="547"/>
      <c r="ES141" s="166"/>
      <c r="ET141" s="547"/>
      <c r="EU141" s="547"/>
      <c r="EV141" s="547"/>
      <c r="EW141" s="547"/>
      <c r="EX141" s="547"/>
      <c r="EY141" s="166"/>
      <c r="EZ141" s="547"/>
      <c r="FA141" s="547"/>
      <c r="FB141" s="547"/>
      <c r="FC141" s="547"/>
      <c r="FD141" s="547"/>
      <c r="FE141" s="166"/>
      <c r="FF141" s="547"/>
      <c r="FG141" s="547"/>
      <c r="FH141" s="547"/>
      <c r="FI141" s="547"/>
      <c r="FJ141" s="547"/>
      <c r="FK141" s="166"/>
      <c r="FL141" s="547"/>
      <c r="FM141" s="547"/>
      <c r="FN141" s="547"/>
      <c r="FO141" s="547"/>
      <c r="FP141" s="547"/>
      <c r="FQ141" s="166"/>
      <c r="FR141" s="547"/>
      <c r="FS141" s="547"/>
      <c r="FT141" s="547"/>
      <c r="FU141" s="547"/>
      <c r="FV141" s="547"/>
      <c r="FW141" s="166"/>
      <c r="FX141" s="547"/>
      <c r="FY141" s="547"/>
      <c r="FZ141" s="547"/>
      <c r="GA141" s="547"/>
      <c r="GB141" s="547"/>
      <c r="GC141" s="166"/>
      <c r="GD141" s="547"/>
      <c r="GE141" s="547"/>
      <c r="GF141" s="547"/>
      <c r="GG141" s="547"/>
      <c r="GH141" s="547"/>
      <c r="GI141" s="166"/>
      <c r="GJ141" s="547"/>
      <c r="GK141" s="547"/>
      <c r="GL141" s="547"/>
      <c r="GM141" s="547"/>
      <c r="GN141" s="547"/>
      <c r="GO141" s="166"/>
      <c r="GP141" s="547"/>
      <c r="GQ141" s="547"/>
      <c r="GR141" s="547"/>
      <c r="GS141" s="547"/>
      <c r="GT141" s="547"/>
      <c r="GU141" s="166"/>
      <c r="GV141" s="547"/>
      <c r="GW141" s="547"/>
      <c r="GX141" s="547"/>
      <c r="GY141" s="547"/>
      <c r="GZ141" s="547"/>
      <c r="HA141" s="166"/>
      <c r="HB141" s="547"/>
      <c r="HC141" s="547"/>
      <c r="HD141" s="547"/>
      <c r="HE141" s="547"/>
      <c r="HF141" s="547"/>
      <c r="HG141" s="166"/>
      <c r="HH141" s="547"/>
      <c r="HI141" s="547"/>
      <c r="HJ141" s="547"/>
      <c r="HK141" s="547"/>
      <c r="HL141" s="547"/>
      <c r="HM141" s="166"/>
      <c r="HN141" s="547"/>
      <c r="HO141" s="547"/>
      <c r="HP141" s="547"/>
      <c r="HQ141" s="547"/>
      <c r="HR141" s="547"/>
      <c r="HS141" s="166"/>
      <c r="HT141" s="547"/>
      <c r="HU141" s="547"/>
      <c r="HV141" s="547"/>
      <c r="HW141" s="547"/>
      <c r="HX141" s="547"/>
      <c r="HY141" s="166"/>
      <c r="HZ141" s="547"/>
      <c r="IA141" s="547"/>
      <c r="IB141" s="547"/>
      <c r="IC141" s="547"/>
      <c r="ID141" s="547"/>
      <c r="IE141" s="166"/>
      <c r="IF141" s="547"/>
      <c r="IG141" s="547"/>
      <c r="IH141" s="547"/>
      <c r="II141" s="547"/>
      <c r="IJ141" s="547"/>
      <c r="IK141" s="166"/>
      <c r="IL141" s="547"/>
    </row>
    <row r="142" spans="1:246" s="141" customFormat="1" ht="15.75" customHeight="1">
      <c r="A142" s="539">
        <f>'Appendix A - TSRR Summary'!A172</f>
        <v>99</v>
      </c>
      <c r="B142" s="547"/>
      <c r="C142" s="547" t="str">
        <f>'Appendix A - TSRR Summary'!C172</f>
        <v>Long Term Interest</v>
      </c>
      <c r="D142" s="547"/>
      <c r="F142" s="572" t="s">
        <v>89</v>
      </c>
      <c r="G142" s="1118">
        <f>'Appendix A - TSRR Summary'!H172</f>
        <v>523841</v>
      </c>
      <c r="H142" s="1208">
        <v>0</v>
      </c>
      <c r="I142" s="504">
        <f>H142+G142</f>
        <v>523841</v>
      </c>
      <c r="J142" s="1318" t="s">
        <v>628</v>
      </c>
      <c r="K142" s="1310"/>
      <c r="L142" s="1310"/>
      <c r="M142" s="1310"/>
      <c r="N142" s="1310"/>
      <c r="O142" s="1310"/>
      <c r="P142" s="1310"/>
      <c r="Q142" s="1311"/>
      <c r="R142" s="533"/>
      <c r="S142" s="166"/>
      <c r="T142" s="547"/>
      <c r="U142" s="547"/>
      <c r="V142" s="547"/>
      <c r="W142" s="166"/>
      <c r="X142" s="547"/>
      <c r="Y142" s="547"/>
      <c r="Z142" s="547"/>
      <c r="AA142" s="547"/>
      <c r="AB142" s="547"/>
      <c r="AC142" s="166"/>
      <c r="AD142" s="547"/>
      <c r="AE142" s="547"/>
      <c r="AF142" s="547"/>
      <c r="AG142" s="547"/>
      <c r="AH142" s="547"/>
      <c r="AI142" s="166"/>
      <c r="AJ142" s="547"/>
      <c r="AK142" s="547"/>
      <c r="AL142" s="547"/>
      <c r="AM142" s="547"/>
      <c r="AN142" s="547"/>
      <c r="AO142" s="166"/>
      <c r="AP142" s="547"/>
      <c r="AQ142" s="547"/>
      <c r="AR142" s="547"/>
      <c r="AS142" s="547"/>
      <c r="AT142" s="547"/>
      <c r="AU142" s="166"/>
      <c r="AV142" s="547"/>
      <c r="AW142" s="547"/>
      <c r="AX142" s="547"/>
      <c r="AY142" s="547"/>
      <c r="AZ142" s="547"/>
      <c r="BA142" s="166"/>
      <c r="BB142" s="547"/>
      <c r="BC142" s="547"/>
      <c r="BD142" s="547"/>
      <c r="BE142" s="547"/>
      <c r="BF142" s="547"/>
      <c r="BG142" s="166"/>
      <c r="BH142" s="547"/>
      <c r="BI142" s="547"/>
      <c r="BJ142" s="547"/>
      <c r="BK142" s="547"/>
      <c r="BL142" s="547"/>
      <c r="BM142" s="166"/>
      <c r="BN142" s="547"/>
      <c r="BO142" s="547"/>
      <c r="BP142" s="547"/>
      <c r="BQ142" s="547"/>
      <c r="BR142" s="547"/>
      <c r="BS142" s="166"/>
      <c r="BT142" s="547"/>
      <c r="BU142" s="547"/>
      <c r="BV142" s="547"/>
      <c r="BW142" s="547"/>
      <c r="BX142" s="547"/>
      <c r="BY142" s="166"/>
      <c r="BZ142" s="547"/>
      <c r="CA142" s="547"/>
      <c r="CB142" s="547"/>
      <c r="CC142" s="547"/>
      <c r="CD142" s="547"/>
      <c r="CE142" s="166"/>
      <c r="CF142" s="547"/>
      <c r="CG142" s="547"/>
      <c r="CH142" s="547"/>
      <c r="CI142" s="547"/>
      <c r="CJ142" s="547"/>
      <c r="CK142" s="166"/>
      <c r="CL142" s="547"/>
      <c r="CM142" s="547"/>
      <c r="CN142" s="547"/>
      <c r="CO142" s="547"/>
      <c r="CP142" s="547"/>
      <c r="CQ142" s="166"/>
      <c r="CR142" s="547"/>
      <c r="CS142" s="547"/>
      <c r="CT142" s="547"/>
      <c r="CU142" s="547"/>
      <c r="CV142" s="547"/>
      <c r="CW142" s="166"/>
      <c r="CX142" s="547"/>
      <c r="CY142" s="547"/>
      <c r="CZ142" s="547"/>
      <c r="DA142" s="547"/>
      <c r="DB142" s="547"/>
      <c r="DC142" s="166"/>
      <c r="DD142" s="547"/>
      <c r="DE142" s="547"/>
      <c r="DF142" s="547"/>
      <c r="DG142" s="547"/>
      <c r="DH142" s="547"/>
      <c r="DI142" s="166"/>
      <c r="DJ142" s="547"/>
      <c r="DK142" s="547"/>
      <c r="DL142" s="547"/>
      <c r="DM142" s="547"/>
      <c r="DN142" s="547"/>
      <c r="DO142" s="166"/>
      <c r="DP142" s="547"/>
      <c r="DQ142" s="547"/>
      <c r="DR142" s="547"/>
      <c r="DS142" s="547"/>
      <c r="DT142" s="547"/>
      <c r="DU142" s="166"/>
      <c r="DV142" s="547"/>
      <c r="DW142" s="547"/>
      <c r="DX142" s="547"/>
      <c r="DY142" s="547"/>
      <c r="DZ142" s="547"/>
      <c r="EA142" s="166"/>
      <c r="EB142" s="547"/>
      <c r="EC142" s="547"/>
      <c r="ED142" s="547"/>
      <c r="EE142" s="547"/>
      <c r="EF142" s="547"/>
      <c r="EG142" s="166"/>
      <c r="EH142" s="547"/>
      <c r="EI142" s="547"/>
      <c r="EJ142" s="547"/>
      <c r="EK142" s="547"/>
      <c r="EL142" s="547"/>
      <c r="EM142" s="166"/>
      <c r="EN142" s="547"/>
      <c r="EO142" s="547"/>
      <c r="EP142" s="547"/>
      <c r="EQ142" s="547"/>
      <c r="ER142" s="547"/>
      <c r="ES142" s="166"/>
      <c r="ET142" s="547"/>
      <c r="EU142" s="547"/>
      <c r="EV142" s="547"/>
      <c r="EW142" s="547"/>
      <c r="EX142" s="547"/>
      <c r="EY142" s="166"/>
      <c r="EZ142" s="547"/>
      <c r="FA142" s="547"/>
      <c r="FB142" s="547"/>
      <c r="FC142" s="547"/>
      <c r="FD142" s="547"/>
      <c r="FE142" s="166"/>
      <c r="FF142" s="547"/>
      <c r="FG142" s="547"/>
      <c r="FH142" s="547"/>
      <c r="FI142" s="547"/>
      <c r="FJ142" s="547"/>
      <c r="FK142" s="166"/>
      <c r="FL142" s="547"/>
      <c r="FM142" s="547"/>
      <c r="FN142" s="547"/>
      <c r="FO142" s="547"/>
      <c r="FP142" s="547"/>
      <c r="FQ142" s="166"/>
      <c r="FR142" s="547"/>
      <c r="FS142" s="547"/>
      <c r="FT142" s="547"/>
      <c r="FU142" s="547"/>
      <c r="FV142" s="547"/>
      <c r="FW142" s="166"/>
      <c r="FX142" s="547"/>
      <c r="FY142" s="547"/>
      <c r="FZ142" s="547"/>
      <c r="GA142" s="547"/>
      <c r="GB142" s="547"/>
      <c r="GC142" s="166"/>
      <c r="GD142" s="547"/>
      <c r="GE142" s="547"/>
      <c r="GF142" s="547"/>
      <c r="GG142" s="547"/>
      <c r="GH142" s="547"/>
      <c r="GI142" s="166"/>
      <c r="GJ142" s="547"/>
      <c r="GK142" s="547"/>
      <c r="GL142" s="547"/>
      <c r="GM142" s="547"/>
      <c r="GN142" s="547"/>
      <c r="GO142" s="166"/>
      <c r="GP142" s="547"/>
      <c r="GQ142" s="547"/>
      <c r="GR142" s="547"/>
      <c r="GS142" s="547"/>
      <c r="GT142" s="547"/>
      <c r="GU142" s="166"/>
      <c r="GV142" s="547"/>
      <c r="GW142" s="547"/>
      <c r="GX142" s="547"/>
      <c r="GY142" s="547"/>
      <c r="GZ142" s="547"/>
      <c r="HA142" s="166"/>
      <c r="HB142" s="547"/>
      <c r="HC142" s="547"/>
      <c r="HD142" s="547"/>
      <c r="HE142" s="547"/>
      <c r="HF142" s="547"/>
      <c r="HG142" s="166"/>
      <c r="HH142" s="547"/>
      <c r="HI142" s="547"/>
      <c r="HJ142" s="547"/>
      <c r="HK142" s="547"/>
      <c r="HL142" s="547"/>
      <c r="HM142" s="166"/>
      <c r="HN142" s="547"/>
      <c r="HO142" s="547"/>
      <c r="HP142" s="547"/>
      <c r="HQ142" s="547"/>
      <c r="HR142" s="547"/>
      <c r="HS142" s="166"/>
      <c r="HT142" s="547"/>
      <c r="HU142" s="547"/>
      <c r="HV142" s="547"/>
      <c r="HW142" s="547"/>
      <c r="HX142" s="547"/>
      <c r="HY142" s="166"/>
      <c r="HZ142" s="547"/>
      <c r="IA142" s="547"/>
      <c r="IB142" s="547"/>
      <c r="IC142" s="547"/>
      <c r="ID142" s="547"/>
      <c r="IE142" s="166"/>
      <c r="IF142" s="547"/>
      <c r="IG142" s="547"/>
      <c r="IH142" s="547"/>
      <c r="II142" s="547"/>
      <c r="IJ142" s="547"/>
      <c r="IK142" s="166"/>
      <c r="IL142" s="547"/>
    </row>
    <row r="143" spans="1:246">
      <c r="A143" s="539"/>
      <c r="B143" s="547"/>
      <c r="C143" s="547"/>
      <c r="D143" s="547"/>
      <c r="E143" s="572"/>
      <c r="F143" s="502"/>
      <c r="G143" s="515"/>
      <c r="H143" s="345"/>
      <c r="I143" s="346"/>
      <c r="J143" s="1310"/>
      <c r="K143" s="1310"/>
      <c r="L143" s="1310"/>
      <c r="M143" s="1310"/>
      <c r="N143" s="1310"/>
      <c r="O143" s="1310"/>
      <c r="P143" s="1310"/>
      <c r="Q143" s="1311"/>
      <c r="R143" s="533"/>
      <c r="S143" s="166"/>
      <c r="T143" s="547"/>
      <c r="U143" s="547"/>
      <c r="V143" s="547"/>
      <c r="W143" s="166"/>
      <c r="X143" s="547"/>
      <c r="Y143" s="547"/>
      <c r="Z143" s="547"/>
      <c r="AA143" s="547"/>
      <c r="AB143" s="547"/>
      <c r="AC143" s="166"/>
      <c r="AD143" s="547"/>
      <c r="AE143" s="547"/>
      <c r="AF143" s="547"/>
      <c r="AG143" s="547"/>
      <c r="AH143" s="547"/>
      <c r="AI143" s="166"/>
      <c r="AJ143" s="547"/>
      <c r="AK143" s="547"/>
      <c r="AL143" s="547"/>
      <c r="AM143" s="547"/>
      <c r="AN143" s="547"/>
      <c r="AO143" s="166"/>
      <c r="AP143" s="547"/>
      <c r="AQ143" s="547"/>
      <c r="AR143" s="547"/>
      <c r="AS143" s="547"/>
      <c r="AT143" s="547"/>
      <c r="AU143" s="166"/>
      <c r="AV143" s="547"/>
      <c r="AW143" s="547"/>
      <c r="AX143" s="547"/>
      <c r="AY143" s="547"/>
      <c r="AZ143" s="547"/>
      <c r="BA143" s="166"/>
      <c r="BB143" s="547"/>
      <c r="BC143" s="547"/>
      <c r="BD143" s="547"/>
      <c r="BE143" s="547"/>
      <c r="BF143" s="547"/>
      <c r="BG143" s="166"/>
      <c r="BH143" s="547"/>
      <c r="BI143" s="547"/>
      <c r="BJ143" s="547"/>
      <c r="BK143" s="547"/>
      <c r="BL143" s="547"/>
      <c r="BM143" s="166"/>
      <c r="BN143" s="547"/>
      <c r="BO143" s="547"/>
      <c r="BP143" s="547"/>
      <c r="BQ143" s="547"/>
      <c r="BR143" s="547"/>
      <c r="BS143" s="166"/>
      <c r="BT143" s="547"/>
      <c r="BU143" s="547"/>
      <c r="BV143" s="547"/>
      <c r="BW143" s="547"/>
      <c r="BX143" s="547"/>
      <c r="BY143" s="166"/>
      <c r="BZ143" s="547"/>
      <c r="CA143" s="547"/>
      <c r="CB143" s="547"/>
      <c r="CC143" s="547"/>
      <c r="CD143" s="547"/>
      <c r="CE143" s="166"/>
      <c r="CF143" s="547"/>
      <c r="CG143" s="547"/>
      <c r="CH143" s="547"/>
      <c r="CI143" s="547"/>
      <c r="CJ143" s="547"/>
      <c r="CK143" s="166"/>
      <c r="CL143" s="547"/>
      <c r="CM143" s="547"/>
      <c r="CN143" s="547"/>
      <c r="CO143" s="547"/>
      <c r="CP143" s="547"/>
      <c r="CQ143" s="166"/>
      <c r="CR143" s="547"/>
      <c r="CS143" s="547"/>
      <c r="CT143" s="547"/>
      <c r="CU143" s="547"/>
      <c r="CV143" s="547"/>
      <c r="CW143" s="166"/>
      <c r="CX143" s="547"/>
      <c r="CY143" s="547"/>
      <c r="CZ143" s="547"/>
      <c r="DA143" s="547"/>
      <c r="DB143" s="547"/>
      <c r="DC143" s="166"/>
      <c r="DD143" s="547"/>
      <c r="DE143" s="547"/>
      <c r="DF143" s="547"/>
      <c r="DG143" s="547"/>
      <c r="DH143" s="547"/>
      <c r="DI143" s="166"/>
      <c r="DJ143" s="547"/>
      <c r="DK143" s="547"/>
      <c r="DL143" s="547"/>
      <c r="DM143" s="547"/>
      <c r="DN143" s="547"/>
      <c r="DO143" s="166"/>
      <c r="DP143" s="547"/>
      <c r="DQ143" s="547"/>
      <c r="DR143" s="547"/>
      <c r="DS143" s="547"/>
      <c r="DT143" s="547"/>
      <c r="DU143" s="166"/>
      <c r="DV143" s="547"/>
      <c r="DW143" s="547"/>
      <c r="DX143" s="547"/>
      <c r="DY143" s="547"/>
      <c r="DZ143" s="547"/>
      <c r="EA143" s="166"/>
      <c r="EB143" s="547"/>
      <c r="EC143" s="547"/>
      <c r="ED143" s="547"/>
      <c r="EE143" s="547"/>
      <c r="EF143" s="547"/>
      <c r="EG143" s="166"/>
      <c r="EH143" s="547"/>
      <c r="EI143" s="547"/>
      <c r="EJ143" s="547"/>
      <c r="EK143" s="547"/>
      <c r="EL143" s="547"/>
      <c r="EM143" s="166"/>
      <c r="EN143" s="547"/>
      <c r="EO143" s="547"/>
      <c r="EP143" s="547"/>
      <c r="EQ143" s="547"/>
      <c r="ER143" s="547"/>
      <c r="ES143" s="166"/>
      <c r="ET143" s="547"/>
      <c r="EU143" s="547"/>
      <c r="EV143" s="547"/>
      <c r="EW143" s="547"/>
      <c r="EX143" s="547"/>
      <c r="EY143" s="166"/>
      <c r="EZ143" s="547"/>
      <c r="FA143" s="547"/>
      <c r="FB143" s="547"/>
      <c r="FC143" s="547"/>
      <c r="FD143" s="547"/>
      <c r="FE143" s="166"/>
      <c r="FF143" s="547"/>
      <c r="FG143" s="547"/>
      <c r="FH143" s="547"/>
      <c r="FI143" s="547"/>
      <c r="FJ143" s="547"/>
      <c r="FK143" s="166"/>
      <c r="FL143" s="547"/>
      <c r="FM143" s="547"/>
      <c r="FN143" s="547"/>
      <c r="FO143" s="547"/>
      <c r="FP143" s="547"/>
      <c r="FQ143" s="166"/>
      <c r="FR143" s="547"/>
      <c r="FS143" s="547"/>
      <c r="FT143" s="547"/>
      <c r="FU143" s="547"/>
      <c r="FV143" s="547"/>
      <c r="FW143" s="166"/>
      <c r="FX143" s="547"/>
      <c r="FY143" s="547"/>
      <c r="FZ143" s="547"/>
      <c r="GA143" s="547"/>
      <c r="GB143" s="547"/>
      <c r="GC143" s="166"/>
      <c r="GD143" s="547"/>
      <c r="GE143" s="547"/>
      <c r="GF143" s="547"/>
      <c r="GG143" s="547"/>
      <c r="GH143" s="547"/>
      <c r="GI143" s="166"/>
      <c r="GJ143" s="547"/>
      <c r="GK143" s="547"/>
      <c r="GL143" s="547"/>
      <c r="GM143" s="547"/>
      <c r="GN143" s="547"/>
      <c r="GO143" s="166"/>
      <c r="GP143" s="547"/>
      <c r="GQ143" s="547"/>
      <c r="GR143" s="547"/>
      <c r="GS143" s="547"/>
      <c r="GT143" s="547"/>
      <c r="GU143" s="166"/>
      <c r="GV143" s="547"/>
      <c r="GW143" s="547"/>
      <c r="GX143" s="547"/>
      <c r="GY143" s="547"/>
      <c r="GZ143" s="547"/>
      <c r="HA143" s="166"/>
      <c r="HB143" s="547"/>
      <c r="HC143" s="547"/>
      <c r="HD143" s="547"/>
      <c r="HE143" s="547"/>
      <c r="HF143" s="547"/>
      <c r="HG143" s="166"/>
      <c r="HH143" s="547"/>
      <c r="HI143" s="547"/>
      <c r="HJ143" s="547"/>
      <c r="HK143" s="547"/>
      <c r="HL143" s="547"/>
      <c r="HM143" s="166"/>
      <c r="HN143" s="547"/>
      <c r="HO143" s="547"/>
      <c r="HP143" s="547"/>
      <c r="HQ143" s="547"/>
      <c r="HR143" s="547"/>
      <c r="HS143" s="166"/>
      <c r="HT143" s="547"/>
      <c r="HU143" s="547"/>
      <c r="HV143" s="547"/>
      <c r="HW143" s="547"/>
      <c r="HX143" s="547"/>
      <c r="HY143" s="166"/>
      <c r="HZ143" s="547"/>
      <c r="IA143" s="547"/>
      <c r="IB143" s="547"/>
      <c r="IC143" s="547"/>
      <c r="ID143" s="547"/>
      <c r="IE143" s="166"/>
      <c r="IF143" s="547"/>
      <c r="IG143" s="547"/>
      <c r="IH143" s="547"/>
      <c r="II143" s="547"/>
      <c r="IJ143" s="547"/>
      <c r="IK143" s="166"/>
      <c r="IL143" s="547"/>
    </row>
    <row r="144" spans="1:246" ht="13.5" thickBot="1">
      <c r="A144" s="577"/>
      <c r="B144" s="578"/>
      <c r="C144" s="578"/>
      <c r="D144" s="578"/>
      <c r="E144" s="567"/>
      <c r="F144" s="611"/>
      <c r="G144" s="625"/>
      <c r="H144" s="510"/>
      <c r="I144" s="510"/>
      <c r="J144" s="1312"/>
      <c r="K144" s="1312"/>
      <c r="L144" s="1312"/>
      <c r="M144" s="1312"/>
      <c r="N144" s="1312"/>
      <c r="O144" s="1312"/>
      <c r="P144" s="1312"/>
      <c r="Q144" s="1313"/>
      <c r="R144" s="533"/>
      <c r="S144" s="166"/>
      <c r="T144" s="547"/>
      <c r="U144" s="547"/>
      <c r="V144" s="547"/>
      <c r="W144" s="166"/>
      <c r="X144" s="547"/>
      <c r="Y144" s="547"/>
      <c r="Z144" s="547"/>
      <c r="AA144" s="547"/>
      <c r="AB144" s="547"/>
      <c r="AC144" s="166"/>
      <c r="AD144" s="547"/>
      <c r="AE144" s="547"/>
      <c r="AF144" s="547"/>
      <c r="AG144" s="547"/>
      <c r="AH144" s="547"/>
      <c r="AI144" s="166"/>
      <c r="AJ144" s="547"/>
      <c r="AK144" s="547"/>
      <c r="AL144" s="547"/>
      <c r="AM144" s="547"/>
      <c r="AN144" s="547"/>
      <c r="AO144" s="166"/>
      <c r="AP144" s="547"/>
      <c r="AQ144" s="547"/>
      <c r="AR144" s="547"/>
      <c r="AS144" s="547"/>
      <c r="AT144" s="547"/>
      <c r="AU144" s="166"/>
      <c r="AV144" s="547"/>
      <c r="AW144" s="547"/>
      <c r="AX144" s="547"/>
      <c r="AY144" s="547"/>
      <c r="AZ144" s="547"/>
      <c r="BA144" s="166"/>
      <c r="BB144" s="547"/>
      <c r="BC144" s="547"/>
      <c r="BD144" s="547"/>
      <c r="BE144" s="547"/>
      <c r="BF144" s="547"/>
      <c r="BG144" s="166"/>
      <c r="BH144" s="547"/>
      <c r="BI144" s="547"/>
      <c r="BJ144" s="547"/>
      <c r="BK144" s="547"/>
      <c r="BL144" s="547"/>
      <c r="BM144" s="166"/>
      <c r="BN144" s="547"/>
      <c r="BO144" s="547"/>
      <c r="BP144" s="547"/>
      <c r="BQ144" s="547"/>
      <c r="BR144" s="547"/>
      <c r="BS144" s="166"/>
      <c r="BT144" s="547"/>
      <c r="BU144" s="547"/>
      <c r="BV144" s="547"/>
      <c r="BW144" s="547"/>
      <c r="BX144" s="547"/>
      <c r="BY144" s="166"/>
      <c r="BZ144" s="547"/>
      <c r="CA144" s="547"/>
      <c r="CB144" s="547"/>
      <c r="CC144" s="547"/>
      <c r="CD144" s="547"/>
      <c r="CE144" s="166"/>
      <c r="CF144" s="547"/>
      <c r="CG144" s="547"/>
      <c r="CH144" s="547"/>
      <c r="CI144" s="547"/>
      <c r="CJ144" s="547"/>
      <c r="CK144" s="166"/>
      <c r="CL144" s="547"/>
      <c r="CM144" s="547"/>
      <c r="CN144" s="547"/>
      <c r="CO144" s="547"/>
      <c r="CP144" s="547"/>
      <c r="CQ144" s="166"/>
      <c r="CR144" s="547"/>
      <c r="CS144" s="547"/>
      <c r="CT144" s="547"/>
      <c r="CU144" s="547"/>
      <c r="CV144" s="547"/>
      <c r="CW144" s="166"/>
      <c r="CX144" s="547"/>
      <c r="CY144" s="547"/>
      <c r="CZ144" s="547"/>
      <c r="DA144" s="547"/>
      <c r="DB144" s="547"/>
      <c r="DC144" s="166"/>
      <c r="DD144" s="547"/>
      <c r="DE144" s="547"/>
      <c r="DF144" s="547"/>
      <c r="DG144" s="547"/>
      <c r="DH144" s="547"/>
      <c r="DI144" s="166"/>
      <c r="DJ144" s="547"/>
      <c r="DK144" s="547"/>
      <c r="DL144" s="547"/>
      <c r="DM144" s="547"/>
      <c r="DN144" s="547"/>
      <c r="DO144" s="166"/>
      <c r="DP144" s="547"/>
      <c r="DQ144" s="547"/>
      <c r="DR144" s="547"/>
      <c r="DS144" s="547"/>
      <c r="DT144" s="547"/>
      <c r="DU144" s="166"/>
      <c r="DV144" s="547"/>
      <c r="DW144" s="547"/>
      <c r="DX144" s="547"/>
      <c r="DY144" s="547"/>
      <c r="DZ144" s="547"/>
      <c r="EA144" s="166"/>
      <c r="EB144" s="547"/>
      <c r="EC144" s="547"/>
      <c r="ED144" s="547"/>
      <c r="EE144" s="547"/>
      <c r="EF144" s="547"/>
      <c r="EG144" s="166"/>
      <c r="EH144" s="547"/>
      <c r="EI144" s="547"/>
      <c r="EJ144" s="547"/>
      <c r="EK144" s="547"/>
      <c r="EL144" s="547"/>
      <c r="EM144" s="166"/>
      <c r="EN144" s="547"/>
      <c r="EO144" s="547"/>
      <c r="EP144" s="547"/>
      <c r="EQ144" s="547"/>
      <c r="ER144" s="547"/>
      <c r="ES144" s="166"/>
      <c r="ET144" s="547"/>
      <c r="EU144" s="547"/>
      <c r="EV144" s="547"/>
      <c r="EW144" s="547"/>
      <c r="EX144" s="547"/>
      <c r="EY144" s="166"/>
      <c r="EZ144" s="547"/>
      <c r="FA144" s="547"/>
      <c r="FB144" s="547"/>
      <c r="FC144" s="547"/>
      <c r="FD144" s="547"/>
      <c r="FE144" s="166"/>
      <c r="FF144" s="547"/>
      <c r="FG144" s="547"/>
      <c r="FH144" s="547"/>
      <c r="FI144" s="547"/>
      <c r="FJ144" s="547"/>
      <c r="FK144" s="166"/>
      <c r="FL144" s="547"/>
      <c r="FM144" s="547"/>
      <c r="FN144" s="547"/>
      <c r="FO144" s="547"/>
      <c r="FP144" s="547"/>
      <c r="FQ144" s="166"/>
      <c r="FR144" s="547"/>
      <c r="FS144" s="547"/>
      <c r="FT144" s="547"/>
      <c r="FU144" s="547"/>
      <c r="FV144" s="547"/>
      <c r="FW144" s="166"/>
      <c r="FX144" s="547"/>
      <c r="FY144" s="547"/>
      <c r="FZ144" s="547"/>
      <c r="GA144" s="547"/>
      <c r="GB144" s="547"/>
      <c r="GC144" s="166"/>
      <c r="GD144" s="547"/>
      <c r="GE144" s="547"/>
      <c r="GF144" s="547"/>
      <c r="GG144" s="547"/>
      <c r="GH144" s="547"/>
      <c r="GI144" s="166"/>
      <c r="GJ144" s="547"/>
      <c r="GK144" s="547"/>
      <c r="GL144" s="547"/>
      <c r="GM144" s="547"/>
      <c r="GN144" s="547"/>
      <c r="GO144" s="166"/>
      <c r="GP144" s="547"/>
      <c r="GQ144" s="547"/>
      <c r="GR144" s="547"/>
      <c r="GS144" s="547"/>
      <c r="GT144" s="547"/>
      <c r="GU144" s="166"/>
      <c r="GV144" s="547"/>
      <c r="GW144" s="547"/>
      <c r="GX144" s="547"/>
      <c r="GY144" s="547"/>
      <c r="GZ144" s="547"/>
      <c r="HA144" s="166"/>
      <c r="HB144" s="547"/>
      <c r="HC144" s="547"/>
      <c r="HD144" s="547"/>
      <c r="HE144" s="547"/>
      <c r="HF144" s="547"/>
      <c r="HG144" s="166"/>
      <c r="HH144" s="547"/>
      <c r="HI144" s="547"/>
      <c r="HJ144" s="547"/>
      <c r="HK144" s="547"/>
      <c r="HL144" s="547"/>
      <c r="HM144" s="166"/>
      <c r="HN144" s="547"/>
      <c r="HO144" s="547"/>
      <c r="HP144" s="547"/>
      <c r="HQ144" s="547"/>
      <c r="HR144" s="547"/>
      <c r="HS144" s="166"/>
      <c r="HT144" s="547"/>
      <c r="HU144" s="547"/>
      <c r="HV144" s="547"/>
      <c r="HW144" s="547"/>
      <c r="HX144" s="547"/>
      <c r="HY144" s="166"/>
      <c r="HZ144" s="547"/>
      <c r="IA144" s="547"/>
      <c r="IB144" s="547"/>
      <c r="IC144" s="547"/>
      <c r="ID144" s="547"/>
      <c r="IE144" s="166"/>
      <c r="IF144" s="547"/>
      <c r="IG144" s="547"/>
      <c r="IH144" s="547"/>
      <c r="II144" s="547"/>
      <c r="IJ144" s="547"/>
      <c r="IK144" s="166"/>
      <c r="IL144" s="547"/>
    </row>
    <row r="145" spans="1:18">
      <c r="A145" s="529"/>
      <c r="B145" s="529"/>
      <c r="C145" s="529"/>
      <c r="D145" s="529"/>
      <c r="E145" s="529"/>
      <c r="F145" s="529"/>
      <c r="G145" s="529"/>
      <c r="H145" s="529"/>
      <c r="I145" s="529"/>
      <c r="J145" s="614"/>
      <c r="K145" s="614"/>
      <c r="L145" s="614"/>
      <c r="M145" s="614"/>
      <c r="N145" s="614"/>
      <c r="O145" s="614"/>
      <c r="P145" s="614"/>
      <c r="Q145" s="614"/>
      <c r="R145" s="529"/>
    </row>
    <row r="146" spans="1:18">
      <c r="A146" s="529"/>
      <c r="B146" s="529"/>
      <c r="C146" s="529"/>
      <c r="D146" s="529"/>
      <c r="E146" s="529"/>
      <c r="F146" s="529"/>
      <c r="G146" s="529"/>
      <c r="H146" s="529"/>
      <c r="I146" s="529"/>
      <c r="J146" s="614"/>
      <c r="K146" s="614"/>
      <c r="L146" s="614"/>
      <c r="M146" s="614"/>
      <c r="N146" s="614"/>
      <c r="O146" s="614"/>
      <c r="P146" s="614"/>
      <c r="Q146" s="614"/>
      <c r="R146" s="529"/>
    </row>
    <row r="147" spans="1:18" s="276" customFormat="1" ht="18.75" thickBot="1">
      <c r="A147" s="1060" t="s">
        <v>266</v>
      </c>
      <c r="B147" s="762"/>
      <c r="C147" s="762"/>
      <c r="D147" s="762"/>
      <c r="E147" s="762"/>
      <c r="F147" s="762"/>
      <c r="G147" s="762"/>
      <c r="H147" s="762"/>
      <c r="I147" s="762"/>
      <c r="J147" s="768"/>
      <c r="K147" s="768"/>
      <c r="L147" s="768"/>
      <c r="M147" s="768"/>
      <c r="N147" s="768"/>
      <c r="O147" s="768"/>
      <c r="P147" s="768"/>
      <c r="Q147" s="768"/>
      <c r="R147" s="530"/>
    </row>
    <row r="148" spans="1:18" ht="38.25">
      <c r="A148" s="1285" t="s">
        <v>543</v>
      </c>
      <c r="B148" s="1286"/>
      <c r="C148" s="1286"/>
      <c r="D148" s="1286"/>
      <c r="E148" s="1286"/>
      <c r="F148" s="1286"/>
      <c r="G148" s="1061" t="str">
        <f>+C150</f>
        <v>Interest on Network Credits</v>
      </c>
      <c r="H148" s="1269" t="s">
        <v>158</v>
      </c>
      <c r="I148" s="1324"/>
      <c r="J148" s="1324"/>
      <c r="K148" s="1324"/>
      <c r="L148" s="1324"/>
      <c r="M148" s="1324"/>
      <c r="N148" s="1324"/>
      <c r="O148" s="1324"/>
      <c r="P148" s="1324"/>
      <c r="Q148" s="1325"/>
      <c r="R148" s="529"/>
    </row>
    <row r="149" spans="1:18">
      <c r="A149" s="539"/>
      <c r="B149" s="546" t="str">
        <f>+'Appendix A - TSRR Summary'!B254</f>
        <v>Revenue Credits &amp; Interest on Network Credits</v>
      </c>
      <c r="C149" s="547"/>
      <c r="D149" s="547"/>
      <c r="E149" s="547"/>
      <c r="F149" s="547"/>
      <c r="G149" s="743"/>
      <c r="H149" s="1276"/>
      <c r="I149" s="1276"/>
      <c r="J149" s="1276"/>
      <c r="K149" s="1276"/>
      <c r="L149" s="1276"/>
      <c r="M149" s="1276"/>
      <c r="N149" s="1276"/>
      <c r="O149" s="1276"/>
      <c r="P149" s="1276"/>
      <c r="Q149" s="1277"/>
      <c r="R149" s="529"/>
    </row>
    <row r="150" spans="1:18" ht="12.75" customHeight="1">
      <c r="A150" s="539">
        <f>+'Appendix A - TSRR Summary'!A256</f>
        <v>155</v>
      </c>
      <c r="B150" s="547"/>
      <c r="C150" s="166" t="str">
        <f>+'Appendix A - TSRR Summary'!C256</f>
        <v>Interest on Network Credits</v>
      </c>
      <c r="D150" s="547"/>
      <c r="E150" s="547" t="str">
        <f>+'Appendix A - TSRR Summary'!E256</f>
        <v>(Note N)</v>
      </c>
      <c r="F150" s="547" t="s">
        <v>418</v>
      </c>
      <c r="G150" s="1077">
        <v>0</v>
      </c>
      <c r="H150" s="1275" t="s">
        <v>589</v>
      </c>
      <c r="I150" s="1275"/>
      <c r="J150" s="1275"/>
      <c r="K150" s="1275"/>
      <c r="L150" s="1275"/>
      <c r="M150" s="1275"/>
      <c r="N150" s="1275"/>
      <c r="O150" s="1275"/>
      <c r="P150" s="1275"/>
      <c r="Q150" s="1288"/>
      <c r="R150" s="529"/>
    </row>
    <row r="151" spans="1:18">
      <c r="A151" s="539"/>
      <c r="B151" s="547"/>
      <c r="C151" s="547"/>
      <c r="D151" s="547"/>
      <c r="E151" s="540"/>
      <c r="F151" s="481"/>
      <c r="G151" s="558"/>
      <c r="H151" s="1276"/>
      <c r="I151" s="1276"/>
      <c r="J151" s="1276"/>
      <c r="K151" s="1276"/>
      <c r="L151" s="1276"/>
      <c r="M151" s="1276"/>
      <c r="N151" s="1276"/>
      <c r="O151" s="1276"/>
      <c r="P151" s="1276"/>
      <c r="Q151" s="1277"/>
      <c r="R151" s="529"/>
    </row>
    <row r="152" spans="1:18">
      <c r="A152" s="539"/>
      <c r="B152" s="547"/>
      <c r="C152" s="547"/>
      <c r="D152" s="547"/>
      <c r="E152" s="540"/>
      <c r="F152" s="481"/>
      <c r="G152" s="558"/>
      <c r="Q152" s="521"/>
      <c r="R152" s="529"/>
    </row>
    <row r="153" spans="1:18">
      <c r="A153" s="539"/>
      <c r="B153" s="547"/>
      <c r="C153" s="547"/>
      <c r="D153" s="547"/>
      <c r="E153" s="540"/>
      <c r="F153" s="481"/>
      <c r="G153" s="516"/>
      <c r="H153" s="1316"/>
      <c r="I153" s="1316"/>
      <c r="J153" s="1316"/>
      <c r="K153" s="1316"/>
      <c r="L153" s="1316"/>
      <c r="M153" s="1316"/>
      <c r="N153" s="1316"/>
      <c r="O153" s="1316"/>
      <c r="P153" s="1316"/>
      <c r="Q153" s="1317"/>
      <c r="R153" s="529"/>
    </row>
    <row r="154" spans="1:18" ht="13.5" thickBot="1">
      <c r="A154" s="577"/>
      <c r="B154" s="578"/>
      <c r="C154" s="578"/>
      <c r="D154" s="578"/>
      <c r="E154" s="567"/>
      <c r="F154" s="611"/>
      <c r="G154" s="609"/>
      <c r="H154" s="523"/>
      <c r="I154" s="523"/>
      <c r="J154" s="619"/>
      <c r="K154" s="1078" t="s">
        <v>154</v>
      </c>
      <c r="L154" s="616"/>
      <c r="M154" s="616"/>
      <c r="N154" s="616"/>
      <c r="O154" s="616"/>
      <c r="P154" s="616"/>
      <c r="Q154" s="617"/>
      <c r="R154" s="529"/>
    </row>
    <row r="155" spans="1:18">
      <c r="A155" s="529"/>
      <c r="B155" s="529"/>
      <c r="C155" s="529"/>
      <c r="D155" s="529"/>
      <c r="E155" s="529"/>
      <c r="F155" s="529"/>
      <c r="G155" s="529"/>
      <c r="H155" s="529"/>
      <c r="I155" s="529"/>
      <c r="J155" s="614"/>
      <c r="K155" s="614"/>
      <c r="L155" s="614"/>
      <c r="M155" s="614"/>
      <c r="N155" s="614"/>
      <c r="O155" s="614"/>
      <c r="P155" s="614"/>
      <c r="Q155" s="614"/>
      <c r="R155" s="529"/>
    </row>
    <row r="156" spans="1:18">
      <c r="A156" s="529"/>
      <c r="B156" s="529"/>
      <c r="C156" s="529"/>
      <c r="D156" s="529"/>
      <c r="E156" s="529"/>
      <c r="F156" s="529"/>
      <c r="G156" s="529"/>
      <c r="H156" s="529"/>
      <c r="I156" s="529"/>
      <c r="J156" s="614"/>
      <c r="K156" s="614"/>
      <c r="L156" s="614"/>
      <c r="M156" s="614"/>
      <c r="N156" s="614"/>
      <c r="O156" s="614"/>
      <c r="P156" s="614"/>
      <c r="Q156" s="614"/>
      <c r="R156" s="529"/>
    </row>
    <row r="157" spans="1:18" s="276" customFormat="1" ht="18.75" thickBot="1">
      <c r="A157" s="1060" t="str">
        <f>+'Appendix A - TSRR Summary'!C278</f>
        <v xml:space="preserve">Facility Credits under Section 30.9 of the PJM OATT </v>
      </c>
      <c r="B157" s="762"/>
      <c r="C157" s="762"/>
      <c r="D157" s="762"/>
      <c r="E157" s="762"/>
      <c r="F157" s="762"/>
      <c r="G157" s="762"/>
      <c r="H157" s="762"/>
      <c r="I157" s="762"/>
      <c r="J157" s="768"/>
      <c r="K157" s="768"/>
      <c r="L157" s="768"/>
      <c r="M157" s="768"/>
      <c r="N157" s="768"/>
      <c r="O157" s="768"/>
      <c r="P157" s="768"/>
      <c r="Q157" s="768"/>
      <c r="R157" s="530"/>
    </row>
    <row r="158" spans="1:18" ht="33.75" customHeight="1">
      <c r="A158" s="1285" t="s">
        <v>543</v>
      </c>
      <c r="B158" s="1286"/>
      <c r="C158" s="1286"/>
      <c r="D158" s="1286"/>
      <c r="E158" s="1286"/>
      <c r="F158" s="1286"/>
      <c r="G158" s="1061" t="s">
        <v>45</v>
      </c>
      <c r="H158" s="1307" t="s">
        <v>157</v>
      </c>
      <c r="I158" s="1308"/>
      <c r="J158" s="1308"/>
      <c r="K158" s="1308"/>
      <c r="L158" s="1308"/>
      <c r="M158" s="1308"/>
      <c r="N158" s="1308"/>
      <c r="O158" s="1308"/>
      <c r="P158" s="1308"/>
      <c r="Q158" s="1309"/>
      <c r="R158" s="529"/>
    </row>
    <row r="159" spans="1:18">
      <c r="A159" s="539"/>
      <c r="B159" s="556" t="str">
        <f>+'Appendix A - TSRR Summary'!C275</f>
        <v>Net Revenue Requirement</v>
      </c>
      <c r="C159" s="247"/>
      <c r="D159" s="247"/>
      <c r="E159" s="447"/>
      <c r="F159" s="525"/>
      <c r="G159" s="503"/>
      <c r="H159" s="1276"/>
      <c r="I159" s="1276"/>
      <c r="J159" s="1276"/>
      <c r="K159" s="1276"/>
      <c r="L159" s="1276"/>
      <c r="M159" s="1276"/>
      <c r="N159" s="1276"/>
      <c r="O159" s="1276"/>
      <c r="P159" s="1276"/>
      <c r="Q159" s="1277"/>
      <c r="R159" s="529"/>
    </row>
    <row r="160" spans="1:18" ht="13.5" thickBot="1">
      <c r="A160" s="577">
        <f>+'Appendix A - TSRR Summary'!A278</f>
        <v>171</v>
      </c>
      <c r="B160" s="592"/>
      <c r="C160" s="579" t="str">
        <f>+'Appendix A - TSRR Summary'!C278</f>
        <v xml:space="preserve">Facility Credits under Section 30.9 of the PJM OATT </v>
      </c>
      <c r="D160" s="587"/>
      <c r="E160" s="578"/>
      <c r="F160" s="578"/>
      <c r="G160" s="1076">
        <v>0</v>
      </c>
      <c r="H160" s="1304" t="s">
        <v>589</v>
      </c>
      <c r="I160" s="1305"/>
      <c r="J160" s="1305"/>
      <c r="K160" s="1305"/>
      <c r="L160" s="1305"/>
      <c r="M160" s="1305"/>
      <c r="N160" s="1305"/>
      <c r="O160" s="1305"/>
      <c r="P160" s="1305"/>
      <c r="Q160" s="1306"/>
      <c r="R160" s="529"/>
    </row>
    <row r="161" spans="1:18">
      <c r="A161" s="529"/>
      <c r="B161" s="529"/>
      <c r="C161" s="529"/>
      <c r="D161" s="529"/>
      <c r="E161" s="529"/>
      <c r="F161" s="529"/>
      <c r="G161" s="529"/>
      <c r="H161" s="529"/>
      <c r="I161" s="529"/>
      <c r="J161" s="614"/>
      <c r="K161" s="614"/>
      <c r="L161" s="614"/>
      <c r="M161" s="614"/>
      <c r="N161" s="614"/>
      <c r="O161" s="614"/>
      <c r="P161" s="614"/>
      <c r="Q161" s="614"/>
      <c r="R161" s="529"/>
    </row>
    <row r="162" spans="1:18">
      <c r="A162" s="529"/>
      <c r="B162" s="529"/>
      <c r="C162" s="529"/>
      <c r="D162" s="529"/>
      <c r="E162" s="529"/>
      <c r="F162" s="529"/>
      <c r="G162" s="529"/>
      <c r="H162" s="529"/>
      <c r="I162" s="529"/>
      <c r="J162" s="614"/>
      <c r="K162" s="614"/>
      <c r="L162" s="614"/>
      <c r="M162" s="614"/>
      <c r="N162" s="614"/>
      <c r="O162" s="614"/>
      <c r="P162" s="614"/>
      <c r="Q162" s="614"/>
      <c r="R162" s="529"/>
    </row>
    <row r="163" spans="1:18" s="276" customFormat="1" ht="18.75" thickBot="1">
      <c r="A163" s="1060" t="s">
        <v>263</v>
      </c>
      <c r="B163" s="762"/>
      <c r="C163" s="762"/>
      <c r="D163" s="762"/>
      <c r="E163" s="762"/>
      <c r="F163" s="762"/>
      <c r="G163" s="762"/>
      <c r="H163" s="762"/>
      <c r="I163" s="762"/>
      <c r="J163" s="768"/>
      <c r="K163" s="768"/>
      <c r="L163" s="768"/>
      <c r="M163" s="768"/>
      <c r="N163" s="768"/>
      <c r="O163" s="768"/>
      <c r="P163" s="768"/>
      <c r="Q163" s="768"/>
      <c r="R163" s="530"/>
    </row>
    <row r="164" spans="1:18" ht="27.75" customHeight="1">
      <c r="A164" s="1285" t="s">
        <v>543</v>
      </c>
      <c r="B164" s="1286"/>
      <c r="C164" s="1286"/>
      <c r="D164" s="1286"/>
      <c r="E164" s="1286"/>
      <c r="F164" s="1286"/>
      <c r="G164" s="1061" t="str">
        <f>+C166</f>
        <v>1 CP Peak</v>
      </c>
      <c r="H164" s="1307" t="s">
        <v>157</v>
      </c>
      <c r="I164" s="1308"/>
      <c r="J164" s="1308"/>
      <c r="K164" s="1308"/>
      <c r="L164" s="1308"/>
      <c r="M164" s="1308"/>
      <c r="N164" s="1308"/>
      <c r="O164" s="1308"/>
      <c r="P164" s="1308"/>
      <c r="Q164" s="1309"/>
      <c r="R164" s="529"/>
    </row>
    <row r="165" spans="1:18">
      <c r="A165" s="539"/>
      <c r="B165" s="556" t="s">
        <v>120</v>
      </c>
      <c r="C165" s="247"/>
      <c r="D165" s="247"/>
      <c r="E165" s="447"/>
      <c r="F165" s="525"/>
      <c r="G165" s="503"/>
      <c r="H165" s="1276"/>
      <c r="I165" s="1276"/>
      <c r="J165" s="1276"/>
      <c r="K165" s="1276"/>
      <c r="L165" s="1276"/>
      <c r="M165" s="1276"/>
      <c r="N165" s="1276"/>
      <c r="O165" s="1276"/>
      <c r="P165" s="1276"/>
      <c r="Q165" s="1277"/>
      <c r="R165" s="529"/>
    </row>
    <row r="166" spans="1:18" ht="13.5" thickBot="1">
      <c r="A166" s="577">
        <f>+'Appendix A - TSRR Summary'!A282</f>
        <v>173</v>
      </c>
      <c r="B166" s="578"/>
      <c r="C166" s="579" t="str">
        <f>+'Appendix A - TSRR Summary'!C282</f>
        <v>1 CP Peak</v>
      </c>
      <c r="D166" s="587"/>
      <c r="E166" s="578" t="str">
        <f>+'Appendix A - TSRR Summary'!E282</f>
        <v>(Note L)</v>
      </c>
      <c r="F166" s="513" t="str">
        <f>+'Appendix A - TSRR Summary'!F282</f>
        <v>PJM Data</v>
      </c>
      <c r="G166" s="1171">
        <v>20948.7</v>
      </c>
      <c r="H166" s="1299" t="s">
        <v>616</v>
      </c>
      <c r="I166" s="1300"/>
      <c r="J166" s="1300"/>
      <c r="K166" s="1300"/>
      <c r="L166" s="1300"/>
      <c r="M166" s="1300"/>
      <c r="N166" s="1300"/>
      <c r="O166" s="1300"/>
      <c r="P166" s="1300"/>
      <c r="Q166" s="1301"/>
      <c r="R166" s="529"/>
    </row>
    <row r="167" spans="1:18">
      <c r="A167" s="529"/>
      <c r="B167" s="529"/>
      <c r="C167" s="529"/>
      <c r="D167" s="529"/>
      <c r="E167" s="529"/>
      <c r="F167" s="529"/>
      <c r="G167" s="529"/>
      <c r="H167" s="529"/>
      <c r="I167" s="529"/>
      <c r="J167" s="614"/>
      <c r="K167" s="614"/>
      <c r="L167" s="614"/>
      <c r="M167" s="614"/>
      <c r="N167" s="614"/>
      <c r="O167" s="614"/>
      <c r="P167" s="614"/>
      <c r="Q167" s="614"/>
      <c r="R167" s="529"/>
    </row>
    <row r="168" spans="1:18">
      <c r="A168" s="529"/>
      <c r="B168" s="529"/>
      <c r="C168" s="529"/>
      <c r="D168" s="529"/>
      <c r="E168" s="529"/>
      <c r="F168" s="529"/>
      <c r="G168" s="529"/>
      <c r="H168" s="529"/>
      <c r="I168" s="529"/>
      <c r="J168" s="614"/>
      <c r="K168" s="614"/>
      <c r="L168" s="614"/>
      <c r="M168" s="614"/>
      <c r="N168" s="614"/>
      <c r="O168" s="614"/>
      <c r="P168" s="614"/>
      <c r="Q168" s="614"/>
      <c r="R168" s="529"/>
    </row>
    <row r="169" spans="1:18" s="276" customFormat="1" ht="18.75" thickBot="1">
      <c r="A169" s="1060" t="s">
        <v>161</v>
      </c>
      <c r="B169" s="762"/>
      <c r="C169" s="762"/>
      <c r="D169" s="762"/>
      <c r="E169" s="762"/>
      <c r="F169" s="762"/>
      <c r="G169" s="762"/>
      <c r="H169" s="762"/>
      <c r="I169" s="762"/>
      <c r="J169" s="768"/>
      <c r="K169" s="768"/>
      <c r="L169" s="768"/>
      <c r="M169" s="768"/>
      <c r="N169" s="768"/>
      <c r="O169" s="768"/>
      <c r="P169" s="768"/>
      <c r="Q169" s="768"/>
      <c r="R169" s="530"/>
    </row>
    <row r="170" spans="1:18" ht="34.5" customHeight="1">
      <c r="A170" s="1071"/>
      <c r="B170" s="1072"/>
      <c r="C170" s="1072" t="s">
        <v>162</v>
      </c>
      <c r="D170" s="1075" t="s">
        <v>163</v>
      </c>
      <c r="E170" s="1072" t="s">
        <v>164</v>
      </c>
      <c r="F170" s="1072" t="s">
        <v>165</v>
      </c>
      <c r="G170" s="1285" t="s">
        <v>166</v>
      </c>
      <c r="H170" s="1298"/>
      <c r="I170" s="1286" t="s">
        <v>167</v>
      </c>
      <c r="J170" s="1298"/>
      <c r="K170" s="1349" t="s">
        <v>168</v>
      </c>
      <c r="L170" s="1350"/>
      <c r="M170" s="1073"/>
      <c r="N170" s="1073"/>
      <c r="O170" s="1073"/>
      <c r="P170" s="1073"/>
      <c r="Q170" s="1074"/>
      <c r="R170" s="529"/>
    </row>
    <row r="171" spans="1:18">
      <c r="A171" s="539"/>
      <c r="B171" s="546"/>
      <c r="C171" s="547"/>
      <c r="D171" s="547"/>
      <c r="E171" s="526"/>
      <c r="F171" s="526"/>
      <c r="G171" s="1346">
        <f>+E171*D171</f>
        <v>0</v>
      </c>
      <c r="H171" s="1347"/>
      <c r="I171" s="1348">
        <f>+F171*D171</f>
        <v>0</v>
      </c>
      <c r="J171" s="1347"/>
      <c r="K171" s="1302">
        <f>+I171-G171</f>
        <v>0</v>
      </c>
      <c r="L171" s="1303"/>
      <c r="M171" s="519"/>
      <c r="N171" s="519"/>
      <c r="O171" s="519"/>
      <c r="P171" s="519"/>
      <c r="Q171" s="520"/>
      <c r="R171" s="529"/>
    </row>
    <row r="172" spans="1:18" ht="25.5" customHeight="1">
      <c r="A172" s="539"/>
      <c r="B172" s="547"/>
      <c r="C172" s="1296" t="s">
        <v>633</v>
      </c>
      <c r="D172" s="1296"/>
      <c r="E172" s="1296"/>
      <c r="F172" s="1297"/>
      <c r="G172" s="1351"/>
      <c r="H172" s="1352"/>
      <c r="I172" s="1353"/>
      <c r="J172" s="1352"/>
      <c r="K172" s="1354"/>
      <c r="L172" s="1355"/>
      <c r="M172" s="512"/>
      <c r="N172" s="512"/>
      <c r="O172" s="512"/>
      <c r="P172" s="512"/>
      <c r="Q172" s="521"/>
      <c r="R172" s="529"/>
    </row>
    <row r="173" spans="1:18">
      <c r="A173" s="539"/>
      <c r="B173" s="547"/>
      <c r="C173" s="547"/>
      <c r="D173" s="547"/>
      <c r="E173" s="526"/>
      <c r="F173" s="526"/>
      <c r="G173" s="613"/>
      <c r="H173" s="526"/>
      <c r="I173" s="347"/>
      <c r="J173" s="512"/>
      <c r="K173" s="620"/>
      <c r="L173" s="512"/>
      <c r="M173" s="512"/>
      <c r="N173" s="512"/>
      <c r="O173" s="512"/>
      <c r="P173" s="512"/>
      <c r="Q173" s="521"/>
      <c r="R173" s="529"/>
    </row>
    <row r="174" spans="1:18" ht="13.5" thickBot="1">
      <c r="A174" s="577"/>
      <c r="B174" s="578"/>
      <c r="C174" s="578" t="s">
        <v>447</v>
      </c>
      <c r="D174" s="578"/>
      <c r="E174" s="567"/>
      <c r="F174" s="611"/>
      <c r="G174" s="1341">
        <f>SUM(G171:H173)</f>
        <v>0</v>
      </c>
      <c r="H174" s="1342"/>
      <c r="I174" s="1343">
        <f>SUM(I171:J173)</f>
        <v>0</v>
      </c>
      <c r="J174" s="1342"/>
      <c r="K174" s="1344">
        <f>SUM(K171:L173)</f>
        <v>0</v>
      </c>
      <c r="L174" s="1345"/>
      <c r="M174" s="616"/>
      <c r="N174" s="616"/>
      <c r="O174" s="616"/>
      <c r="P174" s="616"/>
      <c r="Q174" s="617"/>
      <c r="R174" s="529"/>
    </row>
    <row r="175" spans="1:18">
      <c r="A175" s="529"/>
      <c r="B175" s="529"/>
      <c r="C175" s="529"/>
      <c r="D175" s="529"/>
      <c r="E175" s="529"/>
      <c r="F175" s="529"/>
      <c r="G175" s="529"/>
      <c r="H175" s="529"/>
      <c r="I175" s="529"/>
      <c r="J175" s="614"/>
      <c r="K175" s="614"/>
      <c r="L175" s="614"/>
      <c r="M175" s="614"/>
      <c r="N175" s="614"/>
      <c r="O175" s="614"/>
      <c r="P175" s="614"/>
      <c r="Q175" s="614"/>
      <c r="R175" s="529"/>
    </row>
    <row r="176" spans="1:18">
      <c r="A176" s="529"/>
      <c r="B176" s="529"/>
      <c r="C176" s="529"/>
      <c r="D176" s="529"/>
      <c r="E176" s="529"/>
      <c r="F176" s="529"/>
      <c r="G176" s="529"/>
      <c r="H176" s="529"/>
      <c r="I176" s="529"/>
      <c r="J176" s="614"/>
      <c r="K176" s="614"/>
      <c r="L176" s="614"/>
      <c r="M176" s="614"/>
      <c r="N176" s="614"/>
      <c r="O176" s="614"/>
      <c r="P176" s="614"/>
      <c r="Q176" s="614"/>
      <c r="R176" s="529"/>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34">
    <mergeCell ref="H158:Q158"/>
    <mergeCell ref="J35:Q35"/>
    <mergeCell ref="L87:Q87"/>
    <mergeCell ref="J133:Q133"/>
    <mergeCell ref="J135:Q135"/>
    <mergeCell ref="J130:Q130"/>
    <mergeCell ref="J132:Q132"/>
    <mergeCell ref="J93:Q93"/>
    <mergeCell ref="J68:Q68"/>
    <mergeCell ref="J73:Q73"/>
    <mergeCell ref="J46:Q46"/>
    <mergeCell ref="J55:Q55"/>
    <mergeCell ref="J47:Q47"/>
    <mergeCell ref="J49:Q49"/>
    <mergeCell ref="J79:Q79"/>
    <mergeCell ref="J60:Q60"/>
    <mergeCell ref="J74:Q74"/>
    <mergeCell ref="J78:Q78"/>
    <mergeCell ref="J80:Q80"/>
    <mergeCell ref="L86:Q86"/>
    <mergeCell ref="J92:Q92"/>
    <mergeCell ref="L85:Q85"/>
    <mergeCell ref="H104:Q104"/>
    <mergeCell ref="G174:H174"/>
    <mergeCell ref="I174:J174"/>
    <mergeCell ref="K174:L174"/>
    <mergeCell ref="G171:H171"/>
    <mergeCell ref="I171:J171"/>
    <mergeCell ref="K170:L170"/>
    <mergeCell ref="G172:H172"/>
    <mergeCell ref="I172:J172"/>
    <mergeCell ref="K172:L172"/>
    <mergeCell ref="A91:F91"/>
    <mergeCell ref="A120:F120"/>
    <mergeCell ref="J129:Q129"/>
    <mergeCell ref="G109:Q109"/>
    <mergeCell ref="G110:Q110"/>
    <mergeCell ref="H120:Q120"/>
    <mergeCell ref="A109:F109"/>
    <mergeCell ref="J91:Q91"/>
    <mergeCell ref="G114:Q114"/>
    <mergeCell ref="G115:Q115"/>
    <mergeCell ref="H97:Q97"/>
    <mergeCell ref="H99:Q99"/>
    <mergeCell ref="G112:Q112"/>
    <mergeCell ref="G113:Q113"/>
    <mergeCell ref="A158:F158"/>
    <mergeCell ref="A97:F97"/>
    <mergeCell ref="J143:Q143"/>
    <mergeCell ref="J144:Q144"/>
    <mergeCell ref="H151:Q151"/>
    <mergeCell ref="J141:Q141"/>
    <mergeCell ref="J140:Q140"/>
    <mergeCell ref="A148:F148"/>
    <mergeCell ref="H149:Q149"/>
    <mergeCell ref="J139:Q139"/>
    <mergeCell ref="H153:Q153"/>
    <mergeCell ref="A129:F129"/>
    <mergeCell ref="J142:Q142"/>
    <mergeCell ref="A139:F139"/>
    <mergeCell ref="J131:Q131"/>
    <mergeCell ref="J134:Q134"/>
    <mergeCell ref="H148:Q148"/>
    <mergeCell ref="H150:Q150"/>
    <mergeCell ref="H101:Q101"/>
    <mergeCell ref="H102:Q102"/>
    <mergeCell ref="G111:Q111"/>
    <mergeCell ref="G116:Q116"/>
    <mergeCell ref="H122:Q122"/>
    <mergeCell ref="H124:Q124"/>
    <mergeCell ref="H159:Q159"/>
    <mergeCell ref="C172:F172"/>
    <mergeCell ref="H165:Q165"/>
    <mergeCell ref="G170:H170"/>
    <mergeCell ref="I170:J170"/>
    <mergeCell ref="H166:Q166"/>
    <mergeCell ref="K171:L171"/>
    <mergeCell ref="A164:F164"/>
    <mergeCell ref="H160:Q160"/>
    <mergeCell ref="H164:Q164"/>
    <mergeCell ref="A72:F72"/>
    <mergeCell ref="A78:F78"/>
    <mergeCell ref="A84:F84"/>
    <mergeCell ref="J54:Q54"/>
    <mergeCell ref="J66:Q66"/>
    <mergeCell ref="L84:Q84"/>
    <mergeCell ref="J65:Q65"/>
    <mergeCell ref="J67:Q67"/>
    <mergeCell ref="J72:Q72"/>
    <mergeCell ref="J61:Q61"/>
    <mergeCell ref="J64:Q64"/>
    <mergeCell ref="J62:Q63"/>
    <mergeCell ref="A42:F42"/>
    <mergeCell ref="A59:F59"/>
    <mergeCell ref="A53:F53"/>
    <mergeCell ref="J44:Q44"/>
    <mergeCell ref="J48:P48"/>
    <mergeCell ref="J53:Q53"/>
    <mergeCell ref="J59:Q59"/>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5:Q45"/>
    <mergeCell ref="J32:Q32"/>
    <mergeCell ref="J42:Q42"/>
    <mergeCell ref="J34:Q34"/>
    <mergeCell ref="J23:Q23"/>
    <mergeCell ref="J43:Q43"/>
    <mergeCell ref="J33:Q33"/>
    <mergeCell ref="J37:Q37"/>
    <mergeCell ref="J38:Q38"/>
    <mergeCell ref="J25:Q25"/>
    <mergeCell ref="J31:Q31"/>
    <mergeCell ref="J26:Q26"/>
    <mergeCell ref="J27:Q27"/>
    <mergeCell ref="J36:Q36"/>
  </mergeCells>
  <phoneticPr fontId="0" type="noConversion"/>
  <pageMargins left="0.5" right="0.5" top="0.95" bottom="0.5" header="0.5" footer="0.5"/>
  <pageSetup scale="49" fitToHeight="0" orientation="landscape" r:id="rId9"/>
  <headerFooter alignWithMargins="0">
    <oddHeader>&amp;R&amp;14Exhibit No. RMU-205
ATTACHMENT H-25B
Page &amp;P of &amp;N</oddHeader>
  </headerFooter>
  <rowBreaks count="5" manualBreakCount="5">
    <brk id="39" max="24" man="1"/>
    <brk id="75" max="24" man="1"/>
    <brk id="107" max="24" man="1"/>
    <brk id="145" max="24" man="1"/>
    <brk id="1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U360"/>
  <sheetViews>
    <sheetView zoomScale="75" zoomScaleNormal="75" zoomScaleSheetLayoutView="75" workbookViewId="0">
      <selection activeCell="A3" sqref="A3:F3"/>
    </sheetView>
  </sheetViews>
  <sheetFormatPr defaultColWidth="9.140625" defaultRowHeight="12.75"/>
  <cols>
    <col min="1" max="1" width="5" style="446" customWidth="1"/>
    <col min="2" max="2" width="6.140625" style="446" customWidth="1"/>
    <col min="3" max="3" width="14.85546875" style="446" customWidth="1"/>
    <col min="4" max="4" width="14.7109375" style="221" customWidth="1"/>
    <col min="5" max="5" width="16.85546875" style="221" customWidth="1"/>
    <col min="6" max="6" width="22.140625" style="221" customWidth="1"/>
    <col min="7" max="7" width="14.85546875" style="221" customWidth="1"/>
    <col min="8" max="8" width="15.28515625" style="221" customWidth="1"/>
    <col min="9" max="10" width="17.85546875" style="221" customWidth="1"/>
    <col min="11" max="11" width="16.5703125" style="221" customWidth="1"/>
    <col min="12" max="12" width="17.85546875" style="221" customWidth="1"/>
    <col min="13" max="13" width="12.5703125" style="221" customWidth="1"/>
    <col min="14" max="14" width="17" style="221" bestFit="1" customWidth="1"/>
    <col min="15" max="15" width="16.5703125" style="221" bestFit="1" customWidth="1"/>
    <col min="16" max="16" width="1.7109375" style="221" customWidth="1"/>
    <col min="17" max="17" width="8.85546875" style="221" bestFit="1" customWidth="1"/>
    <col min="18" max="18" width="16.5703125" style="221" bestFit="1" customWidth="1"/>
    <col min="19" max="19" width="18.42578125" style="221" customWidth="1"/>
    <col min="20" max="20" width="17.7109375" style="221" customWidth="1"/>
    <col min="21" max="16384" width="9.140625" style="221"/>
  </cols>
  <sheetData>
    <row r="1" spans="1:15" ht="25.5" customHeight="1">
      <c r="A1" s="1255" t="s">
        <v>660</v>
      </c>
      <c r="B1" s="1255"/>
      <c r="C1" s="1255"/>
      <c r="D1" s="1255"/>
      <c r="E1" s="1255"/>
      <c r="F1" s="1255"/>
      <c r="G1" s="1255"/>
      <c r="H1" s="1255"/>
      <c r="I1" s="1255"/>
      <c r="J1" s="1255"/>
      <c r="K1" s="1255"/>
      <c r="L1" s="1255"/>
      <c r="M1" s="1255"/>
    </row>
    <row r="2" spans="1:15" ht="66" customHeight="1">
      <c r="A2" s="1375" t="s">
        <v>653</v>
      </c>
      <c r="B2" s="1375"/>
      <c r="C2" s="1375"/>
      <c r="D2" s="1375"/>
      <c r="E2" s="1375"/>
      <c r="F2" s="1375"/>
      <c r="G2" s="1375"/>
      <c r="H2" s="1375"/>
      <c r="I2" s="1375"/>
      <c r="J2" s="1375"/>
      <c r="K2" s="1375"/>
      <c r="L2" s="1375"/>
      <c r="M2" s="1375"/>
    </row>
    <row r="3" spans="1:15" ht="34.5" customHeight="1"/>
    <row r="4" spans="1:15">
      <c r="O4" s="138"/>
    </row>
    <row r="5" spans="1:15">
      <c r="A5" s="446" t="s">
        <v>207</v>
      </c>
      <c r="B5" s="446" t="s">
        <v>208</v>
      </c>
      <c r="C5" s="446" t="s">
        <v>209</v>
      </c>
      <c r="D5" s="446" t="s">
        <v>210</v>
      </c>
      <c r="E5" s="446"/>
    </row>
    <row r="7" spans="1:15">
      <c r="A7" s="160" t="s">
        <v>211</v>
      </c>
    </row>
    <row r="8" spans="1:15">
      <c r="A8" s="446">
        <v>1</v>
      </c>
      <c r="B8" s="446" t="s">
        <v>212</v>
      </c>
      <c r="C8" s="275" t="s">
        <v>202</v>
      </c>
      <c r="D8" s="336" t="s">
        <v>176</v>
      </c>
      <c r="E8" s="336"/>
    </row>
    <row r="9" spans="1:15">
      <c r="A9" s="446">
        <v>2</v>
      </c>
      <c r="B9" s="446" t="str">
        <f>+B8</f>
        <v>April</v>
      </c>
      <c r="C9" s="275" t="str">
        <f>+C8</f>
        <v>Year 2</v>
      </c>
      <c r="D9" s="336" t="s">
        <v>177</v>
      </c>
      <c r="E9" s="336"/>
    </row>
    <row r="10" spans="1:15">
      <c r="A10" s="446">
        <v>3</v>
      </c>
      <c r="B10" s="446" t="s">
        <v>212</v>
      </c>
      <c r="C10" s="275" t="str">
        <f>+C9</f>
        <v>Year 2</v>
      </c>
      <c r="D10" s="336" t="s">
        <v>290</v>
      </c>
      <c r="E10" s="336"/>
      <c r="G10" s="141"/>
      <c r="H10" s="141"/>
      <c r="I10" s="141"/>
      <c r="J10" s="141"/>
      <c r="K10" s="141"/>
    </row>
    <row r="11" spans="1:15">
      <c r="A11" s="446">
        <v>4</v>
      </c>
      <c r="B11" s="446" t="s">
        <v>213</v>
      </c>
      <c r="C11" s="275" t="str">
        <f>+C10</f>
        <v>Year 2</v>
      </c>
      <c r="D11" s="336" t="s">
        <v>311</v>
      </c>
      <c r="E11" s="336"/>
      <c r="G11" s="141"/>
      <c r="H11" s="141"/>
      <c r="I11" s="141"/>
      <c r="J11" s="141"/>
      <c r="K11" s="141"/>
    </row>
    <row r="12" spans="1:15">
      <c r="A12" s="446">
        <v>5</v>
      </c>
      <c r="B12" s="713" t="s">
        <v>214</v>
      </c>
      <c r="C12" s="275" t="str">
        <f>+C11</f>
        <v>Year 2</v>
      </c>
      <c r="D12" s="336" t="s">
        <v>312</v>
      </c>
      <c r="E12" s="336"/>
    </row>
    <row r="13" spans="1:15">
      <c r="C13" s="275"/>
      <c r="D13" s="336"/>
      <c r="E13" s="336"/>
    </row>
    <row r="14" spans="1:15">
      <c r="A14" s="446">
        <v>6</v>
      </c>
      <c r="B14" s="446" t="str">
        <f>+B8</f>
        <v>April</v>
      </c>
      <c r="C14" s="275" t="s">
        <v>205</v>
      </c>
      <c r="D14" s="336" t="s">
        <v>178</v>
      </c>
      <c r="E14" s="336"/>
    </row>
    <row r="15" spans="1:15">
      <c r="A15" s="446">
        <v>7</v>
      </c>
      <c r="B15" s="446" t="str">
        <f t="shared" ref="B15:C17" si="0">+B14</f>
        <v>April</v>
      </c>
      <c r="C15" s="275" t="str">
        <f t="shared" si="0"/>
        <v>Year 3</v>
      </c>
      <c r="D15" s="321" t="s">
        <v>515</v>
      </c>
      <c r="E15" s="321"/>
    </row>
    <row r="16" spans="1:15" ht="26.25" customHeight="1">
      <c r="A16" s="714">
        <v>8</v>
      </c>
      <c r="B16" s="714" t="str">
        <f t="shared" si="0"/>
        <v>April</v>
      </c>
      <c r="C16" s="279" t="str">
        <f t="shared" si="0"/>
        <v>Year 3</v>
      </c>
      <c r="D16" s="1369" t="s">
        <v>421</v>
      </c>
      <c r="E16" s="1369"/>
      <c r="F16" s="1370"/>
      <c r="G16" s="1370"/>
      <c r="H16" s="1370"/>
      <c r="I16" s="1370"/>
      <c r="J16" s="1370"/>
      <c r="K16" s="1370"/>
      <c r="L16" s="1370"/>
      <c r="M16" s="1370"/>
      <c r="N16" s="715"/>
      <c r="O16" s="715"/>
    </row>
    <row r="17" spans="1:13" ht="24.75" customHeight="1">
      <c r="A17" s="714">
        <v>9</v>
      </c>
      <c r="B17" s="714" t="str">
        <f t="shared" si="0"/>
        <v>April</v>
      </c>
      <c r="C17" s="279" t="str">
        <f t="shared" si="0"/>
        <v>Year 3</v>
      </c>
      <c r="D17" s="1369" t="s">
        <v>462</v>
      </c>
      <c r="E17" s="1369"/>
      <c r="F17" s="1370"/>
      <c r="G17" s="1370"/>
      <c r="H17" s="1370"/>
      <c r="I17" s="1370"/>
      <c r="J17" s="1370"/>
      <c r="K17" s="1370"/>
      <c r="L17" s="1370"/>
      <c r="M17" s="1370"/>
    </row>
    <row r="18" spans="1:13">
      <c r="A18" s="446">
        <v>10</v>
      </c>
      <c r="B18" s="446" t="str">
        <f>+B11</f>
        <v>May</v>
      </c>
      <c r="C18" s="275" t="str">
        <f>+C17</f>
        <v>Year 3</v>
      </c>
      <c r="D18" s="336" t="s">
        <v>286</v>
      </c>
      <c r="E18" s="336"/>
    </row>
    <row r="19" spans="1:13">
      <c r="A19" s="446">
        <v>11</v>
      </c>
      <c r="B19" s="713" t="str">
        <f>+B12</f>
        <v>June</v>
      </c>
      <c r="C19" s="275" t="str">
        <f>+C18</f>
        <v>Year 3</v>
      </c>
      <c r="D19" s="336" t="s">
        <v>310</v>
      </c>
      <c r="E19" s="336"/>
    </row>
    <row r="20" spans="1:13">
      <c r="B20" s="713"/>
      <c r="D20" s="336"/>
      <c r="E20" s="336"/>
    </row>
    <row r="21" spans="1:13">
      <c r="A21" s="271" t="s">
        <v>568</v>
      </c>
      <c r="B21" s="229"/>
      <c r="C21" s="229"/>
      <c r="D21" s="246"/>
      <c r="E21" s="246"/>
      <c r="F21" s="141"/>
      <c r="G21" s="1374"/>
      <c r="H21" s="1374"/>
      <c r="I21" s="1374"/>
      <c r="J21" s="468"/>
    </row>
    <row r="22" spans="1:13">
      <c r="A22" s="271"/>
      <c r="B22" s="275"/>
      <c r="D22" s="716"/>
      <c r="E22" s="716"/>
    </row>
    <row r="23" spans="1:13">
      <c r="A23" s="446">
        <f>+A8</f>
        <v>1</v>
      </c>
      <c r="B23" s="446" t="str">
        <f>+B8</f>
        <v>April</v>
      </c>
      <c r="C23" s="446" t="str">
        <f>+C8</f>
        <v>Year 2</v>
      </c>
      <c r="D23" s="221" t="str">
        <f>+D8</f>
        <v>TO populates the formula with Year 1 data</v>
      </c>
    </row>
    <row r="24" spans="1:13">
      <c r="D24" s="717"/>
      <c r="E24" s="717"/>
      <c r="F24" s="221" t="s">
        <v>174</v>
      </c>
      <c r="H24" s="1121" t="s">
        <v>291</v>
      </c>
      <c r="I24" s="1122"/>
      <c r="J24" s="1122"/>
      <c r="K24" s="1122"/>
      <c r="L24" s="1122"/>
    </row>
    <row r="26" spans="1:13">
      <c r="A26" s="446">
        <v>2</v>
      </c>
      <c r="B26" s="446" t="str">
        <f>+B23</f>
        <v>April</v>
      </c>
      <c r="C26" s="446" t="str">
        <f>+C23</f>
        <v>Year 2</v>
      </c>
      <c r="D26" s="336" t="str">
        <f>+D9</f>
        <v>TO estimates all transmission Cap Adds for Year 2 weighted based on Months expected to be in service in Year 2</v>
      </c>
      <c r="E26" s="336"/>
    </row>
    <row r="27" spans="1:13" ht="13.5" thickBot="1">
      <c r="D27" s="247"/>
      <c r="E27" s="247"/>
      <c r="F27" s="247"/>
      <c r="G27" s="247"/>
      <c r="H27" s="247"/>
      <c r="I27" s="1373"/>
      <c r="J27" s="1373"/>
      <c r="K27" s="1373"/>
      <c r="L27" s="1373"/>
    </row>
    <row r="28" spans="1:13">
      <c r="G28" s="1371" t="s">
        <v>318</v>
      </c>
      <c r="H28" s="1372"/>
      <c r="I28" s="465"/>
      <c r="J28" s="346"/>
      <c r="K28" s="346"/>
      <c r="L28" s="465"/>
    </row>
    <row r="29" spans="1:13" ht="13.5" thickBot="1">
      <c r="C29" s="221"/>
      <c r="D29" s="446" t="s">
        <v>319</v>
      </c>
      <c r="E29" s="446" t="s">
        <v>320</v>
      </c>
      <c r="F29" s="446" t="s">
        <v>321</v>
      </c>
      <c r="G29" s="835" t="s">
        <v>237</v>
      </c>
      <c r="H29" s="836" t="s">
        <v>238</v>
      </c>
      <c r="I29" s="346"/>
      <c r="J29" s="346"/>
      <c r="K29" s="346"/>
      <c r="L29" s="346"/>
      <c r="M29" s="727"/>
    </row>
    <row r="30" spans="1:13" ht="51">
      <c r="C30" s="726"/>
      <c r="D30" s="727" t="s">
        <v>125</v>
      </c>
      <c r="E30" s="1130" t="s">
        <v>634</v>
      </c>
      <c r="F30" s="446" t="s">
        <v>215</v>
      </c>
      <c r="G30" s="727" t="s">
        <v>125</v>
      </c>
      <c r="H30" s="1131" t="str">
        <f>+E30</f>
        <v>"Project Name" CWIP EOY Balance and Increments</v>
      </c>
      <c r="I30" s="346"/>
      <c r="J30" s="729"/>
      <c r="K30" s="729"/>
      <c r="L30" s="729"/>
      <c r="M30" s="727"/>
    </row>
    <row r="31" spans="1:13">
      <c r="C31" s="336" t="s">
        <v>297</v>
      </c>
      <c r="D31" s="1015"/>
      <c r="E31" s="1120">
        <v>0</v>
      </c>
      <c r="F31" s="275">
        <v>12</v>
      </c>
      <c r="G31" s="834"/>
      <c r="H31" s="838">
        <f>F31*E31/12</f>
        <v>0</v>
      </c>
      <c r="I31" s="721"/>
      <c r="J31" s="839"/>
      <c r="K31" s="721"/>
      <c r="L31" s="721"/>
    </row>
    <row r="32" spans="1:13">
      <c r="C32" s="221" t="s">
        <v>216</v>
      </c>
      <c r="D32" s="1120">
        <v>0</v>
      </c>
      <c r="E32" s="1120"/>
      <c r="F32" s="446">
        <v>11.5</v>
      </c>
      <c r="G32" s="730">
        <f t="shared" ref="G32:G43" si="1">$F32*D32/12</f>
        <v>0</v>
      </c>
      <c r="H32" s="838">
        <f t="shared" ref="H32:H43" si="2">F32*E32/12</f>
        <v>0</v>
      </c>
      <c r="I32" s="721"/>
      <c r="J32" s="839"/>
      <c r="K32" s="852"/>
      <c r="L32" s="860"/>
    </row>
    <row r="33" spans="3:12">
      <c r="C33" s="221" t="s">
        <v>217</v>
      </c>
      <c r="D33" s="1120">
        <v>0</v>
      </c>
      <c r="E33" s="1120"/>
      <c r="F33" s="446">
        <f t="shared" ref="F33:F43" si="3">+F32-1</f>
        <v>10.5</v>
      </c>
      <c r="G33" s="730">
        <f t="shared" si="1"/>
        <v>0</v>
      </c>
      <c r="H33" s="838">
        <f t="shared" si="2"/>
        <v>0</v>
      </c>
      <c r="I33" s="721"/>
      <c r="K33" s="862"/>
      <c r="L33" s="721"/>
    </row>
    <row r="34" spans="3:12">
      <c r="C34" s="221" t="s">
        <v>218</v>
      </c>
      <c r="D34" s="1120">
        <v>0</v>
      </c>
      <c r="E34" s="1120"/>
      <c r="F34" s="446">
        <f t="shared" si="3"/>
        <v>9.5</v>
      </c>
      <c r="G34" s="730">
        <f t="shared" si="1"/>
        <v>0</v>
      </c>
      <c r="H34" s="838">
        <f t="shared" si="2"/>
        <v>0</v>
      </c>
      <c r="I34" s="721"/>
      <c r="K34" s="861"/>
      <c r="L34" s="721"/>
    </row>
    <row r="35" spans="3:12">
      <c r="C35" s="221" t="s">
        <v>219</v>
      </c>
      <c r="D35" s="1120">
        <v>0</v>
      </c>
      <c r="E35" s="1120"/>
      <c r="F35" s="446">
        <f t="shared" si="3"/>
        <v>8.5</v>
      </c>
      <c r="G35" s="730">
        <f t="shared" si="1"/>
        <v>0</v>
      </c>
      <c r="H35" s="838">
        <f>F35*E35/12</f>
        <v>0</v>
      </c>
      <c r="I35" s="721"/>
      <c r="K35" s="861"/>
      <c r="L35" s="721"/>
    </row>
    <row r="36" spans="3:12">
      <c r="C36" s="221" t="s">
        <v>213</v>
      </c>
      <c r="D36" s="1120">
        <v>0</v>
      </c>
      <c r="E36" s="1120"/>
      <c r="F36" s="446">
        <f t="shared" si="3"/>
        <v>7.5</v>
      </c>
      <c r="G36" s="730">
        <f t="shared" si="1"/>
        <v>0</v>
      </c>
      <c r="H36" s="838">
        <f t="shared" si="2"/>
        <v>0</v>
      </c>
      <c r="I36" s="721"/>
      <c r="K36" s="861"/>
      <c r="L36" s="721"/>
    </row>
    <row r="37" spans="3:12">
      <c r="C37" s="221" t="s">
        <v>220</v>
      </c>
      <c r="D37" s="1120">
        <v>0</v>
      </c>
      <c r="E37" s="1120"/>
      <c r="F37" s="446">
        <f t="shared" si="3"/>
        <v>6.5</v>
      </c>
      <c r="G37" s="730">
        <f t="shared" si="1"/>
        <v>0</v>
      </c>
      <c r="H37" s="838">
        <f t="shared" si="2"/>
        <v>0</v>
      </c>
      <c r="I37" s="721"/>
      <c r="K37" s="852"/>
      <c r="L37" s="721"/>
    </row>
    <row r="38" spans="3:12">
      <c r="C38" s="221" t="s">
        <v>221</v>
      </c>
      <c r="D38" s="1120">
        <v>0</v>
      </c>
      <c r="E38" s="1120"/>
      <c r="F38" s="446">
        <f t="shared" si="3"/>
        <v>5.5</v>
      </c>
      <c r="G38" s="730">
        <f t="shared" si="1"/>
        <v>0</v>
      </c>
      <c r="H38" s="838">
        <f t="shared" si="2"/>
        <v>0</v>
      </c>
      <c r="I38" s="721"/>
      <c r="K38" s="852"/>
      <c r="L38" s="721"/>
    </row>
    <row r="39" spans="3:12">
      <c r="C39" s="221" t="s">
        <v>222</v>
      </c>
      <c r="D39" s="1120">
        <v>0</v>
      </c>
      <c r="E39" s="1120"/>
      <c r="F39" s="446">
        <f t="shared" si="3"/>
        <v>4.5</v>
      </c>
      <c r="G39" s="730">
        <f t="shared" si="1"/>
        <v>0</v>
      </c>
      <c r="H39" s="838">
        <f t="shared" si="2"/>
        <v>0</v>
      </c>
      <c r="I39" s="721"/>
      <c r="K39" s="852"/>
      <c r="L39" s="721"/>
    </row>
    <row r="40" spans="3:12">
      <c r="C40" s="221" t="s">
        <v>223</v>
      </c>
      <c r="D40" s="1120">
        <v>0</v>
      </c>
      <c r="E40" s="1120"/>
      <c r="F40" s="446">
        <f t="shared" si="3"/>
        <v>3.5</v>
      </c>
      <c r="G40" s="730">
        <f t="shared" si="1"/>
        <v>0</v>
      </c>
      <c r="H40" s="838">
        <f t="shared" si="2"/>
        <v>0</v>
      </c>
      <c r="I40" s="721"/>
      <c r="K40" s="852"/>
      <c r="L40" s="721"/>
    </row>
    <row r="41" spans="3:12">
      <c r="C41" s="221" t="s">
        <v>224</v>
      </c>
      <c r="D41" s="1120">
        <v>0</v>
      </c>
      <c r="E41" s="1120"/>
      <c r="F41" s="446">
        <f t="shared" si="3"/>
        <v>2.5</v>
      </c>
      <c r="G41" s="730">
        <f t="shared" si="1"/>
        <v>0</v>
      </c>
      <c r="H41" s="838">
        <f t="shared" si="2"/>
        <v>0</v>
      </c>
      <c r="I41" s="721"/>
      <c r="K41" s="852"/>
      <c r="L41" s="721"/>
    </row>
    <row r="42" spans="3:12">
      <c r="C42" s="221" t="s">
        <v>225</v>
      </c>
      <c r="D42" s="1120">
        <v>0</v>
      </c>
      <c r="E42" s="1120"/>
      <c r="F42" s="446">
        <f t="shared" si="3"/>
        <v>1.5</v>
      </c>
      <c r="G42" s="730">
        <f t="shared" si="1"/>
        <v>0</v>
      </c>
      <c r="H42" s="838">
        <f t="shared" si="2"/>
        <v>0</v>
      </c>
      <c r="I42" s="721"/>
      <c r="K42" s="852"/>
      <c r="L42" s="721"/>
    </row>
    <row r="43" spans="3:12">
      <c r="C43" s="221" t="s">
        <v>226</v>
      </c>
      <c r="D43" s="962">
        <v>0</v>
      </c>
      <c r="E43" s="963"/>
      <c r="F43" s="446">
        <f t="shared" si="3"/>
        <v>0.5</v>
      </c>
      <c r="G43" s="731">
        <f t="shared" si="1"/>
        <v>0</v>
      </c>
      <c r="H43" s="731">
        <f t="shared" si="2"/>
        <v>0</v>
      </c>
      <c r="I43" s="721"/>
      <c r="K43" s="852"/>
      <c r="L43" s="721"/>
    </row>
    <row r="44" spans="3:12">
      <c r="C44" s="221" t="s">
        <v>447</v>
      </c>
      <c r="D44" s="730">
        <f>SUM(D32:D43)</f>
        <v>0</v>
      </c>
      <c r="E44" s="730">
        <f>SUM(E32:E43)</f>
        <v>0</v>
      </c>
      <c r="F44" s="730"/>
      <c r="G44" s="730">
        <f>SUM(G32:G43)</f>
        <v>0</v>
      </c>
      <c r="H44" s="730">
        <f>SUM(H31:H43)</f>
        <v>0</v>
      </c>
      <c r="I44" s="321" t="s">
        <v>447</v>
      </c>
      <c r="K44" s="852"/>
      <c r="L44" s="732"/>
    </row>
    <row r="45" spans="3:12">
      <c r="C45" s="275"/>
      <c r="D45" s="141"/>
      <c r="E45" s="141"/>
      <c r="F45" s="141"/>
      <c r="G45" s="1123">
        <f>IF(D44&gt;0,+G44/D44*12,0)</f>
        <v>0</v>
      </c>
      <c r="H45" s="1124"/>
      <c r="I45" s="141" t="s">
        <v>239</v>
      </c>
      <c r="J45" s="733"/>
      <c r="K45" s="734"/>
      <c r="L45" s="718"/>
    </row>
    <row r="46" spans="3:12">
      <c r="C46" s="1125" t="s">
        <v>199</v>
      </c>
      <c r="D46" s="1125"/>
      <c r="E46" s="1125"/>
      <c r="F46" s="1126"/>
      <c r="G46" s="1126">
        <f>+G44</f>
        <v>0</v>
      </c>
      <c r="H46" s="1126"/>
      <c r="I46" s="1125" t="s">
        <v>575</v>
      </c>
      <c r="J46" s="1127" t="s">
        <v>288</v>
      </c>
      <c r="K46" s="1126"/>
    </row>
    <row r="47" spans="3:12">
      <c r="C47" s="1125" t="s">
        <v>574</v>
      </c>
      <c r="D47" s="1125"/>
      <c r="E47" s="1125"/>
      <c r="F47" s="1126"/>
      <c r="G47" s="1128"/>
      <c r="H47" s="1126">
        <f>+H44</f>
        <v>0</v>
      </c>
      <c r="I47" s="1125" t="s">
        <v>576</v>
      </c>
      <c r="J47" s="1127" t="s">
        <v>289</v>
      </c>
      <c r="K47" s="1126"/>
    </row>
    <row r="48" spans="3:12">
      <c r="C48" s="221"/>
      <c r="F48" s="730"/>
      <c r="G48" s="840"/>
      <c r="H48" s="730"/>
      <c r="J48" s="730"/>
      <c r="K48" s="730"/>
    </row>
    <row r="49" spans="1:15">
      <c r="A49" s="446">
        <v>3</v>
      </c>
      <c r="B49" s="446" t="str">
        <f>+B26</f>
        <v>April</v>
      </c>
      <c r="C49" s="446" t="str">
        <f>+C26</f>
        <v>Year 2</v>
      </c>
      <c r="I49" s="321"/>
    </row>
    <row r="50" spans="1:15">
      <c r="K50" s="730"/>
      <c r="L50" s="446"/>
      <c r="M50" s="730"/>
    </row>
    <row r="51" spans="1:15">
      <c r="D51" s="720"/>
      <c r="E51" s="720"/>
      <c r="F51" s="446"/>
      <c r="G51" s="446"/>
      <c r="H51" s="446"/>
      <c r="I51" s="446"/>
      <c r="J51" s="446"/>
      <c r="K51" s="730"/>
      <c r="L51" s="446"/>
      <c r="M51" s="730"/>
    </row>
    <row r="52" spans="1:15">
      <c r="A52" s="446">
        <v>4</v>
      </c>
      <c r="B52" s="446" t="str">
        <f>+B11</f>
        <v>May</v>
      </c>
      <c r="C52" s="446" t="str">
        <f>+C49</f>
        <v>Year 2</v>
      </c>
      <c r="D52" s="221" t="str">
        <f>+D11</f>
        <v>Post results of Step 3 on PJM web site</v>
      </c>
    </row>
    <row r="53" spans="1:15">
      <c r="D53" s="964">
        <v>0</v>
      </c>
      <c r="E53" s="964"/>
      <c r="G53" s="1121" t="s">
        <v>292</v>
      </c>
      <c r="H53" s="1122"/>
      <c r="I53" s="1122"/>
      <c r="J53" s="1122"/>
      <c r="K53" s="1129"/>
      <c r="L53" s="1016"/>
      <c r="M53" s="141"/>
    </row>
    <row r="54" spans="1:15">
      <c r="D54" s="719"/>
      <c r="E54" s="719"/>
      <c r="K54" s="141"/>
      <c r="L54" s="141"/>
      <c r="M54" s="141"/>
    </row>
    <row r="55" spans="1:15">
      <c r="A55" s="446">
        <f>+A12</f>
        <v>5</v>
      </c>
      <c r="B55" s="446" t="str">
        <f>+B12</f>
        <v>June</v>
      </c>
      <c r="C55" s="446" t="str">
        <f>+C12</f>
        <v>Year 2</v>
      </c>
      <c r="D55" s="336" t="str">
        <f>+D12</f>
        <v>Results of Step 3 go into effect</v>
      </c>
      <c r="E55" s="336"/>
      <c r="K55" s="141"/>
      <c r="L55" s="141"/>
      <c r="M55" s="141"/>
    </row>
    <row r="56" spans="1:15">
      <c r="D56" s="720"/>
      <c r="E56" s="720"/>
      <c r="K56" s="141"/>
      <c r="L56" s="141"/>
      <c r="M56" s="141"/>
    </row>
    <row r="57" spans="1:15">
      <c r="A57" s="447"/>
      <c r="B57" s="447"/>
      <c r="C57" s="447"/>
      <c r="D57" s="502"/>
      <c r="E57" s="502"/>
      <c r="F57" s="502"/>
      <c r="G57" s="502"/>
      <c r="H57" s="502"/>
      <c r="I57" s="502"/>
      <c r="J57" s="502"/>
      <c r="K57" s="721"/>
      <c r="L57" s="247"/>
      <c r="M57" s="247"/>
      <c r="N57" s="502"/>
      <c r="O57" s="502"/>
    </row>
    <row r="58" spans="1:15">
      <c r="A58" s="447"/>
      <c r="B58" s="447"/>
      <c r="C58" s="447"/>
      <c r="D58" s="502"/>
      <c r="E58" s="502"/>
      <c r="F58" s="502"/>
      <c r="G58" s="502"/>
      <c r="H58" s="502"/>
      <c r="I58" s="502"/>
      <c r="J58" s="502"/>
      <c r="K58" s="247"/>
      <c r="L58" s="247"/>
      <c r="M58" s="247"/>
      <c r="N58" s="502"/>
      <c r="O58" s="231"/>
    </row>
    <row r="59" spans="1:15">
      <c r="A59" s="447"/>
      <c r="B59" s="447"/>
      <c r="C59" s="447"/>
      <c r="D59" s="502"/>
      <c r="E59" s="502"/>
      <c r="F59" s="502"/>
      <c r="G59" s="502"/>
      <c r="H59" s="502"/>
      <c r="I59" s="502"/>
      <c r="J59" s="502"/>
      <c r="K59" s="247"/>
      <c r="L59" s="247"/>
      <c r="M59" s="247"/>
      <c r="N59" s="502"/>
      <c r="O59" s="231"/>
    </row>
    <row r="60" spans="1:15">
      <c r="A60" s="446">
        <f>+A14</f>
        <v>6</v>
      </c>
      <c r="B60" s="446" t="str">
        <f>+B14</f>
        <v>April</v>
      </c>
      <c r="C60" s="446" t="str">
        <f>+C14</f>
        <v>Year 3</v>
      </c>
      <c r="D60" s="336" t="str">
        <f>+D14</f>
        <v>TO populates the formula with Year 2 data</v>
      </c>
      <c r="E60" s="336"/>
      <c r="K60" s="141"/>
      <c r="L60" s="141"/>
      <c r="M60" s="141"/>
    </row>
    <row r="61" spans="1:15">
      <c r="E61" s="964">
        <f>D53</f>
        <v>0</v>
      </c>
      <c r="F61" s="221" t="s">
        <v>272</v>
      </c>
      <c r="H61" s="1121" t="str">
        <f>+H24</f>
        <v>Must run Appendix A to get this number (without any cap adds in Appendix A, line 17)</v>
      </c>
      <c r="I61" s="1122"/>
      <c r="J61" s="1122"/>
      <c r="K61" s="1122"/>
      <c r="L61" s="1122"/>
      <c r="M61" s="141"/>
    </row>
    <row r="62" spans="1:15">
      <c r="D62" s="722"/>
      <c r="E62" s="722"/>
      <c r="K62" s="141"/>
      <c r="L62" s="141"/>
      <c r="M62" s="141"/>
    </row>
    <row r="63" spans="1:15">
      <c r="D63" s="723"/>
      <c r="E63" s="723"/>
    </row>
    <row r="64" spans="1:15">
      <c r="A64" s="446">
        <f>+A15</f>
        <v>7</v>
      </c>
      <c r="B64" s="446" t="str">
        <f>+B15</f>
        <v>April</v>
      </c>
      <c r="C64" s="446" t="str">
        <f>+C15</f>
        <v>Year 3</v>
      </c>
      <c r="D64" s="336" t="str">
        <f>+D15</f>
        <v>TO estimates all transmission Cap Adds during Year 3 weighted based on Months expected to be in service in Year 3</v>
      </c>
      <c r="E64" s="336"/>
    </row>
    <row r="65" spans="1:13" ht="13.5" thickBot="1">
      <c r="D65" s="247"/>
      <c r="E65" s="247"/>
      <c r="F65" s="247"/>
      <c r="G65" s="247"/>
      <c r="H65" s="247"/>
      <c r="I65" s="465"/>
      <c r="J65" s="465"/>
      <c r="K65" s="465"/>
      <c r="L65" s="465"/>
    </row>
    <row r="66" spans="1:13">
      <c r="G66" s="1371" t="s">
        <v>318</v>
      </c>
      <c r="H66" s="1372"/>
      <c r="I66" s="465"/>
      <c r="J66" s="346"/>
      <c r="K66" s="346"/>
      <c r="L66" s="465"/>
    </row>
    <row r="67" spans="1:13" ht="13.5" thickBot="1">
      <c r="C67" s="221"/>
      <c r="D67" s="446" t="s">
        <v>319</v>
      </c>
      <c r="E67" s="446" t="s">
        <v>320</v>
      </c>
      <c r="F67" s="446" t="s">
        <v>321</v>
      </c>
      <c r="G67" s="724" t="s">
        <v>237</v>
      </c>
      <c r="H67" s="725" t="s">
        <v>238</v>
      </c>
      <c r="I67" s="346"/>
      <c r="J67" s="346"/>
      <c r="K67" s="346"/>
      <c r="L67" s="346"/>
      <c r="M67" s="834"/>
    </row>
    <row r="68" spans="1:13" ht="51">
      <c r="C68" s="726"/>
      <c r="D68" s="727" t="s">
        <v>125</v>
      </c>
      <c r="E68" s="1130" t="s">
        <v>635</v>
      </c>
      <c r="F68" s="446" t="s">
        <v>215</v>
      </c>
      <c r="G68" s="727" t="s">
        <v>125</v>
      </c>
      <c r="H68" s="728" t="str">
        <f>+E68</f>
        <v>"Project Name" EOY Balance and Increments</v>
      </c>
      <c r="I68" s="346"/>
      <c r="J68" s="729"/>
      <c r="K68" s="729"/>
      <c r="L68" s="729"/>
      <c r="M68" s="727"/>
    </row>
    <row r="69" spans="1:13">
      <c r="C69" s="321" t="s">
        <v>297</v>
      </c>
      <c r="E69" s="1120">
        <v>0</v>
      </c>
      <c r="F69" s="275">
        <v>12</v>
      </c>
      <c r="G69" s="834"/>
      <c r="H69" s="838">
        <f>F69*E69/12</f>
        <v>0</v>
      </c>
      <c r="I69" s="721"/>
      <c r="J69" s="346"/>
      <c r="K69" s="346"/>
      <c r="L69" s="346"/>
    </row>
    <row r="70" spans="1:13">
      <c r="C70" s="221" t="s">
        <v>216</v>
      </c>
      <c r="D70" s="1120">
        <v>0</v>
      </c>
      <c r="E70" s="1120"/>
      <c r="F70" s="446">
        <v>11.5</v>
      </c>
      <c r="G70" s="730">
        <f t="shared" ref="G70:H81" si="4">$F70*D70/12</f>
        <v>0</v>
      </c>
      <c r="H70" s="730">
        <f t="shared" si="4"/>
        <v>0</v>
      </c>
      <c r="I70" s="721"/>
      <c r="J70" s="741"/>
      <c r="K70" s="721"/>
      <c r="L70" s="721"/>
    </row>
    <row r="71" spans="1:13">
      <c r="C71" s="221" t="s">
        <v>217</v>
      </c>
      <c r="D71" s="1120">
        <v>0</v>
      </c>
      <c r="E71" s="1120"/>
      <c r="F71" s="446">
        <f t="shared" ref="F71:F81" si="5">+F70-1</f>
        <v>10.5</v>
      </c>
      <c r="G71" s="730">
        <f t="shared" si="4"/>
        <v>0</v>
      </c>
      <c r="H71" s="730">
        <f t="shared" si="4"/>
        <v>0</v>
      </c>
      <c r="I71" s="721"/>
      <c r="J71" s="741"/>
      <c r="K71" s="721"/>
      <c r="L71" s="721"/>
    </row>
    <row r="72" spans="1:13">
      <c r="C72" s="221" t="s">
        <v>218</v>
      </c>
      <c r="D72" s="1120">
        <v>0</v>
      </c>
      <c r="E72" s="1120"/>
      <c r="F72" s="446">
        <f t="shared" si="5"/>
        <v>9.5</v>
      </c>
      <c r="G72" s="730">
        <f t="shared" si="4"/>
        <v>0</v>
      </c>
      <c r="H72" s="730">
        <f t="shared" si="4"/>
        <v>0</v>
      </c>
      <c r="I72" s="721"/>
      <c r="J72" s="741"/>
      <c r="K72" s="721"/>
      <c r="L72" s="721"/>
    </row>
    <row r="73" spans="1:13">
      <c r="C73" s="221" t="s">
        <v>219</v>
      </c>
      <c r="D73" s="1120">
        <v>0</v>
      </c>
      <c r="E73" s="1120"/>
      <c r="F73" s="446">
        <f t="shared" si="5"/>
        <v>8.5</v>
      </c>
      <c r="G73" s="730">
        <f t="shared" si="4"/>
        <v>0</v>
      </c>
      <c r="H73" s="730">
        <f t="shared" si="4"/>
        <v>0</v>
      </c>
      <c r="I73" s="721"/>
      <c r="J73" s="741"/>
      <c r="K73" s="721"/>
      <c r="L73" s="721"/>
    </row>
    <row r="74" spans="1:13" ht="18">
      <c r="A74" s="1257" t="s">
        <v>653</v>
      </c>
      <c r="B74" s="1257"/>
      <c r="C74" s="1257"/>
      <c r="D74" s="1257"/>
      <c r="E74" s="1257"/>
      <c r="F74" s="1257"/>
      <c r="G74" s="1257"/>
      <c r="H74" s="1257"/>
      <c r="I74" s="721"/>
      <c r="J74" s="741"/>
      <c r="K74" s="721"/>
      <c r="L74" s="721"/>
    </row>
    <row r="75" spans="1:13">
      <c r="C75" s="221" t="s">
        <v>220</v>
      </c>
      <c r="D75" s="1120">
        <v>0</v>
      </c>
      <c r="E75" s="1120"/>
      <c r="F75" s="446">
        <f t="shared" si="5"/>
        <v>-1</v>
      </c>
      <c r="G75" s="730">
        <f t="shared" si="4"/>
        <v>0</v>
      </c>
      <c r="H75" s="730">
        <f t="shared" si="4"/>
        <v>0</v>
      </c>
      <c r="I75" s="721"/>
      <c r="J75" s="741"/>
      <c r="K75" s="721"/>
      <c r="L75" s="721"/>
    </row>
    <row r="76" spans="1:13">
      <c r="C76" s="221" t="s">
        <v>221</v>
      </c>
      <c r="D76" s="1120">
        <v>0</v>
      </c>
      <c r="E76" s="1120"/>
      <c r="F76" s="446">
        <f t="shared" si="5"/>
        <v>-2</v>
      </c>
      <c r="G76" s="730">
        <f t="shared" si="4"/>
        <v>0</v>
      </c>
      <c r="H76" s="730">
        <f t="shared" si="4"/>
        <v>0</v>
      </c>
      <c r="I76" s="721"/>
      <c r="J76" s="741"/>
      <c r="K76" s="721"/>
      <c r="L76" s="721"/>
    </row>
    <row r="77" spans="1:13">
      <c r="C77" s="221" t="s">
        <v>222</v>
      </c>
      <c r="D77" s="1120">
        <v>0</v>
      </c>
      <c r="E77" s="1120"/>
      <c r="F77" s="446">
        <f t="shared" si="5"/>
        <v>-3</v>
      </c>
      <c r="G77" s="730">
        <f t="shared" si="4"/>
        <v>0</v>
      </c>
      <c r="H77" s="730">
        <f t="shared" si="4"/>
        <v>0</v>
      </c>
      <c r="I77" s="721"/>
      <c r="J77" s="741"/>
      <c r="K77" s="721"/>
      <c r="L77" s="721"/>
    </row>
    <row r="78" spans="1:13">
      <c r="C78" s="221" t="s">
        <v>223</v>
      </c>
      <c r="D78" s="1120">
        <v>0</v>
      </c>
      <c r="E78" s="1120"/>
      <c r="F78" s="446">
        <f t="shared" si="5"/>
        <v>-4</v>
      </c>
      <c r="G78" s="730">
        <f t="shared" si="4"/>
        <v>0</v>
      </c>
      <c r="H78" s="730">
        <f t="shared" si="4"/>
        <v>0</v>
      </c>
      <c r="I78" s="721"/>
      <c r="J78" s="741"/>
      <c r="K78" s="721"/>
      <c r="L78" s="721"/>
    </row>
    <row r="79" spans="1:13">
      <c r="C79" s="221" t="s">
        <v>224</v>
      </c>
      <c r="D79" s="1120">
        <v>0</v>
      </c>
      <c r="E79" s="1120"/>
      <c r="F79" s="446">
        <f t="shared" si="5"/>
        <v>-5</v>
      </c>
      <c r="G79" s="730">
        <f t="shared" si="4"/>
        <v>0</v>
      </c>
      <c r="H79" s="730">
        <f t="shared" si="4"/>
        <v>0</v>
      </c>
      <c r="I79" s="721"/>
      <c r="J79" s="741"/>
      <c r="K79" s="721"/>
      <c r="L79" s="721"/>
    </row>
    <row r="80" spans="1:13">
      <c r="C80" s="221" t="s">
        <v>225</v>
      </c>
      <c r="D80" s="1120">
        <v>0</v>
      </c>
      <c r="E80" s="1120"/>
      <c r="F80" s="446">
        <f t="shared" si="5"/>
        <v>-6</v>
      </c>
      <c r="G80" s="730">
        <f t="shared" si="4"/>
        <v>0</v>
      </c>
      <c r="H80" s="730">
        <f t="shared" si="4"/>
        <v>0</v>
      </c>
      <c r="I80" s="721"/>
      <c r="J80" s="741"/>
      <c r="K80" s="721"/>
      <c r="L80" s="721"/>
    </row>
    <row r="81" spans="1:20">
      <c r="C81" s="221" t="s">
        <v>226</v>
      </c>
      <c r="D81" s="1120">
        <v>0</v>
      </c>
      <c r="E81" s="1132"/>
      <c r="F81" s="446">
        <f t="shared" si="5"/>
        <v>-7</v>
      </c>
      <c r="G81" s="731">
        <f t="shared" si="4"/>
        <v>0</v>
      </c>
      <c r="H81" s="731">
        <f t="shared" si="4"/>
        <v>0</v>
      </c>
      <c r="I81" s="721"/>
      <c r="J81" s="841"/>
      <c r="K81" s="721"/>
      <c r="L81" s="721"/>
    </row>
    <row r="82" spans="1:20">
      <c r="C82" s="221" t="s">
        <v>447</v>
      </c>
      <c r="D82" s="730">
        <f>SUM(D70:D81)</f>
        <v>0</v>
      </c>
      <c r="E82" s="730">
        <f>SUM(E70:E81)</f>
        <v>0</v>
      </c>
      <c r="F82" s="730"/>
      <c r="G82" s="730">
        <f>SUM(G70:G81)</f>
        <v>0</v>
      </c>
      <c r="H82" s="730">
        <f>SUM(H69:H81)</f>
        <v>0</v>
      </c>
      <c r="I82" s="321" t="s">
        <v>447</v>
      </c>
      <c r="J82" s="732"/>
      <c r="K82" s="732"/>
      <c r="L82" s="721"/>
    </row>
    <row r="83" spans="1:20">
      <c r="C83" s="275"/>
      <c r="D83" s="141"/>
      <c r="E83" s="141"/>
      <c r="F83" s="141"/>
      <c r="G83" s="1123">
        <f>IF(D82&gt;0,+G82/D82*12,0)</f>
        <v>0</v>
      </c>
      <c r="H83" s="1124"/>
      <c r="I83" s="141" t="s">
        <v>239</v>
      </c>
      <c r="J83" s="733"/>
      <c r="K83" s="734"/>
      <c r="L83" s="732"/>
    </row>
    <row r="84" spans="1:20">
      <c r="C84" s="1125" t="s">
        <v>199</v>
      </c>
      <c r="D84" s="1125"/>
      <c r="E84" s="1125"/>
      <c r="F84" s="1126"/>
      <c r="G84" s="1126">
        <f>+G82</f>
        <v>0</v>
      </c>
      <c r="H84" s="1126"/>
      <c r="I84" s="1125" t="s">
        <v>575</v>
      </c>
      <c r="J84" s="1126" t="s">
        <v>288</v>
      </c>
      <c r="K84" s="1126"/>
      <c r="L84" s="732"/>
    </row>
    <row r="85" spans="1:20">
      <c r="C85" s="1125" t="s">
        <v>574</v>
      </c>
      <c r="D85" s="1125"/>
      <c r="E85" s="1125"/>
      <c r="F85" s="1126"/>
      <c r="G85" s="1128"/>
      <c r="H85" s="1126">
        <f>+H82</f>
        <v>0</v>
      </c>
      <c r="I85" s="1125" t="s">
        <v>576</v>
      </c>
      <c r="J85" s="1126" t="s">
        <v>289</v>
      </c>
      <c r="K85" s="1126"/>
      <c r="L85" s="732"/>
    </row>
    <row r="86" spans="1:20">
      <c r="G86" s="842"/>
      <c r="J86" s="732"/>
      <c r="K86" s="732"/>
      <c r="L86" s="732"/>
    </row>
    <row r="87" spans="1:20">
      <c r="C87" s="221" t="s">
        <v>199</v>
      </c>
      <c r="F87" s="730"/>
      <c r="G87" s="840"/>
      <c r="H87" s="730"/>
      <c r="J87" s="733"/>
      <c r="K87" s="734"/>
      <c r="L87" s="735"/>
    </row>
    <row r="88" spans="1:20">
      <c r="I88" s="321"/>
      <c r="J88" s="721"/>
      <c r="K88" s="721"/>
    </row>
    <row r="89" spans="1:20" ht="26.25" customHeight="1">
      <c r="A89" s="714">
        <f>+A16</f>
        <v>8</v>
      </c>
      <c r="B89" s="714" t="str">
        <f>+B16</f>
        <v>April</v>
      </c>
      <c r="C89" s="279" t="str">
        <f>+C16</f>
        <v>Year 3</v>
      </c>
      <c r="D89" s="1369" t="str">
        <f>+D16</f>
        <v>Reconciliation - TO calculates Reconciliation by removing from Year 2 data - the total Cap Adds placed in service in Year 2 and adding weighted average in Year 2 Cap Adds in Reconciliation (adjusted to include any Reconciliation amount from prior year).</v>
      </c>
      <c r="E89" s="1369"/>
      <c r="F89" s="1370"/>
      <c r="G89" s="1370"/>
      <c r="H89" s="1370"/>
      <c r="I89" s="1370"/>
      <c r="J89" s="1370"/>
      <c r="K89" s="1370"/>
      <c r="L89" s="1370"/>
      <c r="M89" s="1370"/>
      <c r="N89" s="715"/>
      <c r="O89" s="715"/>
    </row>
    <row r="90" spans="1:20">
      <c r="D90" s="726"/>
      <c r="E90" s="726"/>
      <c r="F90" s="726"/>
      <c r="G90" s="726"/>
      <c r="H90" s="726"/>
      <c r="I90" s="726"/>
      <c r="J90" s="726"/>
      <c r="K90" s="726"/>
      <c r="L90" s="726"/>
      <c r="M90" s="726"/>
      <c r="N90" s="726"/>
      <c r="O90" s="726"/>
    </row>
    <row r="91" spans="1:20">
      <c r="D91" s="722" t="s">
        <v>200</v>
      </c>
      <c r="E91" s="722"/>
      <c r="M91" s="141"/>
    </row>
    <row r="92" spans="1:20">
      <c r="D92" s="221" t="s">
        <v>170</v>
      </c>
      <c r="F92" s="141"/>
      <c r="G92" s="141"/>
      <c r="H92" s="141"/>
      <c r="I92" s="141"/>
      <c r="J92" s="843">
        <f>+D111</f>
        <v>0</v>
      </c>
      <c r="K92" s="1054" t="s">
        <v>636</v>
      </c>
      <c r="L92" s="1050"/>
    </row>
    <row r="93" spans="1:20">
      <c r="D93" s="722"/>
      <c r="E93" s="722"/>
    </row>
    <row r="94" spans="1:20" ht="13.5" thickBot="1">
      <c r="D94" s="844" t="s">
        <v>171</v>
      </c>
      <c r="E94" s="844"/>
    </row>
    <row r="95" spans="1:20">
      <c r="G95" s="1371" t="s">
        <v>318</v>
      </c>
      <c r="H95" s="1372"/>
      <c r="J95" s="447"/>
      <c r="K95" s="447"/>
    </row>
    <row r="96" spans="1:20" ht="13.5" thickBot="1">
      <c r="D96" s="446" t="s">
        <v>319</v>
      </c>
      <c r="E96" s="446" t="s">
        <v>320</v>
      </c>
      <c r="F96" s="446" t="s">
        <v>321</v>
      </c>
      <c r="G96" s="724" t="s">
        <v>237</v>
      </c>
      <c r="H96" s="725" t="s">
        <v>238</v>
      </c>
      <c r="J96" s="346"/>
      <c r="K96" s="346"/>
      <c r="L96" s="247"/>
      <c r="M96" s="247"/>
      <c r="N96" s="247"/>
      <c r="O96" s="247"/>
      <c r="P96" s="247"/>
      <c r="Q96" s="247"/>
      <c r="R96" s="247"/>
      <c r="S96" s="247"/>
      <c r="T96" s="247"/>
    </row>
    <row r="97" spans="3:20" ht="51">
      <c r="C97" s="141"/>
      <c r="D97" s="834" t="s">
        <v>125</v>
      </c>
      <c r="E97" s="1130" t="s">
        <v>634</v>
      </c>
      <c r="F97" s="275" t="s">
        <v>215</v>
      </c>
      <c r="G97" s="834" t="s">
        <v>125</v>
      </c>
      <c r="H97" s="837" t="str">
        <f>+E97</f>
        <v>"Project Name" CWIP EOY Balance and Increments</v>
      </c>
      <c r="J97" s="346"/>
      <c r="L97" s="247"/>
      <c r="M97" s="877"/>
      <c r="N97" s="877"/>
      <c r="O97" s="877"/>
      <c r="P97" s="877"/>
      <c r="Q97" s="880"/>
      <c r="R97" s="877"/>
      <c r="S97" s="877"/>
      <c r="T97" s="877"/>
    </row>
    <row r="98" spans="3:20">
      <c r="C98" s="321" t="s">
        <v>297</v>
      </c>
      <c r="D98" s="141"/>
      <c r="E98" s="1134">
        <v>0</v>
      </c>
      <c r="F98" s="275">
        <v>12</v>
      </c>
      <c r="G98" s="834"/>
      <c r="H98" s="838">
        <f>F98*E98/12</f>
        <v>0</v>
      </c>
      <c r="J98" s="749"/>
      <c r="L98" s="247"/>
      <c r="M98" s="881"/>
      <c r="N98" s="882"/>
      <c r="O98" s="883"/>
      <c r="P98" s="884"/>
      <c r="Q98" s="880"/>
      <c r="R98" s="882"/>
      <c r="S98" s="882"/>
      <c r="T98" s="878"/>
    </row>
    <row r="99" spans="3:20">
      <c r="C99" s="221" t="s">
        <v>216</v>
      </c>
      <c r="D99" s="1135">
        <v>0</v>
      </c>
      <c r="E99" s="1135"/>
      <c r="F99" s="446">
        <v>11.5</v>
      </c>
      <c r="G99" s="730">
        <f>$F99*D99/12</f>
        <v>0</v>
      </c>
      <c r="H99" s="730">
        <f>$F99*E99/12</f>
        <v>0</v>
      </c>
      <c r="I99" s="739"/>
      <c r="J99" s="750"/>
      <c r="L99" s="247"/>
      <c r="M99" s="884"/>
      <c r="N99" s="882"/>
      <c r="O99" s="885"/>
      <c r="P99" s="884"/>
      <c r="Q99" s="880"/>
      <c r="R99" s="882"/>
      <c r="S99" s="882"/>
      <c r="T99" s="878"/>
    </row>
    <row r="100" spans="3:20">
      <c r="C100" s="221" t="s">
        <v>217</v>
      </c>
      <c r="D100" s="1135">
        <v>0</v>
      </c>
      <c r="E100" s="1135"/>
      <c r="F100" s="446">
        <f t="shared" ref="F100:F110" si="6">+F99-1</f>
        <v>10.5</v>
      </c>
      <c r="G100" s="730">
        <f t="shared" ref="G100:H110" si="7">$F100*D100/12</f>
        <v>0</v>
      </c>
      <c r="H100" s="730">
        <f t="shared" si="7"/>
        <v>0</v>
      </c>
      <c r="I100" s="740"/>
      <c r="J100" s="751"/>
      <c r="L100" s="247"/>
      <c r="M100" s="884"/>
      <c r="N100" s="882"/>
      <c r="O100" s="885"/>
      <c r="P100" s="884"/>
      <c r="Q100" s="880"/>
      <c r="R100" s="882"/>
      <c r="S100" s="882"/>
      <c r="T100" s="878"/>
    </row>
    <row r="101" spans="3:20">
      <c r="C101" s="221" t="s">
        <v>218</v>
      </c>
      <c r="D101" s="1135">
        <v>0</v>
      </c>
      <c r="E101" s="1135"/>
      <c r="F101" s="446">
        <f t="shared" si="6"/>
        <v>9.5</v>
      </c>
      <c r="G101" s="730">
        <f t="shared" si="7"/>
        <v>0</v>
      </c>
      <c r="H101" s="730">
        <f>$F101*E101/12</f>
        <v>0</v>
      </c>
      <c r="I101" s="740"/>
      <c r="J101" s="751"/>
      <c r="L101" s="247"/>
      <c r="M101" s="884"/>
      <c r="N101" s="882"/>
      <c r="O101" s="885"/>
      <c r="P101" s="884"/>
      <c r="Q101" s="880"/>
      <c r="R101" s="882"/>
      <c r="S101" s="882"/>
      <c r="T101" s="878"/>
    </row>
    <row r="102" spans="3:20">
      <c r="C102" s="221" t="s">
        <v>219</v>
      </c>
      <c r="D102" s="1135">
        <v>0</v>
      </c>
      <c r="E102" s="1135"/>
      <c r="F102" s="446">
        <f t="shared" si="6"/>
        <v>8.5</v>
      </c>
      <c r="G102" s="730">
        <f t="shared" si="7"/>
        <v>0</v>
      </c>
      <c r="H102" s="730">
        <f t="shared" si="7"/>
        <v>0</v>
      </c>
      <c r="I102" s="740"/>
      <c r="J102" s="862"/>
      <c r="L102" s="247"/>
      <c r="M102" s="884"/>
      <c r="N102" s="882"/>
      <c r="O102" s="885"/>
      <c r="P102" s="882"/>
      <c r="Q102" s="880"/>
      <c r="R102" s="882"/>
      <c r="S102" s="882"/>
      <c r="T102" s="878"/>
    </row>
    <row r="103" spans="3:20">
      <c r="C103" s="221" t="s">
        <v>213</v>
      </c>
      <c r="D103" s="1135">
        <v>0</v>
      </c>
      <c r="E103" s="1136"/>
      <c r="F103" s="446">
        <f t="shared" si="6"/>
        <v>7.5</v>
      </c>
      <c r="G103" s="730">
        <f t="shared" si="7"/>
        <v>0</v>
      </c>
      <c r="H103" s="730">
        <f t="shared" si="7"/>
        <v>0</v>
      </c>
      <c r="I103" s="740"/>
      <c r="J103" s="861"/>
      <c r="L103" s="247"/>
      <c r="M103" s="884"/>
      <c r="N103" s="882"/>
      <c r="O103" s="885"/>
      <c r="P103" s="884"/>
      <c r="Q103" s="880"/>
      <c r="R103" s="882"/>
      <c r="S103" s="882"/>
      <c r="T103" s="878"/>
    </row>
    <row r="104" spans="3:20">
      <c r="C104" s="221" t="s">
        <v>220</v>
      </c>
      <c r="D104" s="1135">
        <v>0</v>
      </c>
      <c r="E104" s="1136"/>
      <c r="F104" s="446">
        <f t="shared" si="6"/>
        <v>6.5</v>
      </c>
      <c r="G104" s="730">
        <f t="shared" si="7"/>
        <v>0</v>
      </c>
      <c r="H104" s="730">
        <f t="shared" si="7"/>
        <v>0</v>
      </c>
      <c r="I104" s="740"/>
      <c r="J104" s="861"/>
      <c r="L104" s="247"/>
      <c r="M104" s="884"/>
      <c r="N104" s="882"/>
      <c r="O104" s="885"/>
      <c r="P104" s="884"/>
      <c r="Q104" s="880"/>
      <c r="R104" s="882"/>
      <c r="S104" s="882"/>
      <c r="T104" s="878"/>
    </row>
    <row r="105" spans="3:20">
      <c r="C105" s="221" t="s">
        <v>221</v>
      </c>
      <c r="D105" s="1135">
        <v>0</v>
      </c>
      <c r="E105" s="1136"/>
      <c r="F105" s="446">
        <f t="shared" si="6"/>
        <v>5.5</v>
      </c>
      <c r="G105" s="730">
        <f t="shared" si="7"/>
        <v>0</v>
      </c>
      <c r="H105" s="730">
        <f t="shared" si="7"/>
        <v>0</v>
      </c>
      <c r="I105" s="740"/>
      <c r="J105" s="751"/>
      <c r="L105" s="247"/>
      <c r="M105" s="884"/>
      <c r="N105" s="882"/>
      <c r="O105" s="885"/>
      <c r="P105" s="882"/>
      <c r="Q105" s="880"/>
      <c r="R105" s="882"/>
      <c r="S105" s="882"/>
      <c r="T105" s="878"/>
    </row>
    <row r="106" spans="3:20">
      <c r="C106" s="221" t="s">
        <v>222</v>
      </c>
      <c r="D106" s="1135">
        <v>0</v>
      </c>
      <c r="E106" s="1136"/>
      <c r="F106" s="446">
        <f t="shared" si="6"/>
        <v>4.5</v>
      </c>
      <c r="G106" s="730">
        <f t="shared" si="7"/>
        <v>0</v>
      </c>
      <c r="H106" s="730">
        <f t="shared" si="7"/>
        <v>0</v>
      </c>
      <c r="I106" s="740"/>
      <c r="J106" s="751"/>
      <c r="L106" s="247"/>
      <c r="M106" s="884"/>
      <c r="N106" s="882"/>
      <c r="O106" s="885"/>
      <c r="P106" s="884"/>
      <c r="Q106" s="880"/>
      <c r="R106" s="882"/>
      <c r="S106" s="882"/>
      <c r="T106" s="878"/>
    </row>
    <row r="107" spans="3:20">
      <c r="C107" s="221" t="s">
        <v>223</v>
      </c>
      <c r="D107" s="1135">
        <v>0</v>
      </c>
      <c r="E107" s="1136"/>
      <c r="F107" s="446">
        <f t="shared" si="6"/>
        <v>3.5</v>
      </c>
      <c r="G107" s="730">
        <f t="shared" si="7"/>
        <v>0</v>
      </c>
      <c r="H107" s="730">
        <f t="shared" si="7"/>
        <v>0</v>
      </c>
      <c r="I107" s="740"/>
      <c r="J107" s="751"/>
      <c r="L107" s="247"/>
      <c r="M107" s="884"/>
      <c r="N107" s="882"/>
      <c r="O107" s="885"/>
      <c r="P107" s="884"/>
      <c r="Q107" s="880"/>
      <c r="R107" s="882"/>
      <c r="S107" s="882"/>
      <c r="T107" s="878"/>
    </row>
    <row r="108" spans="3:20">
      <c r="C108" s="221" t="s">
        <v>224</v>
      </c>
      <c r="D108" s="1135">
        <v>0</v>
      </c>
      <c r="E108" s="1136"/>
      <c r="F108" s="446">
        <f t="shared" si="6"/>
        <v>2.5</v>
      </c>
      <c r="G108" s="730">
        <f t="shared" si="7"/>
        <v>0</v>
      </c>
      <c r="H108" s="730">
        <f t="shared" si="7"/>
        <v>0</v>
      </c>
      <c r="I108" s="740"/>
      <c r="J108" s="751"/>
      <c r="L108" s="247"/>
      <c r="M108" s="884"/>
      <c r="N108" s="882"/>
      <c r="O108" s="885"/>
      <c r="P108" s="884"/>
      <c r="Q108" s="880"/>
      <c r="R108" s="882"/>
      <c r="S108" s="882"/>
      <c r="T108" s="878"/>
    </row>
    <row r="109" spans="3:20">
      <c r="C109" s="221" t="s">
        <v>225</v>
      </c>
      <c r="D109" s="1135">
        <v>0</v>
      </c>
      <c r="E109" s="1136"/>
      <c r="F109" s="446">
        <f t="shared" si="6"/>
        <v>1.5</v>
      </c>
      <c r="G109" s="730">
        <f t="shared" si="7"/>
        <v>0</v>
      </c>
      <c r="H109" s="730">
        <f t="shared" si="7"/>
        <v>0</v>
      </c>
      <c r="I109" s="741"/>
      <c r="J109" s="751"/>
      <c r="L109" s="247"/>
      <c r="M109" s="884"/>
      <c r="N109" s="882"/>
      <c r="O109" s="885"/>
      <c r="P109" s="884"/>
      <c r="Q109" s="880"/>
      <c r="R109" s="882"/>
      <c r="S109" s="882"/>
      <c r="T109" s="878"/>
    </row>
    <row r="110" spans="3:20">
      <c r="C110" s="221" t="s">
        <v>226</v>
      </c>
      <c r="D110" s="1135">
        <v>0</v>
      </c>
      <c r="E110" s="1137"/>
      <c r="F110" s="446">
        <f t="shared" si="6"/>
        <v>0.5</v>
      </c>
      <c r="G110" s="731">
        <f t="shared" si="7"/>
        <v>0</v>
      </c>
      <c r="H110" s="731">
        <f t="shared" si="7"/>
        <v>0</v>
      </c>
      <c r="I110" s="742"/>
      <c r="J110" s="751"/>
      <c r="L110" s="247"/>
      <c r="M110" s="884"/>
      <c r="N110" s="882"/>
      <c r="O110" s="885"/>
      <c r="P110" s="884"/>
      <c r="Q110" s="880"/>
      <c r="R110" s="882"/>
      <c r="S110" s="882"/>
      <c r="T110" s="878"/>
    </row>
    <row r="111" spans="3:20">
      <c r="C111" s="221" t="s">
        <v>447</v>
      </c>
      <c r="D111" s="730">
        <f>SUM(D99:D110)</f>
        <v>0</v>
      </c>
      <c r="E111" s="730">
        <f>SUM(E99:E110)</f>
        <v>0</v>
      </c>
      <c r="F111" s="730"/>
      <c r="G111" s="730">
        <f>SUM(G99:G110)</f>
        <v>0</v>
      </c>
      <c r="H111" s="730">
        <f>SUM(H98:H110)</f>
        <v>0</v>
      </c>
      <c r="I111" s="321" t="s">
        <v>447</v>
      </c>
      <c r="J111" s="732"/>
      <c r="L111" s="247"/>
      <c r="M111" s="879"/>
      <c r="N111" s="882"/>
      <c r="O111" s="882"/>
      <c r="P111" s="884"/>
      <c r="Q111" s="886"/>
      <c r="R111" s="882"/>
      <c r="S111" s="882"/>
      <c r="T111" s="882"/>
    </row>
    <row r="112" spans="3:20">
      <c r="C112" s="275"/>
      <c r="D112" s="141"/>
      <c r="E112" s="141"/>
      <c r="F112" s="141"/>
      <c r="G112" s="1123"/>
      <c r="H112" s="1124"/>
      <c r="I112" s="141" t="s">
        <v>239</v>
      </c>
      <c r="J112" s="733"/>
      <c r="K112" s="1138"/>
      <c r="L112" s="247"/>
      <c r="M112" s="887"/>
      <c r="N112" s="879"/>
      <c r="O112" s="884"/>
      <c r="P112" s="884"/>
      <c r="Q112" s="884"/>
      <c r="R112" s="884"/>
      <c r="S112" s="884"/>
      <c r="T112" s="884"/>
    </row>
    <row r="113" spans="1:21">
      <c r="C113" s="1050" t="s">
        <v>199</v>
      </c>
      <c r="D113" s="1050"/>
      <c r="E113" s="1050"/>
      <c r="F113" s="1051"/>
      <c r="G113" s="1051">
        <f>+G111</f>
        <v>0</v>
      </c>
      <c r="H113" s="1051"/>
      <c r="I113" s="1050" t="s">
        <v>575</v>
      </c>
      <c r="J113" s="1051" t="s">
        <v>293</v>
      </c>
      <c r="K113" s="1052"/>
      <c r="L113" s="247"/>
      <c r="M113" s="887"/>
      <c r="N113" s="879"/>
      <c r="O113" s="884"/>
      <c r="P113" s="884"/>
      <c r="Q113" s="884"/>
      <c r="R113" s="884"/>
      <c r="S113" s="884"/>
      <c r="T113" s="884"/>
    </row>
    <row r="114" spans="1:21">
      <c r="C114" s="1050" t="s">
        <v>574</v>
      </c>
      <c r="D114" s="1050"/>
      <c r="E114" s="1050"/>
      <c r="F114" s="1051"/>
      <c r="G114" s="1053"/>
      <c r="H114" s="1051">
        <f>+H111</f>
        <v>0</v>
      </c>
      <c r="I114" s="1050" t="s">
        <v>576</v>
      </c>
      <c r="J114" s="1051" t="s">
        <v>293</v>
      </c>
      <c r="K114" s="1051"/>
    </row>
    <row r="115" spans="1:21">
      <c r="D115" s="722"/>
      <c r="E115" s="722"/>
      <c r="M115" s="730"/>
    </row>
    <row r="116" spans="1:21">
      <c r="D116" s="1014">
        <v>0</v>
      </c>
      <c r="E116" s="966"/>
      <c r="F116" s="722" t="s">
        <v>463</v>
      </c>
      <c r="G116" s="722"/>
      <c r="H116" s="1139" t="s">
        <v>287</v>
      </c>
      <c r="I116" s="1140"/>
      <c r="J116" s="1140"/>
      <c r="K116" s="1141"/>
      <c r="L116" s="141"/>
      <c r="M116" s="845"/>
      <c r="N116" s="217"/>
      <c r="O116" s="217"/>
    </row>
    <row r="117" spans="1:21">
      <c r="F117" s="221" t="s">
        <v>201</v>
      </c>
      <c r="L117" s="141"/>
      <c r="M117" s="273"/>
      <c r="N117" s="141"/>
    </row>
    <row r="118" spans="1:21">
      <c r="D118" s="722"/>
      <c r="E118" s="722"/>
      <c r="L118" s="141"/>
      <c r="M118" s="273"/>
      <c r="N118" s="141"/>
    </row>
    <row r="119" spans="1:21">
      <c r="D119" s="722"/>
      <c r="E119" s="722"/>
      <c r="L119" s="141"/>
      <c r="M119" s="273"/>
      <c r="N119" s="141"/>
      <c r="O119" s="138"/>
    </row>
    <row r="120" spans="1:21">
      <c r="D120" s="722"/>
      <c r="E120" s="722"/>
      <c r="M120" s="730"/>
      <c r="O120" s="138"/>
    </row>
    <row r="121" spans="1:21" ht="28.5" customHeight="1">
      <c r="A121" s="714">
        <f>+A17</f>
        <v>9</v>
      </c>
      <c r="B121" s="714" t="str">
        <f>+B17</f>
        <v>April</v>
      </c>
      <c r="C121" s="279" t="str">
        <f>+C17</f>
        <v>Year 3</v>
      </c>
      <c r="D121" s="1369" t="str">
        <f>+D17</f>
        <v>Reconciliation - TO adds the difference between the Reconciliation in Step 8 and the forecast in Line 5 with interest to the result of Step 7 (this difference is also added to Step 8 in the subsequent year)</v>
      </c>
      <c r="E121" s="1369"/>
      <c r="F121" s="1370"/>
      <c r="G121" s="1370"/>
      <c r="H121" s="1370"/>
      <c r="I121" s="1370"/>
      <c r="J121" s="1370"/>
      <c r="K121" s="1370"/>
      <c r="L121" s="1370"/>
      <c r="M121" s="1370"/>
    </row>
    <row r="122" spans="1:21" ht="18">
      <c r="A122" s="1257" t="s">
        <v>653</v>
      </c>
      <c r="B122" s="1257"/>
      <c r="C122" s="1257"/>
      <c r="D122" s="1257"/>
      <c r="E122" s="1257"/>
      <c r="F122" s="1257"/>
      <c r="G122" s="1257"/>
      <c r="H122" s="1257"/>
    </row>
    <row r="123" spans="1:21">
      <c r="D123" s="336" t="s">
        <v>464</v>
      </c>
      <c r="E123" s="336"/>
      <c r="H123" s="221" t="s">
        <v>273</v>
      </c>
      <c r="K123" s="1142" t="s">
        <v>590</v>
      </c>
      <c r="L123" s="1133"/>
      <c r="M123" s="141"/>
    </row>
    <row r="124" spans="1:21">
      <c r="D124" s="964">
        <f>D116</f>
        <v>0</v>
      </c>
      <c r="E124" s="273"/>
      <c r="F124" s="446" t="str">
        <f>"-"</f>
        <v>-</v>
      </c>
      <c r="G124" s="446"/>
      <c r="H124" s="964">
        <f>E61</f>
        <v>0</v>
      </c>
      <c r="I124" s="446" t="str">
        <f>"="</f>
        <v>=</v>
      </c>
      <c r="J124" s="446"/>
      <c r="K124" s="719">
        <f>D124-H124</f>
        <v>0</v>
      </c>
      <c r="L124" s="141"/>
      <c r="M124" s="141"/>
    </row>
    <row r="125" spans="1:21">
      <c r="D125" s="273"/>
      <c r="E125" s="273"/>
      <c r="F125" s="446"/>
      <c r="G125" s="446"/>
      <c r="H125" s="273"/>
      <c r="I125" s="446"/>
      <c r="J125" s="446"/>
      <c r="K125" s="730"/>
      <c r="L125" s="141"/>
      <c r="M125" s="141"/>
    </row>
    <row r="126" spans="1:21">
      <c r="D126" s="273"/>
      <c r="E126" s="273"/>
      <c r="F126" s="446"/>
      <c r="G126" s="446"/>
      <c r="H126" s="273"/>
      <c r="I126" s="446"/>
      <c r="J126" s="446"/>
      <c r="K126" s="730"/>
      <c r="L126" s="141"/>
      <c r="M126" s="141"/>
    </row>
    <row r="127" spans="1:21">
      <c r="D127" s="846"/>
      <c r="E127" s="846"/>
      <c r="F127" s="446"/>
      <c r="G127" s="446"/>
      <c r="H127" s="730"/>
      <c r="I127" s="738"/>
      <c r="J127" s="446"/>
      <c r="K127" s="730"/>
      <c r="L127" s="141"/>
      <c r="M127" s="141"/>
    </row>
    <row r="128" spans="1:21">
      <c r="D128" s="737" t="s">
        <v>227</v>
      </c>
      <c r="E128" s="737"/>
      <c r="F128" s="446"/>
      <c r="G128" s="446"/>
      <c r="H128" s="730"/>
      <c r="I128" s="446"/>
      <c r="J128" s="446"/>
      <c r="K128" s="730"/>
      <c r="L128" s="141"/>
      <c r="M128" s="141"/>
      <c r="N128" s="141"/>
      <c r="O128" s="141"/>
      <c r="P128" s="141"/>
      <c r="Q128" s="141"/>
      <c r="R128" s="141"/>
      <c r="S128" s="141"/>
      <c r="T128" s="141"/>
      <c r="U128" s="141"/>
    </row>
    <row r="129" spans="4:13">
      <c r="D129" s="737" t="s">
        <v>271</v>
      </c>
      <c r="E129" s="737"/>
      <c r="F129" s="446"/>
      <c r="G129" s="446"/>
      <c r="H129" s="965">
        <f>0.0325/12</f>
        <v>2.7083333333333334E-3</v>
      </c>
      <c r="I129" s="446"/>
      <c r="J129" s="446"/>
      <c r="K129" s="730"/>
    </row>
    <row r="130" spans="4:13">
      <c r="D130" s="847" t="s">
        <v>208</v>
      </c>
      <c r="E130" s="847"/>
      <c r="F130" s="446" t="s">
        <v>228</v>
      </c>
      <c r="G130" s="446"/>
      <c r="H130" s="446" t="s">
        <v>229</v>
      </c>
      <c r="I130" s="847" t="s">
        <v>230</v>
      </c>
      <c r="J130" s="847"/>
      <c r="K130" s="446"/>
      <c r="L130" s="847" t="s">
        <v>231</v>
      </c>
      <c r="M130" s="321" t="s">
        <v>169</v>
      </c>
    </row>
    <row r="131" spans="4:13">
      <c r="D131" s="446"/>
      <c r="E131" s="446"/>
      <c r="F131" s="446"/>
      <c r="G131" s="446"/>
      <c r="H131" s="446"/>
      <c r="I131" s="446" t="s">
        <v>232</v>
      </c>
      <c r="J131" s="446"/>
      <c r="K131" s="446" t="s">
        <v>233</v>
      </c>
      <c r="L131" s="446"/>
      <c r="M131" s="446"/>
    </row>
    <row r="132" spans="4:13">
      <c r="D132" s="221" t="s">
        <v>220</v>
      </c>
      <c r="F132" s="221" t="s">
        <v>175</v>
      </c>
      <c r="H132" s="716">
        <f>+K124/12</f>
        <v>0</v>
      </c>
      <c r="I132" s="848">
        <f>+H129</f>
        <v>2.7083333333333334E-3</v>
      </c>
      <c r="J132" s="848"/>
      <c r="K132" s="221">
        <v>11.5</v>
      </c>
      <c r="L132" s="716">
        <f t="shared" ref="L132:L143" si="8">+K132*I132*H132</f>
        <v>0</v>
      </c>
      <c r="M132" s="716">
        <f t="shared" ref="M132:M143" si="9">+H132+L132</f>
        <v>0</v>
      </c>
    </row>
    <row r="133" spans="4:13">
      <c r="D133" s="221" t="s">
        <v>221</v>
      </c>
      <c r="F133" s="221" t="str">
        <f t="shared" ref="F133:F138" si="10">+F132</f>
        <v>Year 1</v>
      </c>
      <c r="H133" s="730">
        <f t="shared" ref="H133:I143" si="11">+H132</f>
        <v>0</v>
      </c>
      <c r="I133" s="849">
        <f t="shared" si="11"/>
        <v>2.7083333333333334E-3</v>
      </c>
      <c r="J133" s="849"/>
      <c r="K133" s="221">
        <f t="shared" ref="K133:K143" si="12">+K132-1</f>
        <v>10.5</v>
      </c>
      <c r="L133" s="716">
        <f t="shared" si="8"/>
        <v>0</v>
      </c>
      <c r="M133" s="716">
        <f t="shared" si="9"/>
        <v>0</v>
      </c>
    </row>
    <row r="134" spans="4:13">
      <c r="D134" s="221" t="s">
        <v>222</v>
      </c>
      <c r="F134" s="221" t="str">
        <f t="shared" si="10"/>
        <v>Year 1</v>
      </c>
      <c r="H134" s="730">
        <f t="shared" si="11"/>
        <v>0</v>
      </c>
      <c r="I134" s="849">
        <f t="shared" si="11"/>
        <v>2.7083333333333334E-3</v>
      </c>
      <c r="J134" s="849"/>
      <c r="K134" s="221">
        <f t="shared" si="12"/>
        <v>9.5</v>
      </c>
      <c r="L134" s="716">
        <f t="shared" si="8"/>
        <v>0</v>
      </c>
      <c r="M134" s="716">
        <f t="shared" si="9"/>
        <v>0</v>
      </c>
    </row>
    <row r="135" spans="4:13">
      <c r="D135" s="221" t="s">
        <v>223</v>
      </c>
      <c r="F135" s="221" t="str">
        <f t="shared" si="10"/>
        <v>Year 1</v>
      </c>
      <c r="H135" s="730">
        <f t="shared" si="11"/>
        <v>0</v>
      </c>
      <c r="I135" s="849">
        <f t="shared" si="11"/>
        <v>2.7083333333333334E-3</v>
      </c>
      <c r="J135" s="849"/>
      <c r="K135" s="221">
        <f t="shared" si="12"/>
        <v>8.5</v>
      </c>
      <c r="L135" s="716">
        <f t="shared" si="8"/>
        <v>0</v>
      </c>
      <c r="M135" s="716">
        <f t="shared" si="9"/>
        <v>0</v>
      </c>
    </row>
    <row r="136" spans="4:13">
      <c r="D136" s="221" t="s">
        <v>224</v>
      </c>
      <c r="F136" s="221" t="str">
        <f t="shared" si="10"/>
        <v>Year 1</v>
      </c>
      <c r="H136" s="730">
        <f t="shared" si="11"/>
        <v>0</v>
      </c>
      <c r="I136" s="849">
        <f t="shared" si="11"/>
        <v>2.7083333333333334E-3</v>
      </c>
      <c r="J136" s="849"/>
      <c r="K136" s="221">
        <f t="shared" si="12"/>
        <v>7.5</v>
      </c>
      <c r="L136" s="716">
        <f t="shared" si="8"/>
        <v>0</v>
      </c>
      <c r="M136" s="716">
        <f t="shared" si="9"/>
        <v>0</v>
      </c>
    </row>
    <row r="137" spans="4:13">
      <c r="D137" s="221" t="s">
        <v>225</v>
      </c>
      <c r="F137" s="221" t="str">
        <f t="shared" si="10"/>
        <v>Year 1</v>
      </c>
      <c r="H137" s="730">
        <f t="shared" si="11"/>
        <v>0</v>
      </c>
      <c r="I137" s="849">
        <f t="shared" si="11"/>
        <v>2.7083333333333334E-3</v>
      </c>
      <c r="J137" s="849"/>
      <c r="K137" s="221">
        <f t="shared" si="12"/>
        <v>6.5</v>
      </c>
      <c r="L137" s="716">
        <f t="shared" si="8"/>
        <v>0</v>
      </c>
      <c r="M137" s="716">
        <f t="shared" si="9"/>
        <v>0</v>
      </c>
    </row>
    <row r="138" spans="4:13">
      <c r="D138" s="221" t="s">
        <v>226</v>
      </c>
      <c r="F138" s="221" t="str">
        <f t="shared" si="10"/>
        <v>Year 1</v>
      </c>
      <c r="H138" s="730">
        <f t="shared" si="11"/>
        <v>0</v>
      </c>
      <c r="I138" s="849">
        <f t="shared" si="11"/>
        <v>2.7083333333333334E-3</v>
      </c>
      <c r="J138" s="849"/>
      <c r="K138" s="221">
        <f t="shared" si="12"/>
        <v>5.5</v>
      </c>
      <c r="L138" s="716">
        <f t="shared" si="8"/>
        <v>0</v>
      </c>
      <c r="M138" s="716">
        <f t="shared" si="9"/>
        <v>0</v>
      </c>
    </row>
    <row r="139" spans="4:13">
      <c r="D139" s="221" t="s">
        <v>216</v>
      </c>
      <c r="F139" s="221" t="s">
        <v>202</v>
      </c>
      <c r="H139" s="730">
        <f t="shared" si="11"/>
        <v>0</v>
      </c>
      <c r="I139" s="849">
        <f t="shared" si="11"/>
        <v>2.7083333333333334E-3</v>
      </c>
      <c r="J139" s="849"/>
      <c r="K139" s="221">
        <f t="shared" si="12"/>
        <v>4.5</v>
      </c>
      <c r="L139" s="716">
        <f t="shared" si="8"/>
        <v>0</v>
      </c>
      <c r="M139" s="716">
        <f t="shared" si="9"/>
        <v>0</v>
      </c>
    </row>
    <row r="140" spans="4:13">
      <c r="D140" s="221" t="s">
        <v>217</v>
      </c>
      <c r="F140" s="221" t="str">
        <f>+F139</f>
        <v>Year 2</v>
      </c>
      <c r="H140" s="730">
        <f t="shared" si="11"/>
        <v>0</v>
      </c>
      <c r="I140" s="849">
        <f t="shared" si="11"/>
        <v>2.7083333333333334E-3</v>
      </c>
      <c r="J140" s="849"/>
      <c r="K140" s="221">
        <f t="shared" si="12"/>
        <v>3.5</v>
      </c>
      <c r="L140" s="716">
        <f t="shared" si="8"/>
        <v>0</v>
      </c>
      <c r="M140" s="716">
        <f t="shared" si="9"/>
        <v>0</v>
      </c>
    </row>
    <row r="141" spans="4:13">
      <c r="D141" s="221" t="s">
        <v>218</v>
      </c>
      <c r="F141" s="221" t="str">
        <f>+F140</f>
        <v>Year 2</v>
      </c>
      <c r="H141" s="730">
        <f t="shared" si="11"/>
        <v>0</v>
      </c>
      <c r="I141" s="849">
        <f t="shared" si="11"/>
        <v>2.7083333333333334E-3</v>
      </c>
      <c r="J141" s="849"/>
      <c r="K141" s="221">
        <f t="shared" si="12"/>
        <v>2.5</v>
      </c>
      <c r="L141" s="716">
        <f t="shared" si="8"/>
        <v>0</v>
      </c>
      <c r="M141" s="716">
        <f t="shared" si="9"/>
        <v>0</v>
      </c>
    </row>
    <row r="142" spans="4:13">
      <c r="D142" s="221" t="s">
        <v>219</v>
      </c>
      <c r="F142" s="221" t="str">
        <f>+F141</f>
        <v>Year 2</v>
      </c>
      <c r="H142" s="730">
        <f t="shared" si="11"/>
        <v>0</v>
      </c>
      <c r="I142" s="849">
        <f t="shared" si="11"/>
        <v>2.7083333333333334E-3</v>
      </c>
      <c r="J142" s="849"/>
      <c r="K142" s="221">
        <f t="shared" si="12"/>
        <v>1.5</v>
      </c>
      <c r="L142" s="716">
        <f t="shared" si="8"/>
        <v>0</v>
      </c>
      <c r="M142" s="716">
        <f t="shared" si="9"/>
        <v>0</v>
      </c>
    </row>
    <row r="143" spans="4:13">
      <c r="D143" s="221" t="s">
        <v>213</v>
      </c>
      <c r="F143" s="221" t="str">
        <f>+F142</f>
        <v>Year 2</v>
      </c>
      <c r="H143" s="730">
        <f t="shared" si="11"/>
        <v>0</v>
      </c>
      <c r="I143" s="849">
        <f t="shared" si="11"/>
        <v>2.7083333333333334E-3</v>
      </c>
      <c r="J143" s="849"/>
      <c r="K143" s="221">
        <f t="shared" si="12"/>
        <v>0.5</v>
      </c>
      <c r="L143" s="716">
        <f t="shared" si="8"/>
        <v>0</v>
      </c>
      <c r="M143" s="716">
        <f t="shared" si="9"/>
        <v>0</v>
      </c>
    </row>
    <row r="144" spans="4:13">
      <c r="D144" s="221" t="s">
        <v>447</v>
      </c>
      <c r="H144" s="730">
        <f>SUM(H132:H143)</f>
        <v>0</v>
      </c>
      <c r="M144" s="716">
        <f>SUM(M132:M143)</f>
        <v>0</v>
      </c>
    </row>
    <row r="145" spans="4:14">
      <c r="H145" s="730"/>
      <c r="M145" s="716"/>
    </row>
    <row r="146" spans="4:14">
      <c r="H146" s="847" t="s">
        <v>234</v>
      </c>
      <c r="I146" s="446" t="s">
        <v>231</v>
      </c>
      <c r="J146" s="446"/>
      <c r="K146" s="275" t="s">
        <v>577</v>
      </c>
      <c r="L146" s="446" t="s">
        <v>234</v>
      </c>
    </row>
    <row r="147" spans="4:14">
      <c r="D147" s="221" t="str">
        <f t="shared" ref="D147:D158" si="13">+D132</f>
        <v>Jun</v>
      </c>
      <c r="F147" s="221" t="str">
        <f>+F143</f>
        <v>Year 2</v>
      </c>
      <c r="H147" s="730">
        <f>+M144</f>
        <v>0</v>
      </c>
      <c r="I147" s="849">
        <f>+I143</f>
        <v>2.7083333333333334E-3</v>
      </c>
      <c r="J147" s="849"/>
      <c r="K147" s="716">
        <f>-PMT(I147,12,M144)</f>
        <v>0</v>
      </c>
      <c r="L147" s="716">
        <f t="shared" ref="L147:L158" si="14">+H147+H147*I147-K147</f>
        <v>0</v>
      </c>
    </row>
    <row r="148" spans="4:14">
      <c r="D148" s="221" t="str">
        <f t="shared" si="13"/>
        <v>Jul</v>
      </c>
      <c r="F148" s="221" t="str">
        <f t="shared" ref="F148:F153" si="15">+F147</f>
        <v>Year 2</v>
      </c>
      <c r="H148" s="730">
        <f t="shared" ref="H148:H158" si="16">+L147</f>
        <v>0</v>
      </c>
      <c r="I148" s="849">
        <f t="shared" ref="I148:I158" si="17">+I147</f>
        <v>2.7083333333333334E-3</v>
      </c>
      <c r="J148" s="849"/>
      <c r="K148" s="730">
        <f t="shared" ref="K148:K158" si="18">+K147</f>
        <v>0</v>
      </c>
      <c r="L148" s="716">
        <f t="shared" si="14"/>
        <v>0</v>
      </c>
    </row>
    <row r="149" spans="4:14">
      <c r="D149" s="221" t="str">
        <f t="shared" si="13"/>
        <v>Aug</v>
      </c>
      <c r="F149" s="221" t="str">
        <f t="shared" si="15"/>
        <v>Year 2</v>
      </c>
      <c r="H149" s="730">
        <f t="shared" si="16"/>
        <v>0</v>
      </c>
      <c r="I149" s="849">
        <f t="shared" si="17"/>
        <v>2.7083333333333334E-3</v>
      </c>
      <c r="J149" s="849"/>
      <c r="K149" s="730">
        <f t="shared" si="18"/>
        <v>0</v>
      </c>
      <c r="L149" s="716">
        <f t="shared" si="14"/>
        <v>0</v>
      </c>
    </row>
    <row r="150" spans="4:14">
      <c r="D150" s="221" t="str">
        <f t="shared" si="13"/>
        <v>Sep</v>
      </c>
      <c r="F150" s="221" t="str">
        <f t="shared" si="15"/>
        <v>Year 2</v>
      </c>
      <c r="H150" s="730">
        <f t="shared" si="16"/>
        <v>0</v>
      </c>
      <c r="I150" s="849">
        <f t="shared" si="17"/>
        <v>2.7083333333333334E-3</v>
      </c>
      <c r="J150" s="849"/>
      <c r="K150" s="730">
        <f t="shared" si="18"/>
        <v>0</v>
      </c>
      <c r="L150" s="716">
        <f t="shared" si="14"/>
        <v>0</v>
      </c>
      <c r="N150" s="850"/>
    </row>
    <row r="151" spans="4:14">
      <c r="D151" s="221" t="str">
        <f t="shared" si="13"/>
        <v>Oct</v>
      </c>
      <c r="F151" s="221" t="str">
        <f t="shared" si="15"/>
        <v>Year 2</v>
      </c>
      <c r="H151" s="730">
        <f t="shared" si="16"/>
        <v>0</v>
      </c>
      <c r="I151" s="849">
        <f t="shared" si="17"/>
        <v>2.7083333333333334E-3</v>
      </c>
      <c r="J151" s="849"/>
      <c r="K151" s="730">
        <f t="shared" si="18"/>
        <v>0</v>
      </c>
      <c r="L151" s="716">
        <f t="shared" si="14"/>
        <v>0</v>
      </c>
      <c r="N151" s="849"/>
    </row>
    <row r="152" spans="4:14">
      <c r="D152" s="221" t="str">
        <f t="shared" si="13"/>
        <v>Nov</v>
      </c>
      <c r="F152" s="221" t="str">
        <f t="shared" si="15"/>
        <v>Year 2</v>
      </c>
      <c r="H152" s="730">
        <f t="shared" si="16"/>
        <v>0</v>
      </c>
      <c r="I152" s="849">
        <f t="shared" si="17"/>
        <v>2.7083333333333334E-3</v>
      </c>
      <c r="J152" s="849"/>
      <c r="K152" s="730">
        <f t="shared" si="18"/>
        <v>0</v>
      </c>
      <c r="L152" s="716">
        <f t="shared" si="14"/>
        <v>0</v>
      </c>
    </row>
    <row r="153" spans="4:14">
      <c r="D153" s="221" t="str">
        <f t="shared" si="13"/>
        <v>Dec</v>
      </c>
      <c r="F153" s="221" t="str">
        <f t="shared" si="15"/>
        <v>Year 2</v>
      </c>
      <c r="H153" s="730">
        <f t="shared" si="16"/>
        <v>0</v>
      </c>
      <c r="I153" s="849">
        <f t="shared" si="17"/>
        <v>2.7083333333333334E-3</v>
      </c>
      <c r="J153" s="849"/>
      <c r="K153" s="730">
        <f t="shared" si="18"/>
        <v>0</v>
      </c>
      <c r="L153" s="716">
        <f t="shared" si="14"/>
        <v>0</v>
      </c>
    </row>
    <row r="154" spans="4:14">
      <c r="D154" s="221" t="str">
        <f t="shared" si="13"/>
        <v>Jan</v>
      </c>
      <c r="F154" s="221" t="s">
        <v>205</v>
      </c>
      <c r="H154" s="730">
        <f t="shared" si="16"/>
        <v>0</v>
      </c>
      <c r="I154" s="849">
        <f t="shared" si="17"/>
        <v>2.7083333333333334E-3</v>
      </c>
      <c r="J154" s="849"/>
      <c r="K154" s="730">
        <f t="shared" si="18"/>
        <v>0</v>
      </c>
      <c r="L154" s="716">
        <f t="shared" si="14"/>
        <v>0</v>
      </c>
    </row>
    <row r="155" spans="4:14">
      <c r="D155" s="221" t="str">
        <f t="shared" si="13"/>
        <v>Feb</v>
      </c>
      <c r="F155" s="221" t="str">
        <f>+F154</f>
        <v>Year 3</v>
      </c>
      <c r="H155" s="730">
        <f t="shared" si="16"/>
        <v>0</v>
      </c>
      <c r="I155" s="849">
        <f t="shared" si="17"/>
        <v>2.7083333333333334E-3</v>
      </c>
      <c r="J155" s="849"/>
      <c r="K155" s="730">
        <f t="shared" si="18"/>
        <v>0</v>
      </c>
      <c r="L155" s="716">
        <f t="shared" si="14"/>
        <v>0</v>
      </c>
    </row>
    <row r="156" spans="4:14">
      <c r="D156" s="221" t="str">
        <f t="shared" si="13"/>
        <v>Mar</v>
      </c>
      <c r="F156" s="221" t="str">
        <f>+F155</f>
        <v>Year 3</v>
      </c>
      <c r="H156" s="730">
        <f t="shared" si="16"/>
        <v>0</v>
      </c>
      <c r="I156" s="849">
        <f t="shared" si="17"/>
        <v>2.7083333333333334E-3</v>
      </c>
      <c r="J156" s="849"/>
      <c r="K156" s="730">
        <f t="shared" si="18"/>
        <v>0</v>
      </c>
      <c r="L156" s="716">
        <f t="shared" si="14"/>
        <v>0</v>
      </c>
    </row>
    <row r="157" spans="4:14">
      <c r="D157" s="221" t="str">
        <f t="shared" si="13"/>
        <v>Apr</v>
      </c>
      <c r="F157" s="221" t="str">
        <f>+F156</f>
        <v>Year 3</v>
      </c>
      <c r="H157" s="730">
        <f t="shared" si="16"/>
        <v>0</v>
      </c>
      <c r="I157" s="849">
        <f t="shared" si="17"/>
        <v>2.7083333333333334E-3</v>
      </c>
      <c r="J157" s="849"/>
      <c r="K157" s="730">
        <f t="shared" si="18"/>
        <v>0</v>
      </c>
      <c r="L157" s="716">
        <f t="shared" si="14"/>
        <v>0</v>
      </c>
    </row>
    <row r="158" spans="4:14">
      <c r="D158" s="221" t="str">
        <f t="shared" si="13"/>
        <v>May</v>
      </c>
      <c r="F158" s="221" t="str">
        <f>+F157</f>
        <v>Year 3</v>
      </c>
      <c r="H158" s="730">
        <f t="shared" si="16"/>
        <v>0</v>
      </c>
      <c r="I158" s="849">
        <f t="shared" si="17"/>
        <v>2.7083333333333334E-3</v>
      </c>
      <c r="J158" s="849"/>
      <c r="K158" s="730">
        <f t="shared" si="18"/>
        <v>0</v>
      </c>
      <c r="L158" s="716">
        <f t="shared" si="14"/>
        <v>0</v>
      </c>
    </row>
    <row r="159" spans="4:14">
      <c r="D159" s="221" t="s">
        <v>274</v>
      </c>
      <c r="K159" s="730">
        <f>SUM(K147:K158)</f>
        <v>0</v>
      </c>
    </row>
    <row r="161" spans="1:15">
      <c r="D161" s="737" t="s">
        <v>465</v>
      </c>
      <c r="E161" s="737"/>
      <c r="F161" s="446"/>
      <c r="G161" s="446"/>
      <c r="H161" s="446"/>
      <c r="I161" s="446"/>
      <c r="J161" s="446"/>
      <c r="K161" s="730">
        <f>+K159-0</f>
        <v>0</v>
      </c>
      <c r="L161" s="446"/>
      <c r="N161" s="446"/>
      <c r="O161" s="730"/>
    </row>
    <row r="162" spans="1:15">
      <c r="D162" s="975" t="s">
        <v>203</v>
      </c>
      <c r="E162" s="737"/>
      <c r="F162" s="446"/>
      <c r="G162" s="446"/>
      <c r="H162" s="446"/>
      <c r="I162" s="446"/>
      <c r="J162" s="446"/>
      <c r="K162" s="851">
        <f>'Appendix A - TSRR Summary'!H275+'Appendix A - TSRR Summary'!H277</f>
        <v>2202248.2649904741</v>
      </c>
      <c r="L162" s="446"/>
      <c r="N162" s="736"/>
      <c r="O162" s="273"/>
    </row>
    <row r="163" spans="1:15">
      <c r="D163" s="737" t="s">
        <v>204</v>
      </c>
      <c r="E163" s="737"/>
      <c r="F163" s="446"/>
      <c r="G163" s="446"/>
      <c r="H163" s="446"/>
      <c r="I163" s="446"/>
      <c r="J163" s="446"/>
      <c r="K163" s="730">
        <f>+K161+K162</f>
        <v>2202248.2649904741</v>
      </c>
      <c r="L163" s="446"/>
      <c r="N163" s="321"/>
      <c r="O163" s="273"/>
    </row>
    <row r="164" spans="1:15">
      <c r="D164" s="720"/>
      <c r="E164" s="720"/>
      <c r="F164" s="446"/>
      <c r="G164" s="446"/>
      <c r="H164" s="446"/>
      <c r="I164" s="446"/>
      <c r="J164" s="446"/>
      <c r="K164" s="730"/>
      <c r="L164" s="446"/>
      <c r="N164" s="321"/>
      <c r="O164" s="273"/>
    </row>
    <row r="165" spans="1:15">
      <c r="D165" s="720"/>
      <c r="E165" s="720"/>
      <c r="F165" s="446"/>
      <c r="G165" s="446"/>
      <c r="H165" s="446"/>
      <c r="I165" s="446"/>
      <c r="J165" s="446"/>
      <c r="K165" s="730"/>
      <c r="L165" s="446"/>
      <c r="M165" s="730"/>
      <c r="N165" s="321"/>
      <c r="O165" s="273"/>
    </row>
    <row r="166" spans="1:15">
      <c r="A166" s="446">
        <f>+A18</f>
        <v>10</v>
      </c>
      <c r="B166" s="446" t="str">
        <f>+B18</f>
        <v>May</v>
      </c>
      <c r="C166" s="446" t="str">
        <f>+C18</f>
        <v>Year 3</v>
      </c>
      <c r="D166" s="336" t="str">
        <f>+D18</f>
        <v>Post results of Step 9 on PJM web site</v>
      </c>
      <c r="E166" s="336"/>
      <c r="N166" s="321"/>
      <c r="O166" s="141"/>
    </row>
    <row r="167" spans="1:15">
      <c r="D167" s="719"/>
      <c r="E167" s="719"/>
      <c r="F167" s="221" t="str">
        <f>+D52</f>
        <v>Post results of Step 3 on PJM web site</v>
      </c>
      <c r="N167" s="141"/>
      <c r="O167" s="141"/>
    </row>
    <row r="168" spans="1:15">
      <c r="D168" s="723"/>
      <c r="E168" s="723"/>
      <c r="F168" s="720"/>
      <c r="G168" s="720"/>
      <c r="H168" s="720"/>
      <c r="I168" s="720"/>
      <c r="J168" s="720"/>
      <c r="N168" s="141"/>
      <c r="O168" s="141"/>
    </row>
    <row r="169" spans="1:15">
      <c r="D169" s="719"/>
      <c r="E169" s="719"/>
      <c r="N169" s="141"/>
      <c r="O169" s="141"/>
    </row>
    <row r="170" spans="1:15">
      <c r="A170" s="446">
        <f>+A19</f>
        <v>11</v>
      </c>
      <c r="B170" s="446" t="str">
        <f>+B19</f>
        <v>June</v>
      </c>
      <c r="C170" s="446" t="str">
        <f>+C19</f>
        <v>Year 3</v>
      </c>
      <c r="D170" s="336" t="str">
        <f>+D19</f>
        <v>Results of Step 9 go into effect</v>
      </c>
      <c r="E170" s="336"/>
    </row>
    <row r="171" spans="1:15">
      <c r="D171" s="738">
        <f>+D167</f>
        <v>0</v>
      </c>
      <c r="E171" s="738"/>
    </row>
    <row r="173" spans="1:15">
      <c r="B173" s="221"/>
    </row>
    <row r="350" spans="1:11">
      <c r="A350" s="465"/>
    </row>
    <row r="351" spans="1:11">
      <c r="A351" s="465"/>
    </row>
    <row r="352" spans="1:11">
      <c r="A352" s="465"/>
      <c r="B352" s="465"/>
      <c r="C352" s="465"/>
      <c r="D352" s="247"/>
      <c r="E352" s="247"/>
      <c r="F352" s="247"/>
      <c r="G352" s="247"/>
      <c r="H352" s="247"/>
      <c r="I352" s="247"/>
      <c r="J352" s="247"/>
      <c r="K352" s="247"/>
    </row>
    <row r="353" spans="1:11">
      <c r="A353" s="465"/>
      <c r="B353" s="465"/>
      <c r="C353" s="465"/>
      <c r="D353" s="247"/>
      <c r="E353" s="247"/>
      <c r="F353" s="247"/>
      <c r="G353" s="247"/>
      <c r="H353" s="247"/>
      <c r="I353" s="247"/>
      <c r="J353" s="247"/>
      <c r="K353" s="247"/>
    </row>
    <row r="354" spans="1:11">
      <c r="A354" s="465"/>
      <c r="B354" s="465"/>
      <c r="C354" s="465"/>
      <c r="D354" s="247"/>
      <c r="E354" s="247"/>
      <c r="F354" s="247"/>
      <c r="G354" s="247"/>
      <c r="H354" s="247"/>
      <c r="I354" s="247"/>
      <c r="J354" s="247"/>
      <c r="K354" s="247"/>
    </row>
    <row r="355" spans="1:11">
      <c r="A355" s="465"/>
      <c r="B355" s="465"/>
      <c r="C355" s="465"/>
      <c r="D355" s="247"/>
      <c r="E355" s="247"/>
      <c r="F355" s="247"/>
      <c r="G355" s="247"/>
      <c r="H355" s="247"/>
      <c r="I355" s="247"/>
      <c r="J355" s="247"/>
      <c r="K355" s="247"/>
    </row>
    <row r="356" spans="1:11">
      <c r="A356" s="465"/>
      <c r="B356" s="465"/>
      <c r="C356" s="465"/>
      <c r="D356" s="247"/>
      <c r="E356" s="247"/>
      <c r="F356" s="247"/>
      <c r="G356" s="247"/>
      <c r="H356" s="247"/>
      <c r="I356" s="247"/>
      <c r="J356" s="247"/>
      <c r="K356" s="247"/>
    </row>
    <row r="357" spans="1:11">
      <c r="A357" s="465"/>
      <c r="B357" s="465"/>
      <c r="C357" s="465"/>
      <c r="D357" s="247"/>
      <c r="E357" s="247"/>
      <c r="F357" s="247"/>
      <c r="G357" s="247"/>
      <c r="H357" s="247"/>
      <c r="I357" s="247"/>
      <c r="J357" s="247"/>
      <c r="K357" s="247"/>
    </row>
    <row r="358" spans="1:11">
      <c r="A358" s="465"/>
      <c r="B358" s="465"/>
      <c r="C358" s="465"/>
      <c r="D358" s="247"/>
      <c r="E358" s="247"/>
      <c r="F358" s="247"/>
      <c r="G358" s="247"/>
      <c r="H358" s="247"/>
      <c r="I358" s="247"/>
      <c r="J358" s="247"/>
      <c r="K358" s="247"/>
    </row>
    <row r="359" spans="1:11">
      <c r="B359" s="465"/>
      <c r="C359" s="465"/>
      <c r="D359" s="247"/>
      <c r="E359" s="247"/>
      <c r="F359" s="247"/>
      <c r="G359" s="247"/>
      <c r="H359" s="247"/>
      <c r="I359" s="247"/>
      <c r="J359" s="247"/>
      <c r="K359" s="247"/>
    </row>
    <row r="360" spans="1:11">
      <c r="B360" s="465"/>
      <c r="C360" s="465"/>
      <c r="D360" s="247"/>
      <c r="E360" s="247"/>
      <c r="F360" s="247"/>
      <c r="G360" s="247"/>
      <c r="H360" s="247"/>
      <c r="I360" s="247"/>
      <c r="J360" s="247"/>
      <c r="K360" s="247"/>
    </row>
  </sheetData>
  <mergeCells count="13">
    <mergeCell ref="A122:H122"/>
    <mergeCell ref="A1:M1"/>
    <mergeCell ref="D89:M89"/>
    <mergeCell ref="G28:H28"/>
    <mergeCell ref="D121:M121"/>
    <mergeCell ref="D16:M16"/>
    <mergeCell ref="D17:M17"/>
    <mergeCell ref="I27:L27"/>
    <mergeCell ref="G21:I21"/>
    <mergeCell ref="G95:H95"/>
    <mergeCell ref="G66:H66"/>
    <mergeCell ref="A2:M2"/>
    <mergeCell ref="A74:H74"/>
  </mergeCells>
  <phoneticPr fontId="0" type="noConversion"/>
  <pageMargins left="0.5" right="0.5" top="0.95" bottom="0.5" header="0.5" footer="0.5"/>
  <pageSetup scale="50" fitToHeight="0" orientation="portrait" r:id="rId1"/>
  <headerFooter alignWithMargins="0">
    <oddHeader>&amp;R&amp;14Exhibit No. RMU-205
ATTACHMENT H-25B
Page &amp;P of &amp;N</oddHeader>
  </headerFooter>
  <rowBreaks count="2" manualBreakCount="2">
    <brk id="48" max="12" man="1"/>
    <brk id="11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D313"/>
  <sheetViews>
    <sheetView zoomScale="70" zoomScaleNormal="70" zoomScalePageLayoutView="75" workbookViewId="0">
      <selection activeCell="A3" sqref="A3:F3"/>
    </sheetView>
  </sheetViews>
  <sheetFormatPr defaultRowHeight="12.75"/>
  <cols>
    <col min="1" max="1" width="9.140625" style="139"/>
    <col min="2" max="2" width="47.7109375" style="219" customWidth="1"/>
    <col min="3" max="3" width="17" customWidth="1"/>
    <col min="4" max="5" width="13" style="139" customWidth="1"/>
    <col min="6" max="6" width="12.140625" customWidth="1"/>
    <col min="7" max="7" width="10.7109375" bestFit="1" customWidth="1"/>
    <col min="8" max="8" width="9.85546875" bestFit="1" customWidth="1"/>
    <col min="9" max="9" width="12" customWidth="1"/>
    <col min="10" max="10" width="11.7109375" customWidth="1"/>
    <col min="11" max="11" width="11.28515625" customWidth="1"/>
    <col min="12" max="12" width="10.85546875" style="223" customWidth="1"/>
    <col min="13" max="13" width="9.28515625" bestFit="1" customWidth="1"/>
    <col min="14" max="14" width="11.28515625" customWidth="1"/>
    <col min="15" max="15" width="6.7109375" bestFit="1" customWidth="1"/>
    <col min="16" max="16" width="7.7109375" bestFit="1" customWidth="1"/>
    <col min="17" max="17" width="10.42578125" bestFit="1" customWidth="1"/>
    <col min="18" max="18" width="10.85546875" bestFit="1" customWidth="1"/>
    <col min="19" max="19" width="6.7109375" bestFit="1" customWidth="1"/>
    <col min="20" max="20" width="7.7109375" bestFit="1" customWidth="1"/>
    <col min="21" max="21" width="12" hidden="1" customWidth="1"/>
    <col min="22" max="22" width="12.5703125" hidden="1" customWidth="1"/>
    <col min="23" max="23" width="11.28515625" hidden="1" customWidth="1"/>
    <col min="24" max="24" width="10.28515625" hidden="1" customWidth="1"/>
    <col min="25" max="25" width="12" hidden="1" customWidth="1"/>
    <col min="26" max="26" width="12.5703125" hidden="1" customWidth="1"/>
    <col min="27" max="27" width="11.28515625" hidden="1" customWidth="1"/>
    <col min="28" max="28" width="10.28515625" hidden="1"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1" spans="1:44" ht="29.25" customHeight="1">
      <c r="A1" s="1378" t="s">
        <v>664</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c r="AC1" s="1378"/>
      <c r="AD1" s="1378"/>
      <c r="AE1" s="1378"/>
      <c r="AF1" s="1378"/>
      <c r="AG1" s="1378"/>
      <c r="AH1" s="1378"/>
      <c r="AI1" s="1378"/>
      <c r="AJ1" s="1378"/>
      <c r="AK1" s="1378"/>
      <c r="AL1" s="1378"/>
      <c r="AM1" s="1378"/>
      <c r="AN1" s="1378"/>
      <c r="AO1" s="1378"/>
      <c r="AP1" s="1378"/>
      <c r="AQ1" s="1378"/>
      <c r="AR1" s="1378"/>
    </row>
    <row r="2" spans="1:44" ht="22.5" customHeight="1">
      <c r="A2" s="1255" t="s">
        <v>653</v>
      </c>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255"/>
      <c r="Z2" s="1255"/>
      <c r="AA2" s="1255"/>
      <c r="AB2" s="1255"/>
      <c r="AC2" s="1255"/>
      <c r="AD2" s="1255"/>
      <c r="AE2" s="1255"/>
      <c r="AF2" s="1255"/>
      <c r="AG2" s="1255"/>
      <c r="AH2" s="1255"/>
      <c r="AI2" s="1255"/>
      <c r="AJ2" s="1255"/>
      <c r="AK2" s="1255"/>
      <c r="AL2" s="1255"/>
      <c r="AM2" s="1255"/>
      <c r="AN2" s="1255"/>
      <c r="AO2" s="1255"/>
      <c r="AP2" s="1255"/>
      <c r="AQ2" s="1255"/>
      <c r="AR2" s="1255"/>
    </row>
    <row r="4" spans="1:44">
      <c r="A4" s="139">
        <v>1</v>
      </c>
      <c r="C4" t="s">
        <v>109</v>
      </c>
    </row>
    <row r="6" spans="1:44">
      <c r="A6" s="139">
        <v>2</v>
      </c>
      <c r="C6" s="160" t="s">
        <v>285</v>
      </c>
    </row>
    <row r="7" spans="1:44">
      <c r="C7" s="160"/>
      <c r="D7" s="139" t="s">
        <v>108</v>
      </c>
    </row>
    <row r="8" spans="1:44">
      <c r="A8" s="139">
        <v>3</v>
      </c>
      <c r="C8" s="139" t="s">
        <v>355</v>
      </c>
      <c r="D8" s="139">
        <f>+'Appendix A - TSRR Summary'!A264</f>
        <v>160</v>
      </c>
      <c r="F8" s="219" t="str">
        <f>'Appendix A - TSRR Summary'!C264</f>
        <v>Net Plant Carrying Charge without Depreciation</v>
      </c>
      <c r="N8" s="224">
        <f>+'Appendix A - TSRR Summary'!H264</f>
        <v>0.30308834367358822</v>
      </c>
    </row>
    <row r="9" spans="1:44">
      <c r="A9" s="139">
        <v>4</v>
      </c>
      <c r="C9" s="139" t="s">
        <v>448</v>
      </c>
      <c r="D9" s="139">
        <f>+'Appendix A - TSRR Summary'!A273</f>
        <v>167</v>
      </c>
      <c r="F9" s="219" t="str">
        <f>+'Appendix A - TSRR Summary'!C273</f>
        <v>Net Plant Carrying Charge with 100 Basis Point increase in ROE without Depreciation</v>
      </c>
      <c r="N9" s="224">
        <f>+'Appendix A - TSRR Summary'!H273</f>
        <v>0.30910427109474675</v>
      </c>
    </row>
    <row r="10" spans="1:44">
      <c r="A10" s="139">
        <v>5</v>
      </c>
      <c r="B10" s="139"/>
      <c r="C10" s="139" t="s">
        <v>339</v>
      </c>
      <c r="F10" t="s">
        <v>63</v>
      </c>
      <c r="N10" s="224">
        <f>+N9-N8</f>
        <v>6.015927421158529E-3</v>
      </c>
    </row>
    <row r="11" spans="1:44">
      <c r="A11"/>
      <c r="B11" s="139"/>
      <c r="N11" s="224"/>
    </row>
    <row r="12" spans="1:44">
      <c r="A12" s="139">
        <v>6</v>
      </c>
      <c r="B12" s="139"/>
      <c r="C12" s="160" t="s">
        <v>61</v>
      </c>
      <c r="N12" s="224"/>
    </row>
    <row r="13" spans="1:44">
      <c r="A13" s="160"/>
      <c r="B13" s="139"/>
      <c r="C13" s="160"/>
      <c r="N13" s="224"/>
    </row>
    <row r="14" spans="1:44">
      <c r="A14" s="139">
        <v>7</v>
      </c>
      <c r="C14" s="139" t="s">
        <v>356</v>
      </c>
      <c r="D14" s="139">
        <f>+'Appendix A - TSRR Summary'!A265</f>
        <v>161</v>
      </c>
      <c r="F14" s="219" t="str">
        <f>+'Appendix A - TSRR Summary'!C265</f>
        <v>Net Plant Carrying Charge without Depreciation, Return, nor Income Taxes</v>
      </c>
      <c r="N14" s="224">
        <f>+'Appendix A - TSRR Summary'!H265</f>
        <v>0.21421860823566594</v>
      </c>
    </row>
    <row r="15" spans="1:44">
      <c r="C15" s="139"/>
      <c r="F15" s="219"/>
      <c r="N15" s="224"/>
    </row>
    <row r="16" spans="1:44" ht="15.75">
      <c r="C16" s="243"/>
    </row>
    <row r="17" spans="1:56">
      <c r="A17" s="139">
        <v>8</v>
      </c>
      <c r="C17" s="150" t="s">
        <v>315</v>
      </c>
    </row>
    <row r="18" spans="1:56">
      <c r="A18" s="139">
        <v>9</v>
      </c>
      <c r="C18" s="150" t="s">
        <v>270</v>
      </c>
    </row>
    <row r="19" spans="1:56" ht="25.5" customHeight="1" thickBot="1">
      <c r="C19" s="244"/>
      <c r="D19" s="232"/>
      <c r="E19" s="232"/>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
      <c r="AS19" s="2"/>
      <c r="AT19" s="2"/>
      <c r="AU19" s="2"/>
      <c r="AV19" s="2"/>
      <c r="AW19" s="2"/>
      <c r="AX19" s="2"/>
      <c r="AY19" s="2"/>
      <c r="AZ19" s="2"/>
      <c r="BA19" s="2"/>
      <c r="BB19" s="2"/>
      <c r="BC19" s="2"/>
      <c r="BD19" s="2"/>
    </row>
    <row r="20" spans="1:56" ht="13.5" thickBot="1">
      <c r="A20" s="139">
        <v>10</v>
      </c>
      <c r="C20" s="245" t="s">
        <v>59</v>
      </c>
      <c r="D20" s="180"/>
      <c r="E20" s="1376" t="s">
        <v>637</v>
      </c>
      <c r="F20" s="1377"/>
      <c r="G20" s="1377"/>
      <c r="H20" s="1377"/>
      <c r="I20" s="1376" t="s">
        <v>637</v>
      </c>
      <c r="J20" s="1377"/>
      <c r="K20" s="1377"/>
      <c r="L20" s="1377"/>
      <c r="M20" s="1376" t="s">
        <v>637</v>
      </c>
      <c r="N20" s="1377"/>
      <c r="O20" s="1377"/>
      <c r="P20" s="1377"/>
      <c r="Q20" s="1376" t="s">
        <v>637</v>
      </c>
      <c r="R20" s="1377"/>
      <c r="S20" s="1377"/>
      <c r="T20" s="1377"/>
      <c r="U20" s="181" t="s">
        <v>99</v>
      </c>
      <c r="V20" s="182" t="str">
        <f>+U20</f>
        <v>Project E</v>
      </c>
      <c r="W20" s="182" t="str">
        <f>+V20</f>
        <v>Project E</v>
      </c>
      <c r="X20" s="183" t="str">
        <f>+W20</f>
        <v>Project E</v>
      </c>
      <c r="Y20" s="181" t="s">
        <v>100</v>
      </c>
      <c r="Z20" s="182" t="str">
        <f>+Y20</f>
        <v>Project F</v>
      </c>
      <c r="AA20" s="182" t="str">
        <f>+Z20</f>
        <v>Project F</v>
      </c>
      <c r="AB20" s="183" t="str">
        <f>+AA20</f>
        <v>Project F</v>
      </c>
      <c r="AC20" s="181" t="s">
        <v>101</v>
      </c>
      <c r="AD20" s="182" t="str">
        <f>+AC20</f>
        <v>Project G</v>
      </c>
      <c r="AE20" s="182" t="str">
        <f>+AD20</f>
        <v>Project G</v>
      </c>
      <c r="AF20" s="183" t="str">
        <f>+AE20</f>
        <v>Project G</v>
      </c>
      <c r="AG20" s="181" t="s">
        <v>102</v>
      </c>
      <c r="AH20" s="182" t="str">
        <f>+AG20</f>
        <v>Project H</v>
      </c>
      <c r="AI20" s="182" t="str">
        <f>+AH20</f>
        <v>Project H</v>
      </c>
      <c r="AJ20" s="183" t="str">
        <f>+AI20</f>
        <v>Project H</v>
      </c>
      <c r="AK20" s="181" t="s">
        <v>103</v>
      </c>
      <c r="AL20" s="182" t="str">
        <f>+AK20</f>
        <v>Project I</v>
      </c>
      <c r="AM20" s="182" t="str">
        <f>+AL20</f>
        <v>Project I</v>
      </c>
      <c r="AN20" s="183" t="str">
        <f>+AM20</f>
        <v>Project I</v>
      </c>
      <c r="AO20" s="230"/>
      <c r="AP20" s="179"/>
      <c r="AQ20" s="212"/>
    </row>
    <row r="21" spans="1:56" ht="25.5">
      <c r="A21" s="139">
        <f t="shared" ref="A21:A51" si="0">+A20+1</f>
        <v>11</v>
      </c>
      <c r="B21" s="140" t="s">
        <v>245</v>
      </c>
      <c r="C21" s="206" t="s">
        <v>173</v>
      </c>
      <c r="D21" s="184" t="s">
        <v>350</v>
      </c>
      <c r="E21" s="1143" t="s">
        <v>578</v>
      </c>
      <c r="F21" s="289"/>
      <c r="G21" s="288"/>
      <c r="H21" s="290"/>
      <c r="I21" s="1144"/>
      <c r="J21" s="235"/>
      <c r="K21" s="235"/>
      <c r="L21" s="236"/>
      <c r="M21" s="226"/>
      <c r="N21" s="235"/>
      <c r="O21" s="235"/>
      <c r="P21" s="236"/>
      <c r="Q21" s="1144"/>
      <c r="R21" s="235"/>
      <c r="S21" s="235"/>
      <c r="T21" s="236"/>
      <c r="U21" s="226"/>
      <c r="V21" s="235"/>
      <c r="W21" s="235"/>
      <c r="X21" s="236"/>
      <c r="Y21" s="226"/>
      <c r="Z21" s="235"/>
      <c r="AA21" s="235"/>
      <c r="AB21" s="236"/>
      <c r="AC21" s="226"/>
      <c r="AD21" s="235"/>
      <c r="AE21" s="235"/>
      <c r="AF21" s="236"/>
      <c r="AG21" s="226"/>
      <c r="AH21" s="235"/>
      <c r="AI21" s="235"/>
      <c r="AJ21" s="236"/>
      <c r="AK21" s="226"/>
      <c r="AL21" s="235"/>
      <c r="AM21" s="235"/>
      <c r="AN21" s="236"/>
      <c r="AO21" s="145"/>
      <c r="AP21" s="168"/>
      <c r="AQ21" s="167"/>
    </row>
    <row r="22" spans="1:56">
      <c r="A22" s="139">
        <f t="shared" si="0"/>
        <v>12</v>
      </c>
      <c r="B22" s="140" t="s">
        <v>246</v>
      </c>
      <c r="C22" s="206" t="s">
        <v>57</v>
      </c>
      <c r="D22" s="184"/>
      <c r="E22" s="747"/>
      <c r="F22" s="255"/>
      <c r="G22" s="184"/>
      <c r="H22" s="186"/>
      <c r="I22" s="1146" t="s">
        <v>353</v>
      </c>
      <c r="J22" s="255"/>
      <c r="K22" s="184"/>
      <c r="L22" s="185"/>
      <c r="M22" s="295"/>
      <c r="N22" s="189"/>
      <c r="O22" s="184"/>
      <c r="P22" s="186"/>
      <c r="Q22" s="1146"/>
      <c r="R22" s="189"/>
      <c r="S22" s="184"/>
      <c r="T22" s="186"/>
      <c r="U22" s="295"/>
      <c r="V22" s="189"/>
      <c r="W22" s="184"/>
      <c r="X22" s="186"/>
      <c r="Y22" s="295"/>
      <c r="Z22" s="189"/>
      <c r="AA22" s="184"/>
      <c r="AB22" s="186"/>
      <c r="AC22" s="295"/>
      <c r="AD22" s="189"/>
      <c r="AE22" s="184"/>
      <c r="AF22" s="186"/>
      <c r="AG22" s="295"/>
      <c r="AH22" s="189"/>
      <c r="AI22" s="184"/>
      <c r="AJ22" s="186"/>
      <c r="AK22" s="295"/>
      <c r="AL22" s="189"/>
      <c r="AM22" s="184"/>
      <c r="AN22" s="186"/>
      <c r="AO22" s="145"/>
      <c r="AP22" s="168"/>
      <c r="AQ22" s="167"/>
    </row>
    <row r="23" spans="1:56" ht="38.25">
      <c r="A23" s="139">
        <f t="shared" si="0"/>
        <v>13</v>
      </c>
      <c r="B23" s="140" t="s">
        <v>247</v>
      </c>
      <c r="C23" s="206" t="s">
        <v>58</v>
      </c>
      <c r="D23" s="184" t="s">
        <v>350</v>
      </c>
      <c r="E23" s="1144" t="s">
        <v>578</v>
      </c>
      <c r="F23" s="159"/>
      <c r="G23" s="184"/>
      <c r="H23" s="186"/>
      <c r="I23" s="1144"/>
      <c r="J23" s="184"/>
      <c r="K23" s="184"/>
      <c r="L23" s="185"/>
      <c r="M23" s="226"/>
      <c r="N23" s="184"/>
      <c r="O23" s="184"/>
      <c r="P23" s="186"/>
      <c r="Q23" s="1144"/>
      <c r="R23" s="184"/>
      <c r="S23" s="184"/>
      <c r="T23" s="186"/>
      <c r="U23" s="226"/>
      <c r="V23" s="184"/>
      <c r="W23" s="184"/>
      <c r="X23" s="186"/>
      <c r="Y23" s="226"/>
      <c r="Z23" s="184"/>
      <c r="AA23" s="184"/>
      <c r="AB23" s="186"/>
      <c r="AC23" s="226"/>
      <c r="AD23" s="184"/>
      <c r="AE23" s="184"/>
      <c r="AF23" s="186"/>
      <c r="AG23" s="226"/>
      <c r="AH23" s="184"/>
      <c r="AI23" s="184"/>
      <c r="AJ23" s="186"/>
      <c r="AK23" s="226"/>
      <c r="AL23" s="184"/>
      <c r="AM23" s="184"/>
      <c r="AN23" s="186"/>
      <c r="AO23" s="145"/>
      <c r="AP23" s="168"/>
      <c r="AQ23" s="167"/>
    </row>
    <row r="24" spans="1:56" ht="13.5">
      <c r="A24" s="139">
        <f t="shared" si="0"/>
        <v>14</v>
      </c>
      <c r="B24" s="140" t="s">
        <v>248</v>
      </c>
      <c r="C24" s="206" t="s">
        <v>196</v>
      </c>
      <c r="D24" s="184"/>
      <c r="E24" s="1144">
        <v>0</v>
      </c>
      <c r="F24" s="333"/>
      <c r="G24" s="169"/>
      <c r="H24" s="170"/>
      <c r="I24" s="1144">
        <v>0</v>
      </c>
      <c r="J24" s="334"/>
      <c r="K24" s="169"/>
      <c r="L24" s="335"/>
      <c r="M24" s="226">
        <v>0</v>
      </c>
      <c r="N24" s="261"/>
      <c r="O24" s="262"/>
      <c r="P24" s="263"/>
      <c r="Q24" s="1144">
        <v>0</v>
      </c>
      <c r="R24" s="261"/>
      <c r="S24" s="262"/>
      <c r="T24" s="263"/>
      <c r="U24" s="226"/>
      <c r="V24" s="261"/>
      <c r="W24" s="262"/>
      <c r="X24" s="263"/>
      <c r="Y24" s="226"/>
      <c r="Z24" s="261"/>
      <c r="AA24" s="262"/>
      <c r="AB24" s="263"/>
      <c r="AC24" s="226"/>
      <c r="AD24" s="261"/>
      <c r="AE24" s="262"/>
      <c r="AF24" s="263"/>
      <c r="AG24" s="226"/>
      <c r="AH24" s="261"/>
      <c r="AI24" s="262"/>
      <c r="AJ24" s="263"/>
      <c r="AK24" s="226"/>
      <c r="AL24" s="261"/>
      <c r="AM24" s="262"/>
      <c r="AN24" s="263"/>
      <c r="AO24" s="145"/>
      <c r="AP24" s="168"/>
      <c r="AQ24" s="167"/>
    </row>
    <row r="25" spans="1:56" ht="25.5">
      <c r="A25" s="139">
        <f t="shared" si="0"/>
        <v>15</v>
      </c>
      <c r="B25" s="140" t="s">
        <v>249</v>
      </c>
      <c r="C25" s="206" t="str">
        <f>'Appendix A - TSRR Summary'!H202*100&amp;"% ROE"</f>
        <v>11.5% ROE</v>
      </c>
      <c r="D25" s="169"/>
      <c r="E25" s="339">
        <f>$N$8</f>
        <v>0.30308834367358822</v>
      </c>
      <c r="F25" s="159"/>
      <c r="G25" s="145"/>
      <c r="H25" s="167"/>
      <c r="I25" s="339">
        <f>$N$8</f>
        <v>0.30308834367358822</v>
      </c>
      <c r="J25" s="145"/>
      <c r="K25" s="145"/>
      <c r="L25" s="187"/>
      <c r="M25" s="339">
        <f>$N$8</f>
        <v>0.30308834367358822</v>
      </c>
      <c r="N25" s="184"/>
      <c r="O25" s="184"/>
      <c r="P25" s="186"/>
      <c r="Q25" s="168">
        <f>+$N8</f>
        <v>0.30308834367358822</v>
      </c>
      <c r="R25" s="184"/>
      <c r="S25" s="184"/>
      <c r="T25" s="186"/>
      <c r="U25" s="168">
        <f>+$N8</f>
        <v>0.30308834367358822</v>
      </c>
      <c r="V25" s="184"/>
      <c r="W25" s="184"/>
      <c r="X25" s="186"/>
      <c r="Y25" s="168">
        <f>+$N8</f>
        <v>0.30308834367358822</v>
      </c>
      <c r="Z25" s="184"/>
      <c r="AA25" s="184"/>
      <c r="AB25" s="186"/>
      <c r="AC25" s="168">
        <f>$N14</f>
        <v>0.21421860823566594</v>
      </c>
      <c r="AD25" s="184"/>
      <c r="AE25" s="184"/>
      <c r="AF25" s="186"/>
      <c r="AG25" s="168">
        <f>$N14</f>
        <v>0.21421860823566594</v>
      </c>
      <c r="AH25" s="184"/>
      <c r="AI25" s="184"/>
      <c r="AJ25" s="186"/>
      <c r="AK25" s="168">
        <f>+$N8</f>
        <v>0.30308834367358822</v>
      </c>
      <c r="AL25" s="184"/>
      <c r="AM25" s="184"/>
      <c r="AN25" s="186"/>
      <c r="AO25" s="145"/>
      <c r="AP25" s="168"/>
      <c r="AQ25" s="167"/>
    </row>
    <row r="26" spans="1:56">
      <c r="A26" s="139">
        <f t="shared" si="0"/>
        <v>16</v>
      </c>
      <c r="B26" s="140" t="str">
        <f>"Line "&amp;A25&amp;" + (Line"&amp;A24&amp;"xLine"&amp;A10&amp;")/100"</f>
        <v>Line 15 + (Line14xLine5)/100</v>
      </c>
      <c r="C26" s="266" t="s">
        <v>62</v>
      </c>
      <c r="D26" s="169"/>
      <c r="E26" s="339">
        <f>(E$24/100*$N$10)+E$25</f>
        <v>0.30308834367358822</v>
      </c>
      <c r="F26" s="159"/>
      <c r="G26" s="145"/>
      <c r="H26" s="167"/>
      <c r="I26" s="339">
        <f>(I$24/100*$N$10)+I$25</f>
        <v>0.30308834367358822</v>
      </c>
      <c r="J26" s="145"/>
      <c r="K26" s="145"/>
      <c r="L26" s="187"/>
      <c r="M26" s="339">
        <f>(M$24/100*$N$10)+M$25</f>
        <v>0.30308834367358822</v>
      </c>
      <c r="N26" s="145"/>
      <c r="O26" s="145"/>
      <c r="P26" s="167"/>
      <c r="Q26" s="168">
        <f>($N8+$N10/100*Q24)</f>
        <v>0.30308834367358822</v>
      </c>
      <c r="R26" s="145"/>
      <c r="S26" s="145"/>
      <c r="T26" s="167"/>
      <c r="U26" s="168">
        <f>($N8+$N10/100*U24)</f>
        <v>0.30308834367358822</v>
      </c>
      <c r="V26" s="145"/>
      <c r="W26" s="145"/>
      <c r="X26" s="167"/>
      <c r="Y26" s="168">
        <f>($N8+$N10/100*Y24)</f>
        <v>0.30308834367358822</v>
      </c>
      <c r="Z26" s="145"/>
      <c r="AA26" s="145"/>
      <c r="AB26" s="167"/>
      <c r="AC26" s="168">
        <f>+N14</f>
        <v>0.21421860823566594</v>
      </c>
      <c r="AD26" s="145"/>
      <c r="AE26" s="145"/>
      <c r="AF26" s="167"/>
      <c r="AG26" s="168">
        <f>+N14</f>
        <v>0.21421860823566594</v>
      </c>
      <c r="AH26" s="145"/>
      <c r="AI26" s="145"/>
      <c r="AJ26" s="167"/>
      <c r="AK26" s="168">
        <f>($N8+$N10/100*AK24)</f>
        <v>0.30308834367358822</v>
      </c>
      <c r="AL26" s="145"/>
      <c r="AM26" s="145"/>
      <c r="AN26" s="167"/>
      <c r="AO26" s="145"/>
      <c r="AP26" s="168"/>
      <c r="AQ26" s="167"/>
    </row>
    <row r="27" spans="1:56" ht="40.5" customHeight="1">
      <c r="A27" s="139">
        <f t="shared" si="0"/>
        <v>17</v>
      </c>
      <c r="B27" s="287" t="s">
        <v>240</v>
      </c>
      <c r="C27" s="206" t="s">
        <v>250</v>
      </c>
      <c r="D27" s="184"/>
      <c r="E27" s="1145">
        <f>+'Est &amp; Rec WS - Att. 6 Reserved'!H114</f>
        <v>0</v>
      </c>
      <c r="F27" s="189"/>
      <c r="G27" s="159"/>
      <c r="H27" s="187"/>
      <c r="I27" s="1147">
        <v>0</v>
      </c>
      <c r="J27" s="189"/>
      <c r="K27" s="189"/>
      <c r="L27" s="187"/>
      <c r="M27" s="1149"/>
      <c r="N27" s="189"/>
      <c r="O27" s="189"/>
      <c r="P27" s="187"/>
      <c r="Q27" s="1149"/>
      <c r="R27" s="189"/>
      <c r="S27" s="189"/>
      <c r="T27" s="187"/>
      <c r="U27" s="227"/>
      <c r="V27" s="189"/>
      <c r="W27" s="189"/>
      <c r="X27" s="187"/>
      <c r="Y27" s="227"/>
      <c r="Z27" s="189"/>
      <c r="AA27" s="189"/>
      <c r="AB27" s="187"/>
      <c r="AC27" s="227"/>
      <c r="AD27" s="189"/>
      <c r="AE27" s="189"/>
      <c r="AF27" s="187"/>
      <c r="AG27" s="227"/>
      <c r="AH27" s="189"/>
      <c r="AI27" s="189"/>
      <c r="AJ27" s="187"/>
      <c r="AK27" s="227"/>
      <c r="AL27" s="189"/>
      <c r="AM27" s="189"/>
      <c r="AN27" s="187"/>
      <c r="AO27" s="145"/>
      <c r="AP27" s="168"/>
      <c r="AQ27" s="167"/>
    </row>
    <row r="28" spans="1:56">
      <c r="A28" s="139">
        <f t="shared" si="0"/>
        <v>18</v>
      </c>
      <c r="B28" s="140" t="s">
        <v>251</v>
      </c>
      <c r="C28" s="168" t="s">
        <v>94</v>
      </c>
      <c r="D28" s="184"/>
      <c r="E28" s="188">
        <f>IF(E22=0,0,E27/E22)</f>
        <v>0</v>
      </c>
      <c r="F28" s="159"/>
      <c r="G28" s="189"/>
      <c r="H28" s="187"/>
      <c r="I28" s="188">
        <f>IF(I27=0,0,I27/I22)</f>
        <v>0</v>
      </c>
      <c r="J28" s="189"/>
      <c r="K28" s="189"/>
      <c r="L28" s="187"/>
      <c r="M28" s="188">
        <f>IF(M27=0,0,M27/M22)</f>
        <v>0</v>
      </c>
      <c r="N28" s="189"/>
      <c r="O28" s="189"/>
      <c r="P28" s="187"/>
      <c r="Q28" s="188">
        <f>IF(Q22=0,0,Q27/Q22)</f>
        <v>0</v>
      </c>
      <c r="R28" s="189"/>
      <c r="S28" s="189"/>
      <c r="T28" s="187"/>
      <c r="U28" s="188">
        <f>IF(U27=0,0,U27/U22)</f>
        <v>0</v>
      </c>
      <c r="V28" s="189"/>
      <c r="W28" s="189"/>
      <c r="X28" s="187"/>
      <c r="Y28" s="188">
        <f>IF(Y27=0,0,Y27/Y22)</f>
        <v>0</v>
      </c>
      <c r="Z28" s="189"/>
      <c r="AA28" s="189"/>
      <c r="AB28" s="187"/>
      <c r="AC28" s="188">
        <f>IF(AC27=0,0,AC27/AC22)</f>
        <v>0</v>
      </c>
      <c r="AD28" s="189"/>
      <c r="AE28" s="189"/>
      <c r="AF28" s="187"/>
      <c r="AG28" s="188">
        <f>IF(AG27=0,0,AG27/AG22)</f>
        <v>0</v>
      </c>
      <c r="AH28" s="189"/>
      <c r="AI28" s="189"/>
      <c r="AJ28" s="187"/>
      <c r="AK28" s="188">
        <f>IF(AK27=0,0,AK27/AK22)</f>
        <v>0</v>
      </c>
      <c r="AL28" s="189"/>
      <c r="AM28" s="189"/>
      <c r="AN28" s="187"/>
      <c r="AO28" s="145"/>
      <c r="AP28" s="168"/>
      <c r="AQ28" s="167"/>
    </row>
    <row r="29" spans="1:56" s="2" customFormat="1" ht="13.5" thickBot="1">
      <c r="A29" s="139">
        <f t="shared" si="0"/>
        <v>19</v>
      </c>
      <c r="B29" s="140" t="s">
        <v>252</v>
      </c>
      <c r="C29" s="206" t="s">
        <v>206</v>
      </c>
      <c r="D29" s="169"/>
      <c r="E29" s="748"/>
      <c r="F29" s="211"/>
      <c r="G29" s="207"/>
      <c r="H29" s="208"/>
      <c r="I29" s="1148">
        <v>1</v>
      </c>
      <c r="J29" s="207"/>
      <c r="K29" s="207"/>
      <c r="L29" s="208"/>
      <c r="M29" s="1150"/>
      <c r="N29" s="207"/>
      <c r="O29" s="207"/>
      <c r="P29" s="208"/>
      <c r="Q29" s="1151"/>
      <c r="R29" s="207"/>
      <c r="S29" s="207"/>
      <c r="T29" s="208"/>
      <c r="U29" s="256"/>
      <c r="V29" s="207"/>
      <c r="W29" s="207"/>
      <c r="X29" s="208"/>
      <c r="Y29" s="256"/>
      <c r="Z29" s="207"/>
      <c r="AA29" s="207"/>
      <c r="AB29" s="208"/>
      <c r="AC29" s="256"/>
      <c r="AD29" s="207"/>
      <c r="AE29" s="207"/>
      <c r="AF29" s="208"/>
      <c r="AG29" s="256"/>
      <c r="AH29" s="207"/>
      <c r="AI29" s="207"/>
      <c r="AJ29" s="208"/>
      <c r="AK29" s="256"/>
      <c r="AL29" s="207"/>
      <c r="AM29" s="207"/>
      <c r="AN29" s="208"/>
      <c r="AO29" s="146"/>
      <c r="AP29" s="322"/>
      <c r="AQ29" s="298"/>
    </row>
    <row r="30" spans="1:56" ht="25.5">
      <c r="A30" s="139">
        <f>+A29+1</f>
        <v>20</v>
      </c>
      <c r="C30" s="291"/>
      <c r="D30" s="190" t="s">
        <v>60</v>
      </c>
      <c r="E30" s="181" t="s">
        <v>96</v>
      </c>
      <c r="F30" s="182" t="s">
        <v>97</v>
      </c>
      <c r="G30" s="182" t="s">
        <v>98</v>
      </c>
      <c r="H30" s="257" t="s">
        <v>95</v>
      </c>
      <c r="I30" s="181" t="s">
        <v>96</v>
      </c>
      <c r="J30" s="182" t="s">
        <v>97</v>
      </c>
      <c r="K30" s="182" t="s">
        <v>98</v>
      </c>
      <c r="L30" s="183" t="s">
        <v>95</v>
      </c>
      <c r="M30" s="181" t="s">
        <v>96</v>
      </c>
      <c r="N30" s="182" t="s">
        <v>97</v>
      </c>
      <c r="O30" s="182" t="s">
        <v>98</v>
      </c>
      <c r="P30" s="183" t="s">
        <v>95</v>
      </c>
      <c r="Q30" s="181" t="s">
        <v>96</v>
      </c>
      <c r="R30" s="182" t="s">
        <v>97</v>
      </c>
      <c r="S30" s="182" t="s">
        <v>98</v>
      </c>
      <c r="T30" s="183" t="s">
        <v>95</v>
      </c>
      <c r="U30" s="181" t="s">
        <v>96</v>
      </c>
      <c r="V30" s="182" t="s">
        <v>97</v>
      </c>
      <c r="W30" s="182" t="s">
        <v>98</v>
      </c>
      <c r="X30" s="183" t="s">
        <v>95</v>
      </c>
      <c r="Y30" s="181" t="s">
        <v>96</v>
      </c>
      <c r="Z30" s="182" t="s">
        <v>97</v>
      </c>
      <c r="AA30" s="182" t="s">
        <v>98</v>
      </c>
      <c r="AB30" s="183" t="s">
        <v>95</v>
      </c>
      <c r="AC30" s="181" t="s">
        <v>96</v>
      </c>
      <c r="AD30" s="182" t="s">
        <v>97</v>
      </c>
      <c r="AE30" s="182" t="s">
        <v>98</v>
      </c>
      <c r="AF30" s="183" t="s">
        <v>95</v>
      </c>
      <c r="AG30" s="181" t="s">
        <v>96</v>
      </c>
      <c r="AH30" s="182" t="s">
        <v>97</v>
      </c>
      <c r="AI30" s="182" t="s">
        <v>98</v>
      </c>
      <c r="AJ30" s="183" t="s">
        <v>95</v>
      </c>
      <c r="AK30" s="181" t="s">
        <v>96</v>
      </c>
      <c r="AL30" s="182" t="s">
        <v>97</v>
      </c>
      <c r="AM30" s="182" t="s">
        <v>98</v>
      </c>
      <c r="AN30" s="183" t="s">
        <v>95</v>
      </c>
      <c r="AO30" s="204" t="s">
        <v>447</v>
      </c>
      <c r="AP30" s="323" t="s">
        <v>106</v>
      </c>
      <c r="AQ30" s="324" t="s">
        <v>107</v>
      </c>
    </row>
    <row r="31" spans="1:56">
      <c r="A31" s="139">
        <f t="shared" si="0"/>
        <v>21</v>
      </c>
      <c r="C31" s="292" t="str">
        <f>"W  "&amp;'Appendix A - TSRR Summary'!H202*100&amp;" % ROE"</f>
        <v>W  11.5 % ROE</v>
      </c>
      <c r="D31" s="293">
        <v>2014</v>
      </c>
      <c r="E31" s="194">
        <v>0</v>
      </c>
      <c r="F31" s="189">
        <v>0</v>
      </c>
      <c r="G31" s="192">
        <v>0</v>
      </c>
      <c r="H31" s="189">
        <v>0</v>
      </c>
      <c r="I31" s="194">
        <v>0</v>
      </c>
      <c r="J31" s="189">
        <v>0</v>
      </c>
      <c r="K31" s="192">
        <v>0</v>
      </c>
      <c r="L31" s="189">
        <v>0</v>
      </c>
      <c r="M31" s="194">
        <v>0</v>
      </c>
      <c r="N31" s="189">
        <v>0</v>
      </c>
      <c r="O31" s="192">
        <v>0</v>
      </c>
      <c r="P31" s="189">
        <v>0</v>
      </c>
      <c r="Q31" s="194">
        <v>0</v>
      </c>
      <c r="R31" s="189">
        <v>0</v>
      </c>
      <c r="S31" s="192">
        <v>0</v>
      </c>
      <c r="T31" s="189">
        <v>0</v>
      </c>
      <c r="U31" s="168"/>
      <c r="V31" s="145"/>
      <c r="W31" s="145"/>
      <c r="X31" s="187"/>
      <c r="Y31" s="168"/>
      <c r="Z31" s="145"/>
      <c r="AA31" s="145"/>
      <c r="AB31" s="187"/>
      <c r="AC31" s="168"/>
      <c r="AD31" s="145"/>
      <c r="AE31" s="145"/>
      <c r="AF31" s="187"/>
      <c r="AG31" s="168"/>
      <c r="AH31" s="145"/>
      <c r="AI31" s="145"/>
      <c r="AJ31" s="187"/>
      <c r="AK31" s="168"/>
      <c r="AL31" s="145"/>
      <c r="AM31" s="145"/>
      <c r="AN31" s="187"/>
      <c r="AO31" s="205">
        <v>0</v>
      </c>
      <c r="AP31" s="168"/>
      <c r="AQ31" s="193">
        <v>0</v>
      </c>
    </row>
    <row r="32" spans="1:56">
      <c r="A32" s="139">
        <f t="shared" si="0"/>
        <v>22</v>
      </c>
      <c r="C32" s="292" t="s">
        <v>197</v>
      </c>
      <c r="D32" s="293">
        <f>D31</f>
        <v>2014</v>
      </c>
      <c r="E32" s="194">
        <v>0</v>
      </c>
      <c r="F32" s="189">
        <v>0</v>
      </c>
      <c r="G32" s="192">
        <v>0</v>
      </c>
      <c r="H32" s="189">
        <v>0</v>
      </c>
      <c r="I32" s="194">
        <v>0</v>
      </c>
      <c r="J32" s="189">
        <v>0</v>
      </c>
      <c r="K32" s="192">
        <v>0</v>
      </c>
      <c r="L32" s="187">
        <v>0</v>
      </c>
      <c r="M32" s="194">
        <v>0</v>
      </c>
      <c r="N32" s="189">
        <v>0</v>
      </c>
      <c r="O32" s="192">
        <v>0</v>
      </c>
      <c r="P32" s="187">
        <v>0</v>
      </c>
      <c r="Q32" s="194">
        <v>0</v>
      </c>
      <c r="R32" s="189">
        <v>0</v>
      </c>
      <c r="S32" s="192">
        <v>0</v>
      </c>
      <c r="T32" s="187">
        <v>0</v>
      </c>
      <c r="U32" s="168"/>
      <c r="V32" s="145"/>
      <c r="W32" s="145"/>
      <c r="X32" s="187"/>
      <c r="Y32" s="168"/>
      <c r="Z32" s="145"/>
      <c r="AA32" s="145"/>
      <c r="AB32" s="187"/>
      <c r="AC32" s="168"/>
      <c r="AD32" s="145"/>
      <c r="AE32" s="145"/>
      <c r="AF32" s="187"/>
      <c r="AG32" s="168"/>
      <c r="AH32" s="145"/>
      <c r="AI32" s="145"/>
      <c r="AJ32" s="187"/>
      <c r="AK32" s="168"/>
      <c r="AL32" s="145"/>
      <c r="AM32" s="145"/>
      <c r="AN32" s="187"/>
      <c r="AO32" s="205">
        <v>0</v>
      </c>
      <c r="AP32" s="325">
        <v>0</v>
      </c>
      <c r="AQ32" s="193">
        <v>0</v>
      </c>
      <c r="AR32" s="260"/>
    </row>
    <row r="33" spans="1:44">
      <c r="A33" s="139">
        <f t="shared" si="0"/>
        <v>23</v>
      </c>
      <c r="C33" s="292" t="str">
        <f t="shared" ref="C33:C70" si="1">+C31</f>
        <v>W  11.5 % ROE</v>
      </c>
      <c r="D33" s="191">
        <f t="shared" ref="D33:D70" si="2">+D31+1</f>
        <v>2015</v>
      </c>
      <c r="E33" s="192">
        <v>0</v>
      </c>
      <c r="F33" s="189">
        <v>0</v>
      </c>
      <c r="G33" s="192">
        <v>0</v>
      </c>
      <c r="H33" s="189">
        <v>0</v>
      </c>
      <c r="I33" s="194">
        <v>0</v>
      </c>
      <c r="J33" s="192">
        <v>0</v>
      </c>
      <c r="K33" s="192">
        <v>0</v>
      </c>
      <c r="L33" s="192">
        <v>0</v>
      </c>
      <c r="M33" s="194">
        <v>0</v>
      </c>
      <c r="N33" s="192">
        <v>0</v>
      </c>
      <c r="O33" s="192">
        <v>0</v>
      </c>
      <c r="P33" s="187">
        <v>0</v>
      </c>
      <c r="Q33" s="194">
        <v>0</v>
      </c>
      <c r="R33" s="192">
        <v>0</v>
      </c>
      <c r="S33" s="192">
        <v>0</v>
      </c>
      <c r="T33" s="187">
        <v>0</v>
      </c>
      <c r="U33" s="194"/>
      <c r="V33" s="189"/>
      <c r="W33" s="192"/>
      <c r="X33" s="187"/>
      <c r="Y33" s="194"/>
      <c r="Z33" s="189"/>
      <c r="AA33" s="192"/>
      <c r="AB33" s="187"/>
      <c r="AC33" s="194"/>
      <c r="AD33" s="189"/>
      <c r="AE33" s="192"/>
      <c r="AF33" s="187"/>
      <c r="AG33" s="194"/>
      <c r="AH33" s="189"/>
      <c r="AI33" s="192"/>
      <c r="AJ33" s="187"/>
      <c r="AK33" s="194"/>
      <c r="AL33" s="189"/>
      <c r="AM33" s="192"/>
      <c r="AN33" s="187"/>
      <c r="AO33" s="205">
        <v>0</v>
      </c>
      <c r="AP33" s="325">
        <v>0</v>
      </c>
      <c r="AQ33" s="193">
        <v>0</v>
      </c>
    </row>
    <row r="34" spans="1:44">
      <c r="A34" s="139">
        <f t="shared" si="0"/>
        <v>24</v>
      </c>
      <c r="C34" s="292" t="str">
        <f t="shared" si="1"/>
        <v>W Increased ROE</v>
      </c>
      <c r="D34" s="191">
        <f t="shared" si="2"/>
        <v>2015</v>
      </c>
      <c r="E34" s="192">
        <v>0</v>
      </c>
      <c r="F34" s="189">
        <v>0</v>
      </c>
      <c r="G34" s="192">
        <v>0</v>
      </c>
      <c r="H34" s="189">
        <v>0</v>
      </c>
      <c r="I34" s="194">
        <v>0</v>
      </c>
      <c r="J34" s="192">
        <v>0</v>
      </c>
      <c r="K34" s="192">
        <v>0</v>
      </c>
      <c r="L34" s="192">
        <v>0</v>
      </c>
      <c r="M34" s="194">
        <v>0</v>
      </c>
      <c r="N34" s="192">
        <v>0</v>
      </c>
      <c r="O34" s="192">
        <v>0</v>
      </c>
      <c r="P34" s="187">
        <v>0</v>
      </c>
      <c r="Q34" s="194">
        <v>0</v>
      </c>
      <c r="R34" s="192">
        <v>0</v>
      </c>
      <c r="S34" s="192">
        <v>0</v>
      </c>
      <c r="T34" s="187">
        <v>0</v>
      </c>
      <c r="U34" s="194"/>
      <c r="V34" s="189"/>
      <c r="W34" s="192"/>
      <c r="X34" s="187"/>
      <c r="Y34" s="194"/>
      <c r="Z34" s="189"/>
      <c r="AA34" s="192"/>
      <c r="AB34" s="187"/>
      <c r="AC34" s="194"/>
      <c r="AD34" s="189"/>
      <c r="AE34" s="192"/>
      <c r="AF34" s="187"/>
      <c r="AG34" s="194"/>
      <c r="AH34" s="189"/>
      <c r="AI34" s="192"/>
      <c r="AJ34" s="187"/>
      <c r="AK34" s="194"/>
      <c r="AL34" s="189"/>
      <c r="AM34" s="192"/>
      <c r="AN34" s="187"/>
      <c r="AO34" s="205">
        <v>0</v>
      </c>
      <c r="AP34" s="325">
        <v>0</v>
      </c>
      <c r="AQ34" s="193">
        <v>0</v>
      </c>
      <c r="AR34" s="872"/>
    </row>
    <row r="35" spans="1:44">
      <c r="A35" s="139">
        <f t="shared" si="0"/>
        <v>25</v>
      </c>
      <c r="C35" s="292" t="s">
        <v>525</v>
      </c>
      <c r="D35" s="191">
        <v>2009</v>
      </c>
      <c r="E35" s="192">
        <v>0</v>
      </c>
      <c r="F35" s="192">
        <v>0</v>
      </c>
      <c r="G35" s="192">
        <v>0</v>
      </c>
      <c r="H35" s="189">
        <v>0</v>
      </c>
      <c r="I35" s="194">
        <v>0</v>
      </c>
      <c r="J35" s="192">
        <v>0</v>
      </c>
      <c r="K35" s="192">
        <v>0</v>
      </c>
      <c r="L35" s="192">
        <v>0</v>
      </c>
      <c r="M35" s="194">
        <v>0</v>
      </c>
      <c r="N35" s="192">
        <v>0</v>
      </c>
      <c r="O35" s="192">
        <v>0</v>
      </c>
      <c r="P35" s="187">
        <v>0</v>
      </c>
      <c r="Q35" s="194">
        <v>0</v>
      </c>
      <c r="R35" s="192">
        <v>0</v>
      </c>
      <c r="S35" s="192">
        <v>0</v>
      </c>
      <c r="T35" s="187">
        <v>0</v>
      </c>
      <c r="U35" s="194">
        <v>0</v>
      </c>
      <c r="V35" s="189">
        <v>0</v>
      </c>
      <c r="W35" s="192">
        <v>0</v>
      </c>
      <c r="X35" s="187">
        <v>0</v>
      </c>
      <c r="Y35" s="194"/>
      <c r="Z35" s="192"/>
      <c r="AA35" s="192"/>
      <c r="AB35" s="187"/>
      <c r="AC35" s="194"/>
      <c r="AD35" s="192"/>
      <c r="AE35" s="192"/>
      <c r="AF35" s="187"/>
      <c r="AG35" s="194"/>
      <c r="AH35" s="192"/>
      <c r="AI35" s="192"/>
      <c r="AJ35" s="187"/>
      <c r="AK35" s="194"/>
      <c r="AL35" s="192"/>
      <c r="AM35" s="192"/>
      <c r="AN35" s="187"/>
      <c r="AO35" s="205">
        <v>0</v>
      </c>
      <c r="AP35" s="325">
        <v>0</v>
      </c>
      <c r="AQ35" s="193">
        <v>0</v>
      </c>
      <c r="AR35" s="872"/>
    </row>
    <row r="36" spans="1:44">
      <c r="A36" s="139">
        <f t="shared" si="0"/>
        <v>26</v>
      </c>
      <c r="C36" s="292" t="s">
        <v>197</v>
      </c>
      <c r="D36" s="191">
        <v>2009</v>
      </c>
      <c r="E36" s="192">
        <v>0</v>
      </c>
      <c r="F36" s="192">
        <v>0</v>
      </c>
      <c r="G36" s="192">
        <v>0</v>
      </c>
      <c r="H36" s="189">
        <v>0</v>
      </c>
      <c r="I36" s="194">
        <v>0</v>
      </c>
      <c r="J36" s="192">
        <v>0</v>
      </c>
      <c r="K36" s="192">
        <v>0</v>
      </c>
      <c r="L36" s="192">
        <v>0</v>
      </c>
      <c r="M36" s="194">
        <v>0</v>
      </c>
      <c r="N36" s="192">
        <v>0</v>
      </c>
      <c r="O36" s="192">
        <v>0</v>
      </c>
      <c r="P36" s="187">
        <v>0</v>
      </c>
      <c r="Q36" s="194">
        <v>0</v>
      </c>
      <c r="R36" s="192">
        <v>0</v>
      </c>
      <c r="S36" s="192">
        <v>0</v>
      </c>
      <c r="T36" s="187">
        <v>0</v>
      </c>
      <c r="U36" s="194">
        <v>0</v>
      </c>
      <c r="V36" s="189">
        <v>0</v>
      </c>
      <c r="W36" s="192">
        <v>0</v>
      </c>
      <c r="X36" s="187">
        <v>0</v>
      </c>
      <c r="Y36" s="194"/>
      <c r="Z36" s="192"/>
      <c r="AA36" s="192"/>
      <c r="AB36" s="187"/>
      <c r="AC36" s="194"/>
      <c r="AD36" s="192"/>
      <c r="AE36" s="192"/>
      <c r="AF36" s="187"/>
      <c r="AG36" s="194"/>
      <c r="AH36" s="192"/>
      <c r="AI36" s="192"/>
      <c r="AJ36" s="187"/>
      <c r="AK36" s="194"/>
      <c r="AL36" s="192"/>
      <c r="AM36" s="192"/>
      <c r="AN36" s="187"/>
      <c r="AO36" s="205">
        <v>0</v>
      </c>
      <c r="AP36" s="325">
        <v>0</v>
      </c>
      <c r="AQ36" s="193">
        <v>0</v>
      </c>
      <c r="AR36" s="872"/>
    </row>
    <row r="37" spans="1:44">
      <c r="A37" s="139">
        <f t="shared" si="0"/>
        <v>27</v>
      </c>
      <c r="C37" s="292" t="str">
        <f t="shared" si="1"/>
        <v>W  11.5 % ROE</v>
      </c>
      <c r="D37" s="191">
        <f t="shared" si="2"/>
        <v>2010</v>
      </c>
      <c r="E37" s="967"/>
      <c r="F37" s="968">
        <v>0</v>
      </c>
      <c r="G37" s="968">
        <v>0</v>
      </c>
      <c r="H37" s="969">
        <v>0</v>
      </c>
      <c r="I37" s="194">
        <v>0</v>
      </c>
      <c r="J37" s="192">
        <v>0</v>
      </c>
      <c r="K37" s="192">
        <v>0</v>
      </c>
      <c r="L37" s="192">
        <v>0</v>
      </c>
      <c r="M37" s="875">
        <v>0</v>
      </c>
      <c r="N37" s="873">
        <v>0</v>
      </c>
      <c r="O37" s="873">
        <v>0</v>
      </c>
      <c r="P37" s="876">
        <v>0</v>
      </c>
      <c r="Q37" s="875">
        <v>0</v>
      </c>
      <c r="R37" s="873">
        <v>0</v>
      </c>
      <c r="S37" s="873">
        <v>0</v>
      </c>
      <c r="T37" s="876">
        <v>0</v>
      </c>
      <c r="U37" s="875">
        <v>0</v>
      </c>
      <c r="V37" s="873">
        <v>0</v>
      </c>
      <c r="W37" s="873">
        <v>0</v>
      </c>
      <c r="X37" s="876">
        <v>0</v>
      </c>
      <c r="Y37" s="875">
        <v>0</v>
      </c>
      <c r="Z37" s="874">
        <v>0</v>
      </c>
      <c r="AA37" s="873">
        <v>0</v>
      </c>
      <c r="AB37" s="876">
        <v>0</v>
      </c>
      <c r="AC37" s="875">
        <v>0</v>
      </c>
      <c r="AD37" s="874">
        <v>0</v>
      </c>
      <c r="AE37" s="873">
        <v>0</v>
      </c>
      <c r="AF37" s="876">
        <v>0</v>
      </c>
      <c r="AG37" s="875"/>
      <c r="AH37" s="873"/>
      <c r="AI37" s="873"/>
      <c r="AJ37" s="876"/>
      <c r="AK37" s="875"/>
      <c r="AL37" s="873"/>
      <c r="AM37" s="873"/>
      <c r="AN37" s="876"/>
      <c r="AO37" s="205">
        <v>0</v>
      </c>
      <c r="AP37" s="325">
        <v>0</v>
      </c>
      <c r="AQ37" s="193">
        <v>0</v>
      </c>
      <c r="AR37" s="872"/>
    </row>
    <row r="38" spans="1:44">
      <c r="A38" s="139">
        <f t="shared" si="0"/>
        <v>28</v>
      </c>
      <c r="C38" s="292" t="str">
        <f t="shared" si="1"/>
        <v>W Increased ROE</v>
      </c>
      <c r="D38" s="191">
        <f t="shared" si="2"/>
        <v>2010</v>
      </c>
      <c r="E38" s="970">
        <v>0</v>
      </c>
      <c r="F38" s="970">
        <v>0</v>
      </c>
      <c r="G38" s="970">
        <v>0</v>
      </c>
      <c r="H38" s="207">
        <v>0</v>
      </c>
      <c r="I38" s="194">
        <v>0</v>
      </c>
      <c r="J38" s="192">
        <v>0</v>
      </c>
      <c r="K38" s="192">
        <v>0</v>
      </c>
      <c r="L38" s="192">
        <v>0</v>
      </c>
      <c r="M38" s="194">
        <v>0</v>
      </c>
      <c r="N38" s="192">
        <v>0</v>
      </c>
      <c r="O38" s="192">
        <v>0</v>
      </c>
      <c r="P38" s="187">
        <v>0</v>
      </c>
      <c r="Q38" s="194">
        <v>0</v>
      </c>
      <c r="R38" s="192">
        <v>0</v>
      </c>
      <c r="S38" s="192">
        <v>0</v>
      </c>
      <c r="T38" s="187">
        <v>0</v>
      </c>
      <c r="U38" s="194">
        <v>0</v>
      </c>
      <c r="V38" s="192">
        <v>0</v>
      </c>
      <c r="W38" s="192">
        <v>0</v>
      </c>
      <c r="X38" s="187">
        <v>0</v>
      </c>
      <c r="Y38" s="194">
        <v>0</v>
      </c>
      <c r="Z38" s="189">
        <v>0</v>
      </c>
      <c r="AA38" s="192">
        <v>0</v>
      </c>
      <c r="AB38" s="187">
        <v>0</v>
      </c>
      <c r="AC38" s="194">
        <v>0</v>
      </c>
      <c r="AD38" s="189">
        <v>0</v>
      </c>
      <c r="AE38" s="192">
        <v>0</v>
      </c>
      <c r="AF38" s="187">
        <v>0</v>
      </c>
      <c r="AG38" s="194"/>
      <c r="AH38" s="192"/>
      <c r="AI38" s="192"/>
      <c r="AJ38" s="187"/>
      <c r="AK38" s="194"/>
      <c r="AL38" s="192"/>
      <c r="AM38" s="192"/>
      <c r="AN38" s="187"/>
      <c r="AO38" s="205">
        <v>0</v>
      </c>
      <c r="AP38" s="325">
        <v>0</v>
      </c>
      <c r="AQ38" s="193">
        <v>0</v>
      </c>
      <c r="AR38" s="872"/>
    </row>
    <row r="39" spans="1:44">
      <c r="A39" s="139">
        <f t="shared" si="0"/>
        <v>29</v>
      </c>
      <c r="C39" s="292" t="str">
        <f t="shared" si="1"/>
        <v>W  11.5 % ROE</v>
      </c>
      <c r="D39" s="191">
        <f t="shared" si="2"/>
        <v>2011</v>
      </c>
      <c r="E39" s="970"/>
      <c r="F39" s="970">
        <v>0</v>
      </c>
      <c r="G39" s="970">
        <v>0</v>
      </c>
      <c r="H39" s="207">
        <v>0</v>
      </c>
      <c r="I39" s="194">
        <v>0</v>
      </c>
      <c r="J39" s="192">
        <v>0</v>
      </c>
      <c r="K39" s="192">
        <v>0</v>
      </c>
      <c r="L39" s="192">
        <v>0</v>
      </c>
      <c r="M39" s="973">
        <v>0</v>
      </c>
      <c r="N39" s="970">
        <v>0</v>
      </c>
      <c r="O39" s="970">
        <v>0</v>
      </c>
      <c r="P39" s="208">
        <v>0</v>
      </c>
      <c r="Q39" s="973">
        <v>0</v>
      </c>
      <c r="R39" s="970">
        <v>0</v>
      </c>
      <c r="S39" s="970">
        <v>0</v>
      </c>
      <c r="T39" s="208">
        <v>0</v>
      </c>
      <c r="U39" s="194">
        <v>0</v>
      </c>
      <c r="V39" s="192">
        <v>0</v>
      </c>
      <c r="W39" s="192">
        <v>0</v>
      </c>
      <c r="X39" s="187">
        <v>0</v>
      </c>
      <c r="Y39" s="194">
        <v>0</v>
      </c>
      <c r="Z39" s="192">
        <v>0</v>
      </c>
      <c r="AA39" s="192">
        <v>0</v>
      </c>
      <c r="AB39" s="187">
        <v>0</v>
      </c>
      <c r="AC39" s="194">
        <v>0</v>
      </c>
      <c r="AD39" s="192">
        <v>0</v>
      </c>
      <c r="AE39" s="192">
        <v>0</v>
      </c>
      <c r="AF39" s="187">
        <v>0</v>
      </c>
      <c r="AG39" s="194">
        <v>0</v>
      </c>
      <c r="AH39" s="189">
        <v>0</v>
      </c>
      <c r="AI39" s="192">
        <v>0</v>
      </c>
      <c r="AJ39" s="187">
        <v>0</v>
      </c>
      <c r="AK39" s="194">
        <v>0</v>
      </c>
      <c r="AL39" s="189">
        <v>0</v>
      </c>
      <c r="AM39" s="192">
        <v>0</v>
      </c>
      <c r="AN39" s="187">
        <v>0</v>
      </c>
      <c r="AO39" s="205">
        <v>0</v>
      </c>
      <c r="AP39" s="325">
        <v>0</v>
      </c>
      <c r="AQ39" s="193">
        <v>0</v>
      </c>
      <c r="AR39" s="872"/>
    </row>
    <row r="40" spans="1:44">
      <c r="A40" s="139">
        <f t="shared" si="0"/>
        <v>30</v>
      </c>
      <c r="C40" s="292" t="str">
        <f t="shared" si="1"/>
        <v>W Increased ROE</v>
      </c>
      <c r="D40" s="191">
        <f t="shared" si="2"/>
        <v>2011</v>
      </c>
      <c r="E40" s="970">
        <v>0</v>
      </c>
      <c r="F40" s="970">
        <v>0</v>
      </c>
      <c r="G40" s="970">
        <v>0</v>
      </c>
      <c r="H40" s="207">
        <v>0</v>
      </c>
      <c r="I40" s="194">
        <v>0</v>
      </c>
      <c r="J40" s="192">
        <v>0</v>
      </c>
      <c r="K40" s="192">
        <v>0</v>
      </c>
      <c r="L40" s="192">
        <v>0</v>
      </c>
      <c r="M40" s="973">
        <v>0</v>
      </c>
      <c r="N40" s="970">
        <v>0</v>
      </c>
      <c r="O40" s="970">
        <v>0</v>
      </c>
      <c r="P40" s="208">
        <v>0</v>
      </c>
      <c r="Q40" s="973">
        <v>0</v>
      </c>
      <c r="R40" s="970">
        <v>0</v>
      </c>
      <c r="S40" s="970">
        <v>0</v>
      </c>
      <c r="T40" s="208">
        <v>0</v>
      </c>
      <c r="U40" s="194">
        <v>0</v>
      </c>
      <c r="V40" s="192">
        <v>0</v>
      </c>
      <c r="W40" s="192">
        <v>0</v>
      </c>
      <c r="X40" s="187">
        <v>0</v>
      </c>
      <c r="Y40" s="194">
        <v>0</v>
      </c>
      <c r="Z40" s="192">
        <v>0</v>
      </c>
      <c r="AA40" s="192">
        <v>0</v>
      </c>
      <c r="AB40" s="187">
        <v>0</v>
      </c>
      <c r="AC40" s="194">
        <v>0</v>
      </c>
      <c r="AD40" s="192">
        <v>0</v>
      </c>
      <c r="AE40" s="192">
        <v>0</v>
      </c>
      <c r="AF40" s="187">
        <v>0</v>
      </c>
      <c r="AG40" s="194">
        <v>0</v>
      </c>
      <c r="AH40" s="189">
        <v>0</v>
      </c>
      <c r="AI40" s="192">
        <v>0</v>
      </c>
      <c r="AJ40" s="187">
        <v>0</v>
      </c>
      <c r="AK40" s="194">
        <v>0</v>
      </c>
      <c r="AL40" s="189">
        <v>0</v>
      </c>
      <c r="AM40" s="192">
        <v>0</v>
      </c>
      <c r="AN40" s="187">
        <v>0</v>
      </c>
      <c r="AO40" s="205">
        <v>0</v>
      </c>
      <c r="AP40" s="325">
        <v>0</v>
      </c>
      <c r="AQ40" s="193">
        <v>0</v>
      </c>
      <c r="AR40" s="872"/>
    </row>
    <row r="41" spans="1:44">
      <c r="A41" s="139">
        <f t="shared" si="0"/>
        <v>31</v>
      </c>
      <c r="C41" s="292" t="str">
        <f t="shared" si="1"/>
        <v>W  11.5 % ROE</v>
      </c>
      <c r="D41" s="191">
        <f t="shared" si="2"/>
        <v>2012</v>
      </c>
      <c r="E41" s="970"/>
      <c r="F41" s="970">
        <f>+E$28</f>
        <v>0</v>
      </c>
      <c r="G41" s="970">
        <f>+E41-F41</f>
        <v>0</v>
      </c>
      <c r="H41" s="207">
        <f>+E$25*G41+F41</f>
        <v>0</v>
      </c>
      <c r="I41" s="194">
        <v>0</v>
      </c>
      <c r="J41" s="192">
        <v>0</v>
      </c>
      <c r="K41" s="192">
        <v>0</v>
      </c>
      <c r="L41" s="192">
        <v>0</v>
      </c>
      <c r="M41" s="973">
        <v>0</v>
      </c>
      <c r="N41" s="970">
        <v>0</v>
      </c>
      <c r="O41" s="970">
        <v>0</v>
      </c>
      <c r="P41" s="208">
        <v>0</v>
      </c>
      <c r="Q41" s="973">
        <v>0</v>
      </c>
      <c r="R41" s="970">
        <v>0</v>
      </c>
      <c r="S41" s="970">
        <v>0</v>
      </c>
      <c r="T41" s="208">
        <v>0</v>
      </c>
      <c r="U41" s="194">
        <v>0</v>
      </c>
      <c r="V41" s="192">
        <v>0</v>
      </c>
      <c r="W41" s="192">
        <v>0</v>
      </c>
      <c r="X41" s="187">
        <v>0</v>
      </c>
      <c r="Y41" s="194">
        <v>0</v>
      </c>
      <c r="Z41" s="192">
        <v>0</v>
      </c>
      <c r="AA41" s="192">
        <v>0</v>
      </c>
      <c r="AB41" s="187">
        <v>0</v>
      </c>
      <c r="AC41" s="194">
        <v>0</v>
      </c>
      <c r="AD41" s="192">
        <v>0</v>
      </c>
      <c r="AE41" s="192">
        <v>0</v>
      </c>
      <c r="AF41" s="187">
        <v>0</v>
      </c>
      <c r="AG41" s="194">
        <v>0</v>
      </c>
      <c r="AH41" s="189">
        <v>0</v>
      </c>
      <c r="AI41" s="192">
        <v>0</v>
      </c>
      <c r="AJ41" s="187">
        <v>0</v>
      </c>
      <c r="AK41" s="194">
        <v>0</v>
      </c>
      <c r="AL41" s="189">
        <v>0</v>
      </c>
      <c r="AM41" s="192">
        <v>0</v>
      </c>
      <c r="AN41" s="187">
        <v>0</v>
      </c>
      <c r="AO41" s="205">
        <v>0</v>
      </c>
      <c r="AP41" s="325">
        <v>0</v>
      </c>
      <c r="AQ41" s="193">
        <v>0</v>
      </c>
      <c r="AR41" s="872"/>
    </row>
    <row r="42" spans="1:44">
      <c r="A42" s="139">
        <f t="shared" si="0"/>
        <v>32</v>
      </c>
      <c r="C42" s="292" t="str">
        <f t="shared" si="1"/>
        <v>W Increased ROE</v>
      </c>
      <c r="D42" s="191">
        <f t="shared" si="2"/>
        <v>2012</v>
      </c>
      <c r="E42" s="970">
        <f>+E41</f>
        <v>0</v>
      </c>
      <c r="F42" s="970">
        <f>+F41</f>
        <v>0</v>
      </c>
      <c r="G42" s="970">
        <f t="shared" ref="G42" si="3">+E42-F42</f>
        <v>0</v>
      </c>
      <c r="H42" s="207">
        <f>+E$26*G42+F42</f>
        <v>0</v>
      </c>
      <c r="I42" s="194">
        <v>0</v>
      </c>
      <c r="J42" s="192">
        <v>0</v>
      </c>
      <c r="K42" s="192">
        <v>0</v>
      </c>
      <c r="L42" s="192">
        <v>0</v>
      </c>
      <c r="M42" s="973">
        <v>0</v>
      </c>
      <c r="N42" s="970">
        <v>0</v>
      </c>
      <c r="O42" s="970">
        <v>0</v>
      </c>
      <c r="P42" s="208">
        <v>0</v>
      </c>
      <c r="Q42" s="973">
        <v>0</v>
      </c>
      <c r="R42" s="970">
        <v>0</v>
      </c>
      <c r="S42" s="970">
        <v>0</v>
      </c>
      <c r="T42" s="208">
        <v>0</v>
      </c>
      <c r="U42" s="194">
        <v>0</v>
      </c>
      <c r="V42" s="192">
        <v>0</v>
      </c>
      <c r="W42" s="192">
        <v>0</v>
      </c>
      <c r="X42" s="187">
        <v>0</v>
      </c>
      <c r="Y42" s="194">
        <v>0</v>
      </c>
      <c r="Z42" s="192">
        <v>0</v>
      </c>
      <c r="AA42" s="192">
        <v>0</v>
      </c>
      <c r="AB42" s="187">
        <v>0</v>
      </c>
      <c r="AC42" s="194">
        <v>0</v>
      </c>
      <c r="AD42" s="192">
        <v>0</v>
      </c>
      <c r="AE42" s="192">
        <v>0</v>
      </c>
      <c r="AF42" s="187">
        <v>0</v>
      </c>
      <c r="AG42" s="194">
        <v>0</v>
      </c>
      <c r="AH42" s="189">
        <v>0</v>
      </c>
      <c r="AI42" s="192">
        <v>0</v>
      </c>
      <c r="AJ42" s="187">
        <v>0</v>
      </c>
      <c r="AK42" s="194">
        <v>0</v>
      </c>
      <c r="AL42" s="189">
        <v>0</v>
      </c>
      <c r="AM42" s="192">
        <v>0</v>
      </c>
      <c r="AN42" s="187">
        <v>0</v>
      </c>
      <c r="AO42" s="205">
        <v>0</v>
      </c>
      <c r="AP42" s="325">
        <v>0</v>
      </c>
      <c r="AQ42" s="193">
        <v>0</v>
      </c>
      <c r="AR42" s="872"/>
    </row>
    <row r="43" spans="1:44">
      <c r="A43" s="139">
        <f t="shared" si="0"/>
        <v>33</v>
      </c>
      <c r="C43" s="292" t="str">
        <f t="shared" si="1"/>
        <v>W  11.5 % ROE</v>
      </c>
      <c r="D43" s="191">
        <f t="shared" si="2"/>
        <v>2013</v>
      </c>
      <c r="E43" s="192"/>
      <c r="F43" s="192">
        <f>+E$28</f>
        <v>0</v>
      </c>
      <c r="G43" s="192">
        <f t="shared" ref="G43:G70" si="4">+E43-F43</f>
        <v>0</v>
      </c>
      <c r="H43" s="189">
        <f>+E$25*G43+F43</f>
        <v>0</v>
      </c>
      <c r="I43" s="194">
        <v>0</v>
      </c>
      <c r="J43" s="192">
        <v>0</v>
      </c>
      <c r="K43" s="192">
        <v>0</v>
      </c>
      <c r="L43" s="192">
        <v>0</v>
      </c>
      <c r="M43" s="194">
        <v>0</v>
      </c>
      <c r="N43" s="192">
        <v>0</v>
      </c>
      <c r="O43" s="192">
        <v>0</v>
      </c>
      <c r="P43" s="187">
        <v>0</v>
      </c>
      <c r="Q43" s="194">
        <v>0</v>
      </c>
      <c r="R43" s="192">
        <v>0</v>
      </c>
      <c r="S43" s="192">
        <v>0</v>
      </c>
      <c r="T43" s="187">
        <v>0</v>
      </c>
      <c r="U43" s="194">
        <v>0</v>
      </c>
      <c r="V43" s="192">
        <v>0</v>
      </c>
      <c r="W43" s="192">
        <v>0</v>
      </c>
      <c r="X43" s="187">
        <v>0</v>
      </c>
      <c r="Y43" s="194">
        <v>0</v>
      </c>
      <c r="Z43" s="192">
        <v>0</v>
      </c>
      <c r="AA43" s="192">
        <v>0</v>
      </c>
      <c r="AB43" s="187">
        <v>0</v>
      </c>
      <c r="AC43" s="194">
        <v>0</v>
      </c>
      <c r="AD43" s="192">
        <v>0</v>
      </c>
      <c r="AE43" s="192">
        <v>0</v>
      </c>
      <c r="AF43" s="187">
        <v>0</v>
      </c>
      <c r="AG43" s="194">
        <v>0</v>
      </c>
      <c r="AH43" s="192">
        <v>0</v>
      </c>
      <c r="AI43" s="192">
        <v>0</v>
      </c>
      <c r="AJ43" s="187">
        <v>0</v>
      </c>
      <c r="AK43" s="194">
        <v>0</v>
      </c>
      <c r="AL43" s="192">
        <v>0</v>
      </c>
      <c r="AM43" s="192">
        <v>0</v>
      </c>
      <c r="AN43" s="187">
        <v>0</v>
      </c>
      <c r="AO43" s="205">
        <v>0</v>
      </c>
      <c r="AP43" s="325">
        <v>0</v>
      </c>
      <c r="AQ43" s="193">
        <v>0</v>
      </c>
      <c r="AR43" s="872"/>
    </row>
    <row r="44" spans="1:44">
      <c r="A44" s="139">
        <f t="shared" si="0"/>
        <v>34</v>
      </c>
      <c r="C44" s="292" t="str">
        <f t="shared" si="1"/>
        <v>W Increased ROE</v>
      </c>
      <c r="D44" s="191">
        <f t="shared" si="2"/>
        <v>2013</v>
      </c>
      <c r="E44" s="192">
        <f>+E43</f>
        <v>0</v>
      </c>
      <c r="F44" s="192">
        <f>+F43</f>
        <v>0</v>
      </c>
      <c r="G44" s="192">
        <f t="shared" si="4"/>
        <v>0</v>
      </c>
      <c r="H44" s="189">
        <f>+E$26*G44+F44</f>
        <v>0</v>
      </c>
      <c r="I44" s="194">
        <v>0</v>
      </c>
      <c r="J44" s="192">
        <v>0</v>
      </c>
      <c r="K44" s="192">
        <v>0</v>
      </c>
      <c r="L44" s="192">
        <v>0</v>
      </c>
      <c r="M44" s="194">
        <v>0</v>
      </c>
      <c r="N44" s="192">
        <v>0</v>
      </c>
      <c r="O44" s="192">
        <v>0</v>
      </c>
      <c r="P44" s="187">
        <v>0</v>
      </c>
      <c r="Q44" s="194">
        <v>0</v>
      </c>
      <c r="R44" s="192">
        <v>0</v>
      </c>
      <c r="S44" s="192">
        <v>0</v>
      </c>
      <c r="T44" s="187">
        <v>0</v>
      </c>
      <c r="U44" s="194">
        <v>0</v>
      </c>
      <c r="V44" s="192">
        <v>0</v>
      </c>
      <c r="W44" s="192">
        <v>0</v>
      </c>
      <c r="X44" s="187">
        <v>0</v>
      </c>
      <c r="Y44" s="194">
        <v>0</v>
      </c>
      <c r="Z44" s="192">
        <v>0</v>
      </c>
      <c r="AA44" s="192">
        <v>0</v>
      </c>
      <c r="AB44" s="187">
        <v>0</v>
      </c>
      <c r="AC44" s="194">
        <v>0</v>
      </c>
      <c r="AD44" s="192">
        <v>0</v>
      </c>
      <c r="AE44" s="192">
        <v>0</v>
      </c>
      <c r="AF44" s="187">
        <v>0</v>
      </c>
      <c r="AG44" s="194">
        <v>0</v>
      </c>
      <c r="AH44" s="192">
        <v>0</v>
      </c>
      <c r="AI44" s="192">
        <v>0</v>
      </c>
      <c r="AJ44" s="187">
        <v>0</v>
      </c>
      <c r="AK44" s="194">
        <v>0</v>
      </c>
      <c r="AL44" s="192">
        <v>0</v>
      </c>
      <c r="AM44" s="192">
        <v>0</v>
      </c>
      <c r="AN44" s="187">
        <v>0</v>
      </c>
      <c r="AO44" s="205">
        <v>0</v>
      </c>
      <c r="AP44" s="325">
        <v>0</v>
      </c>
      <c r="AQ44" s="167"/>
      <c r="AR44" s="872"/>
    </row>
    <row r="45" spans="1:44">
      <c r="A45" s="139">
        <f>+A44+1</f>
        <v>35</v>
      </c>
      <c r="C45" s="292" t="str">
        <f>+C43</f>
        <v>W  11.5 % ROE</v>
      </c>
      <c r="D45" s="191">
        <f>+D43+1</f>
        <v>2014</v>
      </c>
      <c r="E45" s="192"/>
      <c r="F45" s="192">
        <f>+E$28</f>
        <v>0</v>
      </c>
      <c r="G45" s="192">
        <f t="shared" si="4"/>
        <v>0</v>
      </c>
      <c r="H45" s="189">
        <f>+E$25*G45+F45</f>
        <v>0</v>
      </c>
      <c r="I45" s="194">
        <v>0</v>
      </c>
      <c r="J45" s="192">
        <v>0</v>
      </c>
      <c r="K45" s="192">
        <v>0</v>
      </c>
      <c r="L45" s="192">
        <v>0</v>
      </c>
      <c r="M45" s="194">
        <f>+O44</f>
        <v>0</v>
      </c>
      <c r="N45" s="192">
        <f>+N44</f>
        <v>0</v>
      </c>
      <c r="O45" s="192">
        <f t="shared" ref="O45:O46" si="5">+M45-N45</f>
        <v>0</v>
      </c>
      <c r="P45" s="187">
        <f>+M$25*O45+N45</f>
        <v>0</v>
      </c>
      <c r="Q45" s="194">
        <f>+S44</f>
        <v>0</v>
      </c>
      <c r="R45" s="192">
        <f>+Q$28</f>
        <v>0</v>
      </c>
      <c r="S45" s="192">
        <f t="shared" ref="S45:S46" si="6">+Q45-R45</f>
        <v>0</v>
      </c>
      <c r="T45" s="187">
        <f>+Q$25*S45+R45</f>
        <v>0</v>
      </c>
      <c r="U45" s="194">
        <f>+W44</f>
        <v>0</v>
      </c>
      <c r="V45" s="192">
        <f>+U$28</f>
        <v>0</v>
      </c>
      <c r="W45" s="192">
        <f t="shared" ref="W45:W46" si="7">+U45-V45</f>
        <v>0</v>
      </c>
      <c r="X45" s="187">
        <f>+U$25*W45+V45</f>
        <v>0</v>
      </c>
      <c r="Y45" s="194">
        <f>+AA44</f>
        <v>0</v>
      </c>
      <c r="Z45" s="192">
        <f>+Y$28</f>
        <v>0</v>
      </c>
      <c r="AA45" s="192">
        <f t="shared" ref="AA45:AA46" si="8">+Y45-Z45</f>
        <v>0</v>
      </c>
      <c r="AB45" s="187">
        <f>+Y$25*AA45+Z45</f>
        <v>0</v>
      </c>
      <c r="AC45" s="194">
        <f>+AE44</f>
        <v>0</v>
      </c>
      <c r="AD45" s="192">
        <f>+AC$28</f>
        <v>0</v>
      </c>
      <c r="AE45" s="192">
        <f t="shared" ref="AE45:AE46" si="9">+AC45-AD45</f>
        <v>0</v>
      </c>
      <c r="AF45" s="187">
        <f>+AC$25*AE45+AD45</f>
        <v>0</v>
      </c>
      <c r="AG45" s="194">
        <f>+AI44</f>
        <v>0</v>
      </c>
      <c r="AH45" s="192">
        <f>+AG$28</f>
        <v>0</v>
      </c>
      <c r="AI45" s="192">
        <f t="shared" ref="AI45:AI46" si="10">+AG45-AH45</f>
        <v>0</v>
      </c>
      <c r="AJ45" s="187">
        <f>+AG$25*AI45+AH45</f>
        <v>0</v>
      </c>
      <c r="AK45" s="194">
        <f>+AM44</f>
        <v>0</v>
      </c>
      <c r="AL45" s="192">
        <f>+AK$28</f>
        <v>0</v>
      </c>
      <c r="AM45" s="192">
        <f t="shared" ref="AM45:AM46" si="11">+AK45-AL45</f>
        <v>0</v>
      </c>
      <c r="AN45" s="187">
        <f>+AK$25*AM45+AL45</f>
        <v>0</v>
      </c>
      <c r="AO45" s="205">
        <f t="shared" ref="AO45:AO46" si="12">+P45+L45+H45</f>
        <v>0</v>
      </c>
      <c r="AP45" s="168"/>
      <c r="AQ45" s="193">
        <f>+AO45</f>
        <v>0</v>
      </c>
    </row>
    <row r="46" spans="1:44">
      <c r="A46" s="139">
        <f t="shared" si="0"/>
        <v>36</v>
      </c>
      <c r="C46" s="292" t="str">
        <f>+C44</f>
        <v>W Increased ROE</v>
      </c>
      <c r="D46" s="191">
        <f>+D44+1</f>
        <v>2014</v>
      </c>
      <c r="E46" s="192">
        <f>+E45</f>
        <v>0</v>
      </c>
      <c r="F46" s="192">
        <f>+F45</f>
        <v>0</v>
      </c>
      <c r="G46" s="192">
        <f t="shared" si="4"/>
        <v>0</v>
      </c>
      <c r="H46" s="189">
        <f>+E$26*G46+F46</f>
        <v>0</v>
      </c>
      <c r="I46" s="194">
        <v>0</v>
      </c>
      <c r="J46" s="192">
        <v>0</v>
      </c>
      <c r="K46" s="192">
        <v>0</v>
      </c>
      <c r="L46" s="192">
        <v>0</v>
      </c>
      <c r="M46" s="194">
        <f>+M45</f>
        <v>0</v>
      </c>
      <c r="N46" s="192">
        <f t="shared" ref="N46" si="13">+N45</f>
        <v>0</v>
      </c>
      <c r="O46" s="192">
        <f t="shared" si="5"/>
        <v>0</v>
      </c>
      <c r="P46" s="187">
        <f>+M$26*O46+N46</f>
        <v>0</v>
      </c>
      <c r="Q46" s="194">
        <f>+Q45</f>
        <v>0</v>
      </c>
      <c r="R46" s="192">
        <f>+R45</f>
        <v>0</v>
      </c>
      <c r="S46" s="192">
        <f t="shared" si="6"/>
        <v>0</v>
      </c>
      <c r="T46" s="187">
        <f>+Q$26*S46+R46</f>
        <v>0</v>
      </c>
      <c r="U46" s="194">
        <f>+U45</f>
        <v>0</v>
      </c>
      <c r="V46" s="192">
        <f>+V45</f>
        <v>0</v>
      </c>
      <c r="W46" s="192">
        <f t="shared" si="7"/>
        <v>0</v>
      </c>
      <c r="X46" s="187">
        <f>+U$26*W46+V46</f>
        <v>0</v>
      </c>
      <c r="Y46" s="194">
        <f>+Y45</f>
        <v>0</v>
      </c>
      <c r="Z46" s="192">
        <f>+Z45</f>
        <v>0</v>
      </c>
      <c r="AA46" s="192">
        <f t="shared" si="8"/>
        <v>0</v>
      </c>
      <c r="AB46" s="187">
        <f>+Y$26*AA46+Z46</f>
        <v>0</v>
      </c>
      <c r="AC46" s="194">
        <f>+AC45</f>
        <v>0</v>
      </c>
      <c r="AD46" s="192">
        <f>+AD45</f>
        <v>0</v>
      </c>
      <c r="AE46" s="192">
        <f t="shared" si="9"/>
        <v>0</v>
      </c>
      <c r="AF46" s="187">
        <f>+AC$26*AE46+AD46</f>
        <v>0</v>
      </c>
      <c r="AG46" s="194">
        <f>+AG45</f>
        <v>0</v>
      </c>
      <c r="AH46" s="192">
        <f>+AH45</f>
        <v>0</v>
      </c>
      <c r="AI46" s="192">
        <f t="shared" si="10"/>
        <v>0</v>
      </c>
      <c r="AJ46" s="187">
        <f>+AG$26*AI46+AH46</f>
        <v>0</v>
      </c>
      <c r="AK46" s="194">
        <f>+AK45</f>
        <v>0</v>
      </c>
      <c r="AL46" s="192">
        <f>+AL45</f>
        <v>0</v>
      </c>
      <c r="AM46" s="192">
        <f t="shared" si="11"/>
        <v>0</v>
      </c>
      <c r="AN46" s="187">
        <f>+AK$26*AM46+AL46</f>
        <v>0</v>
      </c>
      <c r="AO46" s="205">
        <f t="shared" si="12"/>
        <v>0</v>
      </c>
      <c r="AP46" s="325">
        <f>+AO46</f>
        <v>0</v>
      </c>
      <c r="AQ46" s="167"/>
    </row>
    <row r="47" spans="1:44">
      <c r="A47" s="139">
        <f t="shared" si="0"/>
        <v>37</v>
      </c>
      <c r="C47" s="292" t="str">
        <f t="shared" si="1"/>
        <v>W  11.5 % ROE</v>
      </c>
      <c r="D47" s="191">
        <f t="shared" si="2"/>
        <v>2015</v>
      </c>
      <c r="E47" s="192"/>
      <c r="F47" s="192">
        <f>+E$28</f>
        <v>0</v>
      </c>
      <c r="G47" s="192">
        <f t="shared" si="4"/>
        <v>0</v>
      </c>
      <c r="H47" s="189">
        <f>+E$25*G47+F47</f>
        <v>0</v>
      </c>
      <c r="I47" s="194">
        <v>0</v>
      </c>
      <c r="J47" s="192">
        <v>0</v>
      </c>
      <c r="K47" s="192">
        <v>0</v>
      </c>
      <c r="L47" s="187">
        <v>0</v>
      </c>
      <c r="M47" s="194">
        <f>+O46</f>
        <v>0</v>
      </c>
      <c r="N47" s="192">
        <f t="shared" ref="N47:N70" si="14">+N46</f>
        <v>0</v>
      </c>
      <c r="O47" s="192">
        <f t="shared" ref="O47:O70" si="15">+M47-N47</f>
        <v>0</v>
      </c>
      <c r="P47" s="187">
        <f>+M$25*O47+N47</f>
        <v>0</v>
      </c>
      <c r="Q47" s="194">
        <f>+S46</f>
        <v>0</v>
      </c>
      <c r="R47" s="192">
        <f>+Q$28</f>
        <v>0</v>
      </c>
      <c r="S47" s="192">
        <f t="shared" ref="S47:S70" si="16">+Q47-R47</f>
        <v>0</v>
      </c>
      <c r="T47" s="187">
        <f>+Q$25*S47+R47</f>
        <v>0</v>
      </c>
      <c r="U47" s="194">
        <f>+W46</f>
        <v>0</v>
      </c>
      <c r="V47" s="192">
        <f>+U$28</f>
        <v>0</v>
      </c>
      <c r="W47" s="192">
        <f t="shared" ref="W47:W70" si="17">+U47-V47</f>
        <v>0</v>
      </c>
      <c r="X47" s="187">
        <f>+U$25*W47+V47</f>
        <v>0</v>
      </c>
      <c r="Y47" s="194">
        <f>+AA46</f>
        <v>0</v>
      </c>
      <c r="Z47" s="192">
        <f>+Y$28</f>
        <v>0</v>
      </c>
      <c r="AA47" s="192">
        <f t="shared" ref="AA47:AA70" si="18">+Y47-Z47</f>
        <v>0</v>
      </c>
      <c r="AB47" s="187">
        <f>+Y$25*AA47+Z47</f>
        <v>0</v>
      </c>
      <c r="AC47" s="194">
        <f>+AE46</f>
        <v>0</v>
      </c>
      <c r="AD47" s="192">
        <f>+AC$28</f>
        <v>0</v>
      </c>
      <c r="AE47" s="192">
        <f t="shared" ref="AE47:AE70" si="19">+AC47-AD47</f>
        <v>0</v>
      </c>
      <c r="AF47" s="187">
        <f>+AC$25*AE47+AD47</f>
        <v>0</v>
      </c>
      <c r="AG47" s="194">
        <f>+AI46</f>
        <v>0</v>
      </c>
      <c r="AH47" s="192">
        <f>+AG$28</f>
        <v>0</v>
      </c>
      <c r="AI47" s="192">
        <f t="shared" ref="AI47:AI70" si="20">+AG47-AH47</f>
        <v>0</v>
      </c>
      <c r="AJ47" s="187">
        <f>+AG$25*AI47+AH47</f>
        <v>0</v>
      </c>
      <c r="AK47" s="194">
        <f>+AM46</f>
        <v>0</v>
      </c>
      <c r="AL47" s="192">
        <f>+AK$28</f>
        <v>0</v>
      </c>
      <c r="AM47" s="192">
        <f t="shared" ref="AM47:AM70" si="21">+AK47-AL47</f>
        <v>0</v>
      </c>
      <c r="AN47" s="187">
        <f>+AK$25*AM47+AL47</f>
        <v>0</v>
      </c>
      <c r="AO47" s="205">
        <f t="shared" ref="AO47:AO70" si="22">+P47+L47+H47</f>
        <v>0</v>
      </c>
      <c r="AP47" s="168"/>
      <c r="AQ47" s="193">
        <f>+AO47</f>
        <v>0</v>
      </c>
    </row>
    <row r="48" spans="1:44">
      <c r="A48" s="139">
        <f t="shared" si="0"/>
        <v>38</v>
      </c>
      <c r="C48" s="292" t="str">
        <f t="shared" si="1"/>
        <v>W Increased ROE</v>
      </c>
      <c r="D48" s="191">
        <f t="shared" si="2"/>
        <v>2015</v>
      </c>
      <c r="E48" s="192">
        <f>+E47</f>
        <v>0</v>
      </c>
      <c r="F48" s="192">
        <f>+F47</f>
        <v>0</v>
      </c>
      <c r="G48" s="192">
        <f t="shared" si="4"/>
        <v>0</v>
      </c>
      <c r="H48" s="189">
        <f>+E$26*G48+F48</f>
        <v>0</v>
      </c>
      <c r="I48" s="194">
        <v>0</v>
      </c>
      <c r="J48" s="192">
        <v>0</v>
      </c>
      <c r="K48" s="192">
        <v>0</v>
      </c>
      <c r="L48" s="187">
        <v>0</v>
      </c>
      <c r="M48" s="194">
        <f>+M47</f>
        <v>0</v>
      </c>
      <c r="N48" s="192">
        <f t="shared" si="14"/>
        <v>0</v>
      </c>
      <c r="O48" s="192">
        <f t="shared" si="15"/>
        <v>0</v>
      </c>
      <c r="P48" s="187">
        <f>+M$26*O48+N48</f>
        <v>0</v>
      </c>
      <c r="Q48" s="194">
        <f>+Q47</f>
        <v>0</v>
      </c>
      <c r="R48" s="192">
        <f>+R47</f>
        <v>0</v>
      </c>
      <c r="S48" s="192">
        <f t="shared" si="16"/>
        <v>0</v>
      </c>
      <c r="T48" s="187">
        <f>+Q$26*S48+R48</f>
        <v>0</v>
      </c>
      <c r="U48" s="194">
        <f>+U47</f>
        <v>0</v>
      </c>
      <c r="V48" s="192">
        <f>+V47</f>
        <v>0</v>
      </c>
      <c r="W48" s="192">
        <f t="shared" si="17"/>
        <v>0</v>
      </c>
      <c r="X48" s="187">
        <f>+U$26*W48+V48</f>
        <v>0</v>
      </c>
      <c r="Y48" s="194">
        <f>+Y47</f>
        <v>0</v>
      </c>
      <c r="Z48" s="192">
        <f>+Z47</f>
        <v>0</v>
      </c>
      <c r="AA48" s="192">
        <f t="shared" si="18"/>
        <v>0</v>
      </c>
      <c r="AB48" s="187">
        <f>+Y$26*AA48+Z48</f>
        <v>0</v>
      </c>
      <c r="AC48" s="194">
        <f>+AC47</f>
        <v>0</v>
      </c>
      <c r="AD48" s="192">
        <f>+AD47</f>
        <v>0</v>
      </c>
      <c r="AE48" s="192">
        <f t="shared" si="19"/>
        <v>0</v>
      </c>
      <c r="AF48" s="187">
        <f>+AC$26*AE48+AD48</f>
        <v>0</v>
      </c>
      <c r="AG48" s="194">
        <f>+AG47</f>
        <v>0</v>
      </c>
      <c r="AH48" s="192">
        <f>+AH47</f>
        <v>0</v>
      </c>
      <c r="AI48" s="192">
        <f t="shared" si="20"/>
        <v>0</v>
      </c>
      <c r="AJ48" s="187">
        <f>+AG$26*AI48+AH48</f>
        <v>0</v>
      </c>
      <c r="AK48" s="194">
        <f>+AK47</f>
        <v>0</v>
      </c>
      <c r="AL48" s="192">
        <f>+AL47</f>
        <v>0</v>
      </c>
      <c r="AM48" s="192">
        <f t="shared" si="21"/>
        <v>0</v>
      </c>
      <c r="AN48" s="187">
        <f>+AK$26*AM48+AL48</f>
        <v>0</v>
      </c>
      <c r="AO48" s="205">
        <f t="shared" si="22"/>
        <v>0</v>
      </c>
      <c r="AP48" s="325">
        <f>+AO48</f>
        <v>0</v>
      </c>
      <c r="AQ48" s="167"/>
    </row>
    <row r="49" spans="1:43">
      <c r="A49" s="139">
        <f t="shared" si="0"/>
        <v>39</v>
      </c>
      <c r="C49" s="292" t="str">
        <f t="shared" si="1"/>
        <v>W  11.5 % ROE</v>
      </c>
      <c r="D49" s="191">
        <f t="shared" si="2"/>
        <v>2016</v>
      </c>
      <c r="E49" s="192"/>
      <c r="F49" s="192">
        <f>+E$28</f>
        <v>0</v>
      </c>
      <c r="G49" s="192">
        <f t="shared" si="4"/>
        <v>0</v>
      </c>
      <c r="H49" s="189">
        <f>+E$25*G49+F49</f>
        <v>0</v>
      </c>
      <c r="I49" s="194">
        <v>0</v>
      </c>
      <c r="J49" s="192">
        <v>0</v>
      </c>
      <c r="K49" s="192">
        <v>0</v>
      </c>
      <c r="L49" s="187">
        <v>0</v>
      </c>
      <c r="M49" s="194">
        <f>+O48</f>
        <v>0</v>
      </c>
      <c r="N49" s="192">
        <f t="shared" si="14"/>
        <v>0</v>
      </c>
      <c r="O49" s="192">
        <f t="shared" si="15"/>
        <v>0</v>
      </c>
      <c r="P49" s="187">
        <f>+M$25*O49+N49</f>
        <v>0</v>
      </c>
      <c r="Q49" s="194">
        <f>+S48</f>
        <v>0</v>
      </c>
      <c r="R49" s="192">
        <f>+Q$28</f>
        <v>0</v>
      </c>
      <c r="S49" s="192">
        <f t="shared" si="16"/>
        <v>0</v>
      </c>
      <c r="T49" s="187">
        <f>+Q$25*S49+R49</f>
        <v>0</v>
      </c>
      <c r="U49" s="194">
        <f>+W48</f>
        <v>0</v>
      </c>
      <c r="V49" s="192">
        <f>+U$28</f>
        <v>0</v>
      </c>
      <c r="W49" s="192">
        <f t="shared" si="17"/>
        <v>0</v>
      </c>
      <c r="X49" s="187">
        <f>+U$25*W49+V49</f>
        <v>0</v>
      </c>
      <c r="Y49" s="194">
        <f>+AA48</f>
        <v>0</v>
      </c>
      <c r="Z49" s="192">
        <f>+Y$28</f>
        <v>0</v>
      </c>
      <c r="AA49" s="192">
        <f t="shared" si="18"/>
        <v>0</v>
      </c>
      <c r="AB49" s="187">
        <f>+Y$25*AA49+Z49</f>
        <v>0</v>
      </c>
      <c r="AC49" s="194">
        <f>+AE48</f>
        <v>0</v>
      </c>
      <c r="AD49" s="192">
        <f>+AC$28</f>
        <v>0</v>
      </c>
      <c r="AE49" s="192">
        <f t="shared" si="19"/>
        <v>0</v>
      </c>
      <c r="AF49" s="187">
        <f>+AC$25*AE49+AD49</f>
        <v>0</v>
      </c>
      <c r="AG49" s="194">
        <f>+AI48</f>
        <v>0</v>
      </c>
      <c r="AH49" s="192">
        <f>+AG$28</f>
        <v>0</v>
      </c>
      <c r="AI49" s="192">
        <f t="shared" si="20"/>
        <v>0</v>
      </c>
      <c r="AJ49" s="187">
        <f>+AG$25*AI49+AH49</f>
        <v>0</v>
      </c>
      <c r="AK49" s="194">
        <f>+AM48</f>
        <v>0</v>
      </c>
      <c r="AL49" s="192">
        <f>+AK$28</f>
        <v>0</v>
      </c>
      <c r="AM49" s="192">
        <f t="shared" si="21"/>
        <v>0</v>
      </c>
      <c r="AN49" s="187">
        <f>+AK$25*AM49+AL49</f>
        <v>0</v>
      </c>
      <c r="AO49" s="205">
        <f t="shared" si="22"/>
        <v>0</v>
      </c>
      <c r="AP49" s="168"/>
      <c r="AQ49" s="193">
        <f>+AO49</f>
        <v>0</v>
      </c>
    </row>
    <row r="50" spans="1:43">
      <c r="A50" s="139">
        <f t="shared" si="0"/>
        <v>40</v>
      </c>
      <c r="C50" s="292" t="str">
        <f t="shared" si="1"/>
        <v>W Increased ROE</v>
      </c>
      <c r="D50" s="191">
        <f t="shared" si="2"/>
        <v>2016</v>
      </c>
      <c r="E50" s="192">
        <f>+E49</f>
        <v>0</v>
      </c>
      <c r="F50" s="192">
        <f>+F49</f>
        <v>0</v>
      </c>
      <c r="G50" s="192">
        <f t="shared" si="4"/>
        <v>0</v>
      </c>
      <c r="H50" s="189">
        <f>+E$26*G50+F50</f>
        <v>0</v>
      </c>
      <c r="I50" s="194">
        <v>0</v>
      </c>
      <c r="J50" s="192">
        <v>0</v>
      </c>
      <c r="K50" s="192">
        <v>0</v>
      </c>
      <c r="L50" s="187">
        <v>0</v>
      </c>
      <c r="M50" s="194">
        <f>+M49</f>
        <v>0</v>
      </c>
      <c r="N50" s="192">
        <f t="shared" si="14"/>
        <v>0</v>
      </c>
      <c r="O50" s="192">
        <f t="shared" si="15"/>
        <v>0</v>
      </c>
      <c r="P50" s="187">
        <f>+M$26*O50+N50</f>
        <v>0</v>
      </c>
      <c r="Q50" s="194">
        <f>+Q49</f>
        <v>0</v>
      </c>
      <c r="R50" s="192">
        <f>+R49</f>
        <v>0</v>
      </c>
      <c r="S50" s="192">
        <f t="shared" si="16"/>
        <v>0</v>
      </c>
      <c r="T50" s="187">
        <f>+Q$26*S50+R50</f>
        <v>0</v>
      </c>
      <c r="U50" s="194">
        <f>+U49</f>
        <v>0</v>
      </c>
      <c r="V50" s="192">
        <f>+V49</f>
        <v>0</v>
      </c>
      <c r="W50" s="192">
        <f t="shared" si="17"/>
        <v>0</v>
      </c>
      <c r="X50" s="187">
        <f>+U$26*W50+V50</f>
        <v>0</v>
      </c>
      <c r="Y50" s="194">
        <f>+Y49</f>
        <v>0</v>
      </c>
      <c r="Z50" s="192">
        <f>+Z49</f>
        <v>0</v>
      </c>
      <c r="AA50" s="192">
        <f t="shared" si="18"/>
        <v>0</v>
      </c>
      <c r="AB50" s="187">
        <f>+Y$26*AA50+Z50</f>
        <v>0</v>
      </c>
      <c r="AC50" s="194">
        <f>+AC49</f>
        <v>0</v>
      </c>
      <c r="AD50" s="192">
        <f>+AD49</f>
        <v>0</v>
      </c>
      <c r="AE50" s="192">
        <f t="shared" si="19"/>
        <v>0</v>
      </c>
      <c r="AF50" s="187">
        <f>+AC$26*AE50+AD50</f>
        <v>0</v>
      </c>
      <c r="AG50" s="194">
        <f>+AG49</f>
        <v>0</v>
      </c>
      <c r="AH50" s="192">
        <f>+AH49</f>
        <v>0</v>
      </c>
      <c r="AI50" s="192">
        <f t="shared" si="20"/>
        <v>0</v>
      </c>
      <c r="AJ50" s="187">
        <f>+AG$26*AI50+AH50</f>
        <v>0</v>
      </c>
      <c r="AK50" s="194">
        <f>+AK49</f>
        <v>0</v>
      </c>
      <c r="AL50" s="192">
        <f>+AL49</f>
        <v>0</v>
      </c>
      <c r="AM50" s="192">
        <f t="shared" si="21"/>
        <v>0</v>
      </c>
      <c r="AN50" s="187">
        <f>+AK$26*AM50+AL50</f>
        <v>0</v>
      </c>
      <c r="AO50" s="205">
        <f t="shared" si="22"/>
        <v>0</v>
      </c>
      <c r="AP50" s="325">
        <f>+AO50</f>
        <v>0</v>
      </c>
      <c r="AQ50" s="167"/>
    </row>
    <row r="51" spans="1:43">
      <c r="A51" s="139">
        <f t="shared" si="0"/>
        <v>41</v>
      </c>
      <c r="C51" s="292" t="str">
        <f t="shared" si="1"/>
        <v>W  11.5 % ROE</v>
      </c>
      <c r="D51" s="191">
        <f t="shared" si="2"/>
        <v>2017</v>
      </c>
      <c r="E51" s="192"/>
      <c r="F51" s="192">
        <f>+E$28</f>
        <v>0</v>
      </c>
      <c r="G51" s="192">
        <f t="shared" si="4"/>
        <v>0</v>
      </c>
      <c r="H51" s="189">
        <f>+E$25*G51+F51</f>
        <v>0</v>
      </c>
      <c r="I51" s="194">
        <v>0</v>
      </c>
      <c r="J51" s="192">
        <v>0</v>
      </c>
      <c r="K51" s="192">
        <v>0</v>
      </c>
      <c r="L51" s="187">
        <v>0</v>
      </c>
      <c r="M51" s="194">
        <f>+O50</f>
        <v>0</v>
      </c>
      <c r="N51" s="192">
        <f t="shared" si="14"/>
        <v>0</v>
      </c>
      <c r="O51" s="192">
        <f t="shared" si="15"/>
        <v>0</v>
      </c>
      <c r="P51" s="187">
        <f>+M$25*O51+N51</f>
        <v>0</v>
      </c>
      <c r="Q51" s="194">
        <f>+S50</f>
        <v>0</v>
      </c>
      <c r="R51" s="192">
        <f>+Q$28</f>
        <v>0</v>
      </c>
      <c r="S51" s="192">
        <f t="shared" si="16"/>
        <v>0</v>
      </c>
      <c r="T51" s="187">
        <f>+Q$25*S51+R51</f>
        <v>0</v>
      </c>
      <c r="U51" s="194">
        <f>+W50</f>
        <v>0</v>
      </c>
      <c r="V51" s="192">
        <f>+U$28</f>
        <v>0</v>
      </c>
      <c r="W51" s="192">
        <f t="shared" si="17"/>
        <v>0</v>
      </c>
      <c r="X51" s="187">
        <f>+U$25*W51+V51</f>
        <v>0</v>
      </c>
      <c r="Y51" s="194">
        <f>+AA50</f>
        <v>0</v>
      </c>
      <c r="Z51" s="192">
        <f>+Y$28</f>
        <v>0</v>
      </c>
      <c r="AA51" s="192">
        <f t="shared" si="18"/>
        <v>0</v>
      </c>
      <c r="AB51" s="187">
        <f>+Y$25*AA51+Z51</f>
        <v>0</v>
      </c>
      <c r="AC51" s="194">
        <f>+AE50</f>
        <v>0</v>
      </c>
      <c r="AD51" s="192">
        <f>+AC$28</f>
        <v>0</v>
      </c>
      <c r="AE51" s="192">
        <f t="shared" si="19"/>
        <v>0</v>
      </c>
      <c r="AF51" s="187">
        <f>+AC$25*AE51+AD51</f>
        <v>0</v>
      </c>
      <c r="AG51" s="194">
        <f>+AI50</f>
        <v>0</v>
      </c>
      <c r="AH51" s="192">
        <f>+AG$28</f>
        <v>0</v>
      </c>
      <c r="AI51" s="192">
        <f t="shared" si="20"/>
        <v>0</v>
      </c>
      <c r="AJ51" s="187">
        <f>+AG$25*AI51+AH51</f>
        <v>0</v>
      </c>
      <c r="AK51" s="194">
        <f>+AM50</f>
        <v>0</v>
      </c>
      <c r="AL51" s="192">
        <f>+AK$28</f>
        <v>0</v>
      </c>
      <c r="AM51" s="192">
        <f t="shared" si="21"/>
        <v>0</v>
      </c>
      <c r="AN51" s="187">
        <f>+AK$25*AM51+AL51</f>
        <v>0</v>
      </c>
      <c r="AO51" s="205">
        <f t="shared" si="22"/>
        <v>0</v>
      </c>
      <c r="AP51" s="168"/>
      <c r="AQ51" s="193">
        <f>+AO51</f>
        <v>0</v>
      </c>
    </row>
    <row r="52" spans="1:43">
      <c r="A52" s="139">
        <f t="shared" ref="A52:A72" si="23">+A51+1</f>
        <v>42</v>
      </c>
      <c r="C52" s="292" t="str">
        <f t="shared" si="1"/>
        <v>W Increased ROE</v>
      </c>
      <c r="D52" s="191">
        <f t="shared" si="2"/>
        <v>2017</v>
      </c>
      <c r="E52" s="192">
        <f>+E51</f>
        <v>0</v>
      </c>
      <c r="F52" s="192">
        <f>+F51</f>
        <v>0</v>
      </c>
      <c r="G52" s="192">
        <f t="shared" si="4"/>
        <v>0</v>
      </c>
      <c r="H52" s="189">
        <f>+E$26*G52+F52</f>
        <v>0</v>
      </c>
      <c r="I52" s="194">
        <v>0</v>
      </c>
      <c r="J52" s="192">
        <v>0</v>
      </c>
      <c r="K52" s="192">
        <v>0</v>
      </c>
      <c r="L52" s="187">
        <v>0</v>
      </c>
      <c r="M52" s="194">
        <f>+M51</f>
        <v>0</v>
      </c>
      <c r="N52" s="192">
        <f t="shared" si="14"/>
        <v>0</v>
      </c>
      <c r="O52" s="192">
        <f t="shared" si="15"/>
        <v>0</v>
      </c>
      <c r="P52" s="187">
        <f>+M$26*O52+N52</f>
        <v>0</v>
      </c>
      <c r="Q52" s="194">
        <f>+Q51</f>
        <v>0</v>
      </c>
      <c r="R52" s="192">
        <f>+R51</f>
        <v>0</v>
      </c>
      <c r="S52" s="192">
        <f t="shared" si="16"/>
        <v>0</v>
      </c>
      <c r="T52" s="187">
        <f>+Q$26*S52+R52</f>
        <v>0</v>
      </c>
      <c r="U52" s="194">
        <f>+U51</f>
        <v>0</v>
      </c>
      <c r="V52" s="192">
        <f>+V51</f>
        <v>0</v>
      </c>
      <c r="W52" s="192">
        <f t="shared" si="17"/>
        <v>0</v>
      </c>
      <c r="X52" s="187">
        <f>+U$26*W52+V52</f>
        <v>0</v>
      </c>
      <c r="Y52" s="194">
        <f>+Y51</f>
        <v>0</v>
      </c>
      <c r="Z52" s="192">
        <f>+Z51</f>
        <v>0</v>
      </c>
      <c r="AA52" s="192">
        <f t="shared" si="18"/>
        <v>0</v>
      </c>
      <c r="AB52" s="187">
        <f>+Y$26*AA52+Z52</f>
        <v>0</v>
      </c>
      <c r="AC52" s="194">
        <f>+AC51</f>
        <v>0</v>
      </c>
      <c r="AD52" s="192">
        <f>+AD51</f>
        <v>0</v>
      </c>
      <c r="AE52" s="192">
        <f t="shared" si="19"/>
        <v>0</v>
      </c>
      <c r="AF52" s="187">
        <f>+AC$26*AE52+AD52</f>
        <v>0</v>
      </c>
      <c r="AG52" s="194">
        <f>+AG51</f>
        <v>0</v>
      </c>
      <c r="AH52" s="192">
        <f>+AH51</f>
        <v>0</v>
      </c>
      <c r="AI52" s="192">
        <f t="shared" si="20"/>
        <v>0</v>
      </c>
      <c r="AJ52" s="187">
        <f>+AG$26*AI52+AH52</f>
        <v>0</v>
      </c>
      <c r="AK52" s="194">
        <f>+AK51</f>
        <v>0</v>
      </c>
      <c r="AL52" s="192">
        <f>+AL51</f>
        <v>0</v>
      </c>
      <c r="AM52" s="192">
        <f t="shared" si="21"/>
        <v>0</v>
      </c>
      <c r="AN52" s="187">
        <f>+AK$26*AM52+AL52</f>
        <v>0</v>
      </c>
      <c r="AO52" s="205">
        <f t="shared" si="22"/>
        <v>0</v>
      </c>
      <c r="AP52" s="325">
        <f>+AO52</f>
        <v>0</v>
      </c>
      <c r="AQ52" s="167"/>
    </row>
    <row r="53" spans="1:43">
      <c r="A53" s="139">
        <f t="shared" si="23"/>
        <v>43</v>
      </c>
      <c r="C53" s="292" t="str">
        <f t="shared" si="1"/>
        <v>W  11.5 % ROE</v>
      </c>
      <c r="D53" s="191">
        <f t="shared" si="2"/>
        <v>2018</v>
      </c>
      <c r="E53" s="192"/>
      <c r="F53" s="192">
        <f>+E$28</f>
        <v>0</v>
      </c>
      <c r="G53" s="192">
        <f t="shared" si="4"/>
        <v>0</v>
      </c>
      <c r="H53" s="189">
        <f>+E$25*G53+F53</f>
        <v>0</v>
      </c>
      <c r="I53" s="194">
        <v>0</v>
      </c>
      <c r="J53" s="192">
        <v>0</v>
      </c>
      <c r="K53" s="192">
        <v>0</v>
      </c>
      <c r="L53" s="187">
        <v>0</v>
      </c>
      <c r="M53" s="194">
        <f>+O52</f>
        <v>0</v>
      </c>
      <c r="N53" s="192">
        <f t="shared" si="14"/>
        <v>0</v>
      </c>
      <c r="O53" s="192">
        <f t="shared" si="15"/>
        <v>0</v>
      </c>
      <c r="P53" s="187">
        <f>+M$25*O53+N53</f>
        <v>0</v>
      </c>
      <c r="Q53" s="194">
        <f>+S52</f>
        <v>0</v>
      </c>
      <c r="R53" s="192">
        <f>+Q$28</f>
        <v>0</v>
      </c>
      <c r="S53" s="192">
        <f t="shared" si="16"/>
        <v>0</v>
      </c>
      <c r="T53" s="187">
        <f>+Q$25*S53+R53</f>
        <v>0</v>
      </c>
      <c r="U53" s="194">
        <f>+W52</f>
        <v>0</v>
      </c>
      <c r="V53" s="192">
        <f>+U$28</f>
        <v>0</v>
      </c>
      <c r="W53" s="192">
        <f t="shared" si="17"/>
        <v>0</v>
      </c>
      <c r="X53" s="187">
        <f>+U$25*W53+V53</f>
        <v>0</v>
      </c>
      <c r="Y53" s="194">
        <f>+AA52</f>
        <v>0</v>
      </c>
      <c r="Z53" s="192">
        <f>+Y$28</f>
        <v>0</v>
      </c>
      <c r="AA53" s="192">
        <f t="shared" si="18"/>
        <v>0</v>
      </c>
      <c r="AB53" s="187">
        <f>+Y$25*AA53+Z53</f>
        <v>0</v>
      </c>
      <c r="AC53" s="194">
        <f>+AE52</f>
        <v>0</v>
      </c>
      <c r="AD53" s="192">
        <f>+AC$28</f>
        <v>0</v>
      </c>
      <c r="AE53" s="192">
        <f t="shared" si="19"/>
        <v>0</v>
      </c>
      <c r="AF53" s="187">
        <f>+AC$25*AE53+AD53</f>
        <v>0</v>
      </c>
      <c r="AG53" s="194">
        <f>+AI52</f>
        <v>0</v>
      </c>
      <c r="AH53" s="192">
        <f>+AG$28</f>
        <v>0</v>
      </c>
      <c r="AI53" s="192">
        <f t="shared" si="20"/>
        <v>0</v>
      </c>
      <c r="AJ53" s="187">
        <f>+AG$25*AI53+AH53</f>
        <v>0</v>
      </c>
      <c r="AK53" s="194">
        <f>+AM52</f>
        <v>0</v>
      </c>
      <c r="AL53" s="192">
        <f>+AK$28</f>
        <v>0</v>
      </c>
      <c r="AM53" s="192">
        <f t="shared" si="21"/>
        <v>0</v>
      </c>
      <c r="AN53" s="187">
        <f>+AK$25*AM53+AL53</f>
        <v>0</v>
      </c>
      <c r="AO53" s="205">
        <f t="shared" si="22"/>
        <v>0</v>
      </c>
      <c r="AP53" s="168"/>
      <c r="AQ53" s="193">
        <f>+AO53</f>
        <v>0</v>
      </c>
    </row>
    <row r="54" spans="1:43">
      <c r="A54" s="139">
        <f t="shared" si="23"/>
        <v>44</v>
      </c>
      <c r="C54" s="292" t="str">
        <f t="shared" si="1"/>
        <v>W Increased ROE</v>
      </c>
      <c r="D54" s="191">
        <f t="shared" si="2"/>
        <v>2018</v>
      </c>
      <c r="E54" s="192">
        <f>+E53</f>
        <v>0</v>
      </c>
      <c r="F54" s="192">
        <f>+F53</f>
        <v>0</v>
      </c>
      <c r="G54" s="192">
        <f t="shared" si="4"/>
        <v>0</v>
      </c>
      <c r="H54" s="189">
        <f>+E$26*G54+F54</f>
        <v>0</v>
      </c>
      <c r="I54" s="194">
        <v>0</v>
      </c>
      <c r="J54" s="192">
        <v>0</v>
      </c>
      <c r="K54" s="192">
        <v>0</v>
      </c>
      <c r="L54" s="187">
        <v>0</v>
      </c>
      <c r="M54" s="194">
        <f>+M53</f>
        <v>0</v>
      </c>
      <c r="N54" s="192">
        <f t="shared" si="14"/>
        <v>0</v>
      </c>
      <c r="O54" s="192">
        <f t="shared" si="15"/>
        <v>0</v>
      </c>
      <c r="P54" s="187">
        <f>+M$26*O54+N54</f>
        <v>0</v>
      </c>
      <c r="Q54" s="194">
        <f>+Q53</f>
        <v>0</v>
      </c>
      <c r="R54" s="192">
        <f>+R53</f>
        <v>0</v>
      </c>
      <c r="S54" s="192">
        <f t="shared" si="16"/>
        <v>0</v>
      </c>
      <c r="T54" s="187">
        <f>+Q$26*S54+R54</f>
        <v>0</v>
      </c>
      <c r="U54" s="194">
        <f>+U53</f>
        <v>0</v>
      </c>
      <c r="V54" s="192">
        <f>+V53</f>
        <v>0</v>
      </c>
      <c r="W54" s="192">
        <f t="shared" si="17"/>
        <v>0</v>
      </c>
      <c r="X54" s="187">
        <f>+U$26*W54+V54</f>
        <v>0</v>
      </c>
      <c r="Y54" s="194">
        <f>+Y53</f>
        <v>0</v>
      </c>
      <c r="Z54" s="192">
        <f>+Z53</f>
        <v>0</v>
      </c>
      <c r="AA54" s="192">
        <f t="shared" si="18"/>
        <v>0</v>
      </c>
      <c r="AB54" s="187">
        <f>+Y$26*AA54+Z54</f>
        <v>0</v>
      </c>
      <c r="AC54" s="194">
        <f>+AC53</f>
        <v>0</v>
      </c>
      <c r="AD54" s="192">
        <f>+AD53</f>
        <v>0</v>
      </c>
      <c r="AE54" s="192">
        <f t="shared" si="19"/>
        <v>0</v>
      </c>
      <c r="AF54" s="187">
        <f>+AC$26*AE54+AD54</f>
        <v>0</v>
      </c>
      <c r="AG54" s="194">
        <f>+AG53</f>
        <v>0</v>
      </c>
      <c r="AH54" s="192">
        <f>+AH53</f>
        <v>0</v>
      </c>
      <c r="AI54" s="192">
        <f t="shared" si="20"/>
        <v>0</v>
      </c>
      <c r="AJ54" s="187">
        <f>+AG$26*AI54+AH54</f>
        <v>0</v>
      </c>
      <c r="AK54" s="194">
        <f>+AK53</f>
        <v>0</v>
      </c>
      <c r="AL54" s="192">
        <f>+AL53</f>
        <v>0</v>
      </c>
      <c r="AM54" s="192">
        <f t="shared" si="21"/>
        <v>0</v>
      </c>
      <c r="AN54" s="187">
        <f>+AK$26*AM54+AL54</f>
        <v>0</v>
      </c>
      <c r="AO54" s="205">
        <f t="shared" si="22"/>
        <v>0</v>
      </c>
      <c r="AP54" s="325">
        <f>+AO54</f>
        <v>0</v>
      </c>
      <c r="AQ54" s="167"/>
    </row>
    <row r="55" spans="1:43">
      <c r="A55" s="139">
        <f t="shared" si="23"/>
        <v>45</v>
      </c>
      <c r="C55" s="292" t="str">
        <f t="shared" si="1"/>
        <v>W  11.5 % ROE</v>
      </c>
      <c r="D55" s="191">
        <f t="shared" si="2"/>
        <v>2019</v>
      </c>
      <c r="E55" s="192"/>
      <c r="F55" s="192">
        <f>+E$28</f>
        <v>0</v>
      </c>
      <c r="G55" s="192">
        <f t="shared" si="4"/>
        <v>0</v>
      </c>
      <c r="H55" s="189">
        <f>+E$25*G55+F55</f>
        <v>0</v>
      </c>
      <c r="I55" s="194">
        <v>0</v>
      </c>
      <c r="J55" s="192">
        <v>0</v>
      </c>
      <c r="K55" s="192">
        <v>0</v>
      </c>
      <c r="L55" s="187">
        <v>0</v>
      </c>
      <c r="M55" s="194">
        <f>+O54</f>
        <v>0</v>
      </c>
      <c r="N55" s="192">
        <f t="shared" si="14"/>
        <v>0</v>
      </c>
      <c r="O55" s="192">
        <f t="shared" si="15"/>
        <v>0</v>
      </c>
      <c r="P55" s="187">
        <f>+M$25*O55+N55</f>
        <v>0</v>
      </c>
      <c r="Q55" s="194">
        <f>+S54</f>
        <v>0</v>
      </c>
      <c r="R55" s="192">
        <f>+Q$28</f>
        <v>0</v>
      </c>
      <c r="S55" s="192">
        <f t="shared" si="16"/>
        <v>0</v>
      </c>
      <c r="T55" s="187">
        <f>+Q$25*S55+R55</f>
        <v>0</v>
      </c>
      <c r="U55" s="194">
        <f>+W54</f>
        <v>0</v>
      </c>
      <c r="V55" s="192">
        <f>+U$28</f>
        <v>0</v>
      </c>
      <c r="W55" s="192">
        <f t="shared" si="17"/>
        <v>0</v>
      </c>
      <c r="X55" s="187">
        <f>+U$25*W55+V55</f>
        <v>0</v>
      </c>
      <c r="Y55" s="194">
        <f>+AA54</f>
        <v>0</v>
      </c>
      <c r="Z55" s="192">
        <f>+Y$28</f>
        <v>0</v>
      </c>
      <c r="AA55" s="192">
        <f t="shared" si="18"/>
        <v>0</v>
      </c>
      <c r="AB55" s="187">
        <f>+Y$25*AA55+Z55</f>
        <v>0</v>
      </c>
      <c r="AC55" s="194">
        <f>+AE54</f>
        <v>0</v>
      </c>
      <c r="AD55" s="192">
        <f>+AC$28</f>
        <v>0</v>
      </c>
      <c r="AE55" s="192">
        <f t="shared" si="19"/>
        <v>0</v>
      </c>
      <c r="AF55" s="187">
        <f>+AC$25*AE55+AD55</f>
        <v>0</v>
      </c>
      <c r="AG55" s="194">
        <f>+AI54</f>
        <v>0</v>
      </c>
      <c r="AH55" s="192">
        <f>+AG$28</f>
        <v>0</v>
      </c>
      <c r="AI55" s="192">
        <f t="shared" si="20"/>
        <v>0</v>
      </c>
      <c r="AJ55" s="187">
        <f>+AG$25*AI55+AH55</f>
        <v>0</v>
      </c>
      <c r="AK55" s="194">
        <f>+AM54</f>
        <v>0</v>
      </c>
      <c r="AL55" s="192">
        <f>+AK$28</f>
        <v>0</v>
      </c>
      <c r="AM55" s="192">
        <f t="shared" si="21"/>
        <v>0</v>
      </c>
      <c r="AN55" s="187">
        <f>+AK$25*AM55+AL55</f>
        <v>0</v>
      </c>
      <c r="AO55" s="205">
        <f t="shared" si="22"/>
        <v>0</v>
      </c>
      <c r="AP55" s="168"/>
      <c r="AQ55" s="193">
        <f>+AO55</f>
        <v>0</v>
      </c>
    </row>
    <row r="56" spans="1:43">
      <c r="A56" s="139">
        <f t="shared" si="23"/>
        <v>46</v>
      </c>
      <c r="C56" s="292" t="str">
        <f t="shared" si="1"/>
        <v>W Increased ROE</v>
      </c>
      <c r="D56" s="191">
        <f t="shared" si="2"/>
        <v>2019</v>
      </c>
      <c r="E56" s="192">
        <f>+E55</f>
        <v>0</v>
      </c>
      <c r="F56" s="192">
        <f>+F55</f>
        <v>0</v>
      </c>
      <c r="G56" s="192">
        <f t="shared" si="4"/>
        <v>0</v>
      </c>
      <c r="H56" s="189">
        <f>+E$26*G56+F56</f>
        <v>0</v>
      </c>
      <c r="I56" s="194">
        <v>0</v>
      </c>
      <c r="J56" s="192">
        <v>0</v>
      </c>
      <c r="K56" s="192">
        <v>0</v>
      </c>
      <c r="L56" s="187">
        <v>0</v>
      </c>
      <c r="M56" s="194">
        <f>+M55</f>
        <v>0</v>
      </c>
      <c r="N56" s="192">
        <f t="shared" si="14"/>
        <v>0</v>
      </c>
      <c r="O56" s="192">
        <f t="shared" si="15"/>
        <v>0</v>
      </c>
      <c r="P56" s="187">
        <f>+M$26*O56+N56</f>
        <v>0</v>
      </c>
      <c r="Q56" s="194">
        <f>+Q55</f>
        <v>0</v>
      </c>
      <c r="R56" s="192">
        <f>+R55</f>
        <v>0</v>
      </c>
      <c r="S56" s="192">
        <f t="shared" si="16"/>
        <v>0</v>
      </c>
      <c r="T56" s="187">
        <f>+Q$26*S56+R56</f>
        <v>0</v>
      </c>
      <c r="U56" s="194">
        <f>+U55</f>
        <v>0</v>
      </c>
      <c r="V56" s="192">
        <f>+V55</f>
        <v>0</v>
      </c>
      <c r="W56" s="192">
        <f t="shared" si="17"/>
        <v>0</v>
      </c>
      <c r="X56" s="187">
        <f>+U$26*W56+V56</f>
        <v>0</v>
      </c>
      <c r="Y56" s="194">
        <f>+Y55</f>
        <v>0</v>
      </c>
      <c r="Z56" s="192">
        <f>+Z55</f>
        <v>0</v>
      </c>
      <c r="AA56" s="192">
        <f t="shared" si="18"/>
        <v>0</v>
      </c>
      <c r="AB56" s="187">
        <f>+Y$26*AA56+Z56</f>
        <v>0</v>
      </c>
      <c r="AC56" s="194">
        <f>+AC55</f>
        <v>0</v>
      </c>
      <c r="AD56" s="192">
        <f>+AD55</f>
        <v>0</v>
      </c>
      <c r="AE56" s="192">
        <f t="shared" si="19"/>
        <v>0</v>
      </c>
      <c r="AF56" s="187">
        <f>+AC$26*AE56+AD56</f>
        <v>0</v>
      </c>
      <c r="AG56" s="194">
        <f>+AG55</f>
        <v>0</v>
      </c>
      <c r="AH56" s="192">
        <f>+AH55</f>
        <v>0</v>
      </c>
      <c r="AI56" s="192">
        <f t="shared" si="20"/>
        <v>0</v>
      </c>
      <c r="AJ56" s="187">
        <f>+AG$26*AI56+AH56</f>
        <v>0</v>
      </c>
      <c r="AK56" s="194">
        <f>+AK55</f>
        <v>0</v>
      </c>
      <c r="AL56" s="192">
        <f>+AL55</f>
        <v>0</v>
      </c>
      <c r="AM56" s="192">
        <f t="shared" si="21"/>
        <v>0</v>
      </c>
      <c r="AN56" s="187">
        <f>+AK$26*AM56+AL56</f>
        <v>0</v>
      </c>
      <c r="AO56" s="205">
        <f t="shared" si="22"/>
        <v>0</v>
      </c>
      <c r="AP56" s="325">
        <f>+AO56</f>
        <v>0</v>
      </c>
      <c r="AQ56" s="167"/>
    </row>
    <row r="57" spans="1:43">
      <c r="A57" s="139">
        <f t="shared" si="23"/>
        <v>47</v>
      </c>
      <c r="C57" s="292" t="str">
        <f t="shared" si="1"/>
        <v>W  11.5 % ROE</v>
      </c>
      <c r="D57" s="191">
        <f t="shared" si="2"/>
        <v>2020</v>
      </c>
      <c r="E57" s="192"/>
      <c r="F57" s="192">
        <f>+E$28</f>
        <v>0</v>
      </c>
      <c r="G57" s="192">
        <f t="shared" si="4"/>
        <v>0</v>
      </c>
      <c r="H57" s="189">
        <f>+E$25*G57+F57</f>
        <v>0</v>
      </c>
      <c r="I57" s="194">
        <v>0</v>
      </c>
      <c r="J57" s="192">
        <v>0</v>
      </c>
      <c r="K57" s="192">
        <v>0</v>
      </c>
      <c r="L57" s="187">
        <v>0</v>
      </c>
      <c r="M57" s="194">
        <f>+O56</f>
        <v>0</v>
      </c>
      <c r="N57" s="192">
        <f t="shared" si="14"/>
        <v>0</v>
      </c>
      <c r="O57" s="192">
        <f t="shared" si="15"/>
        <v>0</v>
      </c>
      <c r="P57" s="187">
        <f>+M$25*O57+N57</f>
        <v>0</v>
      </c>
      <c r="Q57" s="194">
        <f>+S56</f>
        <v>0</v>
      </c>
      <c r="R57" s="192">
        <f>+Q$28</f>
        <v>0</v>
      </c>
      <c r="S57" s="192">
        <f t="shared" si="16"/>
        <v>0</v>
      </c>
      <c r="T57" s="187">
        <f>+Q$25*S57+R57</f>
        <v>0</v>
      </c>
      <c r="U57" s="194">
        <f>+W56</f>
        <v>0</v>
      </c>
      <c r="V57" s="192">
        <f>+U$28</f>
        <v>0</v>
      </c>
      <c r="W57" s="192">
        <f t="shared" si="17"/>
        <v>0</v>
      </c>
      <c r="X57" s="187">
        <f>+U$25*W57+V57</f>
        <v>0</v>
      </c>
      <c r="Y57" s="194">
        <f>+AA56</f>
        <v>0</v>
      </c>
      <c r="Z57" s="192">
        <f>+Y$28</f>
        <v>0</v>
      </c>
      <c r="AA57" s="192">
        <f t="shared" si="18"/>
        <v>0</v>
      </c>
      <c r="AB57" s="187">
        <f>+Y$25*AA57+Z57</f>
        <v>0</v>
      </c>
      <c r="AC57" s="194">
        <f>+AE56</f>
        <v>0</v>
      </c>
      <c r="AD57" s="192">
        <f>+AC$28</f>
        <v>0</v>
      </c>
      <c r="AE57" s="192">
        <f t="shared" si="19"/>
        <v>0</v>
      </c>
      <c r="AF57" s="187">
        <f>+AC$25*AE57+AD57</f>
        <v>0</v>
      </c>
      <c r="AG57" s="194">
        <f>+AI56</f>
        <v>0</v>
      </c>
      <c r="AH57" s="192">
        <f>+AG$28</f>
        <v>0</v>
      </c>
      <c r="AI57" s="192">
        <f t="shared" si="20"/>
        <v>0</v>
      </c>
      <c r="AJ57" s="187">
        <f>+AG$25*AI57+AH57</f>
        <v>0</v>
      </c>
      <c r="AK57" s="194">
        <f>+AM56</f>
        <v>0</v>
      </c>
      <c r="AL57" s="192">
        <f>+AK$28</f>
        <v>0</v>
      </c>
      <c r="AM57" s="192">
        <f t="shared" si="21"/>
        <v>0</v>
      </c>
      <c r="AN57" s="187">
        <f>+AK$25*AM57+AL57</f>
        <v>0</v>
      </c>
      <c r="AO57" s="205">
        <f t="shared" si="22"/>
        <v>0</v>
      </c>
      <c r="AP57" s="168"/>
      <c r="AQ57" s="193">
        <f>+AO57</f>
        <v>0</v>
      </c>
    </row>
    <row r="58" spans="1:43">
      <c r="A58" s="139">
        <f t="shared" si="23"/>
        <v>48</v>
      </c>
      <c r="C58" s="292" t="str">
        <f t="shared" si="1"/>
        <v>W Increased ROE</v>
      </c>
      <c r="D58" s="191">
        <f t="shared" si="2"/>
        <v>2020</v>
      </c>
      <c r="E58" s="192">
        <f>+E57</f>
        <v>0</v>
      </c>
      <c r="F58" s="192">
        <f>+F57</f>
        <v>0</v>
      </c>
      <c r="G58" s="192">
        <f t="shared" si="4"/>
        <v>0</v>
      </c>
      <c r="H58" s="189">
        <f>+E$26*G58+F58</f>
        <v>0</v>
      </c>
      <c r="I58" s="194">
        <v>0</v>
      </c>
      <c r="J58" s="192">
        <v>0</v>
      </c>
      <c r="K58" s="192">
        <v>0</v>
      </c>
      <c r="L58" s="187">
        <v>0</v>
      </c>
      <c r="M58" s="194">
        <f>+M57</f>
        <v>0</v>
      </c>
      <c r="N58" s="192">
        <f t="shared" si="14"/>
        <v>0</v>
      </c>
      <c r="O58" s="192">
        <f t="shared" si="15"/>
        <v>0</v>
      </c>
      <c r="P58" s="187">
        <f>+M$26*O58+N58</f>
        <v>0</v>
      </c>
      <c r="Q58" s="194">
        <f>+Q57</f>
        <v>0</v>
      </c>
      <c r="R58" s="192">
        <f>+R57</f>
        <v>0</v>
      </c>
      <c r="S58" s="192">
        <f t="shared" si="16"/>
        <v>0</v>
      </c>
      <c r="T58" s="187">
        <f>+Q$26*S58+R58</f>
        <v>0</v>
      </c>
      <c r="U58" s="194">
        <f>+U57</f>
        <v>0</v>
      </c>
      <c r="V58" s="192">
        <f>+V57</f>
        <v>0</v>
      </c>
      <c r="W58" s="192">
        <f t="shared" si="17"/>
        <v>0</v>
      </c>
      <c r="X58" s="187">
        <f>+U$26*W58+V58</f>
        <v>0</v>
      </c>
      <c r="Y58" s="194">
        <f>+Y57</f>
        <v>0</v>
      </c>
      <c r="Z58" s="192">
        <f>+Z57</f>
        <v>0</v>
      </c>
      <c r="AA58" s="192">
        <f t="shared" si="18"/>
        <v>0</v>
      </c>
      <c r="AB58" s="187">
        <f>+Y$26*AA58+Z58</f>
        <v>0</v>
      </c>
      <c r="AC58" s="194">
        <f>+AC57</f>
        <v>0</v>
      </c>
      <c r="AD58" s="192">
        <f>+AD57</f>
        <v>0</v>
      </c>
      <c r="AE58" s="192">
        <f t="shared" si="19"/>
        <v>0</v>
      </c>
      <c r="AF58" s="187">
        <f>+AC$26*AE58+AD58</f>
        <v>0</v>
      </c>
      <c r="AG58" s="194">
        <f>+AG57</f>
        <v>0</v>
      </c>
      <c r="AH58" s="192">
        <f>+AH57</f>
        <v>0</v>
      </c>
      <c r="AI58" s="192">
        <f t="shared" si="20"/>
        <v>0</v>
      </c>
      <c r="AJ58" s="187">
        <f>+AG$26*AI58+AH58</f>
        <v>0</v>
      </c>
      <c r="AK58" s="194">
        <f>+AK57</f>
        <v>0</v>
      </c>
      <c r="AL58" s="192">
        <f>+AL57</f>
        <v>0</v>
      </c>
      <c r="AM58" s="192">
        <f t="shared" si="21"/>
        <v>0</v>
      </c>
      <c r="AN58" s="187">
        <f>+AK$26*AM58+AL58</f>
        <v>0</v>
      </c>
      <c r="AO58" s="205">
        <f t="shared" si="22"/>
        <v>0</v>
      </c>
      <c r="AP58" s="325">
        <f>+AO58</f>
        <v>0</v>
      </c>
      <c r="AQ58" s="167"/>
    </row>
    <row r="59" spans="1:43">
      <c r="A59" s="139">
        <f t="shared" si="23"/>
        <v>49</v>
      </c>
      <c r="C59" s="292" t="str">
        <f t="shared" si="1"/>
        <v>W  11.5 % ROE</v>
      </c>
      <c r="D59" s="191">
        <f t="shared" si="2"/>
        <v>2021</v>
      </c>
      <c r="E59" s="192"/>
      <c r="F59" s="192">
        <f>+E$28</f>
        <v>0</v>
      </c>
      <c r="G59" s="192">
        <f t="shared" si="4"/>
        <v>0</v>
      </c>
      <c r="H59" s="189">
        <f>+E$25*G59+F59</f>
        <v>0</v>
      </c>
      <c r="I59" s="194">
        <v>0</v>
      </c>
      <c r="J59" s="192">
        <v>0</v>
      </c>
      <c r="K59" s="192">
        <v>0</v>
      </c>
      <c r="L59" s="187">
        <v>0</v>
      </c>
      <c r="M59" s="194">
        <f>+O58</f>
        <v>0</v>
      </c>
      <c r="N59" s="192">
        <f t="shared" si="14"/>
        <v>0</v>
      </c>
      <c r="O59" s="192">
        <f t="shared" si="15"/>
        <v>0</v>
      </c>
      <c r="P59" s="187">
        <f>+M$25*O59+N59</f>
        <v>0</v>
      </c>
      <c r="Q59" s="194">
        <f>+S58</f>
        <v>0</v>
      </c>
      <c r="R59" s="192">
        <f>+Q$28</f>
        <v>0</v>
      </c>
      <c r="S59" s="192">
        <f t="shared" si="16"/>
        <v>0</v>
      </c>
      <c r="T59" s="187">
        <f>+Q$25*S59+R59</f>
        <v>0</v>
      </c>
      <c r="U59" s="194">
        <f>+W58</f>
        <v>0</v>
      </c>
      <c r="V59" s="192">
        <f>+U$28</f>
        <v>0</v>
      </c>
      <c r="W59" s="192">
        <f t="shared" si="17"/>
        <v>0</v>
      </c>
      <c r="X59" s="187">
        <f>+U$25*W59+V59</f>
        <v>0</v>
      </c>
      <c r="Y59" s="194">
        <f>+AA58</f>
        <v>0</v>
      </c>
      <c r="Z59" s="192">
        <f>+Y$28</f>
        <v>0</v>
      </c>
      <c r="AA59" s="192">
        <f t="shared" si="18"/>
        <v>0</v>
      </c>
      <c r="AB59" s="187">
        <f>+Y$25*AA59+Z59</f>
        <v>0</v>
      </c>
      <c r="AC59" s="194">
        <f>+AE58</f>
        <v>0</v>
      </c>
      <c r="AD59" s="192">
        <f>+AC$28</f>
        <v>0</v>
      </c>
      <c r="AE59" s="192">
        <f t="shared" si="19"/>
        <v>0</v>
      </c>
      <c r="AF59" s="187">
        <f>+AC$25*AE59+AD59</f>
        <v>0</v>
      </c>
      <c r="AG59" s="194">
        <f>+AI58</f>
        <v>0</v>
      </c>
      <c r="AH59" s="192">
        <f>+AG$28</f>
        <v>0</v>
      </c>
      <c r="AI59" s="192">
        <f t="shared" si="20"/>
        <v>0</v>
      </c>
      <c r="AJ59" s="187">
        <f>+AG$25*AI59+AH59</f>
        <v>0</v>
      </c>
      <c r="AK59" s="194">
        <f>+AM58</f>
        <v>0</v>
      </c>
      <c r="AL59" s="192">
        <f>+AK$28</f>
        <v>0</v>
      </c>
      <c r="AM59" s="192">
        <f t="shared" si="21"/>
        <v>0</v>
      </c>
      <c r="AN59" s="187">
        <f>+AK$25*AM59+AL59</f>
        <v>0</v>
      </c>
      <c r="AO59" s="205">
        <f t="shared" si="22"/>
        <v>0</v>
      </c>
      <c r="AP59" s="168"/>
      <c r="AQ59" s="193">
        <f>+AO59</f>
        <v>0</v>
      </c>
    </row>
    <row r="60" spans="1:43">
      <c r="A60" s="139">
        <f t="shared" si="23"/>
        <v>50</v>
      </c>
      <c r="C60" s="292" t="str">
        <f t="shared" si="1"/>
        <v>W Increased ROE</v>
      </c>
      <c r="D60" s="191">
        <f t="shared" si="2"/>
        <v>2021</v>
      </c>
      <c r="E60" s="192">
        <f>+E59</f>
        <v>0</v>
      </c>
      <c r="F60" s="192">
        <f>+F59</f>
        <v>0</v>
      </c>
      <c r="G60" s="192">
        <f t="shared" si="4"/>
        <v>0</v>
      </c>
      <c r="H60" s="189">
        <f>+E$26*G60+F60</f>
        <v>0</v>
      </c>
      <c r="I60" s="194">
        <v>0</v>
      </c>
      <c r="J60" s="192">
        <v>0</v>
      </c>
      <c r="K60" s="192">
        <v>0</v>
      </c>
      <c r="L60" s="187">
        <v>0</v>
      </c>
      <c r="M60" s="194">
        <f>+M59</f>
        <v>0</v>
      </c>
      <c r="N60" s="192">
        <f t="shared" si="14"/>
        <v>0</v>
      </c>
      <c r="O60" s="192">
        <f t="shared" si="15"/>
        <v>0</v>
      </c>
      <c r="P60" s="187">
        <f>+M$26*O60+N60</f>
        <v>0</v>
      </c>
      <c r="Q60" s="194">
        <f>+Q59</f>
        <v>0</v>
      </c>
      <c r="R60" s="192">
        <f>+R59</f>
        <v>0</v>
      </c>
      <c r="S60" s="192">
        <f t="shared" si="16"/>
        <v>0</v>
      </c>
      <c r="T60" s="187">
        <f>+Q$26*S60+R60</f>
        <v>0</v>
      </c>
      <c r="U60" s="194">
        <f>+U59</f>
        <v>0</v>
      </c>
      <c r="V60" s="192">
        <f>+V59</f>
        <v>0</v>
      </c>
      <c r="W60" s="192">
        <f t="shared" si="17"/>
        <v>0</v>
      </c>
      <c r="X60" s="187">
        <f>+U$26*W60+V60</f>
        <v>0</v>
      </c>
      <c r="Y60" s="194">
        <f>+Y59</f>
        <v>0</v>
      </c>
      <c r="Z60" s="192">
        <f>+Z59</f>
        <v>0</v>
      </c>
      <c r="AA60" s="192">
        <f t="shared" si="18"/>
        <v>0</v>
      </c>
      <c r="AB60" s="187">
        <f>+Y$26*AA60+Z60</f>
        <v>0</v>
      </c>
      <c r="AC60" s="194">
        <f>+AC59</f>
        <v>0</v>
      </c>
      <c r="AD60" s="192">
        <f>+AD59</f>
        <v>0</v>
      </c>
      <c r="AE60" s="192">
        <f t="shared" si="19"/>
        <v>0</v>
      </c>
      <c r="AF60" s="187">
        <f>+AC$26*AE60+AD60</f>
        <v>0</v>
      </c>
      <c r="AG60" s="194">
        <f>+AG59</f>
        <v>0</v>
      </c>
      <c r="AH60" s="192">
        <f>+AH59</f>
        <v>0</v>
      </c>
      <c r="AI60" s="192">
        <f t="shared" si="20"/>
        <v>0</v>
      </c>
      <c r="AJ60" s="187">
        <f>+AG$26*AI60+AH60</f>
        <v>0</v>
      </c>
      <c r="AK60" s="194">
        <f>+AK59</f>
        <v>0</v>
      </c>
      <c r="AL60" s="192">
        <f>+AL59</f>
        <v>0</v>
      </c>
      <c r="AM60" s="192">
        <f t="shared" si="21"/>
        <v>0</v>
      </c>
      <c r="AN60" s="187">
        <f>+AK$26*AM60+AL60</f>
        <v>0</v>
      </c>
      <c r="AO60" s="205">
        <f t="shared" si="22"/>
        <v>0</v>
      </c>
      <c r="AP60" s="325">
        <f>+AO60</f>
        <v>0</v>
      </c>
      <c r="AQ60" s="167"/>
    </row>
    <row r="61" spans="1:43">
      <c r="A61" s="139">
        <f t="shared" si="23"/>
        <v>51</v>
      </c>
      <c r="C61" s="292" t="str">
        <f t="shared" si="1"/>
        <v>W  11.5 % ROE</v>
      </c>
      <c r="D61" s="191">
        <f t="shared" si="2"/>
        <v>2022</v>
      </c>
      <c r="E61" s="192"/>
      <c r="F61" s="192">
        <f>+E$28</f>
        <v>0</v>
      </c>
      <c r="G61" s="192">
        <f t="shared" si="4"/>
        <v>0</v>
      </c>
      <c r="H61" s="189">
        <f>+E$25*G61+F61</f>
        <v>0</v>
      </c>
      <c r="I61" s="194">
        <v>0</v>
      </c>
      <c r="J61" s="192">
        <v>0</v>
      </c>
      <c r="K61" s="192">
        <v>0</v>
      </c>
      <c r="L61" s="187">
        <v>0</v>
      </c>
      <c r="M61" s="194">
        <f>+O60</f>
        <v>0</v>
      </c>
      <c r="N61" s="192">
        <f t="shared" si="14"/>
        <v>0</v>
      </c>
      <c r="O61" s="192">
        <f t="shared" si="15"/>
        <v>0</v>
      </c>
      <c r="P61" s="187">
        <f>+M$25*O61+N61</f>
        <v>0</v>
      </c>
      <c r="Q61" s="194">
        <f>+S60</f>
        <v>0</v>
      </c>
      <c r="R61" s="192">
        <f>+Q$28</f>
        <v>0</v>
      </c>
      <c r="S61" s="192">
        <f t="shared" si="16"/>
        <v>0</v>
      </c>
      <c r="T61" s="187">
        <f>+Q$25*S61+R61</f>
        <v>0</v>
      </c>
      <c r="U61" s="194">
        <f>+W60</f>
        <v>0</v>
      </c>
      <c r="V61" s="192">
        <f>+U$28</f>
        <v>0</v>
      </c>
      <c r="W61" s="192">
        <f t="shared" si="17"/>
        <v>0</v>
      </c>
      <c r="X61" s="187">
        <f>+U$25*W61+V61</f>
        <v>0</v>
      </c>
      <c r="Y61" s="194">
        <f>+AA60</f>
        <v>0</v>
      </c>
      <c r="Z61" s="192">
        <f>+Y$28</f>
        <v>0</v>
      </c>
      <c r="AA61" s="192">
        <f t="shared" si="18"/>
        <v>0</v>
      </c>
      <c r="AB61" s="187">
        <f>+Y$25*AA61+Z61</f>
        <v>0</v>
      </c>
      <c r="AC61" s="194">
        <f>+AE60</f>
        <v>0</v>
      </c>
      <c r="AD61" s="192">
        <f>+AC$28</f>
        <v>0</v>
      </c>
      <c r="AE61" s="192">
        <f t="shared" si="19"/>
        <v>0</v>
      </c>
      <c r="AF61" s="187">
        <f>+AC$25*AE61+AD61</f>
        <v>0</v>
      </c>
      <c r="AG61" s="194">
        <f>+AI60</f>
        <v>0</v>
      </c>
      <c r="AH61" s="192">
        <f>+AG$28</f>
        <v>0</v>
      </c>
      <c r="AI61" s="192">
        <f t="shared" si="20"/>
        <v>0</v>
      </c>
      <c r="AJ61" s="187">
        <f>+AG$25*AI61+AH61</f>
        <v>0</v>
      </c>
      <c r="AK61" s="194">
        <f>+AM60</f>
        <v>0</v>
      </c>
      <c r="AL61" s="192">
        <f>+AK$28</f>
        <v>0</v>
      </c>
      <c r="AM61" s="192">
        <f t="shared" si="21"/>
        <v>0</v>
      </c>
      <c r="AN61" s="187">
        <f>+AK$25*AM61+AL61</f>
        <v>0</v>
      </c>
      <c r="AO61" s="205">
        <f t="shared" si="22"/>
        <v>0</v>
      </c>
      <c r="AP61" s="168"/>
      <c r="AQ61" s="193">
        <f>+AO61</f>
        <v>0</v>
      </c>
    </row>
    <row r="62" spans="1:43">
      <c r="A62" s="139">
        <f t="shared" si="23"/>
        <v>52</v>
      </c>
      <c r="C62" s="292" t="str">
        <f t="shared" si="1"/>
        <v>W Increased ROE</v>
      </c>
      <c r="D62" s="191">
        <f t="shared" si="2"/>
        <v>2022</v>
      </c>
      <c r="E62" s="192">
        <f>+E61</f>
        <v>0</v>
      </c>
      <c r="F62" s="192">
        <f>+F61</f>
        <v>0</v>
      </c>
      <c r="G62" s="192">
        <f t="shared" si="4"/>
        <v>0</v>
      </c>
      <c r="H62" s="189">
        <f>+E$26*G62+F62</f>
        <v>0</v>
      </c>
      <c r="I62" s="194">
        <v>0</v>
      </c>
      <c r="J62" s="192">
        <v>0</v>
      </c>
      <c r="K62" s="192">
        <v>0</v>
      </c>
      <c r="L62" s="187">
        <v>0</v>
      </c>
      <c r="M62" s="194">
        <f>+M61</f>
        <v>0</v>
      </c>
      <c r="N62" s="192">
        <f t="shared" si="14"/>
        <v>0</v>
      </c>
      <c r="O62" s="192">
        <f t="shared" si="15"/>
        <v>0</v>
      </c>
      <c r="P62" s="187">
        <f>+M$26*O62+N62</f>
        <v>0</v>
      </c>
      <c r="Q62" s="194">
        <f>+Q61</f>
        <v>0</v>
      </c>
      <c r="R62" s="192">
        <f>+R61</f>
        <v>0</v>
      </c>
      <c r="S62" s="192">
        <f t="shared" si="16"/>
        <v>0</v>
      </c>
      <c r="T62" s="187">
        <f>+Q$26*S62+R62</f>
        <v>0</v>
      </c>
      <c r="U62" s="194">
        <f>+U61</f>
        <v>0</v>
      </c>
      <c r="V62" s="192">
        <f>+V61</f>
        <v>0</v>
      </c>
      <c r="W62" s="192">
        <f t="shared" si="17"/>
        <v>0</v>
      </c>
      <c r="X62" s="187">
        <f>+U$26*W62+V62</f>
        <v>0</v>
      </c>
      <c r="Y62" s="194">
        <f>+Y61</f>
        <v>0</v>
      </c>
      <c r="Z62" s="192">
        <f>+Z61</f>
        <v>0</v>
      </c>
      <c r="AA62" s="192">
        <f t="shared" si="18"/>
        <v>0</v>
      </c>
      <c r="AB62" s="187">
        <f>+Y$26*AA62+Z62</f>
        <v>0</v>
      </c>
      <c r="AC62" s="194">
        <f>+AC61</f>
        <v>0</v>
      </c>
      <c r="AD62" s="192">
        <f>+AD61</f>
        <v>0</v>
      </c>
      <c r="AE62" s="192">
        <f t="shared" si="19"/>
        <v>0</v>
      </c>
      <c r="AF62" s="187">
        <f>+AC$26*AE62+AD62</f>
        <v>0</v>
      </c>
      <c r="AG62" s="194">
        <f>+AG61</f>
        <v>0</v>
      </c>
      <c r="AH62" s="192">
        <f>+AH61</f>
        <v>0</v>
      </c>
      <c r="AI62" s="192">
        <f t="shared" si="20"/>
        <v>0</v>
      </c>
      <c r="AJ62" s="187">
        <f>+AG$26*AI62+AH62</f>
        <v>0</v>
      </c>
      <c r="AK62" s="194">
        <f>+AK61</f>
        <v>0</v>
      </c>
      <c r="AL62" s="192">
        <f>+AL61</f>
        <v>0</v>
      </c>
      <c r="AM62" s="192">
        <f t="shared" si="21"/>
        <v>0</v>
      </c>
      <c r="AN62" s="187">
        <f>+AK$26*AM62+AL62</f>
        <v>0</v>
      </c>
      <c r="AO62" s="205">
        <f t="shared" si="22"/>
        <v>0</v>
      </c>
      <c r="AP62" s="325">
        <f>+AO62</f>
        <v>0</v>
      </c>
      <c r="AQ62" s="167"/>
    </row>
    <row r="63" spans="1:43">
      <c r="A63" s="139">
        <f t="shared" si="23"/>
        <v>53</v>
      </c>
      <c r="C63" s="292" t="str">
        <f t="shared" si="1"/>
        <v>W  11.5 % ROE</v>
      </c>
      <c r="D63" s="191">
        <f t="shared" si="2"/>
        <v>2023</v>
      </c>
      <c r="E63" s="192"/>
      <c r="F63" s="192">
        <f>+E$28</f>
        <v>0</v>
      </c>
      <c r="G63" s="192">
        <f t="shared" si="4"/>
        <v>0</v>
      </c>
      <c r="H63" s="189">
        <f>+E$25*G63+F63</f>
        <v>0</v>
      </c>
      <c r="I63" s="194">
        <v>0</v>
      </c>
      <c r="J63" s="192">
        <v>0</v>
      </c>
      <c r="K63" s="192">
        <v>0</v>
      </c>
      <c r="L63" s="187">
        <v>0</v>
      </c>
      <c r="M63" s="194">
        <f>+O62</f>
        <v>0</v>
      </c>
      <c r="N63" s="192">
        <f t="shared" si="14"/>
        <v>0</v>
      </c>
      <c r="O63" s="192">
        <f t="shared" si="15"/>
        <v>0</v>
      </c>
      <c r="P63" s="187">
        <f>+M$25*O63+N63</f>
        <v>0</v>
      </c>
      <c r="Q63" s="194">
        <f>+S62</f>
        <v>0</v>
      </c>
      <c r="R63" s="192">
        <f>+Q$28</f>
        <v>0</v>
      </c>
      <c r="S63" s="192">
        <f t="shared" si="16"/>
        <v>0</v>
      </c>
      <c r="T63" s="187">
        <f>+Q$25*S63+R63</f>
        <v>0</v>
      </c>
      <c r="U63" s="194">
        <f>+W62</f>
        <v>0</v>
      </c>
      <c r="V63" s="192">
        <f>+U$28</f>
        <v>0</v>
      </c>
      <c r="W63" s="192">
        <f t="shared" si="17"/>
        <v>0</v>
      </c>
      <c r="X63" s="187">
        <f>+U$25*W63+V63</f>
        <v>0</v>
      </c>
      <c r="Y63" s="194">
        <f>+AA62</f>
        <v>0</v>
      </c>
      <c r="Z63" s="192">
        <f>+Y$28</f>
        <v>0</v>
      </c>
      <c r="AA63" s="192">
        <f t="shared" si="18"/>
        <v>0</v>
      </c>
      <c r="AB63" s="187">
        <f>+Y$25*AA63+Z63</f>
        <v>0</v>
      </c>
      <c r="AC63" s="194">
        <f>+AE62</f>
        <v>0</v>
      </c>
      <c r="AD63" s="192">
        <f>+AC$28</f>
        <v>0</v>
      </c>
      <c r="AE63" s="192">
        <f t="shared" si="19"/>
        <v>0</v>
      </c>
      <c r="AF63" s="187">
        <f>+AC$25*AE63+AD63</f>
        <v>0</v>
      </c>
      <c r="AG63" s="194">
        <f>+AI62</f>
        <v>0</v>
      </c>
      <c r="AH63" s="192">
        <f>+AG$28</f>
        <v>0</v>
      </c>
      <c r="AI63" s="192">
        <f t="shared" si="20"/>
        <v>0</v>
      </c>
      <c r="AJ63" s="187">
        <f>+AG$25*AI63+AH63</f>
        <v>0</v>
      </c>
      <c r="AK63" s="194">
        <f>+AM62</f>
        <v>0</v>
      </c>
      <c r="AL63" s="192">
        <f>+AK$28</f>
        <v>0</v>
      </c>
      <c r="AM63" s="192">
        <f t="shared" si="21"/>
        <v>0</v>
      </c>
      <c r="AN63" s="187">
        <f>+AK$25*AM63+AL63</f>
        <v>0</v>
      </c>
      <c r="AO63" s="205">
        <f t="shared" si="22"/>
        <v>0</v>
      </c>
      <c r="AP63" s="168"/>
      <c r="AQ63" s="193">
        <f>+AO63</f>
        <v>0</v>
      </c>
    </row>
    <row r="64" spans="1:43">
      <c r="A64" s="139">
        <f t="shared" si="23"/>
        <v>54</v>
      </c>
      <c r="C64" s="292" t="str">
        <f t="shared" si="1"/>
        <v>W Increased ROE</v>
      </c>
      <c r="D64" s="191">
        <f t="shared" si="2"/>
        <v>2023</v>
      </c>
      <c r="E64" s="192">
        <f>+E63</f>
        <v>0</v>
      </c>
      <c r="F64" s="192">
        <f>+F63</f>
        <v>0</v>
      </c>
      <c r="G64" s="192">
        <f t="shared" si="4"/>
        <v>0</v>
      </c>
      <c r="H64" s="189">
        <f>+E$26*G64+F64</f>
        <v>0</v>
      </c>
      <c r="I64" s="194">
        <v>0</v>
      </c>
      <c r="J64" s="192">
        <v>0</v>
      </c>
      <c r="K64" s="192">
        <v>0</v>
      </c>
      <c r="L64" s="187">
        <v>0</v>
      </c>
      <c r="M64" s="194">
        <f>+M63</f>
        <v>0</v>
      </c>
      <c r="N64" s="192">
        <f t="shared" si="14"/>
        <v>0</v>
      </c>
      <c r="O64" s="192">
        <f t="shared" si="15"/>
        <v>0</v>
      </c>
      <c r="P64" s="187">
        <f>+M$26*O64+N64</f>
        <v>0</v>
      </c>
      <c r="Q64" s="194">
        <f>+Q63</f>
        <v>0</v>
      </c>
      <c r="R64" s="192">
        <f>+R63</f>
        <v>0</v>
      </c>
      <c r="S64" s="192">
        <f t="shared" si="16"/>
        <v>0</v>
      </c>
      <c r="T64" s="187">
        <f>+Q$26*S64+R64</f>
        <v>0</v>
      </c>
      <c r="U64" s="194">
        <f>+U63</f>
        <v>0</v>
      </c>
      <c r="V64" s="192">
        <f>+V63</f>
        <v>0</v>
      </c>
      <c r="W64" s="192">
        <f t="shared" si="17"/>
        <v>0</v>
      </c>
      <c r="X64" s="187">
        <f>+U$26*W64+V64</f>
        <v>0</v>
      </c>
      <c r="Y64" s="194">
        <f>+Y63</f>
        <v>0</v>
      </c>
      <c r="Z64" s="192">
        <f>+Z63</f>
        <v>0</v>
      </c>
      <c r="AA64" s="192">
        <f t="shared" si="18"/>
        <v>0</v>
      </c>
      <c r="AB64" s="187">
        <f>+Y$26*AA64+Z64</f>
        <v>0</v>
      </c>
      <c r="AC64" s="194">
        <f>+AC63</f>
        <v>0</v>
      </c>
      <c r="AD64" s="192">
        <f>+AD63</f>
        <v>0</v>
      </c>
      <c r="AE64" s="192">
        <f t="shared" si="19"/>
        <v>0</v>
      </c>
      <c r="AF64" s="187">
        <f>+AC$26*AE64+AD64</f>
        <v>0</v>
      </c>
      <c r="AG64" s="194">
        <f>+AG63</f>
        <v>0</v>
      </c>
      <c r="AH64" s="192">
        <f>+AH63</f>
        <v>0</v>
      </c>
      <c r="AI64" s="192">
        <f t="shared" si="20"/>
        <v>0</v>
      </c>
      <c r="AJ64" s="187">
        <f>+AG$26*AI64+AH64</f>
        <v>0</v>
      </c>
      <c r="AK64" s="194">
        <f>+AK63</f>
        <v>0</v>
      </c>
      <c r="AL64" s="192">
        <f>+AL63</f>
        <v>0</v>
      </c>
      <c r="AM64" s="192">
        <f t="shared" si="21"/>
        <v>0</v>
      </c>
      <c r="AN64" s="187">
        <f>+AK$26*AM64+AL64</f>
        <v>0</v>
      </c>
      <c r="AO64" s="205">
        <f t="shared" si="22"/>
        <v>0</v>
      </c>
      <c r="AP64" s="325">
        <f>+AO64</f>
        <v>0</v>
      </c>
      <c r="AQ64" s="167"/>
    </row>
    <row r="65" spans="1:43">
      <c r="A65" s="139">
        <f t="shared" si="23"/>
        <v>55</v>
      </c>
      <c r="C65" s="292" t="str">
        <f t="shared" si="1"/>
        <v>W  11.5 % ROE</v>
      </c>
      <c r="D65" s="191">
        <f t="shared" si="2"/>
        <v>2024</v>
      </c>
      <c r="E65" s="192"/>
      <c r="F65" s="192">
        <f>+E$28</f>
        <v>0</v>
      </c>
      <c r="G65" s="192">
        <f t="shared" si="4"/>
        <v>0</v>
      </c>
      <c r="H65" s="189">
        <f>+E$25*G65+F65</f>
        <v>0</v>
      </c>
      <c r="I65" s="194">
        <v>0</v>
      </c>
      <c r="J65" s="192">
        <v>0</v>
      </c>
      <c r="K65" s="192">
        <v>0</v>
      </c>
      <c r="L65" s="187">
        <v>0</v>
      </c>
      <c r="M65" s="194">
        <f>+O64</f>
        <v>0</v>
      </c>
      <c r="N65" s="192">
        <f t="shared" si="14"/>
        <v>0</v>
      </c>
      <c r="O65" s="192">
        <f t="shared" si="15"/>
        <v>0</v>
      </c>
      <c r="P65" s="187">
        <f>+M$25*O65+N65</f>
        <v>0</v>
      </c>
      <c r="Q65" s="194">
        <f>+S64</f>
        <v>0</v>
      </c>
      <c r="R65" s="192">
        <f>+Q$28</f>
        <v>0</v>
      </c>
      <c r="S65" s="192">
        <f t="shared" si="16"/>
        <v>0</v>
      </c>
      <c r="T65" s="187">
        <f>+Q$25*S65+R65</f>
        <v>0</v>
      </c>
      <c r="U65" s="194">
        <f>+W64</f>
        <v>0</v>
      </c>
      <c r="V65" s="192">
        <f>+U$28</f>
        <v>0</v>
      </c>
      <c r="W65" s="192">
        <f t="shared" si="17"/>
        <v>0</v>
      </c>
      <c r="X65" s="187">
        <f>+U$25*W65+V65</f>
        <v>0</v>
      </c>
      <c r="Y65" s="194">
        <f>+AA64</f>
        <v>0</v>
      </c>
      <c r="Z65" s="192">
        <f>+Y$28</f>
        <v>0</v>
      </c>
      <c r="AA65" s="192">
        <f t="shared" si="18"/>
        <v>0</v>
      </c>
      <c r="AB65" s="187">
        <f>+Y$25*AA65+Z65</f>
        <v>0</v>
      </c>
      <c r="AC65" s="194">
        <f>+AE64</f>
        <v>0</v>
      </c>
      <c r="AD65" s="192">
        <f>+AC$28</f>
        <v>0</v>
      </c>
      <c r="AE65" s="192">
        <f t="shared" si="19"/>
        <v>0</v>
      </c>
      <c r="AF65" s="187">
        <f>+AC$25*AE65+AD65</f>
        <v>0</v>
      </c>
      <c r="AG65" s="194">
        <f>+AI64</f>
        <v>0</v>
      </c>
      <c r="AH65" s="192">
        <f>+AG$28</f>
        <v>0</v>
      </c>
      <c r="AI65" s="192">
        <f t="shared" si="20"/>
        <v>0</v>
      </c>
      <c r="AJ65" s="187">
        <f>+AG$25*AI65+AH65</f>
        <v>0</v>
      </c>
      <c r="AK65" s="194">
        <f>+AM64</f>
        <v>0</v>
      </c>
      <c r="AL65" s="192">
        <f>+AK$28</f>
        <v>0</v>
      </c>
      <c r="AM65" s="192">
        <f t="shared" si="21"/>
        <v>0</v>
      </c>
      <c r="AN65" s="187">
        <f>+AK$25*AM65+AL65</f>
        <v>0</v>
      </c>
      <c r="AO65" s="205">
        <f t="shared" si="22"/>
        <v>0</v>
      </c>
      <c r="AP65" s="168"/>
      <c r="AQ65" s="193">
        <f>+AO65</f>
        <v>0</v>
      </c>
    </row>
    <row r="66" spans="1:43">
      <c r="A66" s="139">
        <f t="shared" si="23"/>
        <v>56</v>
      </c>
      <c r="C66" s="292" t="str">
        <f t="shared" si="1"/>
        <v>W Increased ROE</v>
      </c>
      <c r="D66" s="191">
        <f t="shared" si="2"/>
        <v>2024</v>
      </c>
      <c r="E66" s="192">
        <f>+E65</f>
        <v>0</v>
      </c>
      <c r="F66" s="192">
        <f>+F65</f>
        <v>0</v>
      </c>
      <c r="G66" s="192">
        <f t="shared" si="4"/>
        <v>0</v>
      </c>
      <c r="H66" s="189">
        <f>+E$26*G66+F66</f>
        <v>0</v>
      </c>
      <c r="I66" s="194">
        <v>0</v>
      </c>
      <c r="J66" s="192">
        <v>0</v>
      </c>
      <c r="K66" s="192">
        <v>0</v>
      </c>
      <c r="L66" s="187">
        <v>0</v>
      </c>
      <c r="M66" s="194">
        <f>+M65</f>
        <v>0</v>
      </c>
      <c r="N66" s="192">
        <f t="shared" si="14"/>
        <v>0</v>
      </c>
      <c r="O66" s="192">
        <f t="shared" si="15"/>
        <v>0</v>
      </c>
      <c r="P66" s="187">
        <f>+M$26*O66+N66</f>
        <v>0</v>
      </c>
      <c r="Q66" s="194">
        <f>+Q65</f>
        <v>0</v>
      </c>
      <c r="R66" s="192">
        <f>+R65</f>
        <v>0</v>
      </c>
      <c r="S66" s="192">
        <f t="shared" si="16"/>
        <v>0</v>
      </c>
      <c r="T66" s="187">
        <f>+Q$26*S66+R66</f>
        <v>0</v>
      </c>
      <c r="U66" s="194">
        <f>+U65</f>
        <v>0</v>
      </c>
      <c r="V66" s="192">
        <f>+V65</f>
        <v>0</v>
      </c>
      <c r="W66" s="192">
        <f t="shared" si="17"/>
        <v>0</v>
      </c>
      <c r="X66" s="187">
        <f>+U$26*W66+V66</f>
        <v>0</v>
      </c>
      <c r="Y66" s="194">
        <f>+Y65</f>
        <v>0</v>
      </c>
      <c r="Z66" s="192">
        <f>+Z65</f>
        <v>0</v>
      </c>
      <c r="AA66" s="192">
        <f t="shared" si="18"/>
        <v>0</v>
      </c>
      <c r="AB66" s="187">
        <f>+Y$26*AA66+Z66</f>
        <v>0</v>
      </c>
      <c r="AC66" s="194">
        <f>+AC65</f>
        <v>0</v>
      </c>
      <c r="AD66" s="192">
        <f>+AD65</f>
        <v>0</v>
      </c>
      <c r="AE66" s="192">
        <f t="shared" si="19"/>
        <v>0</v>
      </c>
      <c r="AF66" s="187">
        <f>+AC$26*AE66+AD66</f>
        <v>0</v>
      </c>
      <c r="AG66" s="194">
        <f>+AG65</f>
        <v>0</v>
      </c>
      <c r="AH66" s="192">
        <f>+AH65</f>
        <v>0</v>
      </c>
      <c r="AI66" s="192">
        <f t="shared" si="20"/>
        <v>0</v>
      </c>
      <c r="AJ66" s="187">
        <f>+AG$26*AI66+AH66</f>
        <v>0</v>
      </c>
      <c r="AK66" s="194">
        <f>+AK65</f>
        <v>0</v>
      </c>
      <c r="AL66" s="192">
        <f>+AL65</f>
        <v>0</v>
      </c>
      <c r="AM66" s="192">
        <f t="shared" si="21"/>
        <v>0</v>
      </c>
      <c r="AN66" s="187">
        <f>+AK$26*AM66+AL66</f>
        <v>0</v>
      </c>
      <c r="AO66" s="205">
        <f t="shared" si="22"/>
        <v>0</v>
      </c>
      <c r="AP66" s="325">
        <f>+AO66</f>
        <v>0</v>
      </c>
      <c r="AQ66" s="167"/>
    </row>
    <row r="67" spans="1:43">
      <c r="A67" s="139">
        <f t="shared" si="23"/>
        <v>57</v>
      </c>
      <c r="C67" s="292" t="str">
        <f t="shared" si="1"/>
        <v>W  11.5 % ROE</v>
      </c>
      <c r="D67" s="191">
        <f t="shared" si="2"/>
        <v>2025</v>
      </c>
      <c r="E67" s="192"/>
      <c r="F67" s="192">
        <f>+E$28</f>
        <v>0</v>
      </c>
      <c r="G67" s="192">
        <f t="shared" si="4"/>
        <v>0</v>
      </c>
      <c r="H67" s="189">
        <f>+E$25*G67+F67</f>
        <v>0</v>
      </c>
      <c r="I67" s="194">
        <v>0</v>
      </c>
      <c r="J67" s="192">
        <v>0</v>
      </c>
      <c r="K67" s="192">
        <v>0</v>
      </c>
      <c r="L67" s="187">
        <v>0</v>
      </c>
      <c r="M67" s="194">
        <f>+O66</f>
        <v>0</v>
      </c>
      <c r="N67" s="192">
        <f t="shared" si="14"/>
        <v>0</v>
      </c>
      <c r="O67" s="192">
        <f t="shared" si="15"/>
        <v>0</v>
      </c>
      <c r="P67" s="187">
        <f>+M$25*O67+N67</f>
        <v>0</v>
      </c>
      <c r="Q67" s="194">
        <f>+S66</f>
        <v>0</v>
      </c>
      <c r="R67" s="192">
        <f>+Q$28</f>
        <v>0</v>
      </c>
      <c r="S67" s="192">
        <f t="shared" si="16"/>
        <v>0</v>
      </c>
      <c r="T67" s="187">
        <f>+Q$25*S67+R67</f>
        <v>0</v>
      </c>
      <c r="U67" s="194">
        <f>+W66</f>
        <v>0</v>
      </c>
      <c r="V67" s="192">
        <f>+U$28</f>
        <v>0</v>
      </c>
      <c r="W67" s="192">
        <f t="shared" si="17"/>
        <v>0</v>
      </c>
      <c r="X67" s="187">
        <f>+U$25*W67+V67</f>
        <v>0</v>
      </c>
      <c r="Y67" s="194">
        <f>+AA66</f>
        <v>0</v>
      </c>
      <c r="Z67" s="192">
        <f>+Y$28</f>
        <v>0</v>
      </c>
      <c r="AA67" s="192">
        <f t="shared" si="18"/>
        <v>0</v>
      </c>
      <c r="AB67" s="187">
        <f>+Y$25*AA67+Z67</f>
        <v>0</v>
      </c>
      <c r="AC67" s="194">
        <f>+AE66</f>
        <v>0</v>
      </c>
      <c r="AD67" s="192">
        <f>+AC$28</f>
        <v>0</v>
      </c>
      <c r="AE67" s="192">
        <f t="shared" si="19"/>
        <v>0</v>
      </c>
      <c r="AF67" s="187">
        <f>+AC$25*AE67+AD67</f>
        <v>0</v>
      </c>
      <c r="AG67" s="194">
        <f>+AI66</f>
        <v>0</v>
      </c>
      <c r="AH67" s="192">
        <f>+AG$28</f>
        <v>0</v>
      </c>
      <c r="AI67" s="192">
        <f t="shared" si="20"/>
        <v>0</v>
      </c>
      <c r="AJ67" s="187">
        <f>+AG$25*AI67+AH67</f>
        <v>0</v>
      </c>
      <c r="AK67" s="194">
        <f>+AM66</f>
        <v>0</v>
      </c>
      <c r="AL67" s="192">
        <f>+AK$28</f>
        <v>0</v>
      </c>
      <c r="AM67" s="192">
        <f t="shared" si="21"/>
        <v>0</v>
      </c>
      <c r="AN67" s="187">
        <f>+AK$25*AM67+AL67</f>
        <v>0</v>
      </c>
      <c r="AO67" s="205">
        <f t="shared" si="22"/>
        <v>0</v>
      </c>
      <c r="AP67" s="168"/>
      <c r="AQ67" s="193">
        <f>+AO67</f>
        <v>0</v>
      </c>
    </row>
    <row r="68" spans="1:43">
      <c r="A68" s="139">
        <f t="shared" si="23"/>
        <v>58</v>
      </c>
      <c r="C68" s="292" t="str">
        <f t="shared" si="1"/>
        <v>W Increased ROE</v>
      </c>
      <c r="D68" s="191">
        <f t="shared" si="2"/>
        <v>2025</v>
      </c>
      <c r="E68" s="192">
        <f>+E67</f>
        <v>0</v>
      </c>
      <c r="F68" s="192">
        <f>+F67</f>
        <v>0</v>
      </c>
      <c r="G68" s="192">
        <f t="shared" si="4"/>
        <v>0</v>
      </c>
      <c r="H68" s="189">
        <f>+E$26*G68+F68</f>
        <v>0</v>
      </c>
      <c r="I68" s="194">
        <v>0</v>
      </c>
      <c r="J68" s="192">
        <v>0</v>
      </c>
      <c r="K68" s="192">
        <v>0</v>
      </c>
      <c r="L68" s="187">
        <v>0</v>
      </c>
      <c r="M68" s="194">
        <f>+M67</f>
        <v>0</v>
      </c>
      <c r="N68" s="192">
        <f t="shared" si="14"/>
        <v>0</v>
      </c>
      <c r="O68" s="192">
        <f t="shared" si="15"/>
        <v>0</v>
      </c>
      <c r="P68" s="187">
        <f>+M$26*O68+N68</f>
        <v>0</v>
      </c>
      <c r="Q68" s="194">
        <f>+Q67</f>
        <v>0</v>
      </c>
      <c r="R68" s="192">
        <f>+R67</f>
        <v>0</v>
      </c>
      <c r="S68" s="192">
        <f t="shared" si="16"/>
        <v>0</v>
      </c>
      <c r="T68" s="187">
        <f>+Q$26*S68+R68</f>
        <v>0</v>
      </c>
      <c r="U68" s="194">
        <f>+U67</f>
        <v>0</v>
      </c>
      <c r="V68" s="192">
        <f>+V67</f>
        <v>0</v>
      </c>
      <c r="W68" s="192">
        <f t="shared" si="17"/>
        <v>0</v>
      </c>
      <c r="X68" s="187">
        <f>+U$26*W68+V68</f>
        <v>0</v>
      </c>
      <c r="Y68" s="194">
        <f>+Y67</f>
        <v>0</v>
      </c>
      <c r="Z68" s="192">
        <f>+Z67</f>
        <v>0</v>
      </c>
      <c r="AA68" s="192">
        <f t="shared" si="18"/>
        <v>0</v>
      </c>
      <c r="AB68" s="187">
        <f>+Y$26*AA68+Z68</f>
        <v>0</v>
      </c>
      <c r="AC68" s="194">
        <f>+AC67</f>
        <v>0</v>
      </c>
      <c r="AD68" s="192">
        <f>+AD67</f>
        <v>0</v>
      </c>
      <c r="AE68" s="192">
        <f t="shared" si="19"/>
        <v>0</v>
      </c>
      <c r="AF68" s="187">
        <f>+AC$26*AE68+AD68</f>
        <v>0</v>
      </c>
      <c r="AG68" s="194">
        <f>+AG67</f>
        <v>0</v>
      </c>
      <c r="AH68" s="192">
        <f>+AH67</f>
        <v>0</v>
      </c>
      <c r="AI68" s="192">
        <f t="shared" si="20"/>
        <v>0</v>
      </c>
      <c r="AJ68" s="187">
        <f>+AG$26*AI68+AH68</f>
        <v>0</v>
      </c>
      <c r="AK68" s="194">
        <f>+AK67</f>
        <v>0</v>
      </c>
      <c r="AL68" s="192">
        <f>+AL67</f>
        <v>0</v>
      </c>
      <c r="AM68" s="192">
        <f t="shared" si="21"/>
        <v>0</v>
      </c>
      <c r="AN68" s="187">
        <f>+AK$26*AM68+AL68</f>
        <v>0</v>
      </c>
      <c r="AO68" s="205">
        <f t="shared" si="22"/>
        <v>0</v>
      </c>
      <c r="AP68" s="325">
        <f>+AO68</f>
        <v>0</v>
      </c>
      <c r="AQ68" s="167"/>
    </row>
    <row r="69" spans="1:43">
      <c r="A69" s="139">
        <f t="shared" si="23"/>
        <v>59</v>
      </c>
      <c r="C69" s="292" t="str">
        <f t="shared" si="1"/>
        <v>W  11.5 % ROE</v>
      </c>
      <c r="D69" s="191">
        <f t="shared" si="2"/>
        <v>2026</v>
      </c>
      <c r="E69" s="192"/>
      <c r="F69" s="192">
        <f>+E$28</f>
        <v>0</v>
      </c>
      <c r="G69" s="192">
        <f t="shared" si="4"/>
        <v>0</v>
      </c>
      <c r="H69" s="189">
        <f>+E$25*G69+F69</f>
        <v>0</v>
      </c>
      <c r="I69" s="194">
        <v>0</v>
      </c>
      <c r="J69" s="192">
        <v>0</v>
      </c>
      <c r="K69" s="192">
        <v>0</v>
      </c>
      <c r="L69" s="187">
        <v>0</v>
      </c>
      <c r="M69" s="194">
        <f>+O68</f>
        <v>0</v>
      </c>
      <c r="N69" s="192">
        <f t="shared" si="14"/>
        <v>0</v>
      </c>
      <c r="O69" s="192">
        <f t="shared" si="15"/>
        <v>0</v>
      </c>
      <c r="P69" s="187">
        <f>+M$25*O69+N69</f>
        <v>0</v>
      </c>
      <c r="Q69" s="194">
        <f>+S68</f>
        <v>0</v>
      </c>
      <c r="R69" s="192">
        <f>+Q$28</f>
        <v>0</v>
      </c>
      <c r="S69" s="192">
        <f t="shared" si="16"/>
        <v>0</v>
      </c>
      <c r="T69" s="187">
        <f>+Q$25*S69+R69</f>
        <v>0</v>
      </c>
      <c r="U69" s="194">
        <f>+W68</f>
        <v>0</v>
      </c>
      <c r="V69" s="192">
        <f>+U$28</f>
        <v>0</v>
      </c>
      <c r="W69" s="192">
        <f t="shared" si="17"/>
        <v>0</v>
      </c>
      <c r="X69" s="187">
        <f>+U$25*W69+V69</f>
        <v>0</v>
      </c>
      <c r="Y69" s="194">
        <f>+AA68</f>
        <v>0</v>
      </c>
      <c r="Z69" s="192">
        <f>+Y$28</f>
        <v>0</v>
      </c>
      <c r="AA69" s="192">
        <f t="shared" si="18"/>
        <v>0</v>
      </c>
      <c r="AB69" s="187">
        <f>+Y$25*AA69+Z69</f>
        <v>0</v>
      </c>
      <c r="AC69" s="194">
        <f>+AE68</f>
        <v>0</v>
      </c>
      <c r="AD69" s="192">
        <f>+AC$28</f>
        <v>0</v>
      </c>
      <c r="AE69" s="192">
        <f t="shared" si="19"/>
        <v>0</v>
      </c>
      <c r="AF69" s="187">
        <f>+AC$25*AE69+AD69</f>
        <v>0</v>
      </c>
      <c r="AG69" s="194">
        <f>+AI68</f>
        <v>0</v>
      </c>
      <c r="AH69" s="192">
        <f>+AG$28</f>
        <v>0</v>
      </c>
      <c r="AI69" s="192">
        <f t="shared" si="20"/>
        <v>0</v>
      </c>
      <c r="AJ69" s="187">
        <f>+AG$25*AI69+AH69</f>
        <v>0</v>
      </c>
      <c r="AK69" s="194">
        <f>+AM68</f>
        <v>0</v>
      </c>
      <c r="AL69" s="192">
        <f>+AK$28</f>
        <v>0</v>
      </c>
      <c r="AM69" s="192">
        <f t="shared" si="21"/>
        <v>0</v>
      </c>
      <c r="AN69" s="187">
        <f>+AK$25*AM69+AL69</f>
        <v>0</v>
      </c>
      <c r="AO69" s="205">
        <f t="shared" si="22"/>
        <v>0</v>
      </c>
      <c r="AP69" s="168"/>
      <c r="AQ69" s="193">
        <f>+AO69</f>
        <v>0</v>
      </c>
    </row>
    <row r="70" spans="1:43">
      <c r="A70" s="139">
        <f t="shared" si="23"/>
        <v>60</v>
      </c>
      <c r="C70" s="292" t="str">
        <f t="shared" si="1"/>
        <v>W Increased ROE</v>
      </c>
      <c r="D70" s="191">
        <f t="shared" si="2"/>
        <v>2026</v>
      </c>
      <c r="E70" s="192">
        <f>+E69</f>
        <v>0</v>
      </c>
      <c r="F70" s="192">
        <f>+F69</f>
        <v>0</v>
      </c>
      <c r="G70" s="192">
        <f t="shared" si="4"/>
        <v>0</v>
      </c>
      <c r="H70" s="189">
        <f>+E$26*G70+F70</f>
        <v>0</v>
      </c>
      <c r="I70" s="194">
        <v>0</v>
      </c>
      <c r="J70" s="192">
        <v>0</v>
      </c>
      <c r="K70" s="192">
        <v>0</v>
      </c>
      <c r="L70" s="187">
        <v>0</v>
      </c>
      <c r="M70" s="194">
        <f>+M69</f>
        <v>0</v>
      </c>
      <c r="N70" s="192">
        <f t="shared" si="14"/>
        <v>0</v>
      </c>
      <c r="O70" s="192">
        <f t="shared" si="15"/>
        <v>0</v>
      </c>
      <c r="P70" s="187">
        <f>+M$26*O70+N70</f>
        <v>0</v>
      </c>
      <c r="Q70" s="194">
        <f>+Q69</f>
        <v>0</v>
      </c>
      <c r="R70" s="192">
        <f>+R69</f>
        <v>0</v>
      </c>
      <c r="S70" s="192">
        <f t="shared" si="16"/>
        <v>0</v>
      </c>
      <c r="T70" s="187">
        <f>+Q$26*S70+R70</f>
        <v>0</v>
      </c>
      <c r="U70" s="194">
        <f>+U69</f>
        <v>0</v>
      </c>
      <c r="V70" s="192">
        <f>+V69</f>
        <v>0</v>
      </c>
      <c r="W70" s="192">
        <f t="shared" si="17"/>
        <v>0</v>
      </c>
      <c r="X70" s="187">
        <f>+U$26*W70+V70</f>
        <v>0</v>
      </c>
      <c r="Y70" s="194">
        <f>+Y69</f>
        <v>0</v>
      </c>
      <c r="Z70" s="192">
        <f>+Z69</f>
        <v>0</v>
      </c>
      <c r="AA70" s="192">
        <f t="shared" si="18"/>
        <v>0</v>
      </c>
      <c r="AB70" s="187">
        <f>+Y$26*AA70+Z70</f>
        <v>0</v>
      </c>
      <c r="AC70" s="194">
        <f>+AC69</f>
        <v>0</v>
      </c>
      <c r="AD70" s="192">
        <f>+AD69</f>
        <v>0</v>
      </c>
      <c r="AE70" s="192">
        <f t="shared" si="19"/>
        <v>0</v>
      </c>
      <c r="AF70" s="187">
        <f>+AC$26*AE70+AD70</f>
        <v>0</v>
      </c>
      <c r="AG70" s="194">
        <f>+AG69</f>
        <v>0</v>
      </c>
      <c r="AH70" s="192">
        <f>+AH69</f>
        <v>0</v>
      </c>
      <c r="AI70" s="192">
        <f t="shared" si="20"/>
        <v>0</v>
      </c>
      <c r="AJ70" s="187">
        <f>+AG$26*AI70+AH70</f>
        <v>0</v>
      </c>
      <c r="AK70" s="194">
        <f>+AK69</f>
        <v>0</v>
      </c>
      <c r="AL70" s="192">
        <f>+AL69</f>
        <v>0</v>
      </c>
      <c r="AM70" s="192">
        <f t="shared" si="21"/>
        <v>0</v>
      </c>
      <c r="AN70" s="187">
        <f>+AK$26*AM70+AL70</f>
        <v>0</v>
      </c>
      <c r="AO70" s="205">
        <f t="shared" si="22"/>
        <v>0</v>
      </c>
      <c r="AP70" s="325">
        <f>+AO70</f>
        <v>0</v>
      </c>
      <c r="AQ70" s="167"/>
    </row>
    <row r="71" spans="1:43">
      <c r="A71" s="139">
        <f t="shared" si="23"/>
        <v>61</v>
      </c>
      <c r="C71" s="292" t="s">
        <v>104</v>
      </c>
      <c r="D71" s="195" t="s">
        <v>104</v>
      </c>
      <c r="E71" s="258" t="s">
        <v>104</v>
      </c>
      <c r="F71" s="196" t="s">
        <v>104</v>
      </c>
      <c r="G71" s="196" t="s">
        <v>104</v>
      </c>
      <c r="H71" s="196" t="s">
        <v>104</v>
      </c>
      <c r="I71" s="194">
        <v>0</v>
      </c>
      <c r="J71" s="192">
        <v>0</v>
      </c>
      <c r="K71" s="192">
        <v>0</v>
      </c>
      <c r="L71" s="187">
        <v>0</v>
      </c>
      <c r="M71" s="196" t="s">
        <v>104</v>
      </c>
      <c r="N71" s="196" t="s">
        <v>104</v>
      </c>
      <c r="O71" s="196" t="s">
        <v>105</v>
      </c>
      <c r="P71" s="197" t="s">
        <v>104</v>
      </c>
      <c r="Q71" s="196" t="s">
        <v>104</v>
      </c>
      <c r="R71" s="196" t="s">
        <v>104</v>
      </c>
      <c r="S71" s="196" t="s">
        <v>105</v>
      </c>
      <c r="T71" s="197" t="s">
        <v>104</v>
      </c>
      <c r="U71" s="196" t="s">
        <v>104</v>
      </c>
      <c r="V71" s="196" t="s">
        <v>104</v>
      </c>
      <c r="W71" s="196" t="s">
        <v>105</v>
      </c>
      <c r="X71" s="197" t="s">
        <v>104</v>
      </c>
      <c r="Y71" s="196" t="s">
        <v>104</v>
      </c>
      <c r="Z71" s="196" t="s">
        <v>104</v>
      </c>
      <c r="AA71" s="196" t="s">
        <v>105</v>
      </c>
      <c r="AB71" s="197" t="s">
        <v>104</v>
      </c>
      <c r="AC71" s="196" t="s">
        <v>104</v>
      </c>
      <c r="AD71" s="196" t="s">
        <v>104</v>
      </c>
      <c r="AE71" s="196" t="s">
        <v>105</v>
      </c>
      <c r="AF71" s="197" t="s">
        <v>104</v>
      </c>
      <c r="AG71" s="196" t="s">
        <v>104</v>
      </c>
      <c r="AH71" s="196" t="s">
        <v>104</v>
      </c>
      <c r="AI71" s="196" t="s">
        <v>105</v>
      </c>
      <c r="AJ71" s="197" t="s">
        <v>104</v>
      </c>
      <c r="AK71" s="196" t="s">
        <v>104</v>
      </c>
      <c r="AL71" s="196" t="s">
        <v>104</v>
      </c>
      <c r="AM71" s="196" t="s">
        <v>105</v>
      </c>
      <c r="AN71" s="197" t="s">
        <v>104</v>
      </c>
      <c r="AO71" s="196" t="s">
        <v>104</v>
      </c>
      <c r="AP71" s="258" t="s">
        <v>104</v>
      </c>
      <c r="AQ71" s="197" t="s">
        <v>104</v>
      </c>
    </row>
    <row r="72" spans="1:43" ht="13.5" thickBot="1">
      <c r="A72" s="139">
        <f t="shared" si="23"/>
        <v>62</v>
      </c>
      <c r="C72" s="294" t="s">
        <v>104</v>
      </c>
      <c r="D72" s="198" t="s">
        <v>104</v>
      </c>
      <c r="E72" s="259" t="s">
        <v>104</v>
      </c>
      <c r="F72" s="199" t="s">
        <v>104</v>
      </c>
      <c r="G72" s="199" t="s">
        <v>104</v>
      </c>
      <c r="H72" s="199" t="s">
        <v>104</v>
      </c>
      <c r="I72" s="259">
        <v>0</v>
      </c>
      <c r="J72" s="199">
        <v>0</v>
      </c>
      <c r="K72" s="199">
        <v>0</v>
      </c>
      <c r="L72" s="199">
        <v>0</v>
      </c>
      <c r="M72" s="259" t="s">
        <v>104</v>
      </c>
      <c r="N72" s="199" t="s">
        <v>105</v>
      </c>
      <c r="O72" s="199" t="s">
        <v>105</v>
      </c>
      <c r="P72" s="200" t="s">
        <v>104</v>
      </c>
      <c r="Q72" s="199" t="s">
        <v>104</v>
      </c>
      <c r="R72" s="199" t="s">
        <v>105</v>
      </c>
      <c r="S72" s="199" t="s">
        <v>105</v>
      </c>
      <c r="T72" s="200" t="s">
        <v>104</v>
      </c>
      <c r="U72" s="199" t="s">
        <v>104</v>
      </c>
      <c r="V72" s="199" t="s">
        <v>105</v>
      </c>
      <c r="W72" s="199" t="s">
        <v>105</v>
      </c>
      <c r="X72" s="200" t="s">
        <v>104</v>
      </c>
      <c r="Y72" s="199" t="s">
        <v>104</v>
      </c>
      <c r="Z72" s="199" t="s">
        <v>105</v>
      </c>
      <c r="AA72" s="199" t="s">
        <v>105</v>
      </c>
      <c r="AB72" s="200" t="s">
        <v>104</v>
      </c>
      <c r="AC72" s="199" t="s">
        <v>104</v>
      </c>
      <c r="AD72" s="199" t="s">
        <v>105</v>
      </c>
      <c r="AE72" s="199" t="s">
        <v>105</v>
      </c>
      <c r="AF72" s="200" t="s">
        <v>104</v>
      </c>
      <c r="AG72" s="199" t="s">
        <v>104</v>
      </c>
      <c r="AH72" s="199" t="s">
        <v>105</v>
      </c>
      <c r="AI72" s="199" t="s">
        <v>105</v>
      </c>
      <c r="AJ72" s="200" t="s">
        <v>104</v>
      </c>
      <c r="AK72" s="199" t="s">
        <v>104</v>
      </c>
      <c r="AL72" s="199" t="s">
        <v>105</v>
      </c>
      <c r="AM72" s="199" t="s">
        <v>105</v>
      </c>
      <c r="AN72" s="200" t="s">
        <v>104</v>
      </c>
      <c r="AO72" s="199" t="s">
        <v>104</v>
      </c>
      <c r="AP72" s="259" t="s">
        <v>104</v>
      </c>
      <c r="AQ72" s="200" t="s">
        <v>104</v>
      </c>
    </row>
    <row r="73" spans="1:43">
      <c r="C73" s="144"/>
      <c r="D73" s="201"/>
      <c r="E73" s="201"/>
      <c r="F73" s="144"/>
      <c r="G73" s="144"/>
      <c r="H73" s="144"/>
      <c r="I73" s="144"/>
      <c r="J73" s="144"/>
      <c r="K73" s="144"/>
      <c r="L73" s="202"/>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203"/>
      <c r="AQ73" s="203"/>
    </row>
    <row r="74" spans="1:43" ht="18">
      <c r="A74" s="1255"/>
      <c r="B74" s="1255"/>
      <c r="C74" s="1255"/>
      <c r="D74" s="1255"/>
      <c r="E74" s="1255"/>
      <c r="F74" s="1255"/>
      <c r="G74" s="1255"/>
      <c r="H74" s="1255"/>
    </row>
    <row r="75" spans="1:43">
      <c r="B75" s="336" t="s">
        <v>127</v>
      </c>
      <c r="N75" s="160" t="s">
        <v>253</v>
      </c>
      <c r="AP75" s="158"/>
    </row>
    <row r="76" spans="1:43">
      <c r="B76" s="219" t="s">
        <v>128</v>
      </c>
      <c r="N76" s="219" t="s">
        <v>254</v>
      </c>
    </row>
    <row r="77" spans="1:43">
      <c r="B77" s="219" t="s">
        <v>129</v>
      </c>
      <c r="N77" s="219" t="s">
        <v>255</v>
      </c>
    </row>
    <row r="78" spans="1:43">
      <c r="B78" s="219" t="s">
        <v>256</v>
      </c>
      <c r="N78" s="219" t="s">
        <v>257</v>
      </c>
    </row>
    <row r="79" spans="1:43">
      <c r="B79" s="219" t="s">
        <v>130</v>
      </c>
      <c r="N79" s="219" t="s">
        <v>126</v>
      </c>
    </row>
    <row r="122" spans="1:8" ht="18">
      <c r="A122" s="1255" t="s">
        <v>653</v>
      </c>
      <c r="B122" s="1255"/>
      <c r="C122" s="1255"/>
      <c r="D122" s="1255"/>
      <c r="E122" s="1255"/>
      <c r="F122" s="1255"/>
      <c r="G122" s="1255"/>
      <c r="H122" s="1255"/>
    </row>
    <row r="305" spans="3:8">
      <c r="C305" s="211"/>
      <c r="D305" s="210"/>
      <c r="E305" s="210"/>
      <c r="F305" s="211"/>
      <c r="G305" s="211"/>
      <c r="H305" s="211"/>
    </row>
    <row r="306" spans="3:8">
      <c r="C306" s="211"/>
      <c r="D306" s="210"/>
      <c r="E306" s="210"/>
      <c r="F306" s="211"/>
      <c r="G306" s="211"/>
      <c r="H306" s="211"/>
    </row>
    <row r="307" spans="3:8">
      <c r="C307" s="211"/>
      <c r="D307" s="210"/>
      <c r="E307" s="210"/>
      <c r="F307" s="211"/>
      <c r="G307" s="211"/>
      <c r="H307" s="211"/>
    </row>
    <row r="308" spans="3:8">
      <c r="C308" s="211"/>
      <c r="D308" s="210"/>
      <c r="E308" s="210"/>
      <c r="F308" s="211"/>
      <c r="G308" s="211"/>
      <c r="H308" s="211"/>
    </row>
    <row r="309" spans="3:8">
      <c r="C309" s="211"/>
      <c r="D309" s="210"/>
      <c r="E309" s="210"/>
      <c r="F309" s="211"/>
      <c r="G309" s="211"/>
      <c r="H309" s="211"/>
    </row>
    <row r="310" spans="3:8">
      <c r="C310" s="211"/>
      <c r="D310" s="210"/>
      <c r="E310" s="210"/>
      <c r="F310" s="211"/>
      <c r="G310" s="211"/>
      <c r="H310" s="211"/>
    </row>
    <row r="311" spans="3:8">
      <c r="C311" s="211"/>
      <c r="D311" s="210"/>
      <c r="E311" s="210"/>
      <c r="F311" s="211"/>
      <c r="G311" s="211"/>
      <c r="H311" s="211"/>
    </row>
    <row r="312" spans="3:8">
      <c r="C312" s="211"/>
      <c r="D312" s="210"/>
      <c r="E312" s="210"/>
      <c r="F312" s="211"/>
      <c r="G312" s="211"/>
      <c r="H312" s="211"/>
    </row>
    <row r="313" spans="3:8">
      <c r="C313" s="211"/>
      <c r="D313" s="210"/>
      <c r="E313" s="210"/>
      <c r="F313" s="211"/>
      <c r="G313" s="211"/>
      <c r="H313" s="211"/>
    </row>
  </sheetData>
  <mergeCells count="8">
    <mergeCell ref="Q20:T20"/>
    <mergeCell ref="A1:AR1"/>
    <mergeCell ref="A2:AR2"/>
    <mergeCell ref="A74:H74"/>
    <mergeCell ref="A122:H122"/>
    <mergeCell ref="I20:L20"/>
    <mergeCell ref="M20:P20"/>
    <mergeCell ref="E20:H20"/>
  </mergeCells>
  <phoneticPr fontId="0" type="noConversion"/>
  <pageMargins left="0.5" right="0.5" top="0.95" bottom="0.5" header="0.5" footer="0.5"/>
  <pageSetup scale="40" fitToHeight="0" orientation="landscape" r:id="rId1"/>
  <headerFooter alignWithMargins="0">
    <oddHeader>&amp;R&amp;14Exhibit No. RMU-205
ATTACHMENT H-25B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122"/>
  <sheetViews>
    <sheetView zoomScale="75" zoomScaleNormal="75" workbookViewId="0">
      <selection activeCell="A3" sqref="A3:F3"/>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8">
      <c r="A1" s="1257"/>
      <c r="B1" s="1380"/>
      <c r="C1" s="1380"/>
      <c r="D1" s="1380"/>
      <c r="E1" s="1380"/>
      <c r="F1" s="1380"/>
    </row>
    <row r="2" spans="1:8" ht="20.25" customHeight="1">
      <c r="A2" s="1381" t="s">
        <v>665</v>
      </c>
      <c r="B2" s="1381"/>
      <c r="C2" s="1381"/>
      <c r="D2" s="1381"/>
      <c r="E2" s="1381"/>
      <c r="F2" s="1381"/>
    </row>
    <row r="3" spans="1:8" ht="15.75">
      <c r="A3" s="1250" t="s">
        <v>653</v>
      </c>
      <c r="B3" s="1251"/>
      <c r="C3" s="1251"/>
      <c r="D3" s="1251"/>
      <c r="E3" s="1251"/>
      <c r="F3" s="1251"/>
    </row>
    <row r="4" spans="1:8">
      <c r="B4" s="112"/>
      <c r="C4" s="139"/>
      <c r="D4" s="139"/>
    </row>
    <row r="5" spans="1:8">
      <c r="A5" s="112"/>
    </row>
    <row r="6" spans="1:8">
      <c r="E6" s="149"/>
    </row>
    <row r="7" spans="1:8">
      <c r="A7" t="s">
        <v>353</v>
      </c>
    </row>
    <row r="8" spans="1:8">
      <c r="B8" s="2"/>
      <c r="C8" s="2"/>
      <c r="D8" s="2"/>
      <c r="E8" s="2"/>
      <c r="F8" s="2"/>
      <c r="G8" s="2"/>
      <c r="H8" s="2"/>
    </row>
    <row r="9" spans="1:8">
      <c r="B9" s="150"/>
      <c r="C9" s="150"/>
      <c r="D9" s="150"/>
      <c r="E9" s="150"/>
      <c r="F9" s="150"/>
      <c r="G9" s="150"/>
      <c r="H9" s="2"/>
    </row>
    <row r="10" spans="1:8">
      <c r="B10" s="2"/>
      <c r="C10" s="2"/>
      <c r="D10" s="2"/>
      <c r="E10" s="2"/>
      <c r="F10" s="2"/>
      <c r="G10" s="2"/>
      <c r="H10" s="2"/>
    </row>
    <row r="12" spans="1:8">
      <c r="A12" s="139" t="s">
        <v>56</v>
      </c>
    </row>
    <row r="13" spans="1:8">
      <c r="C13" t="s">
        <v>345</v>
      </c>
    </row>
    <row r="14" spans="1:8">
      <c r="A14" s="147">
        <f>+'Appendix A - TSRR Summary'!A173</f>
        <v>100</v>
      </c>
      <c r="B14" s="147">
        <f>+'Appendix A - TSRR Summary'!B173</f>
        <v>0</v>
      </c>
      <c r="C14" s="147" t="str">
        <f>+'Appendix A - TSRR Summary'!C173</f>
        <v xml:space="preserve">    Less LTD Interest on Securitization Bonds</v>
      </c>
      <c r="D14" s="147"/>
      <c r="E14" s="1117">
        <v>0</v>
      </c>
      <c r="F14" s="147"/>
    </row>
    <row r="17" spans="1:6">
      <c r="C17" t="s">
        <v>399</v>
      </c>
    </row>
    <row r="18" spans="1:6">
      <c r="A18" s="147">
        <f>+'Appendix A - TSRR Summary'!A190</f>
        <v>112</v>
      </c>
      <c r="C18" s="147" t="str">
        <f>+'Appendix A - TSRR Summary'!C190</f>
        <v xml:space="preserve">      Less LTD on Securitization Bonds</v>
      </c>
      <c r="D18" s="147"/>
      <c r="E18" s="1117">
        <v>0</v>
      </c>
      <c r="F18" s="147"/>
    </row>
    <row r="21" spans="1:6">
      <c r="C21" s="2" t="s">
        <v>275</v>
      </c>
      <c r="D21" s="2"/>
      <c r="E21" s="2"/>
    </row>
    <row r="22" spans="1:6">
      <c r="D22" s="137"/>
      <c r="E22" s="137"/>
      <c r="F22" s="137"/>
    </row>
    <row r="23" spans="1:6">
      <c r="D23" s="137"/>
      <c r="E23" s="137"/>
      <c r="F23" s="137"/>
    </row>
    <row r="24" spans="1:6">
      <c r="D24" s="137"/>
      <c r="E24" s="137"/>
      <c r="F24" s="137"/>
    </row>
    <row r="25" spans="1:6">
      <c r="D25" s="137"/>
      <c r="E25" s="137"/>
      <c r="F25" s="137"/>
    </row>
    <row r="26" spans="1:6">
      <c r="D26" s="137"/>
      <c r="E26" s="137"/>
      <c r="F26" s="137"/>
    </row>
    <row r="27" spans="1:6">
      <c r="D27" s="137"/>
      <c r="E27" s="137"/>
      <c r="F27" s="137"/>
    </row>
    <row r="74" spans="1:6" ht="15.75">
      <c r="A74" s="337"/>
      <c r="B74" s="215"/>
      <c r="C74" s="215"/>
      <c r="D74" s="1379" t="s">
        <v>353</v>
      </c>
      <c r="E74" s="1379"/>
      <c r="F74" s="1379"/>
    </row>
    <row r="122" spans="1:6" ht="15.75">
      <c r="A122" s="337"/>
      <c r="B122" s="215"/>
      <c r="C122" s="215"/>
      <c r="D122" s="1379" t="s">
        <v>353</v>
      </c>
      <c r="E122" s="1379"/>
      <c r="F122" s="1379"/>
    </row>
  </sheetData>
  <customSheetViews>
    <customSheetView guid="{DC91DEF3-837B-4BB9-A81E-3B78C5914E6C}"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2"/>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3"/>
      <headerFooter alignWithMargins="0">
        <oddHeader xml:space="preserve">&amp;R&amp;14Page &amp;P of &amp;N </oddHeader>
      </headerFooter>
    </customSheetView>
    <customSheetView guid="{FAAD9AAC-1337-43AB-BF1F-CCF9DFCF5B78}"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7"/>
      <headerFooter alignWithMargins="0">
        <oddHeader xml:space="preserve">&amp;R&amp;12Page &amp;P of &amp;N </oddHeader>
      </headerFooter>
    </customSheetView>
    <customSheetView guid="{3A38DF7A-C35E-4DD3-9893-26310A3EF836}"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5">
    <mergeCell ref="D122:F122"/>
    <mergeCell ref="A3:F3"/>
    <mergeCell ref="A1:F1"/>
    <mergeCell ref="D74:F74"/>
    <mergeCell ref="A2:F2"/>
  </mergeCells>
  <phoneticPr fontId="0" type="noConversion"/>
  <pageMargins left="0.5" right="0.5" top="1.2" bottom="0.5" header="0.5" footer="0.5"/>
  <pageSetup fitToHeight="0" orientation="portrait" r:id="rId9"/>
  <headerFooter alignWithMargins="0">
    <oddHeader>&amp;R&amp;14Exhibit No. RMU-205
ATTACHMENT H-25B
Page &amp;P of &amp;N</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Appendix A - TSRR Summary</vt:lpstr>
      <vt:lpstr>ADIT - Att. 1 Reserved</vt:lpstr>
      <vt:lpstr>Other Taxes - Att. 2</vt:lpstr>
      <vt:lpstr>Revenue Credits - Att. 3</vt:lpstr>
      <vt:lpstr>100 bp ROE incr - Att. 4</vt:lpstr>
      <vt:lpstr>Cost Support - Att. 5</vt:lpstr>
      <vt:lpstr>Est &amp; Rec WS - Att. 6 Reserved</vt:lpstr>
      <vt:lpstr>Cap Add WS - Att. 7</vt:lpstr>
      <vt:lpstr>Securitization- Att. 8</vt:lpstr>
      <vt:lpstr>Depr Rates - Att. 9</vt:lpstr>
      <vt:lpstr>'ADIT - Att. 1 Reserved'!Print_Area</vt:lpstr>
      <vt:lpstr>'Appendix A - TSRR Summary'!Print_Area</vt:lpstr>
      <vt:lpstr>'Cap Add WS - Att. 7'!Print_Area</vt:lpstr>
      <vt:lpstr>'Cost Support - Att. 5'!Print_Area</vt:lpstr>
      <vt:lpstr>'Est &amp; Rec WS - Att. 6 Reserved'!Print_Area</vt:lpstr>
      <vt:lpstr>'Revenue Credits - Att. 3'!Print_Area</vt:lpstr>
      <vt:lpstr>'Securitization- Att. 8'!Print_Area</vt:lpstr>
      <vt:lpstr>'Appendix A - TSRR Summary'!Print_Titles</vt:lpstr>
      <vt:lpstr>'Cap Add WS - Att. 7'!Print_Titles</vt:lpstr>
      <vt:lpstr>'Cost Support - Att. 5'!Print_Titles</vt:lpstr>
      <vt:lpstr>'Est &amp; Rec WS - Att. 6 Reserved'!Print_Titles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