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911"/>
  </bookViews>
  <sheets>
    <sheet name="Attachment H-27A" sheetId="1" r:id="rId1"/>
    <sheet name="Attachment 1" sheetId="5" r:id="rId2"/>
    <sheet name="Attachment 2" sheetId="4" r:id="rId3"/>
    <sheet name="Attachment 3" sheetId="3" r:id="rId4"/>
    <sheet name="Attachment 4" sheetId="6" r:id="rId5"/>
    <sheet name="Attachment 5" sheetId="7" r:id="rId6"/>
    <sheet name="Attachment 6" sheetId="8" r:id="rId7"/>
    <sheet name="Attachment 6a" sheetId="15" r:id="rId8"/>
    <sheet name="Attachment 7" sheetId="16" r:id="rId9"/>
    <sheet name="Attachment 8" sheetId="10" r:id="rId10"/>
    <sheet name="Attachment 9" sheetId="11" r:id="rId11"/>
    <sheet name="Attachment 10" sheetId="12" r:id="rId12"/>
    <sheet name="Attachment 11" sheetId="13" r:id="rId13"/>
    <sheet name="Attachment 12" sheetId="14" r:id="rId14"/>
    <sheet name="WP1 - ADIT" sheetId="23" r:id="rId15"/>
    <sheet name="WP2 - Tax Rates" sheetId="24" r:id="rId16"/>
    <sheet name="WP3 - Perm Tax" sheetId="25" r:id="rId17"/>
    <sheet name="WP4 - Cost Commitment" sheetId="27" r:id="rId18"/>
  </sheets>
  <definedNames>
    <definedName name="_xlnm.Print_Area" localSheetId="1">'Attachment 1'!$A$1:$K$115</definedName>
    <definedName name="_xlnm.Print_Area" localSheetId="11">'Attachment 10'!$A$1:$G$45</definedName>
    <definedName name="_xlnm.Print_Area" localSheetId="12">'Attachment 11'!$A$1:$F$34</definedName>
    <definedName name="_xlnm.Print_Area" localSheetId="13">'Attachment 12'!$A$1:$F$34</definedName>
    <definedName name="_xlnm.Print_Area" localSheetId="2">'Attachment 2'!$A$1:$J$44</definedName>
    <definedName name="_xlnm.Print_Area" localSheetId="3">'Attachment 3'!$A$1:$L$45</definedName>
    <definedName name="_xlnm.Print_Area" localSheetId="4">'Attachment 4'!$A$1:$K$85</definedName>
    <definedName name="_xlnm.Print_Area" localSheetId="5">'Attachment 5'!$A$1:$J$48</definedName>
    <definedName name="_xlnm.Print_Area" localSheetId="6">'Attachment 6'!$A$1:$I$57</definedName>
    <definedName name="_xlnm.Print_Area" localSheetId="7">'Attachment 6a'!$A$1:$J$33</definedName>
    <definedName name="_xlnm.Print_Area" localSheetId="8">'Attachment 7'!$A$1:$L$28</definedName>
    <definedName name="_xlnm.Print_Area" localSheetId="9">'Attachment 8'!$A$1:$I$64</definedName>
    <definedName name="_xlnm.Print_Area" localSheetId="10">'Attachment 9'!$A$1:$G$40</definedName>
    <definedName name="_xlnm.Print_Area" localSheetId="0">'Attachment H-27A'!$A$1:$M$231</definedName>
    <definedName name="_xlnm.Print_Area" localSheetId="14">'WP1 - ADIT'!$A$1:$J$104</definedName>
    <definedName name="_xlnm.Print_Area" localSheetId="15">'WP2 - Tax Rates'!$A$1:$K$32</definedName>
    <definedName name="_xlnm.Print_Area" localSheetId="16">'WP3 - Perm Tax'!$A$1:$H$20</definedName>
    <definedName name="_xlnm.Print_Area" localSheetId="17">'WP4 - Cost Commitment'!$A$1:$H$19</definedName>
  </definedNames>
  <calcPr calcId="162913" iterate="1"/>
</workbook>
</file>

<file path=xl/calcChain.xml><?xml version="1.0" encoding="utf-8"?>
<calcChain xmlns="http://schemas.openxmlformats.org/spreadsheetml/2006/main">
  <c r="G15" i="27" l="1"/>
  <c r="G12" i="27" l="1"/>
  <c r="G8" i="27"/>
  <c r="F21" i="1" l="1"/>
  <c r="J92" i="5"/>
  <c r="F19" i="16" l="1"/>
  <c r="F18" i="16"/>
  <c r="F14" i="16"/>
  <c r="F13" i="16"/>
  <c r="F220" i="1"/>
  <c r="F219" i="1"/>
  <c r="F66" i="1"/>
  <c r="F65" i="1"/>
  <c r="F64" i="1"/>
  <c r="H19" i="25"/>
  <c r="H15" i="25"/>
  <c r="K31" i="24"/>
  <c r="J30" i="24"/>
  <c r="I30" i="24"/>
  <c r="H30" i="24"/>
  <c r="G30" i="24"/>
  <c r="F30" i="24"/>
  <c r="E30" i="24"/>
  <c r="K26" i="24"/>
  <c r="J25" i="24"/>
  <c r="I25" i="24"/>
  <c r="H25" i="24"/>
  <c r="G25" i="24"/>
  <c r="F25" i="24"/>
  <c r="E25" i="24"/>
  <c r="G14" i="24"/>
  <c r="G97" i="23"/>
  <c r="G99" i="23" s="1"/>
  <c r="G90" i="23"/>
  <c r="G92" i="23" s="1"/>
  <c r="G102" i="23" s="1"/>
  <c r="G103" i="23" s="1"/>
  <c r="G76" i="23"/>
  <c r="G78" i="23" s="1"/>
  <c r="G69" i="23"/>
  <c r="G71" i="23" s="1"/>
  <c r="G81" i="23" s="1"/>
  <c r="G82" i="23" s="1"/>
  <c r="D50" i="23"/>
  <c r="D51" i="23" s="1"/>
  <c r="D49" i="23"/>
  <c r="H49" i="23" s="1"/>
  <c r="D48" i="23"/>
  <c r="G47" i="23"/>
  <c r="G48" i="23" s="1"/>
  <c r="G49" i="23" s="1"/>
  <c r="G50" i="23" s="1"/>
  <c r="G51" i="23" s="1"/>
  <c r="G52" i="23" s="1"/>
  <c r="G53" i="23" s="1"/>
  <c r="G54" i="23" s="1"/>
  <c r="G55" i="23" s="1"/>
  <c r="G56" i="23" s="1"/>
  <c r="G57" i="23" s="1"/>
  <c r="G58" i="23" s="1"/>
  <c r="G59" i="23" s="1"/>
  <c r="E47" i="23"/>
  <c r="E48" i="23" s="1"/>
  <c r="E49" i="23" s="1"/>
  <c r="E50" i="23" s="1"/>
  <c r="E51" i="23" s="1"/>
  <c r="G34" i="23"/>
  <c r="G36" i="23" s="1"/>
  <c r="G27" i="23"/>
  <c r="G29" i="23" s="1"/>
  <c r="G20" i="23"/>
  <c r="A9" i="23"/>
  <c r="A11" i="23" s="1"/>
  <c r="A13" i="23" s="1"/>
  <c r="E52" i="23" l="1"/>
  <c r="H48" i="23"/>
  <c r="A22" i="23"/>
  <c r="A24" i="23" s="1"/>
  <c r="A25" i="23" s="1"/>
  <c r="A26" i="23" s="1"/>
  <c r="A27" i="23" s="1"/>
  <c r="A28" i="23" s="1"/>
  <c r="A29" i="23" s="1"/>
  <c r="A31" i="23" s="1"/>
  <c r="A32" i="23" s="1"/>
  <c r="A33" i="23" s="1"/>
  <c r="A34" i="23" s="1"/>
  <c r="A35" i="23" s="1"/>
  <c r="A36" i="23" s="1"/>
  <c r="A38" i="23" s="1"/>
  <c r="A39" i="23" s="1"/>
  <c r="A40" i="23" s="1"/>
  <c r="A42" i="23" s="1"/>
  <c r="A44" i="23" s="1"/>
  <c r="A46" i="23" s="1"/>
  <c r="A47" i="23" s="1"/>
  <c r="A48" i="23" s="1"/>
  <c r="A49" i="23" s="1"/>
  <c r="A50" i="23" s="1"/>
  <c r="A51" i="23" s="1"/>
  <c r="A52" i="23" s="1"/>
  <c r="A53" i="23" s="1"/>
  <c r="A54" i="23" s="1"/>
  <c r="A55" i="23" s="1"/>
  <c r="A56" i="23" s="1"/>
  <c r="A57" i="23" s="1"/>
  <c r="A58" i="23" s="1"/>
  <c r="A59" i="23" s="1"/>
  <c r="A60" i="23" s="1"/>
  <c r="A64" i="23" s="1"/>
  <c r="A66" i="23" s="1"/>
  <c r="A67" i="23" s="1"/>
  <c r="A68" i="23" s="1"/>
  <c r="A69" i="23" s="1"/>
  <c r="A70" i="23" s="1"/>
  <c r="A71" i="23" s="1"/>
  <c r="A73" i="23" s="1"/>
  <c r="A74" i="23" s="1"/>
  <c r="A75" i="23" s="1"/>
  <c r="A76" i="23" s="1"/>
  <c r="A77" i="23" s="1"/>
  <c r="A78" i="23" s="1"/>
  <c r="A80" i="23" s="1"/>
  <c r="A81" i="23" s="1"/>
  <c r="A82" i="23" s="1"/>
  <c r="A85" i="23" s="1"/>
  <c r="A87" i="23" s="1"/>
  <c r="A88" i="23" s="1"/>
  <c r="A89" i="23" s="1"/>
  <c r="A90" i="23" s="1"/>
  <c r="A91" i="23" s="1"/>
  <c r="A92" i="23" s="1"/>
  <c r="A94" i="23" s="1"/>
  <c r="A95" i="23" s="1"/>
  <c r="A96" i="23" s="1"/>
  <c r="A97" i="23" s="1"/>
  <c r="A98" i="23" s="1"/>
  <c r="A99" i="23" s="1"/>
  <c r="A101" i="23" s="1"/>
  <c r="A102" i="23" s="1"/>
  <c r="A103" i="23" s="1"/>
  <c r="A16" i="23"/>
  <c r="A18" i="23" s="1"/>
  <c r="A19" i="23" s="1"/>
  <c r="A20" i="23" s="1"/>
  <c r="H51" i="23"/>
  <c r="D52" i="23"/>
  <c r="G39" i="23"/>
  <c r="H50" i="23"/>
  <c r="I47" i="23"/>
  <c r="I48" i="23" l="1"/>
  <c r="I49" i="23" s="1"/>
  <c r="I50" i="23" s="1"/>
  <c r="I51" i="23" s="1"/>
  <c r="I52" i="23" s="1"/>
  <c r="E53" i="23"/>
  <c r="H52" i="23"/>
  <c r="D53" i="23"/>
  <c r="E54" i="23" l="1"/>
  <c r="D54" i="23"/>
  <c r="H53" i="23"/>
  <c r="I53" i="23" s="1"/>
  <c r="I54" i="23" l="1"/>
  <c r="D55" i="23"/>
  <c r="H54" i="23"/>
  <c r="D56" i="23" l="1"/>
  <c r="H55" i="23"/>
  <c r="I55" i="23" s="1"/>
  <c r="E55" i="23"/>
  <c r="E56" i="23" s="1"/>
  <c r="H56" i="23" l="1"/>
  <c r="I56" i="23" s="1"/>
  <c r="D57" i="23"/>
  <c r="D58" i="23" l="1"/>
  <c r="H57" i="23"/>
  <c r="I57" i="23" s="1"/>
  <c r="E57" i="23"/>
  <c r="E58" i="23" s="1"/>
  <c r="D59" i="23" l="1"/>
  <c r="H58" i="23"/>
  <c r="I58" i="23" s="1"/>
  <c r="H59" i="23" l="1"/>
  <c r="I59" i="23" s="1"/>
  <c r="G38" i="23" s="1"/>
  <c r="G40" i="23" s="1"/>
  <c r="D60" i="23"/>
  <c r="E59" i="23"/>
  <c r="F108" i="1" l="1"/>
  <c r="F114" i="1" l="1"/>
  <c r="F113" i="1"/>
  <c r="F30" i="13" l="1"/>
  <c r="F28" i="13"/>
  <c r="F24" i="13"/>
  <c r="F21" i="13"/>
  <c r="F19" i="13"/>
  <c r="D67" i="6"/>
  <c r="D43" i="6"/>
  <c r="F127" i="1"/>
  <c r="F116" i="1"/>
  <c r="K115" i="1"/>
  <c r="K124" i="1"/>
  <c r="K107" i="1"/>
  <c r="K105" i="1"/>
  <c r="F109" i="1"/>
  <c r="F110" i="1" s="1"/>
  <c r="K63" i="1"/>
  <c r="H24" i="6"/>
  <c r="F58" i="1"/>
  <c r="F56" i="1"/>
  <c r="E28" i="14"/>
  <c r="H102" i="5"/>
  <c r="F178" i="1"/>
  <c r="K178" i="1" s="1"/>
  <c r="F30" i="14"/>
  <c r="F26" i="14"/>
  <c r="F28" i="14"/>
  <c r="D30" i="14"/>
  <c r="D28" i="14"/>
  <c r="G20" i="16"/>
  <c r="F20" i="16"/>
  <c r="L21" i="16" s="1"/>
  <c r="K15" i="16"/>
  <c r="I15" i="16"/>
  <c r="H15" i="16"/>
  <c r="G15" i="16"/>
  <c r="F15" i="16"/>
  <c r="A156" i="1"/>
  <c r="A198" i="1" s="1"/>
  <c r="A5" i="5"/>
  <c r="A46" i="5"/>
  <c r="F29" i="15"/>
  <c r="F30" i="15" s="1"/>
  <c r="C41" i="7"/>
  <c r="F78" i="1" l="1"/>
  <c r="D24" i="6"/>
  <c r="E19" i="4"/>
  <c r="E23" i="4" s="1"/>
  <c r="I61" i="5"/>
  <c r="E29" i="4"/>
  <c r="E28" i="4"/>
  <c r="K28" i="3"/>
  <c r="H28" i="3"/>
  <c r="E28" i="3"/>
  <c r="F19" i="3" s="1"/>
  <c r="G19" i="3" s="1"/>
  <c r="I19" i="3" s="1"/>
  <c r="E20" i="3"/>
  <c r="E24" i="3"/>
  <c r="I176" i="1"/>
  <c r="I175" i="1"/>
  <c r="I174" i="1"/>
  <c r="I173" i="1"/>
  <c r="F11" i="8"/>
  <c r="F22" i="3" l="1"/>
  <c r="G22" i="3" s="1"/>
  <c r="F26" i="3"/>
  <c r="G26" i="3" s="1"/>
  <c r="I26" i="3" s="1"/>
  <c r="F23" i="3"/>
  <c r="G23" i="3" s="1"/>
  <c r="I23" i="3" s="1"/>
  <c r="F16" i="3"/>
  <c r="G16" i="3" s="1"/>
  <c r="F18" i="3"/>
  <c r="G18" i="3" s="1"/>
  <c r="I178" i="1"/>
  <c r="H56" i="8"/>
  <c r="D23" i="8"/>
  <c r="F130" i="1"/>
  <c r="F134" i="1" s="1"/>
  <c r="F141" i="1" s="1"/>
  <c r="E30" i="4" s="1"/>
  <c r="I16" i="3" l="1"/>
  <c r="I18" i="3"/>
  <c r="I20" i="3" s="1"/>
  <c r="G20" i="3"/>
  <c r="F28" i="3"/>
  <c r="I22" i="3"/>
  <c r="I24" i="3" s="1"/>
  <c r="G24" i="3"/>
  <c r="K20" i="16"/>
  <c r="J20" i="16"/>
  <c r="I20" i="16"/>
  <c r="H20" i="16"/>
  <c r="J13" i="16"/>
  <c r="J15" i="16" s="1"/>
  <c r="L16" i="16" s="1"/>
  <c r="I13" i="16"/>
  <c r="H13" i="16"/>
  <c r="G28" i="3" l="1"/>
  <c r="I28" i="3"/>
  <c r="C64" i="10"/>
  <c r="G47" i="10" l="1"/>
  <c r="I47" i="10" s="1"/>
  <c r="E25" i="14" l="1"/>
  <c r="D25" i="14"/>
  <c r="F61" i="5" l="1"/>
  <c r="H94" i="5"/>
  <c r="J94" i="5"/>
  <c r="J102" i="5" s="1"/>
  <c r="C98" i="5"/>
  <c r="H98" i="5"/>
  <c r="J98" i="5"/>
  <c r="F11" i="14"/>
  <c r="F12" i="14"/>
  <c r="F13" i="14"/>
  <c r="F14" i="14"/>
  <c r="F15" i="14"/>
  <c r="F16" i="14"/>
  <c r="D17" i="14"/>
  <c r="E17" i="14"/>
  <c r="F20" i="14"/>
  <c r="F21" i="14"/>
  <c r="F22" i="14"/>
  <c r="F23" i="14"/>
  <c r="F24" i="14"/>
  <c r="F25" i="14"/>
  <c r="F27" i="14"/>
  <c r="K193" i="1"/>
  <c r="F15" i="1" s="1"/>
  <c r="E24" i="4"/>
  <c r="E25" i="4"/>
  <c r="E26" i="4"/>
  <c r="K20" i="3"/>
  <c r="K24" i="3"/>
  <c r="F43" i="1"/>
  <c r="E24" i="6"/>
  <c r="G24" i="6"/>
  <c r="F74" i="1" s="1"/>
  <c r="I24" i="6"/>
  <c r="J24" i="6"/>
  <c r="K24" i="6"/>
  <c r="F70" i="1"/>
  <c r="K70" i="1" s="1"/>
  <c r="E43" i="6"/>
  <c r="F71" i="1" s="1"/>
  <c r="K71" i="1" s="1"/>
  <c r="F54" i="6"/>
  <c r="F11" i="6" s="1"/>
  <c r="F55" i="6"/>
  <c r="F12" i="6" s="1"/>
  <c r="F56" i="6"/>
  <c r="F13" i="6" s="1"/>
  <c r="F57" i="6"/>
  <c r="F14" i="6" s="1"/>
  <c r="F58" i="6"/>
  <c r="F15" i="6" s="1"/>
  <c r="F59" i="6"/>
  <c r="F16" i="6" s="1"/>
  <c r="F60" i="6"/>
  <c r="F17" i="6" s="1"/>
  <c r="F61" i="6"/>
  <c r="F18" i="6" s="1"/>
  <c r="F62" i="6"/>
  <c r="F19" i="6" s="1"/>
  <c r="F63" i="6"/>
  <c r="F20" i="6" s="1"/>
  <c r="F64" i="6"/>
  <c r="F21" i="6" s="1"/>
  <c r="F65" i="6"/>
  <c r="F22" i="6" s="1"/>
  <c r="F66" i="6"/>
  <c r="F23" i="6" s="1"/>
  <c r="E67" i="6"/>
  <c r="F67" i="6" s="1"/>
  <c r="K72" i="6"/>
  <c r="K73" i="6"/>
  <c r="F74" i="6"/>
  <c r="I22" i="7"/>
  <c r="K184" i="1" s="1"/>
  <c r="F21" i="7"/>
  <c r="D41" i="7"/>
  <c r="F22" i="7" s="1"/>
  <c r="F14" i="7" s="1"/>
  <c r="E41" i="7"/>
  <c r="F13" i="7" s="1"/>
  <c r="F17" i="7" s="1"/>
  <c r="F41" i="7"/>
  <c r="F15" i="7" s="1"/>
  <c r="G41" i="7"/>
  <c r="F16" i="7" s="1"/>
  <c r="E17" i="8"/>
  <c r="E38"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G56" i="10" s="1"/>
  <c r="G42" i="10"/>
  <c r="I42" i="10" s="1"/>
  <c r="I48" i="10" s="1"/>
  <c r="G43" i="10"/>
  <c r="I43" i="10" s="1"/>
  <c r="G44" i="10"/>
  <c r="I44" i="10" s="1"/>
  <c r="G45" i="10"/>
  <c r="I45" i="10" s="1"/>
  <c r="G46" i="10"/>
  <c r="I46" i="10" s="1"/>
  <c r="D48" i="10"/>
  <c r="D55" i="10" s="1"/>
  <c r="H48" i="10"/>
  <c r="H55" i="10" s="1"/>
  <c r="G51" i="10"/>
  <c r="G52" i="10"/>
  <c r="G53" i="10"/>
  <c r="G54" i="10"/>
  <c r="F16" i="11"/>
  <c r="F35" i="11"/>
  <c r="M36" i="1"/>
  <c r="M37" i="1"/>
  <c r="K42" i="1"/>
  <c r="K44" i="1"/>
  <c r="K49" i="1"/>
  <c r="K51" i="1"/>
  <c r="M88" i="1"/>
  <c r="M89" i="1"/>
  <c r="M157" i="1"/>
  <c r="M158" i="1"/>
  <c r="H184" i="1"/>
  <c r="F13" i="4" s="1"/>
  <c r="I184" i="1"/>
  <c r="H13" i="4" s="1"/>
  <c r="I185" i="1"/>
  <c r="H14" i="4" s="1"/>
  <c r="M199" i="1"/>
  <c r="M200" i="1"/>
  <c r="K56" i="1" l="1"/>
  <c r="F50" i="1"/>
  <c r="F57" i="1" s="1"/>
  <c r="F79" i="1"/>
  <c r="F52" i="1"/>
  <c r="F53" i="1" s="1"/>
  <c r="F45" i="1"/>
  <c r="F46" i="1" s="1"/>
  <c r="F183" i="1"/>
  <c r="E12" i="4" s="1"/>
  <c r="H21" i="7"/>
  <c r="K58" i="1"/>
  <c r="F17" i="14"/>
  <c r="K191" i="1" s="1"/>
  <c r="F14" i="1" s="1"/>
  <c r="F18" i="1" s="1"/>
  <c r="F184" i="1"/>
  <c r="E13" i="4" s="1"/>
  <c r="F23" i="7"/>
  <c r="I114" i="1"/>
  <c r="F37" i="11"/>
  <c r="K74" i="6"/>
  <c r="F68" i="1" s="1"/>
  <c r="E26" i="8"/>
  <c r="E30" i="8"/>
  <c r="E34" i="8"/>
  <c r="E43" i="8"/>
  <c r="E46" i="8"/>
  <c r="E49" i="8"/>
  <c r="E25" i="8"/>
  <c r="E42" i="8"/>
  <c r="E48" i="8"/>
  <c r="E23" i="8"/>
  <c r="G23" i="8" s="1"/>
  <c r="I23" i="8" s="1"/>
  <c r="E27" i="8"/>
  <c r="E31" i="8"/>
  <c r="E44" i="8"/>
  <c r="E47" i="8"/>
  <c r="E50" i="8"/>
  <c r="E24" i="8"/>
  <c r="E28" i="8"/>
  <c r="E32" i="8"/>
  <c r="E41" i="8"/>
  <c r="E45" i="8"/>
  <c r="E51" i="8"/>
  <c r="E29" i="8"/>
  <c r="E33" i="8"/>
  <c r="E52" i="8"/>
  <c r="E30" i="14"/>
  <c r="H25" i="10"/>
  <c r="H27" i="10"/>
  <c r="H31" i="10"/>
  <c r="H35" i="10"/>
  <c r="I13" i="4"/>
  <c r="K163" i="1"/>
  <c r="F77" i="1"/>
  <c r="F80" i="1" s="1"/>
  <c r="F24" i="6"/>
  <c r="F69" i="1" s="1"/>
  <c r="K69" i="1" s="1"/>
  <c r="G37" i="10"/>
  <c r="G48" i="10"/>
  <c r="H34" i="10"/>
  <c r="H36" i="10"/>
  <c r="H32" i="10"/>
  <c r="H28" i="10"/>
  <c r="H24" i="10"/>
  <c r="H30" i="10"/>
  <c r="H26" i="10"/>
  <c r="H33" i="10"/>
  <c r="H29" i="10"/>
  <c r="F59" i="1" l="1"/>
  <c r="F185" i="1"/>
  <c r="F187" i="1" s="1"/>
  <c r="F24" i="7"/>
  <c r="G21" i="7" s="1"/>
  <c r="H183" i="1" s="1"/>
  <c r="F12" i="4" s="1"/>
  <c r="I183" i="1"/>
  <c r="H12" i="4" s="1"/>
  <c r="F60" i="1"/>
  <c r="K114" i="1"/>
  <c r="I20" i="5" s="1"/>
  <c r="K68" i="1"/>
  <c r="F72" i="1"/>
  <c r="K167" i="1"/>
  <c r="K169" i="1" s="1"/>
  <c r="I97" i="1"/>
  <c r="K97" i="1" s="1"/>
  <c r="I100" i="1"/>
  <c r="K100" i="1" s="1"/>
  <c r="I98" i="1"/>
  <c r="K98" i="1" s="1"/>
  <c r="I101" i="1"/>
  <c r="K101" i="1" s="1"/>
  <c r="I121" i="1"/>
  <c r="K121" i="1" s="1"/>
  <c r="I99" i="1"/>
  <c r="K99" i="1" s="1"/>
  <c r="I120" i="1"/>
  <c r="K120" i="1" s="1"/>
  <c r="I52" i="1"/>
  <c r="K52" i="1" s="1"/>
  <c r="I45" i="1"/>
  <c r="K45" i="1" s="1"/>
  <c r="E14" i="4"/>
  <c r="E15" i="4" s="1"/>
  <c r="I55" i="10"/>
  <c r="G55" i="10"/>
  <c r="G57" i="10" s="1"/>
  <c r="D15" i="10" s="1"/>
  <c r="H37" i="10"/>
  <c r="I37" i="10" s="1"/>
  <c r="I12" i="4" l="1"/>
  <c r="E21" i="4" s="1"/>
  <c r="I21" i="7"/>
  <c r="G23" i="7"/>
  <c r="F82" i="1"/>
  <c r="K59" i="1"/>
  <c r="I17" i="1"/>
  <c r="K17" i="1" s="1"/>
  <c r="I113" i="1"/>
  <c r="K113" i="1" s="1"/>
  <c r="I95" i="1"/>
  <c r="K95" i="1" s="1"/>
  <c r="I50" i="1"/>
  <c r="K50" i="1" s="1"/>
  <c r="K53" i="1" s="1"/>
  <c r="I15" i="1"/>
  <c r="K15" i="1" s="1"/>
  <c r="I108" i="1"/>
  <c r="K108" i="1" s="1"/>
  <c r="K109" i="1" s="1"/>
  <c r="I94" i="1"/>
  <c r="K94" i="1" s="1"/>
  <c r="I43" i="1"/>
  <c r="K43" i="1" s="1"/>
  <c r="I14" i="1"/>
  <c r="K14" i="1" s="1"/>
  <c r="I103" i="1"/>
  <c r="K103" i="1" s="1"/>
  <c r="I78" i="1"/>
  <c r="K78" i="1" s="1"/>
  <c r="I96" i="1"/>
  <c r="K96" i="1" s="1"/>
  <c r="I74" i="1"/>
  <c r="K74" i="1" s="1"/>
  <c r="I16" i="1"/>
  <c r="K16" i="1" s="1"/>
  <c r="D37" i="3"/>
  <c r="F20" i="1"/>
  <c r="K20" i="1" s="1"/>
  <c r="D14" i="10"/>
  <c r="D16" i="10" s="1"/>
  <c r="K116" i="1" l="1"/>
  <c r="C92" i="5"/>
  <c r="C94" i="5" s="1"/>
  <c r="C102" i="5" s="1"/>
  <c r="I23" i="7"/>
  <c r="K185" i="1" s="1"/>
  <c r="H185" i="1"/>
  <c r="F14" i="4" s="1"/>
  <c r="I14" i="4" s="1"/>
  <c r="I15" i="4" s="1"/>
  <c r="E20" i="4" s="1"/>
  <c r="K183" i="1"/>
  <c r="I24" i="7"/>
  <c r="K57" i="1"/>
  <c r="K60" i="1" s="1"/>
  <c r="K46" i="1"/>
  <c r="K110" i="1"/>
  <c r="K18" i="1"/>
  <c r="I27" i="5" s="1"/>
  <c r="I12" i="5"/>
  <c r="I46" i="1" l="1"/>
  <c r="F55" i="5"/>
  <c r="F57" i="5" s="1"/>
  <c r="F65" i="5" s="1"/>
  <c r="I21" i="5"/>
  <c r="K21" i="5" s="1"/>
  <c r="K77" i="1"/>
  <c r="K187" i="1"/>
  <c r="F145" i="1" s="1"/>
  <c r="F131" i="1"/>
  <c r="I28" i="5"/>
  <c r="K28" i="5" s="1"/>
  <c r="I60" i="1"/>
  <c r="J39" i="4"/>
  <c r="I123" i="1"/>
  <c r="K123" i="1" s="1"/>
  <c r="I79" i="1"/>
  <c r="K79" i="1" s="1"/>
  <c r="I126" i="1"/>
  <c r="K126" i="1" s="1"/>
  <c r="I125" i="1"/>
  <c r="K125" i="1" s="1"/>
  <c r="I13" i="5"/>
  <c r="I55" i="5" s="1"/>
  <c r="I57" i="5" s="1"/>
  <c r="I65" i="5" s="1"/>
  <c r="I16" i="5"/>
  <c r="K80" i="1" l="1"/>
  <c r="F138" i="1"/>
  <c r="I17" i="5"/>
  <c r="K17" i="5" s="1"/>
  <c r="K127" i="1"/>
  <c r="I64" i="1"/>
  <c r="K64" i="1" s="1"/>
  <c r="H28" i="4"/>
  <c r="I141" i="1"/>
  <c r="K141" i="1" s="1"/>
  <c r="I65" i="1"/>
  <c r="K65" i="1" s="1"/>
  <c r="I67" i="1"/>
  <c r="K67" i="1" s="1"/>
  <c r="I66" i="1"/>
  <c r="K66" i="1" s="1"/>
  <c r="I140" i="1"/>
  <c r="K140" i="1" s="1"/>
  <c r="I139" i="1"/>
  <c r="K139" i="1" s="1"/>
  <c r="K138" i="1" l="1"/>
  <c r="K142" i="1" s="1"/>
  <c r="F142" i="1"/>
  <c r="F147" i="1" s="1"/>
  <c r="K72" i="1"/>
  <c r="H29" i="4"/>
  <c r="I28" i="4"/>
  <c r="I24" i="5"/>
  <c r="I33" i="5" l="1"/>
  <c r="I34" i="5" s="1"/>
  <c r="K34" i="5" s="1"/>
  <c r="K82" i="1"/>
  <c r="I25" i="5"/>
  <c r="K25" i="5" s="1"/>
  <c r="K30" i="5" s="1"/>
  <c r="I29" i="4"/>
  <c r="H30" i="4"/>
  <c r="I30" i="4" s="1"/>
  <c r="J36" i="4"/>
  <c r="K145" i="1" l="1"/>
  <c r="J7" i="4"/>
  <c r="J16" i="4" s="1"/>
  <c r="I27" i="4" s="1"/>
  <c r="I31" i="4" s="1"/>
  <c r="J31" i="4" s="1"/>
  <c r="J33" i="4" s="1"/>
  <c r="G59" i="5"/>
  <c r="H59" i="5" s="1"/>
  <c r="G56" i="5"/>
  <c r="H56" i="5" s="1"/>
  <c r="G60" i="5"/>
  <c r="H60" i="5" s="1"/>
  <c r="G63" i="5"/>
  <c r="H63" i="5" s="1"/>
  <c r="G55" i="5"/>
  <c r="H55" i="5" s="1"/>
  <c r="I37" i="5" l="1"/>
  <c r="I38" i="5" s="1"/>
  <c r="K38" i="5" s="1"/>
  <c r="K40" i="5" s="1"/>
  <c r="D96" i="5" s="1"/>
  <c r="J35" i="4"/>
  <c r="J37" i="4" s="1"/>
  <c r="J38" i="4" s="1"/>
  <c r="J40" i="4" s="1"/>
  <c r="F92" i="5" s="1"/>
  <c r="K147" i="1"/>
  <c r="H61" i="5"/>
  <c r="H57" i="5"/>
  <c r="J59" i="5" l="1"/>
  <c r="K59" i="5" s="1"/>
  <c r="J55" i="5"/>
  <c r="K55" i="5" s="1"/>
  <c r="D92" i="5"/>
  <c r="J60" i="5"/>
  <c r="K60" i="5" s="1"/>
  <c r="J63" i="5"/>
  <c r="K63" i="5" s="1"/>
  <c r="J56" i="5"/>
  <c r="K56" i="5" s="1"/>
  <c r="D93" i="5"/>
  <c r="D97" i="5"/>
  <c r="D98" i="5" s="1"/>
  <c r="D100" i="5"/>
  <c r="H65" i="5"/>
  <c r="F96" i="5"/>
  <c r="F97" i="5"/>
  <c r="G92" i="5"/>
  <c r="F100" i="5"/>
  <c r="F93" i="5"/>
  <c r="I92" i="5"/>
  <c r="K92" i="5" s="1"/>
  <c r="G93" i="5" l="1"/>
  <c r="K57" i="5"/>
  <c r="K61" i="5"/>
  <c r="K65" i="5" s="1"/>
  <c r="I100" i="5"/>
  <c r="K100" i="5" s="1"/>
  <c r="D94" i="5"/>
  <c r="D102" i="5" s="1"/>
  <c r="G97" i="5"/>
  <c r="G94" i="5"/>
  <c r="I97" i="5"/>
  <c r="K97" i="5" s="1"/>
  <c r="G100" i="5"/>
  <c r="F98" i="5"/>
  <c r="G96" i="5"/>
  <c r="I93" i="5"/>
  <c r="K93" i="5" s="1"/>
  <c r="K94" i="5" s="1"/>
  <c r="I96" i="5"/>
  <c r="F94" i="5"/>
  <c r="F29" i="1" s="1"/>
  <c r="G98" i="5" l="1"/>
  <c r="G102" i="5" s="1"/>
  <c r="I98" i="5"/>
  <c r="F28" i="1"/>
  <c r="F30" i="1" s="1"/>
  <c r="I94" i="5"/>
  <c r="F102" i="5"/>
  <c r="F149" i="1" s="1"/>
  <c r="F151" i="1" s="1"/>
  <c r="K96" i="5"/>
  <c r="K98" i="5" s="1"/>
  <c r="K102" i="5" s="1"/>
  <c r="I102" i="5" l="1"/>
  <c r="K149" i="1"/>
  <c r="K151" i="1" s="1"/>
  <c r="D24" i="8"/>
  <c r="G24" i="8" s="1"/>
  <c r="D34" i="8"/>
  <c r="G34" i="8" s="1"/>
  <c r="I34" i="8" s="1"/>
  <c r="D30" i="8"/>
  <c r="G30" i="8" s="1"/>
  <c r="I30" i="8" s="1"/>
  <c r="D27" i="8"/>
  <c r="G27" i="8" s="1"/>
  <c r="I27" i="8" s="1"/>
  <c r="K11" i="1" l="1"/>
  <c r="I24" i="8"/>
  <c r="D26" i="8"/>
  <c r="G26" i="8" s="1"/>
  <c r="I26" i="8" s="1"/>
  <c r="D29" i="8"/>
  <c r="G29" i="8" s="1"/>
  <c r="I29" i="8" s="1"/>
  <c r="D32" i="8"/>
  <c r="G32" i="8" s="1"/>
  <c r="I32" i="8" s="1"/>
  <c r="D33" i="8"/>
  <c r="G33" i="8" s="1"/>
  <c r="I33" i="8" s="1"/>
  <c r="D31" i="8"/>
  <c r="G31" i="8" s="1"/>
  <c r="I31" i="8" s="1"/>
  <c r="D28" i="8"/>
  <c r="G28" i="8" s="1"/>
  <c r="I28" i="8" s="1"/>
  <c r="D25" i="8"/>
  <c r="G25" i="8" s="1"/>
  <c r="I25" i="8" s="1"/>
  <c r="G35" i="8" l="1"/>
  <c r="I35" i="8"/>
  <c r="D38" i="8" s="1"/>
  <c r="G38" i="8" s="1"/>
  <c r="I38" i="8" s="1"/>
  <c r="H41" i="8" l="1"/>
  <c r="D41" i="8"/>
  <c r="G41" i="8" l="1"/>
  <c r="I41" i="8"/>
  <c r="D42" i="8" s="1"/>
  <c r="H44" i="8"/>
  <c r="H49" i="8"/>
  <c r="H42" i="8"/>
  <c r="H52" i="8"/>
  <c r="H47" i="8"/>
  <c r="H50" i="8"/>
  <c r="H48" i="8"/>
  <c r="H43" i="8"/>
  <c r="H51" i="8"/>
  <c r="H45" i="8"/>
  <c r="H46" i="8"/>
  <c r="H55" i="8" l="1"/>
  <c r="H57" i="8" s="1"/>
  <c r="J31" i="3" s="1"/>
  <c r="J26" i="3" s="1"/>
  <c r="L26" i="3" s="1"/>
  <c r="I42" i="8"/>
  <c r="D43" i="8" s="1"/>
  <c r="G42" i="8"/>
  <c r="J18" i="3" l="1"/>
  <c r="L18" i="3" s="1"/>
  <c r="J22" i="3"/>
  <c r="L22" i="3" s="1"/>
  <c r="J16" i="3"/>
  <c r="K21" i="1" s="1"/>
  <c r="K23" i="1" s="1"/>
  <c r="J19" i="3"/>
  <c r="L19" i="3" s="1"/>
  <c r="J20" i="3"/>
  <c r="J23" i="3"/>
  <c r="L23" i="3" s="1"/>
  <c r="L24" i="3" s="1"/>
  <c r="I43" i="8"/>
  <c r="D44" i="8" s="1"/>
  <c r="G43" i="8"/>
  <c r="L16" i="3" l="1"/>
  <c r="J24" i="3"/>
  <c r="J28" i="3" s="1"/>
  <c r="L20" i="3"/>
  <c r="I44" i="8"/>
  <c r="D45" i="8" s="1"/>
  <c r="G44" i="8"/>
  <c r="L28" i="3" l="1"/>
  <c r="G45" i="8"/>
  <c r="I45" i="8"/>
  <c r="D46" i="8" s="1"/>
  <c r="G46" i="8" l="1"/>
  <c r="I46" i="8"/>
  <c r="D47" i="8" s="1"/>
  <c r="G47" i="8" l="1"/>
  <c r="I47" i="8"/>
  <c r="D48" i="8" s="1"/>
  <c r="I48" i="8" l="1"/>
  <c r="D49" i="8" s="1"/>
  <c r="G48" i="8"/>
  <c r="G49" i="8" l="1"/>
  <c r="I49" i="8"/>
  <c r="D50" i="8" s="1"/>
  <c r="G50" i="8" l="1"/>
  <c r="I50" i="8"/>
  <c r="D51" i="8" s="1"/>
  <c r="G51" i="8" l="1"/>
  <c r="I51" i="8"/>
  <c r="D52" i="8" s="1"/>
  <c r="G52" i="8" l="1"/>
  <c r="G53" i="8" s="1"/>
  <c r="I52" i="8"/>
</calcChain>
</file>

<file path=xl/sharedStrings.xml><?xml version="1.0" encoding="utf-8"?>
<sst xmlns="http://schemas.openxmlformats.org/spreadsheetml/2006/main" count="1502" uniqueCount="911">
  <si>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</si>
  <si>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</si>
  <si>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</si>
  <si>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</si>
  <si>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</si>
  <si>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</si>
  <si>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</si>
  <si>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</si>
  <si>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</si>
  <si>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</si>
  <si>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</si>
  <si>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Project B</t>
  </si>
  <si>
    <t>Total Schedule 12</t>
  </si>
  <si>
    <t>Project D</t>
  </si>
  <si>
    <t>Project C</t>
  </si>
  <si>
    <t>Total Zonal</t>
  </si>
  <si>
    <t>Other</t>
  </si>
  <si>
    <t>Annual Totals</t>
  </si>
  <si>
    <t>DDDD</t>
  </si>
  <si>
    <t>CCCC</t>
  </si>
  <si>
    <t>BBBB</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</si>
  <si>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</si>
  <si>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</si>
  <si>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</si>
  <si>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</si>
  <si>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</si>
  <si>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</si>
  <si>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</si>
  <si>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</si>
  <si>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</si>
  <si>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</si>
  <si>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</si>
  <si>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</si>
  <si>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</si>
  <si>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</si>
  <si>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</si>
  <si>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</si>
  <si>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</si>
  <si>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</si>
  <si>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</si>
  <si>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</si>
  <si>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</si>
  <si>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</si>
  <si>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</si>
  <si>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</si>
  <si>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</si>
  <si>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</si>
  <si>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</si>
  <si>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</si>
  <si>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</si>
  <si>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</si>
  <si>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</si>
  <si>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</si>
  <si>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</si>
  <si>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</si>
  <si>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</si>
  <si>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</si>
  <si>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</si>
  <si>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</si>
  <si>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</si>
  <si>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</si>
  <si>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</si>
  <si>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</si>
  <si>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</si>
  <si>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</si>
  <si>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</si>
  <si>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</si>
  <si>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</si>
  <si>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</si>
  <si>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</si>
  <si>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</si>
  <si>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</si>
  <si>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</si>
  <si>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</si>
  <si>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</si>
  <si>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</si>
  <si>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</si>
  <si>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</si>
  <si>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</si>
  <si>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</si>
  <si>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</si>
  <si>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</si>
  <si>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</si>
  <si>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</si>
  <si>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</si>
  <si>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</si>
  <si>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</si>
  <si>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</si>
  <si>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</si>
  <si>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</si>
  <si>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</si>
  <si>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</si>
  <si>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</si>
  <si>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</si>
  <si>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50% Equity and 50% debt will be used until the first transmission asset is placed in service, or until otherwise authorized by the Commission.</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</si>
  <si>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</si>
  <si>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</si>
  <si>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</si>
  <si>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</si>
  <si>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</si>
  <si>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</si>
  <si>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</si>
  <si>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</si>
  <si>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</si>
  <si>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</si>
  <si>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</si>
  <si>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</si>
  <si>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</si>
  <si>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</si>
  <si>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</si>
  <si>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</si>
  <si>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</si>
  <si>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</si>
  <si>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</si>
  <si>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</si>
  <si>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</si>
  <si>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</si>
  <si>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</si>
  <si>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</si>
  <si>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</si>
  <si>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</si>
  <si>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</si>
  <si>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</si>
  <si>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</si>
  <si>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</si>
  <si>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</si>
  <si>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</si>
  <si>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</si>
  <si>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</si>
  <si>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</si>
  <si>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</si>
  <si>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</si>
  <si>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</si>
  <si>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</si>
  <si>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</si>
  <si>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</si>
  <si>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</si>
  <si>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</si>
  <si>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</si>
  <si>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</si>
  <si>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</si>
  <si>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</si>
  <si>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</si>
  <si>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</si>
  <si>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</si>
  <si>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</si>
  <si>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</si>
  <si>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</si>
  <si>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</si>
  <si>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</si>
  <si>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</si>
  <si>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</si>
  <si>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</si>
  <si>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</si>
  <si>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</si>
  <si>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</si>
  <si>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Note C</t>
  </si>
  <si>
    <t>Note D</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</si>
  <si>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</si>
  <si>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</si>
  <si>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</si>
  <si>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</si>
  <si>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</si>
  <si>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</si>
  <si>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</si>
  <si>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</si>
  <si>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</si>
  <si>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</si>
  <si>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</si>
  <si>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</si>
  <si>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</si>
  <si>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</si>
  <si>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</si>
  <si>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</si>
  <si>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</si>
  <si>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</si>
  <si>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</si>
  <si>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</si>
  <si>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</si>
  <si>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</si>
  <si>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</si>
  <si>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</si>
  <si>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</si>
  <si>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</si>
  <si>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</si>
  <si>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</si>
  <si>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</si>
  <si>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</si>
  <si>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</si>
  <si>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</si>
  <si>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</si>
  <si>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</si>
  <si>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</si>
  <si>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</si>
  <si>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</si>
  <si>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</si>
  <si>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</si>
  <si>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</si>
  <si>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</si>
  <si>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</si>
  <si>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</si>
  <si>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December (Prior Year)</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</si>
  <si>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</si>
  <si>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</si>
  <si>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</si>
  <si>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</si>
  <si>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</si>
  <si>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</si>
  <si>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</si>
  <si>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</si>
  <si>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</si>
  <si>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</si>
  <si>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</si>
  <si>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</si>
  <si>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</si>
  <si>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</si>
  <si>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</si>
  <si>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</si>
  <si>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</si>
  <si>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</si>
  <si>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</si>
  <si>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</si>
  <si>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</si>
  <si>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</si>
  <si>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</si>
  <si>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</si>
  <si>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</si>
  <si>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</si>
  <si>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</si>
  <si>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</si>
  <si>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</si>
  <si>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Rate Year Plus 1  January</t>
  </si>
  <si>
    <t>Rate Year Plus 1  February</t>
  </si>
  <si>
    <t>Rate Year Plus 1  March</t>
  </si>
  <si>
    <t>Rate Year Plus 1  April</t>
  </si>
  <si>
    <t>Rate Year Plus 1  May</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</si>
  <si>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</si>
  <si>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</si>
  <si>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</si>
  <si>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</si>
  <si>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</si>
  <si>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</si>
  <si>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</si>
  <si>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</si>
  <si>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</si>
  <si>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</si>
  <si>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</si>
  <si>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</si>
  <si>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t>Attachment 1, Line 2, Col. 12</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</si>
  <si>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</si>
  <si>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</si>
  <si>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</si>
  <si>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</si>
  <si>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</si>
  <si>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</si>
  <si>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</si>
  <si>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</si>
  <si>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</si>
  <si>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</si>
  <si>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</si>
  <si>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</si>
  <si>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</si>
  <si>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</si>
  <si>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</si>
  <si>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</si>
  <si>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Permanent Differences Tax Adjustment</t>
  </si>
  <si>
    <t>Sum of Lines 17 through 20</t>
  </si>
  <si>
    <t>Line 3</t>
  </si>
  <si>
    <t>Return</t>
  </si>
  <si>
    <t>Income Tax</t>
  </si>
  <si>
    <t>13-Month Average</t>
  </si>
  <si>
    <t xml:space="preserve">Less Account 216.1 Undistributed Subsidiary Earnings (Line 25 (d))     </t>
  </si>
  <si>
    <t xml:space="preserve">Less Account 219 Accum. Other Comprehensive Income (Line 25 (e))        </t>
  </si>
  <si>
    <t>Proprietary Capital (Line 25 (c))</t>
  </si>
  <si>
    <t>Total Loan Amount ($000)</t>
  </si>
  <si>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</si>
  <si>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</si>
  <si>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</si>
  <si>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</si>
  <si>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</si>
  <si>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</si>
  <si>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</si>
  <si>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</si>
  <si>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</si>
  <si>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</si>
  <si>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</si>
  <si>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</si>
  <si>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</si>
  <si>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</si>
  <si>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</si>
  <si>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</si>
  <si>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</si>
  <si>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</si>
  <si>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</si>
  <si>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</si>
  <si>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</si>
  <si>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</si>
  <si>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</si>
  <si>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</si>
  <si>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</si>
  <si>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</si>
  <si>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</si>
  <si>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</si>
  <si>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</si>
  <si>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</si>
  <si>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</si>
  <si>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</si>
  <si>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</si>
  <si>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</si>
  <si>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</si>
  <si>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</si>
  <si>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</si>
  <si>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</si>
  <si>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</si>
  <si>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</si>
  <si>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</si>
  <si>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</si>
  <si>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</si>
  <si>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</si>
  <si>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</si>
  <si>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</si>
  <si>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</si>
  <si>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</si>
  <si>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</si>
  <si>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</si>
  <si>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</si>
  <si>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</si>
  <si>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</si>
  <si>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</si>
  <si>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</si>
  <si>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</si>
  <si>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</si>
  <si>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</si>
  <si>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</si>
  <si>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</si>
  <si>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</si>
  <si>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</si>
  <si>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</si>
  <si>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</si>
  <si>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</si>
  <si>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</si>
  <si>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</si>
  <si>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</si>
  <si>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</si>
  <si>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</si>
  <si>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</si>
  <si>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</si>
  <si>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</si>
  <si>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</si>
  <si>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</si>
  <si>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</si>
  <si>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</si>
  <si>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</si>
  <si>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</si>
  <si>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</si>
  <si>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</si>
  <si>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</si>
  <si>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</si>
  <si>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</si>
  <si>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</si>
  <si>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</si>
  <si>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</si>
  <si>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</si>
  <si>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</si>
  <si>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</si>
  <si>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</si>
  <si>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</si>
  <si>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</si>
  <si>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</si>
  <si>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</si>
  <si>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</si>
  <si>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</si>
  <si>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</si>
  <si>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</si>
  <si>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</si>
  <si>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</si>
  <si>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</si>
  <si>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</si>
  <si>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</si>
  <si>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</si>
  <si>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</si>
  <si>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</si>
  <si>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</si>
  <si>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</si>
  <si>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</si>
  <si>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</si>
  <si>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</si>
  <si>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</si>
  <si>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</si>
  <si>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</si>
  <si>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</si>
  <si>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</si>
  <si>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</si>
  <si>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</si>
  <si>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Unamortized Abandoned Plant and Amortization of Abandoned Plant will be zero until the Commission accepts or approves recovery of the cost of Abandoned Plant. Utility must submit a Section 205 filing to recover the cost of abandoned plant.</t>
  </si>
  <si>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</si>
  <si>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</si>
  <si>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</si>
  <si>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</si>
  <si>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</si>
  <si>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</si>
  <si>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</si>
  <si>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</si>
  <si>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</si>
  <si>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</si>
  <si>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</si>
  <si>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</si>
  <si>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</si>
  <si>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</si>
  <si>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</si>
  <si>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</si>
  <si>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</si>
  <si>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</si>
  <si>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</si>
  <si>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</si>
  <si>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</si>
  <si>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</si>
  <si>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</si>
  <si>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</si>
  <si>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</si>
  <si>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</si>
  <si>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</si>
  <si>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</si>
  <si>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</si>
  <si>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</si>
  <si>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</si>
  <si>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</si>
  <si>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</si>
  <si>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</si>
  <si>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</si>
  <si>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</si>
  <si>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</si>
  <si>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</si>
  <si>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</si>
  <si>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</si>
  <si>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</si>
  <si>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</si>
  <si>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</si>
  <si>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</si>
  <si>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</si>
  <si>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</si>
  <si>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</si>
  <si>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</si>
  <si>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</si>
  <si>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</si>
  <si>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</si>
  <si>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</si>
  <si>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</si>
  <si>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</si>
  <si>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</si>
  <si>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</si>
  <si>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</si>
  <si>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</si>
  <si>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</si>
  <si>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</si>
  <si>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</si>
  <si>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</si>
  <si>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</si>
  <si>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</si>
  <si>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</si>
  <si>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</si>
  <si>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</si>
  <si>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</si>
  <si>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</si>
  <si>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</si>
  <si>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</si>
  <si>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</si>
  <si>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</si>
  <si>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</si>
  <si>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</si>
  <si>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</si>
  <si>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</si>
  <si>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</si>
  <si>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</si>
  <si>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</si>
  <si>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</si>
  <si>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</si>
  <si>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</si>
  <si>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</si>
  <si>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</si>
  <si>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</si>
  <si>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</si>
  <si>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</si>
  <si>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</si>
  <si>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</si>
  <si>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</si>
  <si>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</si>
  <si>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</si>
  <si>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</si>
  <si>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</si>
  <si>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</si>
  <si>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</si>
  <si>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</si>
  <si>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</si>
  <si>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</si>
  <si>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</si>
  <si>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</si>
  <si>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</si>
  <si>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</si>
  <si>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</si>
  <si>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</si>
  <si>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</si>
  <si>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</si>
  <si>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</si>
  <si>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</si>
  <si>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</si>
  <si>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</si>
  <si>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</si>
  <si>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</si>
  <si>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</si>
  <si>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</si>
  <si>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</si>
  <si>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</si>
  <si>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</si>
  <si>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</si>
  <si>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</si>
  <si>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</si>
  <si>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</si>
  <si>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</si>
  <si>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</si>
  <si>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</si>
  <si>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</si>
  <si>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</si>
  <si>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</si>
  <si>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</si>
  <si>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</si>
  <si>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</si>
  <si>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</si>
  <si>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</si>
  <si>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</si>
  <si>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</si>
  <si>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</si>
  <si>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</si>
  <si>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</si>
  <si>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</si>
  <si>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</si>
  <si>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</si>
  <si>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</si>
  <si>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</si>
  <si>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</si>
  <si>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</si>
  <si>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</si>
  <si>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Land Rights</t>
  </si>
  <si>
    <t>Computer Software</t>
  </si>
  <si>
    <t>An over or under collection will be recovered pro rata over year collected, held for one year and returned pro rata over next year</t>
  </si>
  <si>
    <t>TRANSMISSION PLANT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</si>
  <si>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</si>
  <si>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</si>
  <si>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</si>
  <si>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</si>
  <si>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</si>
  <si>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</si>
  <si>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351.h (Note I)</t>
  </si>
  <si>
    <t>263.i</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</si>
  <si>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</si>
  <si>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</si>
  <si>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</si>
  <si>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</si>
  <si>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</si>
  <si>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</si>
  <si>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</si>
  <si>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</si>
  <si>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</si>
  <si>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</si>
  <si>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</si>
  <si>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</si>
  <si>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</si>
  <si>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</si>
  <si>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</si>
  <si>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</si>
  <si>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</si>
  <si>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</si>
  <si>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</si>
  <si>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</si>
  <si>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</si>
  <si>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</si>
  <si>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</si>
  <si>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</si>
  <si>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</si>
  <si>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</si>
  <si>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</si>
  <si>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</si>
  <si>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</si>
  <si>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</si>
  <si>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</si>
  <si>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</si>
  <si>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</si>
  <si>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</si>
  <si>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</si>
  <si>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</si>
  <si>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</si>
  <si>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</si>
  <si>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</si>
  <si>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</si>
  <si>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</si>
  <si>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</si>
  <si>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Weighted Average State Income Tax Rate</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</si>
  <si>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</si>
  <si>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</si>
  <si>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</si>
  <si>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</si>
  <si>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</si>
  <si>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</si>
  <si>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</si>
  <si>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</si>
  <si>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</si>
  <si>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</si>
  <si>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</si>
  <si>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</si>
  <si>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</si>
  <si>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</si>
  <si>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</si>
  <si>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</si>
  <si>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</si>
  <si>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</si>
  <si>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</si>
  <si>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</si>
  <si>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</si>
  <si>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</si>
  <si>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</si>
  <si>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</si>
  <si>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</si>
  <si>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</si>
  <si>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</si>
  <si>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</si>
  <si>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</si>
  <si>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</si>
  <si>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</si>
  <si>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</si>
  <si>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</si>
  <si>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</si>
  <si>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</si>
  <si>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</si>
  <si>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</si>
  <si>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</si>
  <si>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</si>
  <si>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</si>
  <si>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</si>
  <si>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</si>
  <si>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</si>
  <si>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</si>
  <si>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</si>
  <si>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</si>
  <si>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</si>
  <si>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</si>
  <si>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</si>
  <si>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</si>
  <si>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</si>
  <si>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</si>
  <si>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</si>
  <si>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</si>
  <si>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</si>
  <si>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</si>
  <si>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</si>
  <si>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</si>
  <si>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</si>
  <si>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</si>
  <si>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</si>
  <si>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</si>
  <si>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</si>
  <si>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</si>
  <si>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</si>
  <si>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</si>
  <si>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</si>
  <si>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</si>
  <si>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</si>
  <si>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</si>
  <si>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</si>
  <si>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</si>
  <si>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</si>
  <si>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</si>
  <si>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</si>
  <si>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</si>
  <si>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</si>
  <si>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</si>
  <si>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</si>
  <si>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</si>
  <si>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</si>
  <si>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</si>
  <si>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</si>
  <si>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</si>
  <si>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</si>
  <si>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</si>
  <si>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</si>
  <si>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</si>
  <si>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</si>
  <si>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</si>
  <si>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</si>
  <si>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</si>
  <si>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</si>
  <si>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</si>
  <si>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</si>
  <si>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</si>
  <si>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</si>
  <si>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</si>
  <si>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</si>
  <si>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</si>
  <si>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</si>
  <si>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</si>
  <si>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</si>
  <si>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263.i</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</si>
  <si>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</si>
  <si>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</si>
  <si>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</si>
  <si>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</si>
  <si>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</si>
  <si>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</si>
  <si>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</si>
  <si>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Note N</t>
    </r>
  </si>
  <si>
    <r>
      <rPr>
        <sz val="9"/>
        <rFont val="Times New Roman"/>
        <family val="1"/>
      </rPr>
      <t>CIT=(T/1-T) * (1-(WCLTD/R)) =</t>
    </r>
  </si>
  <si>
    <r>
      <rPr>
        <sz val="9"/>
        <rFont val="Times New Roman"/>
        <family val="1"/>
      </rPr>
      <t>1 / (1 - T)  = (from line 34)</t>
    </r>
  </si>
  <si>
    <r>
      <rPr>
        <sz val="9"/>
        <rFont val="Times New Roman"/>
        <family val="1"/>
      </rPr>
      <t>(Line 35 times Line 48)</t>
    </r>
  </si>
  <si>
    <r>
      <rPr>
        <sz val="9"/>
        <rFont val="Times New Roman"/>
        <family val="1"/>
      </rPr>
      <t>Permanent Differences Tax Adjustment</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</si>
  <si>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</si>
  <si>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</si>
  <si>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</si>
  <si>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</si>
  <si>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</si>
  <si>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</si>
  <si>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</si>
  <si>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</si>
  <si>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</si>
  <si>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</si>
  <si>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</si>
  <si>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</si>
  <si>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</si>
  <si>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</si>
  <si>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</si>
  <si>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</si>
  <si>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</si>
  <si>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</si>
  <si>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</si>
  <si>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</si>
  <si>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</si>
  <si>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</si>
  <si>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</si>
  <si>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</si>
  <si>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</si>
  <si>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</si>
  <si>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</si>
  <si>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</si>
  <si>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</si>
  <si>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</si>
  <si>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t>Silver Run Electric, LLC</t>
  </si>
  <si>
    <t>Note O</t>
  </si>
  <si>
    <t>48a</t>
  </si>
  <si>
    <t>Rev Requirement before Incentive Return</t>
  </si>
  <si>
    <t>48b</t>
  </si>
  <si>
    <t>Incentive Return, Income Tax, and Concessions</t>
  </si>
  <si>
    <t>(Attachment 1, Page 3, Col 12, Line 6)</t>
  </si>
  <si>
    <t>X</t>
  </si>
  <si>
    <t>Investment tax credit (ITC) is recorded in accordance with the deferral method of accounting and any normalization requirements that relate to the eligibility to claim the credit or the recapture of the credit.  The revenue requirement impact of any ITC will be supported by a work paper.</t>
  </si>
  <si>
    <t>(Federal Income Tax Rate)</t>
  </si>
  <si>
    <t>(State Income Tax Rate or Composite SIT)</t>
  </si>
  <si>
    <t>(percent of federal income tax deductible for state purposes)</t>
  </si>
  <si>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</si>
  <si>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</si>
  <si>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</si>
  <si>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</si>
  <si>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</si>
  <si>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t>(Sum of Lines 17, 22, 32, 46, and 48)</t>
  </si>
  <si>
    <r>
      <rPr>
        <sz val="9"/>
        <rFont val="Times New Roman"/>
        <family val="1"/>
      </rPr>
      <t>To be completed in conjunction with Attachment H-27A.</t>
    </r>
  </si>
  <si>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</si>
  <si>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</si>
  <si>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Contributions in Aid of Construction</t>
  </si>
  <si>
    <t>In the event a Contribution in Aid of Construction (CIAC) is made for a transmission facility, the transmission depreciation rates above will be weighted based on the relative amount of underlying plant booked to the accounts shown in the lines above, and the resultant weighted average depreciation rate will be used to amortize the CIAC.   The CIAC depreciation rate for each facility will be determined at the time the plant is placed into service, and will not change  without FERC approval.</t>
  </si>
  <si>
    <t>* Taken directly from SRE affiliate Cross Texas Transmission, LLC as approved by the Public Utility Commission of Texas in Docket No. 43950 by order issued May 1, 2015.
** Based on a proxy depreciation rate as supported in Section 205 filing.</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</si>
  <si>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</si>
  <si>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</si>
  <si>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</si>
  <si>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</si>
  <si>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SRE shall not recover a 50 basis point ROE incentive for the risks and challenges associated with the Artificial Island Project facilities, PJM Upgrade Projects b2633.1 and b2633.2.</t>
  </si>
  <si>
    <r>
      <rPr>
        <sz val="9"/>
        <rFont val="Times New Roman"/>
        <family val="1"/>
      </rPr>
      <t>Rate Year January</t>
    </r>
  </si>
  <si>
    <r>
      <rPr>
        <sz val="9"/>
        <rFont val="Times New Roman"/>
        <family val="1"/>
      </rPr>
      <t>Rate Year February</t>
    </r>
  </si>
  <si>
    <r>
      <rPr>
        <sz val="9"/>
        <rFont val="Times New Roman"/>
        <family val="1"/>
      </rPr>
      <t>Rate Year March</t>
    </r>
  </si>
  <si>
    <r>
      <rPr>
        <sz val="9"/>
        <rFont val="Times New Roman"/>
        <family val="1"/>
      </rPr>
      <t>Rate Year April</t>
    </r>
  </si>
  <si>
    <r>
      <rPr>
        <sz val="9"/>
        <rFont val="Times New Roman"/>
        <family val="1"/>
      </rPr>
      <t>Rate Year May</t>
    </r>
  </si>
  <si>
    <r>
      <rPr>
        <sz val="9"/>
        <rFont val="Times New Roman"/>
        <family val="1"/>
      </rPr>
      <t>Rate Year June</t>
    </r>
  </si>
  <si>
    <r>
      <rPr>
        <sz val="9"/>
        <rFont val="Times New Roman"/>
        <family val="1"/>
      </rPr>
      <t>Rate Year July</t>
    </r>
  </si>
  <si>
    <r>
      <rPr>
        <sz val="9"/>
        <rFont val="Times New Roman"/>
        <family val="1"/>
      </rPr>
      <t>Rate Year August</t>
    </r>
  </si>
  <si>
    <r>
      <rPr>
        <sz val="9"/>
        <rFont val="Times New Roman"/>
        <family val="1"/>
      </rPr>
      <t>Rate Year September</t>
    </r>
  </si>
  <si>
    <r>
      <rPr>
        <sz val="9"/>
        <rFont val="Times New Roman"/>
        <family val="1"/>
      </rPr>
      <t>Rate Year October</t>
    </r>
  </si>
  <si>
    <r>
      <rPr>
        <sz val="9"/>
        <rFont val="Times New Roman"/>
        <family val="1"/>
      </rPr>
      <t>Rate Year November</t>
    </r>
  </si>
  <si>
    <r>
      <rPr>
        <sz val="9"/>
        <rFont val="Times New Roman"/>
        <family val="1"/>
      </rPr>
      <t>Rate Year December</t>
    </r>
  </si>
  <si>
    <t>Attachment 3, Line 9, Col. J</t>
  </si>
  <si>
    <t>Note X</t>
  </si>
  <si>
    <t>Account No. 281 (enter negative)</t>
  </si>
  <si>
    <t>Account No. 282 (enter negative)</t>
  </si>
  <si>
    <t>Account No. 283 (enter negative)</t>
  </si>
  <si>
    <t>Account No. 190</t>
  </si>
  <si>
    <t>Account No. 255 (enter negative)</t>
  </si>
  <si>
    <t>Unfunded Reserves (enter negative)</t>
  </si>
  <si>
    <t>Attachment 4, Line 43, Col. (h)</t>
  </si>
  <si>
    <t>Attachment 4, Line 14, Col. (d)</t>
  </si>
  <si>
    <t>Attachment 4, Line 28, Col. (b) (Note E)</t>
  </si>
  <si>
    <t>Attachment 4, Line 28, Col. (c) (Note F)</t>
  </si>
  <si>
    <t>TOTAL ADJUSTMENTS</t>
  </si>
  <si>
    <t>( Sum of Lines 19 through 27)</t>
  </si>
  <si>
    <t xml:space="preserve">INCOME TAXES   </t>
  </si>
  <si>
    <r>
      <t xml:space="preserve">T=1 - </t>
    </r>
    <r>
      <rPr>
        <sz val="9"/>
        <rFont val="Times New Roman"/>
        <family val="1"/>
      </rPr>
      <t>[(1 - SIT) * (1 - FIT)] / (1 - SIT * FIT * p)</t>
    </r>
  </si>
  <si>
    <t>WCLTD = Page 4, Line 15, R = Page 4, Line 18,  FIT &amp; SIT &amp; P = Note N</t>
  </si>
  <si>
    <t>Reserved</t>
  </si>
  <si>
    <t>ITC Amortization Tax adjustment</t>
  </si>
  <si>
    <t>( Sum of Lines  17, 22, 32, 46, 48, and 48b)</t>
  </si>
  <si>
    <t>The balances in Accounts 190, 281, 282 and 283 are allocated to transmission plant included in rate base based on Company accounting records.  Accumulated deferred income tax amounts associated with asset or liability accounts excluded from rate base (such as ADIT related to asset retirement obligations and certain tax-related regulatory assets or liabilities) do not affect rate base.  To the extent that the normalization requirements apply to ADIT activity in the projected net revenue requirement calculation or the true-up adjustment calculation, the ADIT amounts are computed in accordance with the proration formula of Treasury regulation Section 1.167(l)-1(h)(6).  The remaining ADIT activity is averaged.  Work papers supporting the ADIT calculations will be posted with each projected net revenue requirement and/or Annual True-Up and included in the annual Informational Filing submitted to the Commission.  Account 281 is not allocated to Transmission.</t>
  </si>
  <si>
    <t xml:space="preserve">The currently effective income tax rate (T), where FIT is the federal income tax rate, SIT is the state income tax rate, and p is the percentage of federal income tax deductible for state income taxes. If the utility is taxed in more than one state, it must attach a work paper showing the name of each state and how the blended or composite SIT was computed. </t>
  </si>
  <si>
    <t xml:space="preserve">Includes the annual income tax cost or benefit due to permanent differences between the amounts of expenses or revenues for ratemaking purposes and the amounts recognized for income tax purposes, including the effects of regulatory depreciation of plant basis attributable to Allowance for Other Funds Used During Construction (AFUDC-equity).  The tax adjustment related to these items is computed by multiplying the tax effect of each item by the applicable tax gross-up factor and will be supported by a work paper.  </t>
  </si>
  <si>
    <t>(Sum Col. 5 + Col. 9  + (Column 6 * Line 16))</t>
  </si>
  <si>
    <t xml:space="preserve"> (Col. 11/100)*Col. 6*Att 2 Line 28)  (Note G)</t>
  </si>
  <si>
    <t>ITC Amortization Tax Adjustment</t>
  </si>
  <si>
    <t>Attachment H-27A, Page 3, Line 43</t>
  </si>
  <si>
    <t>Attachment H-27A, Page 3, Line 44</t>
  </si>
  <si>
    <t>Attachment H-27A, Page 3, Line 45</t>
  </si>
  <si>
    <t>Net Transmission Plant</t>
  </si>
  <si>
    <t>Attachment H-27A, page 2, line 14, col 5</t>
  </si>
  <si>
    <t>Calculate using 13 month average balance.</t>
  </si>
  <si>
    <t xml:space="preserve">Reserved.  </t>
  </si>
  <si>
    <t>(Line 15 - line 16 - line 17)</t>
  </si>
  <si>
    <t>Excess Deferred  Income Tax Adjustment</t>
  </si>
  <si>
    <t>Calculate rate base using 13 month average balance, except ADIT.  The calculation of ADIT is covered in Note D.</t>
  </si>
  <si>
    <t>Excess  Deferred Income Tax Adjustment</t>
  </si>
  <si>
    <t>For the twelve months ended 12/31/2022</t>
  </si>
  <si>
    <r>
      <rPr>
        <b/>
        <sz val="9"/>
        <rFont val="Times New Roman"/>
        <family val="1"/>
      </rPr>
      <t>Annual Fees</t>
    </r>
  </si>
  <si>
    <r>
      <rPr>
        <sz val="9"/>
        <rFont val="Times New Roman"/>
        <family val="1"/>
      </rPr>
      <t>Annual Rating Agency Fee</t>
    </r>
  </si>
  <si>
    <r>
      <rPr>
        <sz val="9"/>
        <rFont val="Times New Roman"/>
        <family val="1"/>
      </rPr>
      <t>Annual Bank Agency Fee</t>
    </r>
  </si>
  <si>
    <r>
      <rPr>
        <sz val="9"/>
        <rFont val="Times New Roman"/>
        <family val="1"/>
      </rPr>
      <t>Utilization Fee</t>
    </r>
  </si>
  <si>
    <r>
      <rPr>
        <sz val="9"/>
        <rFont val="Times New Roman"/>
        <family val="1"/>
      </rPr>
      <t>Other Fees</t>
    </r>
  </si>
  <si>
    <r>
      <rPr>
        <sz val="9"/>
        <rFont val="Times New Roman"/>
        <family val="1"/>
      </rPr>
      <t>Company books</t>
    </r>
  </si>
  <si>
    <r>
      <rPr>
        <sz val="9"/>
        <rFont val="Times New Roman"/>
        <family val="1"/>
      </rPr>
      <t>Other PJM revenues</t>
    </r>
  </si>
  <si>
    <r>
      <rPr>
        <sz val="9"/>
        <rFont val="Times New Roman"/>
        <family val="1"/>
      </rPr>
      <t>Total Per Books</t>
    </r>
  </si>
  <si>
    <r>
      <rPr>
        <sz val="9"/>
        <rFont val="Times New Roman"/>
        <family val="1"/>
      </rPr>
      <t>Form 1 330.n</t>
    </r>
  </si>
  <si>
    <r>
      <rPr>
        <sz val="9"/>
        <rFont val="Times New Roman"/>
        <family val="1"/>
      </rPr>
      <t>Less: revenues received pursuant to this Formula Rate</t>
    </r>
  </si>
  <si>
    <r>
      <rPr>
        <sz val="9"/>
        <rFont val="Times New Roman"/>
        <family val="1"/>
      </rPr>
      <t>Less: Over/Under recovery deferral</t>
    </r>
  </si>
  <si>
    <r>
      <rPr>
        <b/>
        <sz val="9"/>
        <rFont val="Times New Roman"/>
        <family val="1"/>
      </rPr>
      <t>Account 456.1 Revenue Credit</t>
    </r>
  </si>
  <si>
    <r>
      <rPr>
        <b/>
        <sz val="9"/>
        <rFont val="Times New Roman"/>
        <family val="1"/>
      </rPr>
      <t>Total Revenue Credits</t>
    </r>
  </si>
  <si>
    <t>Artificial Island</t>
  </si>
  <si>
    <t>Schedule 12</t>
  </si>
  <si>
    <t>b2633.1, b2633.2</t>
  </si>
  <si>
    <t>2022 Projected Attachment H-27A</t>
  </si>
  <si>
    <t>Workpaper #1</t>
  </si>
  <si>
    <t>Accumulated Deferred Income Taxes and Regulatory Assets/Liabilities for Excess/Deficient ADIT - Averaging and Proration Adjustments (Projected Revenue Requirement)</t>
  </si>
  <si>
    <t xml:space="preserve">No. </t>
  </si>
  <si>
    <t>Rate year =</t>
  </si>
  <si>
    <t>Test period days after rates become effective</t>
  </si>
  <si>
    <t>Account 281 - Accumulated Deferred Income Taxes - Accelerated Amortization</t>
  </si>
  <si>
    <t>debit / &lt;credit&gt;</t>
  </si>
  <si>
    <t>Beginning Balance</t>
  </si>
  <si>
    <t>Ending Balance</t>
  </si>
  <si>
    <t>Average Balance</t>
  </si>
  <si>
    <t>To Attachment H-27A, line 19, col. 3</t>
  </si>
  <si>
    <t>Account 282 - Accumulated Deferred Income Taxes - Other Property</t>
  </si>
  <si>
    <t>Amount
debit / &lt;credit&gt;</t>
  </si>
  <si>
    <t>Less:  Portion not related to transmission</t>
  </si>
  <si>
    <t>Less:  Portion not reflected in rate base</t>
  </si>
  <si>
    <t>Subtotal:  Portion reflected in rate base</t>
  </si>
  <si>
    <t>Less:  Portion subject to proration</t>
  </si>
  <si>
    <t>Portion subject to averaging</t>
  </si>
  <si>
    <t>Less:  Portion subject to proration (before proration)</t>
  </si>
  <si>
    <t>Portion subject to averaging (before averaging)</t>
  </si>
  <si>
    <t>Ending balance of portion subject to proration (prorated)</t>
  </si>
  <si>
    <t>Average balance of portion subject to averaging</t>
  </si>
  <si>
    <t>Amount reflected in rate base</t>
  </si>
  <si>
    <t>To Attachment H-27A, line 20, col. 3</t>
  </si>
  <si>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</si>
  <si>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</si>
  <si>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</si>
  <si>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</si>
  <si>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</si>
  <si>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</si>
  <si>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</si>
  <si>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December 31,</t>
  </si>
  <si>
    <t>NA</t>
  </si>
  <si>
    <t xml:space="preserve">January </t>
  </si>
  <si>
    <t xml:space="preserve">March </t>
  </si>
  <si>
    <t xml:space="preserve">August </t>
  </si>
  <si>
    <t xml:space="preserve">Total </t>
  </si>
  <si>
    <t>Account 283 - Accumulated Deferred Income Taxes - Other</t>
  </si>
  <si>
    <t>To Attachment H-27A, line 21, col. 3</t>
  </si>
  <si>
    <t>Account 190 - Accumulated Deferred Income Taxes</t>
  </si>
  <si>
    <t>To Attachment H-27A, line 22, col. 3</t>
  </si>
  <si>
    <t>Workpaper #2</t>
  </si>
  <si>
    <t>2022 Tax Rates</t>
  </si>
  <si>
    <t>Federal income tax rate</t>
  </si>
  <si>
    <t>Delaware corporate tax rate and apportionment factor</t>
  </si>
  <si>
    <t>New Jersey corporate tax rate and apportionment factor</t>
  </si>
  <si>
    <t>Composit state income tax rate</t>
  </si>
  <si>
    <t>Workpaper #3</t>
  </si>
  <si>
    <t>Permanent Difference Tax Adjustment</t>
  </si>
  <si>
    <t xml:space="preserve">The permanent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</si>
  <si>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</si>
  <si>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book/tax differences</t>
  </si>
  <si>
    <t>Depreciation of AFUDC-equity</t>
  </si>
  <si>
    <t>Amortization of carrying charge-equity</t>
  </si>
  <si>
    <t>Total permanent book/tax differences</t>
  </si>
  <si>
    <t>Tax rate</t>
  </si>
  <si>
    <t>Tax effect of permanent book/tax differences</t>
  </si>
  <si>
    <t>2020</t>
  </si>
  <si>
    <t>Workpaper #4</t>
  </si>
  <si>
    <t>Construction Cost Cap</t>
  </si>
  <si>
    <t>Construction Cost Cap (Note 1)</t>
  </si>
  <si>
    <t>Gross Plant In Service – Construction Costs</t>
  </si>
  <si>
    <t>Gross Plant In Service – Excluded Costs (Note 2)</t>
  </si>
  <si>
    <t>Total Gross Plant in Service - Attachment 4, Line 13 (b) and (c)</t>
  </si>
  <si>
    <t>Unamortized Regulatory Asset- Project Cost- Attachment 4, Line 27 (b) and (c)</t>
  </si>
  <si>
    <t xml:space="preserve">1.  The Construction Cost Cap Amount was determined pursuant to the Designated Entity Agreement (DEA) filed under Docket ER16-453 </t>
  </si>
  <si>
    <t>2.  Excluded Costs as defined in the DEA.</t>
  </si>
  <si>
    <t>Workpaper #1, page 2</t>
  </si>
  <si>
    <r>
      <t xml:space="preserve">Note 3 - </t>
    </r>
    <r>
      <rPr>
        <sz val="10"/>
        <color rgb="FF000000"/>
        <rFont val="Times New Roman"/>
        <family val="1"/>
      </rPr>
      <t>Accumulated deferred income tax activity in account 282 subject to the proration rules relates differences between depreciation methods and lives for public utility property and any other amounts subject to the Section 168 or other normalization requirements.</t>
    </r>
  </si>
  <si>
    <r>
      <rPr>
        <b/>
        <sz val="10"/>
        <color theme="1"/>
        <rFont val="Times New Roman"/>
        <family val="1"/>
      </rPr>
      <t>Note 1</t>
    </r>
    <r>
      <rPr>
        <sz val="10"/>
        <color rgb="FF000000"/>
        <rFont val="Times New Roman"/>
        <family val="1"/>
      </rPr>
      <t xml:space="preserve"> - The computations on this workpaper apply the proration rules of Treasury Regulation section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</si>
  <si>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0"/>
        <color theme="1"/>
        <rFont val="Times New Roman"/>
        <family val="1"/>
      </rPr>
      <t xml:space="preserve">Note 2 </t>
    </r>
    <r>
      <rPr>
        <sz val="10"/>
        <color rgb="FF000000"/>
        <rFont val="Times New Roman"/>
        <family val="1"/>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</si>
  <si>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t>Total Project Costs Subject to Construction Cost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</si>
</sst>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_);[Red]\(&quot;$&quot;#,##0\)"/>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 #,##0.00000_);_(* \(#,##0.00000\);_(* &quot;-&quot;?????_);_(@_)"/>
    <numFmt numFmtId="176" formatCode="_(* #,##0.000_);_(* \(#,##0.000\);_(* &quot;-&quot;???_);_(@_)"/>
    <numFmt numFmtId="177" formatCode="_(&quot;$&quot;* #,##0_);_(&quot;$&quot;* \(#,##0\);_(&quot;$&quot;* &quot;-&quot;??_);_(@_)"/>
    <numFmt numFmtId="178" formatCode="&quot;$&quot;#,##0.00"/>
    <numFmt numFmtId="179" formatCode="_(* #,##0_);_(* \(#,##0\);_(* &quot;-&quot;???_);_(@_)"/>
    <numFmt numFmtId="180" formatCode="General_)"/>
  </numFmts>
  <fonts count="35">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Times New Roman"/>
      <family val="1"/>
    </font>
    <font>
      <sz val="10"/>
      <color rgb="FF000000"/>
      <name val="Times New Roman"/>
      <family val="1"/>
    </font>
    <font>
      <u/>
      <sz val="10"/>
      <color theme="10"/>
      <name val="Times New Roman"/>
      <family val="1"/>
    </font>
    <font>
      <sz val="9"/>
      <color rgb="FF000000"/>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strike/>
      <sz val="9"/>
      <color rgb="FFFF0000"/>
      <name val="Times New Roman"/>
      <family val="1"/>
    </font>
    <font>
      <b/>
      <vertAlign val="superscript"/>
      <sz val="9"/>
      <color indexed="8"/>
      <name val="Times New Roman"/>
      <family val="1"/>
    </font>
    <font>
      <vertAlign val="superscript"/>
      <sz val="9"/>
      <color indexed="8"/>
      <name val="Times New Roman"/>
      <family val="1"/>
    </font>
    <font>
      <u/>
      <sz val="9"/>
      <color indexed="8"/>
      <name val="Times New Roman"/>
      <family val="1"/>
    </font>
    <font>
      <b/>
      <sz val="9"/>
      <color rgb="FF000000"/>
      <name val="Times New Roman"/>
      <family val="1"/>
    </font>
    <font>
      <u/>
      <sz val="9"/>
      <color theme="10"/>
      <name val="Times New Roman"/>
      <family val="1"/>
    </font>
    <font>
      <sz val="12"/>
      <name val="Arial MT"/>
      <family val="2"/>
    </font>
    <font>
      <sz val="11"/>
      <color theme="1"/>
      <name val="Calibri"/>
      <family val="2"/>
    </font>
    <font>
      <sz val="10"/>
      <name val="Arial"/>
      <family val="2"/>
    </font>
    <font>
      <sz val="12"/>
      <name val="Arial"/>
      <family val="2"/>
    </font>
    <font>
      <sz val="12"/>
      <name val="Arial MT"/>
    </font>
    <font>
      <sz val="9"/>
      <color theme="1"/>
      <name val="Calibri"/>
      <family val="2"/>
    </font>
    <font>
      <sz val="10"/>
      <color indexed="0"/>
      <name val="Arial"/>
      <family val="2"/>
    </font>
    <font>
      <u/>
      <sz val="10"/>
      <color theme="10"/>
      <name val="Arial"/>
      <family val="2"/>
    </font>
    <font>
      <b/>
      <sz val="10"/>
      <color theme="1"/>
      <name val="Times New Roman"/>
      <family val="1"/>
    </font>
    <font>
      <sz val="10"/>
      <color theme="1"/>
      <name val="Times New Roman"/>
      <family val="1"/>
    </font>
    <font>
      <b/>
      <sz val="10"/>
      <name val="Times New Roman"/>
      <family val="1"/>
    </font>
    <font>
      <sz val="10"/>
      <name val="Times New Roman"/>
      <family val="1"/>
    </font>
    <font>
      <u/>
      <sz val="10"/>
      <color rgb="FF000000"/>
      <name val="Times New Roman"/>
      <family val="1"/>
    </font>
    <font>
      <b/>
      <sz val="10"/>
      <color rgb="FF000000"/>
      <name val="Times New Roman"/>
      <family val="1"/>
    </font>
  </fonts>
  <fills count="9">
    <fill>
      <patternFill patternType="none"/>
    </fill>
    <fill>
      <patternFill patternType="gray125"/>
    </fill>
    <fill>
      <patternFill patternType="solid">
        <fgColor indexed="9"/>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499984740745262"/>
        <bgColor indexed="64"/>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7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7"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178" fontId="21" fillId="0" borderId="0" applyProtection="0"/>
    <xf numFmtId="9" fontId="21" fillId="0" borderId="0" applyFont="0" applyFill="0" applyBorder="0" applyAlignment="0" applyProtection="0"/>
    <xf numFmtId="0" fontId="4" fillId="0" borderId="0"/>
    <xf numFmtId="43" fontId="4" fillId="0" borderId="0" applyFont="0" applyFill="0" applyBorder="0" applyAlignment="0" applyProtection="0"/>
    <xf numFmtId="0" fontId="22" fillId="0" borderId="0"/>
    <xf numFmtId="43" fontId="22" fillId="0" borderId="0" applyFont="0" applyFill="0" applyBorder="0" applyAlignment="0" applyProtection="0"/>
    <xf numFmtId="0" fontId="23" fillId="0" borderId="0"/>
    <xf numFmtId="0" fontId="3" fillId="0" borderId="0"/>
    <xf numFmtId="0" fontId="3" fillId="0" borderId="0"/>
    <xf numFmtId="43" fontId="3" fillId="0" borderId="0" applyFont="0" applyFill="0" applyBorder="0" applyAlignment="0" applyProtection="0"/>
    <xf numFmtId="0" fontId="3" fillId="0" borderId="0"/>
    <xf numFmtId="0" fontId="23" fillId="0" borderId="0"/>
    <xf numFmtId="43" fontId="3" fillId="0" borderId="0" applyFont="0" applyFill="0" applyBorder="0" applyAlignment="0" applyProtection="0"/>
    <xf numFmtId="178" fontId="25" fillId="0" borderId="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3" fillId="0" borderId="0"/>
    <xf numFmtId="44" fontId="6"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23" fillId="0" borderId="0" applyFont="0" applyFill="0" applyBorder="0" applyAlignment="0" applyProtection="0"/>
    <xf numFmtId="9" fontId="26" fillId="0" borderId="0" applyFont="0" applyFill="0" applyBorder="0" applyAlignment="0" applyProtection="0"/>
    <xf numFmtId="0" fontId="23" fillId="0" borderId="0"/>
    <xf numFmtId="0" fontId="26" fillId="0" borderId="0"/>
    <xf numFmtId="0" fontId="23" fillId="0" borderId="0"/>
    <xf numFmtId="43" fontId="26" fillId="0" borderId="0" applyFont="0" applyFill="0" applyBorder="0" applyAlignment="0" applyProtection="0"/>
    <xf numFmtId="0" fontId="27" fillId="0" borderId="0"/>
    <xf numFmtId="43" fontId="23" fillId="0" borderId="0" applyFont="0" applyFill="0" applyBorder="0" applyAlignment="0" applyProtection="0"/>
    <xf numFmtId="9" fontId="23" fillId="0" borderId="0" applyFont="0" applyFill="0" applyBorder="0" applyAlignment="0" applyProtection="0"/>
    <xf numFmtId="0" fontId="3" fillId="0" borderId="0"/>
    <xf numFmtId="0" fontId="28" fillId="0" borderId="0" applyNumberFormat="0" applyFill="0" applyBorder="0" applyAlignment="0" applyProtection="0"/>
    <xf numFmtId="0" fontId="3" fillId="0" borderId="0"/>
    <xf numFmtId="178" fontId="21" fillId="0" borderId="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3" fillId="0" borderId="0"/>
    <xf numFmtId="43" fontId="3" fillId="0" borderId="0" applyFont="0" applyFill="0" applyBorder="0" applyAlignment="0" applyProtection="0"/>
    <xf numFmtId="0" fontId="7" fillId="0" borderId="0"/>
    <xf numFmtId="180" fontId="24" fillId="0" borderId="0"/>
    <xf numFmtId="0" fontId="2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59">
    <xf numFmtId="0" fontId="0" fillId="2" borderId="0" xfId="0" applyFill="1" applyBorder="1" applyAlignment="1">
      <alignment horizontal="left" vertical="top"/>
    </xf>
    <xf numFmtId="0" fontId="10" fillId="2" borderId="0" xfId="0" applyFont="1" applyFill="1" applyBorder="1" applyAlignment="1">
      <alignment horizontal="left" vertical="top"/>
    </xf>
    <xf numFmtId="0" fontId="11" fillId="2" borderId="0" xfId="0" applyFont="1" applyFill="1" applyBorder="1" applyAlignment="1">
      <alignment vertical="top"/>
    </xf>
    <xf numFmtId="164" fontId="10" fillId="2" borderId="0" xfId="0" applyNumberFormat="1" applyFont="1" applyFill="1" applyBorder="1" applyAlignment="1">
      <alignment horizontal="right" vertical="top"/>
    </xf>
    <xf numFmtId="0" fontId="10" fillId="3" borderId="0" xfId="0" applyFont="1" applyFill="1" applyBorder="1" applyAlignment="1">
      <alignment vertical="top"/>
    </xf>
    <xf numFmtId="0" fontId="10" fillId="3" borderId="0" xfId="0" applyFont="1" applyFill="1" applyBorder="1" applyAlignment="1">
      <alignment horizontal="left" vertical="top"/>
    </xf>
    <xf numFmtId="0" fontId="10" fillId="4" borderId="0" xfId="0" applyFont="1" applyFill="1" applyBorder="1" applyAlignment="1">
      <alignment horizontal="right" vertical="top"/>
    </xf>
    <xf numFmtId="0" fontId="10" fillId="0" borderId="0" xfId="0" applyFont="1" applyFill="1" applyBorder="1" applyAlignment="1">
      <alignment vertical="top"/>
    </xf>
    <xf numFmtId="0" fontId="10" fillId="2" borderId="0" xfId="0" applyFont="1" applyFill="1" applyBorder="1" applyAlignment="1">
      <alignment vertical="top"/>
    </xf>
    <xf numFmtId="49" fontId="10" fillId="2" borderId="0" xfId="0" applyNumberFormat="1" applyFont="1" applyFill="1" applyBorder="1" applyAlignment="1">
      <alignment horizontal="center" vertical="top"/>
    </xf>
    <xf numFmtId="0" fontId="12" fillId="2" borderId="0" xfId="0" applyFont="1" applyFill="1" applyBorder="1" applyAlignment="1">
      <alignment horizontal="center" vertical="center"/>
    </xf>
    <xf numFmtId="49" fontId="13" fillId="2" borderId="0" xfId="0" applyNumberFormat="1" applyFont="1" applyFill="1" applyBorder="1" applyAlignment="1">
      <alignment horizontal="center" vertical="top"/>
    </xf>
    <xf numFmtId="0" fontId="12" fillId="2" borderId="5" xfId="0" applyFont="1" applyFill="1" applyBorder="1" applyAlignment="1">
      <alignment horizontal="center" vertical="center"/>
    </xf>
    <xf numFmtId="0" fontId="10" fillId="2" borderId="0" xfId="0" applyFont="1" applyFill="1" applyBorder="1" applyAlignment="1">
      <alignment vertical="center"/>
    </xf>
    <xf numFmtId="0" fontId="12" fillId="2" borderId="1" xfId="0" applyFont="1" applyFill="1" applyBorder="1" applyAlignment="1">
      <alignment horizontal="center" vertical="top"/>
    </xf>
    <xf numFmtId="0" fontId="12" fillId="2" borderId="0" xfId="0" applyFont="1" applyFill="1" applyBorder="1" applyAlignment="1">
      <alignment horizontal="center" vertical="top"/>
    </xf>
    <xf numFmtId="164" fontId="10" fillId="2" borderId="0" xfId="0" applyNumberFormat="1" applyFont="1" applyFill="1" applyBorder="1" applyAlignment="1">
      <alignment vertical="top"/>
    </xf>
    <xf numFmtId="164" fontId="13" fillId="2" borderId="1" xfId="0" applyNumberFormat="1" applyFont="1" applyFill="1" applyBorder="1" applyAlignment="1">
      <alignment horizontal="center" vertical="top"/>
    </xf>
    <xf numFmtId="164" fontId="10" fillId="2" borderId="0" xfId="0" applyNumberFormat="1" applyFont="1" applyFill="1" applyBorder="1" applyAlignment="1">
      <alignment horizontal="center" vertical="top"/>
    </xf>
    <xf numFmtId="165" fontId="10" fillId="2" borderId="2" xfId="0" applyNumberFormat="1" applyFont="1" applyFill="1" applyBorder="1" applyAlignment="1">
      <alignment horizontal="center" vertical="top"/>
    </xf>
    <xf numFmtId="0" fontId="10" fillId="0" borderId="0" xfId="0" applyFont="1" applyFill="1" applyBorder="1" applyAlignment="1">
      <alignment horizontal="left" vertical="top"/>
    </xf>
    <xf numFmtId="44" fontId="10" fillId="2" borderId="0" xfId="2" applyFont="1" applyFill="1" applyBorder="1" applyAlignment="1">
      <alignment vertical="top"/>
    </xf>
    <xf numFmtId="165" fontId="10" fillId="2" borderId="0" xfId="0" applyNumberFormat="1" applyFont="1" applyFill="1" applyBorder="1" applyAlignment="1">
      <alignment horizontal="center" vertical="top"/>
    </xf>
    <xf numFmtId="0" fontId="10" fillId="2" borderId="0" xfId="0" applyFont="1" applyFill="1" applyBorder="1" applyAlignment="1">
      <alignment horizontal="center" vertical="top"/>
    </xf>
    <xf numFmtId="0" fontId="13" fillId="2" borderId="1" xfId="0" applyFont="1" applyFill="1" applyBorder="1" applyAlignment="1">
      <alignment horizontal="center" vertical="top"/>
    </xf>
    <xf numFmtId="0" fontId="13" fillId="2" borderId="0" xfId="0" applyFont="1" applyFill="1" applyBorder="1" applyAlignment="1">
      <alignment horizontal="center" vertical="top"/>
    </xf>
    <xf numFmtId="166" fontId="10" fillId="2" borderId="0" xfId="0" applyNumberFormat="1" applyFont="1" applyFill="1" applyBorder="1" applyAlignment="1">
      <alignment vertical="top"/>
    </xf>
    <xf numFmtId="43" fontId="10" fillId="2" borderId="0" xfId="2" applyNumberFormat="1" applyFont="1" applyFill="1" applyBorder="1" applyAlignment="1">
      <alignment horizontal="left" vertical="top"/>
    </xf>
    <xf numFmtId="0" fontId="10" fillId="2" borderId="0" xfId="0" applyFont="1" applyFill="1" applyBorder="1" applyAlignment="1">
      <alignment horizontal="left" vertical="top" indent="1"/>
    </xf>
    <xf numFmtId="0" fontId="10" fillId="5" borderId="0" xfId="0" applyFont="1" applyFill="1" applyBorder="1" applyAlignment="1">
      <alignment horizontal="center" vertical="top"/>
    </xf>
    <xf numFmtId="167" fontId="10" fillId="5" borderId="0" xfId="2" applyNumberFormat="1" applyFont="1" applyFill="1" applyBorder="1" applyAlignment="1">
      <alignment vertical="top"/>
    </xf>
    <xf numFmtId="43" fontId="10" fillId="4" borderId="0" xfId="2" applyNumberFormat="1" applyFont="1" applyFill="1" applyBorder="1" applyAlignment="1">
      <alignment horizontal="left" vertical="top"/>
    </xf>
    <xf numFmtId="43" fontId="10" fillId="4" borderId="1" xfId="2" applyNumberFormat="1" applyFont="1" applyFill="1" applyBorder="1" applyAlignment="1">
      <alignment horizontal="left" vertical="top"/>
    </xf>
    <xf numFmtId="0" fontId="11" fillId="0" borderId="0" xfId="0" applyFont="1" applyFill="1" applyBorder="1" applyAlignment="1">
      <alignment vertical="top"/>
    </xf>
    <xf numFmtId="165" fontId="10" fillId="2" borderId="0" xfId="0" applyNumberFormat="1" applyFont="1" applyFill="1" applyBorder="1" applyAlignment="1">
      <alignment horizontal="center" vertical="center"/>
    </xf>
    <xf numFmtId="0" fontId="10" fillId="2" borderId="1" xfId="0" applyFont="1" applyFill="1" applyBorder="1" applyAlignment="1">
      <alignment horizontal="left" vertical="top"/>
    </xf>
    <xf numFmtId="0" fontId="14" fillId="2" borderId="0" xfId="0" applyFont="1" applyFill="1" applyBorder="1" applyAlignment="1">
      <alignment horizontal="left" vertical="top"/>
    </xf>
    <xf numFmtId="0" fontId="11" fillId="2" borderId="0" xfId="0" applyFont="1" applyFill="1" applyBorder="1" applyAlignment="1">
      <alignment horizontal="left" vertical="top"/>
    </xf>
    <xf numFmtId="43" fontId="10" fillId="2" borderId="0" xfId="2" applyNumberFormat="1" applyFont="1" applyFill="1" applyBorder="1" applyAlignment="1">
      <alignment horizontal="right" vertical="top"/>
    </xf>
    <xf numFmtId="0" fontId="11" fillId="2" borderId="0" xfId="0" applyFont="1" applyFill="1" applyBorder="1" applyAlignment="1">
      <alignment horizontal="center" vertical="top"/>
    </xf>
    <xf numFmtId="0" fontId="10" fillId="2" borderId="0" xfId="0" applyFont="1" applyFill="1" applyBorder="1" applyAlignment="1">
      <alignment horizontal="right" vertical="top"/>
    </xf>
    <xf numFmtId="0" fontId="10" fillId="5" borderId="0" xfId="0" applyFont="1" applyFill="1" applyBorder="1" applyAlignment="1">
      <alignment horizontal="right" vertical="top"/>
    </xf>
    <xf numFmtId="0" fontId="10" fillId="2" borderId="0" xfId="0" applyFont="1" applyFill="1" applyBorder="1" applyAlignment="1"/>
    <xf numFmtId="164" fontId="13" fillId="2" borderId="0" xfId="0" applyNumberFormat="1" applyFont="1" applyFill="1" applyBorder="1" applyAlignment="1">
      <alignment horizontal="center" vertical="top"/>
    </xf>
    <xf numFmtId="0" fontId="10" fillId="2" borderId="2" xfId="0" applyFont="1" applyFill="1" applyBorder="1" applyAlignment="1">
      <alignment vertical="top"/>
    </xf>
    <xf numFmtId="0" fontId="10" fillId="5" borderId="0" xfId="0" applyFont="1" applyFill="1" applyBorder="1" applyAlignment="1">
      <alignment vertical="top"/>
    </xf>
    <xf numFmtId="0" fontId="10" fillId="5" borderId="0" xfId="0" applyFont="1" applyFill="1" applyBorder="1" applyAlignment="1">
      <alignment horizontal="left" vertical="top"/>
    </xf>
    <xf numFmtId="43" fontId="10" fillId="4" borderId="0" xfId="0" applyNumberFormat="1" applyFont="1" applyFill="1" applyBorder="1" applyAlignment="1">
      <alignment horizontal="right" vertical="center"/>
    </xf>
    <xf numFmtId="167" fontId="10" fillId="6" borderId="0" xfId="2" applyNumberFormat="1" applyFont="1" applyFill="1" applyBorder="1" applyAlignment="1">
      <alignment horizontal="right" vertical="top"/>
    </xf>
    <xf numFmtId="0" fontId="10" fillId="5" borderId="0" xfId="0" applyNumberFormat="1" applyFont="1" applyFill="1" applyBorder="1" applyAlignment="1">
      <alignment horizontal="center" vertical="top"/>
    </xf>
    <xf numFmtId="167" fontId="10" fillId="5" borderId="0" xfId="2" applyNumberFormat="1" applyFont="1" applyFill="1" applyBorder="1" applyAlignment="1">
      <alignment horizontal="right" vertical="top"/>
    </xf>
    <xf numFmtId="0" fontId="10" fillId="5" borderId="0" xfId="0" applyFont="1" applyFill="1" applyBorder="1" applyAlignment="1">
      <alignment horizontal="right" vertical="center"/>
    </xf>
    <xf numFmtId="0" fontId="11" fillId="2" borderId="0" xfId="0" applyFont="1" applyFill="1" applyBorder="1" applyAlignment="1">
      <alignment horizontal="left" vertical="center" indent="1"/>
    </xf>
    <xf numFmtId="0" fontId="11" fillId="2" borderId="0" xfId="0" applyFont="1" applyFill="1" applyBorder="1" applyAlignment="1">
      <alignment horizontal="left" indent="1"/>
    </xf>
    <xf numFmtId="0" fontId="11" fillId="5" borderId="0" xfId="0" applyFont="1" applyFill="1" applyBorder="1" applyAlignment="1">
      <alignment wrapText="1"/>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43" fontId="10" fillId="5" borderId="0" xfId="0" applyNumberFormat="1" applyFont="1" applyFill="1" applyBorder="1" applyAlignment="1">
      <alignment horizontal="right" vertical="top" indent="1"/>
    </xf>
    <xf numFmtId="43" fontId="10" fillId="2" borderId="0" xfId="2" applyNumberFormat="1" applyFont="1" applyFill="1" applyBorder="1" applyAlignment="1">
      <alignment horizontal="right" vertical="top" indent="1"/>
    </xf>
    <xf numFmtId="0" fontId="10" fillId="0" borderId="0" xfId="0" applyFont="1" applyFill="1" applyBorder="1" applyAlignment="1">
      <alignment horizontal="center" vertical="top"/>
    </xf>
    <xf numFmtId="167" fontId="10" fillId="6" borderId="0" xfId="2" applyNumberFormat="1" applyFont="1" applyFill="1" applyBorder="1" applyAlignment="1">
      <alignment vertical="top"/>
    </xf>
    <xf numFmtId="49" fontId="10" fillId="5" borderId="0" xfId="0" applyNumberFormat="1" applyFont="1" applyFill="1" applyBorder="1" applyAlignment="1">
      <alignment horizontal="center" vertical="top"/>
    </xf>
    <xf numFmtId="164" fontId="13" fillId="5" borderId="0" xfId="0" applyNumberFormat="1" applyFont="1" applyFill="1" applyBorder="1" applyAlignment="1">
      <alignment horizontal="center" vertical="top"/>
    </xf>
    <xf numFmtId="164" fontId="13" fillId="5" borderId="1" xfId="0" applyNumberFormat="1" applyFont="1" applyFill="1" applyBorder="1" applyAlignment="1">
      <alignment horizontal="center" vertical="top"/>
    </xf>
    <xf numFmtId="164" fontId="10" fillId="5" borderId="0" xfId="0" applyNumberFormat="1" applyFont="1" applyFill="1" applyBorder="1" applyAlignment="1">
      <alignment vertical="top"/>
    </xf>
    <xf numFmtId="164" fontId="13" fillId="2" borderId="0" xfId="0" applyNumberFormat="1" applyFont="1" applyFill="1" applyBorder="1" applyAlignment="1">
      <alignment vertical="top"/>
    </xf>
    <xf numFmtId="164" fontId="10" fillId="5" borderId="0" xfId="0" applyNumberFormat="1" applyFont="1" applyFill="1" applyBorder="1" applyAlignment="1">
      <alignment horizontal="center" vertical="top"/>
    </xf>
    <xf numFmtId="43" fontId="10" fillId="4" borderId="0" xfId="0" applyNumberFormat="1" applyFont="1" applyFill="1" applyBorder="1" applyAlignment="1">
      <alignment vertical="top"/>
    </xf>
    <xf numFmtId="43" fontId="10" fillId="5" borderId="0" xfId="0" applyNumberFormat="1" applyFont="1" applyFill="1" applyBorder="1" applyAlignment="1">
      <alignment vertical="top"/>
    </xf>
    <xf numFmtId="0" fontId="11" fillId="5" borderId="0" xfId="0" applyFont="1" applyFill="1" applyBorder="1" applyAlignment="1">
      <alignment vertical="top"/>
    </xf>
    <xf numFmtId="0" fontId="11" fillId="2" borderId="0" xfId="0" applyFont="1" applyFill="1" applyBorder="1" applyAlignment="1">
      <alignment horizontal="left" vertical="top" indent="1"/>
    </xf>
    <xf numFmtId="165" fontId="10" fillId="0" borderId="0" xfId="0" applyNumberFormat="1" applyFont="1" applyFill="1" applyBorder="1" applyAlignment="1">
      <alignment horizontal="center" vertical="top"/>
    </xf>
    <xf numFmtId="43" fontId="10" fillId="2" borderId="0" xfId="0" applyNumberFormat="1" applyFont="1" applyFill="1" applyBorder="1" applyAlignment="1">
      <alignment vertical="top"/>
    </xf>
    <xf numFmtId="43" fontId="10" fillId="0" borderId="0" xfId="0" applyNumberFormat="1" applyFont="1" applyFill="1" applyBorder="1" applyAlignment="1">
      <alignment vertical="top"/>
    </xf>
    <xf numFmtId="0" fontId="10" fillId="0" borderId="0" xfId="0" applyFont="1" applyFill="1" applyBorder="1" applyAlignment="1">
      <alignment horizontal="left" vertical="top" indent="1"/>
    </xf>
    <xf numFmtId="43" fontId="10" fillId="5" borderId="11" xfId="0" applyNumberFormat="1" applyFont="1" applyFill="1" applyBorder="1" applyAlignment="1">
      <alignment vertical="top"/>
    </xf>
    <xf numFmtId="43" fontId="10" fillId="4" borderId="1" xfId="0" applyNumberFormat="1" applyFont="1" applyFill="1" applyBorder="1" applyAlignment="1">
      <alignment vertical="top"/>
    </xf>
    <xf numFmtId="0" fontId="10" fillId="2" borderId="0" xfId="0" applyFont="1" applyFill="1" applyBorder="1" applyAlignment="1">
      <alignment horizontal="left" vertical="top" indent="2"/>
    </xf>
    <xf numFmtId="0" fontId="10" fillId="2" borderId="0" xfId="0" applyFont="1" applyFill="1" applyBorder="1" applyAlignment="1">
      <alignment horizontal="left" vertical="top" wrapText="1" indent="2"/>
    </xf>
    <xf numFmtId="43" fontId="10" fillId="5" borderId="1" xfId="0" applyNumberFormat="1" applyFont="1" applyFill="1" applyBorder="1" applyAlignment="1">
      <alignment vertical="top"/>
    </xf>
    <xf numFmtId="0" fontId="11" fillId="0" borderId="0" xfId="0" applyFont="1" applyFill="1" applyBorder="1" applyAlignment="1">
      <alignment horizontal="left" vertical="top" indent="1"/>
    </xf>
    <xf numFmtId="10" fontId="10" fillId="0" borderId="0" xfId="0" applyNumberFormat="1" applyFont="1" applyFill="1" applyBorder="1" applyAlignment="1">
      <alignment vertical="top"/>
    </xf>
    <xf numFmtId="10" fontId="10" fillId="2" borderId="0" xfId="3" applyNumberFormat="1" applyFont="1" applyFill="1" applyBorder="1" applyAlignment="1">
      <alignment vertical="top"/>
    </xf>
    <xf numFmtId="167" fontId="10" fillId="5" borderId="0" xfId="1" applyNumberFormat="1" applyFont="1" applyFill="1" applyBorder="1" applyAlignment="1">
      <alignment vertical="top"/>
    </xf>
    <xf numFmtId="0" fontId="12" fillId="2" borderId="1" xfId="0" applyFont="1" applyFill="1" applyBorder="1" applyAlignment="1">
      <alignment horizontal="center" vertical="center"/>
    </xf>
    <xf numFmtId="0" fontId="11" fillId="2" borderId="0" xfId="0" applyFont="1" applyFill="1" applyBorder="1" applyAlignment="1">
      <alignment vertical="top" wrapText="1"/>
    </xf>
    <xf numFmtId="167" fontId="10" fillId="0" borderId="0" xfId="2" applyNumberFormat="1" applyFont="1" applyFill="1" applyBorder="1" applyAlignment="1">
      <alignment vertical="top"/>
    </xf>
    <xf numFmtId="0" fontId="10" fillId="5" borderId="1" xfId="0" applyFont="1" applyFill="1" applyBorder="1" applyAlignment="1">
      <alignment vertical="center"/>
    </xf>
    <xf numFmtId="0" fontId="10" fillId="2" borderId="1" xfId="0" applyFont="1" applyFill="1" applyBorder="1" applyAlignment="1">
      <alignment horizontal="center" vertical="top"/>
    </xf>
    <xf numFmtId="0" fontId="10" fillId="0" borderId="1" xfId="0" applyFont="1" applyFill="1" applyBorder="1" applyAlignment="1">
      <alignment horizontal="center" vertical="top"/>
    </xf>
    <xf numFmtId="167" fontId="10" fillId="5" borderId="11" xfId="2" applyNumberFormat="1" applyFont="1" applyFill="1" applyBorder="1" applyAlignment="1">
      <alignment vertical="top"/>
    </xf>
    <xf numFmtId="167" fontId="10" fillId="5" borderId="1" xfId="2" applyNumberFormat="1" applyFont="1" applyFill="1" applyBorder="1" applyAlignment="1">
      <alignment vertical="top"/>
    </xf>
    <xf numFmtId="0" fontId="10" fillId="5" borderId="1" xfId="0" applyFont="1" applyFill="1" applyBorder="1" applyAlignment="1">
      <alignment horizontal="center" vertical="top"/>
    </xf>
    <xf numFmtId="10" fontId="10" fillId="5" borderId="0" xfId="0" applyNumberFormat="1" applyFont="1" applyFill="1" applyBorder="1" applyAlignment="1">
      <alignment vertical="top"/>
    </xf>
    <xf numFmtId="10" fontId="10" fillId="5" borderId="0" xfId="3" applyNumberFormat="1" applyFont="1" applyFill="1" applyBorder="1" applyAlignment="1">
      <alignment vertical="top"/>
    </xf>
    <xf numFmtId="10" fontId="10" fillId="5" borderId="0" xfId="0" applyNumberFormat="1" applyFont="1" applyFill="1" applyBorder="1" applyAlignment="1">
      <alignment horizontal="right" vertical="top"/>
    </xf>
    <xf numFmtId="10" fontId="10" fillId="5" borderId="1" xfId="0" applyNumberFormat="1" applyFont="1" applyFill="1" applyBorder="1" applyAlignment="1">
      <alignment vertical="top"/>
    </xf>
    <xf numFmtId="10" fontId="10" fillId="5" borderId="5" xfId="0" applyNumberFormat="1" applyFont="1" applyFill="1" applyBorder="1" applyAlignment="1">
      <alignment horizontal="right" vertical="top"/>
    </xf>
    <xf numFmtId="10" fontId="10" fillId="5" borderId="2" xfId="0" applyNumberFormat="1" applyFont="1" applyFill="1" applyBorder="1" applyAlignment="1">
      <alignment horizontal="right" vertical="top"/>
    </xf>
    <xf numFmtId="10" fontId="10" fillId="5" borderId="0" xfId="0" applyNumberFormat="1" applyFont="1" applyFill="1" applyBorder="1" applyAlignment="1">
      <alignment horizontal="right" vertical="center"/>
    </xf>
    <xf numFmtId="0" fontId="10" fillId="5" borderId="0" xfId="0" quotePrefix="1" applyFont="1" applyFill="1" applyBorder="1" applyAlignment="1">
      <alignment horizontal="center" vertical="center"/>
    </xf>
    <xf numFmtId="0" fontId="11" fillId="5" borderId="0" xfId="0" applyFont="1" applyFill="1" applyBorder="1" applyAlignment="1">
      <alignment vertical="center"/>
    </xf>
    <xf numFmtId="165" fontId="13" fillId="2" borderId="0" xfId="0" applyNumberFormat="1" applyFont="1" applyFill="1" applyBorder="1" applyAlignment="1">
      <alignment horizontal="center" vertical="center"/>
    </xf>
    <xf numFmtId="0" fontId="13" fillId="2" borderId="0" xfId="0" applyFont="1" applyFill="1" applyBorder="1" applyAlignment="1">
      <alignment vertical="top"/>
    </xf>
    <xf numFmtId="0" fontId="13" fillId="5" borderId="0" xfId="0" applyFont="1" applyFill="1" applyBorder="1" applyAlignment="1">
      <alignment vertical="center"/>
    </xf>
    <xf numFmtId="0" fontId="13" fillId="5" borderId="0" xfId="0" applyFont="1" applyFill="1" applyBorder="1" applyAlignment="1">
      <alignment vertical="top"/>
    </xf>
    <xf numFmtId="0" fontId="13" fillId="3" borderId="0" xfId="0" applyFont="1" applyFill="1" applyBorder="1" applyAlignment="1">
      <alignment vertical="top"/>
    </xf>
    <xf numFmtId="0" fontId="13" fillId="3" borderId="0" xfId="0" applyFont="1" applyFill="1" applyBorder="1" applyAlignment="1">
      <alignment horizontal="left" vertical="top"/>
    </xf>
    <xf numFmtId="165" fontId="10" fillId="2" borderId="0" xfId="0" applyNumberFormat="1" applyFont="1" applyFill="1" applyBorder="1" applyAlignment="1">
      <alignment horizontal="left" vertical="center"/>
    </xf>
    <xf numFmtId="0" fontId="10" fillId="0" borderId="0" xfId="0" applyFont="1" applyFill="1" applyBorder="1" applyAlignment="1">
      <alignment horizontal="right" vertical="top"/>
    </xf>
    <xf numFmtId="0" fontId="10" fillId="5" borderId="0" xfId="0" applyFont="1" applyFill="1" applyBorder="1" applyAlignment="1">
      <alignment horizontal="center" vertical="top" wrapText="1"/>
    </xf>
    <xf numFmtId="168" fontId="10" fillId="6" borderId="0" xfId="3" applyNumberFormat="1" applyFont="1" applyFill="1" applyBorder="1" applyAlignment="1">
      <alignment vertical="top"/>
    </xf>
    <xf numFmtId="0" fontId="11" fillId="5" borderId="0" xfId="0" applyFont="1" applyFill="1" applyBorder="1" applyAlignment="1">
      <alignment horizontal="center" vertical="top"/>
    </xf>
    <xf numFmtId="171" fontId="11" fillId="6" borderId="0" xfId="0" applyNumberFormat="1" applyFont="1" applyFill="1" applyBorder="1" applyAlignment="1">
      <alignment horizontal="right" vertical="center"/>
    </xf>
    <xf numFmtId="171" fontId="10" fillId="2" borderId="0" xfId="2" applyNumberFormat="1" applyFont="1" applyFill="1" applyBorder="1" applyAlignment="1">
      <alignment horizontal="right" vertical="top" indent="1"/>
    </xf>
    <xf numFmtId="171" fontId="10" fillId="5" borderId="0" xfId="0" applyNumberFormat="1" applyFont="1" applyFill="1" applyBorder="1" applyAlignment="1">
      <alignment horizontal="center" vertical="center"/>
    </xf>
    <xf numFmtId="171" fontId="10" fillId="5" borderId="0" xfId="0" applyNumberFormat="1" applyFont="1" applyFill="1" applyBorder="1" applyAlignment="1">
      <alignment vertical="top"/>
    </xf>
    <xf numFmtId="0" fontId="15" fillId="5" borderId="0" xfId="0" applyFont="1" applyFill="1" applyBorder="1" applyAlignment="1">
      <alignment vertical="top"/>
    </xf>
    <xf numFmtId="171" fontId="10" fillId="2" borderId="0" xfId="0" applyNumberFormat="1" applyFont="1" applyFill="1" applyBorder="1" applyAlignment="1">
      <alignment vertical="top"/>
    </xf>
    <xf numFmtId="0" fontId="10" fillId="7" borderId="0" xfId="0" applyFont="1" applyFill="1" applyBorder="1" applyAlignment="1">
      <alignment vertical="top"/>
    </xf>
    <xf numFmtId="171" fontId="10" fillId="7" borderId="0" xfId="0" applyNumberFormat="1" applyFont="1" applyFill="1" applyBorder="1" applyAlignment="1">
      <alignment vertical="top"/>
    </xf>
    <xf numFmtId="0" fontId="10" fillId="7" borderId="0" xfId="0" applyFont="1" applyFill="1" applyBorder="1" applyAlignment="1">
      <alignment horizontal="center" vertical="top"/>
    </xf>
    <xf numFmtId="167" fontId="10" fillId="7" borderId="0" xfId="2" applyNumberFormat="1" applyFont="1" applyFill="1" applyBorder="1" applyAlignment="1">
      <alignment vertical="top"/>
    </xf>
    <xf numFmtId="168" fontId="10" fillId="7" borderId="0" xfId="3" applyNumberFormat="1" applyFont="1" applyFill="1" applyBorder="1" applyAlignment="1">
      <alignment vertical="top"/>
    </xf>
    <xf numFmtId="0" fontId="10" fillId="7" borderId="0" xfId="0" applyFont="1" applyFill="1" applyBorder="1" applyAlignment="1">
      <alignment horizontal="left" vertical="top"/>
    </xf>
    <xf numFmtId="0" fontId="9" fillId="2" borderId="0" xfId="0" applyFont="1" applyFill="1" applyBorder="1" applyAlignment="1">
      <alignment horizontal="center" vertical="center"/>
    </xf>
    <xf numFmtId="0" fontId="9" fillId="2" borderId="0" xfId="0" applyFont="1" applyFill="1" applyBorder="1" applyAlignment="1">
      <alignment horizontal="left" vertical="top"/>
    </xf>
    <xf numFmtId="0" fontId="9" fillId="2" borderId="0" xfId="0" applyFont="1" applyFill="1" applyBorder="1" applyAlignment="1">
      <alignment horizontal="center" vertical="top"/>
    </xf>
    <xf numFmtId="0" fontId="10" fillId="6" borderId="0" xfId="0" applyFont="1" applyFill="1" applyBorder="1" applyAlignment="1">
      <alignment horizontal="right" vertical="top"/>
    </xf>
    <xf numFmtId="0" fontId="10" fillId="2" borderId="0" xfId="0" applyFont="1" applyFill="1" applyBorder="1" applyAlignment="1">
      <alignment horizontal="center" vertical="center"/>
    </xf>
    <xf numFmtId="0" fontId="10" fillId="2" borderId="0" xfId="0" applyFont="1" applyFill="1" applyBorder="1" applyAlignment="1">
      <alignment horizontal="left" vertical="top" wrapText="1"/>
    </xf>
    <xf numFmtId="49" fontId="10" fillId="2" borderId="0" xfId="0" applyNumberFormat="1" applyFont="1" applyFill="1" applyBorder="1" applyAlignment="1">
      <alignment horizontal="center"/>
    </xf>
    <xf numFmtId="0" fontId="10" fillId="2" borderId="1" xfId="0" applyNumberFormat="1" applyFont="1" applyFill="1" applyBorder="1" applyAlignment="1">
      <alignment horizontal="center" vertical="top"/>
    </xf>
    <xf numFmtId="49" fontId="13" fillId="2" borderId="0" xfId="0" applyNumberFormat="1" applyFont="1" applyFill="1" applyBorder="1" applyAlignment="1">
      <alignment horizontal="center" vertical="center"/>
    </xf>
    <xf numFmtId="0" fontId="10" fillId="2" borderId="0" xfId="0" applyNumberFormat="1" applyFont="1" applyFill="1" applyBorder="1" applyAlignment="1">
      <alignment horizontal="center" vertical="top"/>
    </xf>
    <xf numFmtId="49" fontId="13" fillId="2" borderId="0" xfId="0" applyNumberFormat="1" applyFont="1" applyFill="1" applyBorder="1" applyAlignment="1">
      <alignment horizontal="center"/>
    </xf>
    <xf numFmtId="49" fontId="10" fillId="4" borderId="0" xfId="0" applyNumberFormat="1" applyFont="1" applyFill="1" applyBorder="1" applyAlignment="1">
      <alignment horizontal="center" vertical="top"/>
    </xf>
    <xf numFmtId="49" fontId="10" fillId="2" borderId="9" xfId="0" applyNumberFormat="1" applyFont="1" applyFill="1" applyBorder="1" applyAlignment="1">
      <alignment horizontal="center" vertical="top"/>
    </xf>
    <xf numFmtId="49" fontId="10" fillId="2" borderId="6" xfId="0" applyNumberFormat="1" applyFont="1" applyFill="1" applyBorder="1" applyAlignment="1">
      <alignment horizontal="center" vertical="top"/>
    </xf>
    <xf numFmtId="49" fontId="10" fillId="2" borderId="9" xfId="0" applyNumberFormat="1" applyFont="1" applyFill="1" applyBorder="1" applyAlignment="1">
      <alignment horizontal="center"/>
    </xf>
    <xf numFmtId="0" fontId="10" fillId="2" borderId="0" xfId="0" applyNumberFormat="1" applyFont="1" applyFill="1" applyBorder="1" applyAlignment="1">
      <alignment horizontal="center"/>
    </xf>
    <xf numFmtId="49" fontId="10" fillId="2" borderId="9" xfId="0" applyNumberFormat="1" applyFont="1" applyFill="1" applyBorder="1" applyAlignment="1">
      <alignment horizontal="center" wrapText="1"/>
    </xf>
    <xf numFmtId="0" fontId="9" fillId="2" borderId="0" xfId="0" applyFont="1" applyFill="1" applyBorder="1" applyAlignment="1">
      <alignment horizontal="left"/>
    </xf>
    <xf numFmtId="49" fontId="10" fillId="0" borderId="14" xfId="0" applyNumberFormat="1" applyFont="1" applyFill="1" applyBorder="1" applyAlignment="1">
      <alignment horizontal="center" vertical="top"/>
    </xf>
    <xf numFmtId="49" fontId="10" fillId="4" borderId="14" xfId="0" applyNumberFormat="1" applyFont="1" applyFill="1" applyBorder="1" applyAlignment="1">
      <alignment horizontal="center" vertical="top"/>
    </xf>
    <xf numFmtId="43" fontId="10" fillId="2" borderId="15" xfId="2" applyNumberFormat="1" applyFont="1" applyFill="1" applyBorder="1" applyAlignment="1">
      <alignment horizontal="center" vertical="top"/>
    </xf>
    <xf numFmtId="49" fontId="10" fillId="2" borderId="14" xfId="0" applyNumberFormat="1" applyFont="1" applyFill="1" applyBorder="1" applyAlignment="1">
      <alignment horizontal="center" vertical="top"/>
    </xf>
    <xf numFmtId="168" fontId="10" fillId="2" borderId="14" xfId="2" applyNumberFormat="1" applyFont="1" applyFill="1" applyBorder="1" applyAlignment="1">
      <alignment horizontal="right" vertical="top" indent="1"/>
    </xf>
    <xf numFmtId="43" fontId="10" fillId="2" borderId="14" xfId="2" applyNumberFormat="1" applyFont="1" applyFill="1" applyBorder="1" applyAlignment="1">
      <alignment horizontal="center" vertical="top"/>
    </xf>
    <xf numFmtId="43" fontId="10" fillId="7" borderId="14" xfId="2" applyNumberFormat="1" applyFont="1" applyFill="1" applyBorder="1" applyAlignment="1">
      <alignment horizontal="center" vertical="top"/>
    </xf>
    <xf numFmtId="43" fontId="10" fillId="6" borderId="14" xfId="2" applyNumberFormat="1" applyFont="1" applyFill="1" applyBorder="1" applyAlignment="1">
      <alignment horizontal="center" vertical="top"/>
    </xf>
    <xf numFmtId="43" fontId="10" fillId="4" borderId="14" xfId="2" applyNumberFormat="1" applyFont="1" applyFill="1" applyBorder="1" applyAlignment="1">
      <alignment horizontal="center" vertical="top"/>
    </xf>
    <xf numFmtId="49" fontId="10" fillId="2" borderId="15" xfId="0" applyNumberFormat="1" applyFont="1" applyFill="1" applyBorder="1" applyAlignment="1">
      <alignment horizontal="center" vertical="top"/>
    </xf>
    <xf numFmtId="43" fontId="10" fillId="7" borderId="15" xfId="2" applyNumberFormat="1" applyFont="1" applyFill="1" applyBorder="1" applyAlignment="1">
      <alignment horizontal="center" vertical="top"/>
    </xf>
    <xf numFmtId="168" fontId="10" fillId="2" borderId="15" xfId="2" applyNumberFormat="1" applyFont="1" applyFill="1" applyBorder="1" applyAlignment="1">
      <alignment horizontal="right" vertical="top" indent="1"/>
    </xf>
    <xf numFmtId="49" fontId="10" fillId="4" borderId="16" xfId="0" applyNumberFormat="1" applyFont="1" applyFill="1" applyBorder="1" applyAlignment="1">
      <alignment horizontal="center" vertical="top"/>
    </xf>
    <xf numFmtId="43" fontId="10" fillId="6" borderId="16" xfId="2" applyNumberFormat="1" applyFont="1" applyFill="1" applyBorder="1" applyAlignment="1">
      <alignment horizontal="center" vertical="top"/>
    </xf>
    <xf numFmtId="43" fontId="10" fillId="7" borderId="16" xfId="2" applyNumberFormat="1" applyFont="1" applyFill="1" applyBorder="1" applyAlignment="1">
      <alignment horizontal="center" vertical="top"/>
    </xf>
    <xf numFmtId="43" fontId="10" fillId="2" borderId="16" xfId="2" applyNumberFormat="1" applyFont="1" applyFill="1" applyBorder="1" applyAlignment="1">
      <alignment horizontal="center" vertical="top"/>
    </xf>
    <xf numFmtId="43" fontId="10" fillId="4" borderId="16" xfId="2" applyNumberFormat="1" applyFont="1" applyFill="1" applyBorder="1" applyAlignment="1">
      <alignment horizontal="center" vertical="top"/>
    </xf>
    <xf numFmtId="49" fontId="10" fillId="2" borderId="16" xfId="0" applyNumberFormat="1" applyFont="1" applyFill="1" applyBorder="1" applyAlignment="1">
      <alignment horizontal="center" vertical="top"/>
    </xf>
    <xf numFmtId="168" fontId="10" fillId="2" borderId="16" xfId="2" applyNumberFormat="1" applyFont="1" applyFill="1" applyBorder="1" applyAlignment="1">
      <alignment horizontal="right" vertical="top" indent="1"/>
    </xf>
    <xf numFmtId="0" fontId="10" fillId="2" borderId="0" xfId="0" applyNumberFormat="1" applyFont="1" applyFill="1" applyBorder="1" applyAlignment="1">
      <alignment horizontal="center" wrapText="1"/>
    </xf>
    <xf numFmtId="49" fontId="10" fillId="2" borderId="0" xfId="0" applyNumberFormat="1" applyFont="1" applyFill="1" applyBorder="1" applyAlignment="1">
      <alignment horizontal="left" wrapText="1"/>
    </xf>
    <xf numFmtId="43" fontId="10" fillId="2" borderId="0" xfId="2" applyNumberFormat="1" applyFont="1" applyFill="1" applyBorder="1" applyAlignment="1">
      <alignment horizontal="center"/>
    </xf>
    <xf numFmtId="168" fontId="10" fillId="2" borderId="0" xfId="3" applyNumberFormat="1" applyFont="1" applyFill="1" applyBorder="1" applyAlignment="1">
      <alignment horizontal="right" indent="1"/>
    </xf>
    <xf numFmtId="0" fontId="9" fillId="2" borderId="0" xfId="0" applyFont="1" applyFill="1" applyBorder="1" applyAlignment="1">
      <alignment horizontal="left" vertical="top" wrapText="1"/>
    </xf>
    <xf numFmtId="43" fontId="10" fillId="5" borderId="0" xfId="2" applyNumberFormat="1" applyFont="1" applyFill="1" applyBorder="1" applyAlignment="1">
      <alignment horizontal="center" vertical="top"/>
    </xf>
    <xf numFmtId="0" fontId="13" fillId="2" borderId="0" xfId="0" applyNumberFormat="1" applyFont="1" applyFill="1" applyBorder="1" applyAlignment="1">
      <alignment horizontal="left" vertical="top"/>
    </xf>
    <xf numFmtId="49" fontId="10" fillId="4" borderId="15" xfId="0" applyNumberFormat="1" applyFont="1" applyFill="1" applyBorder="1" applyAlignment="1">
      <alignment horizontal="center"/>
    </xf>
    <xf numFmtId="49" fontId="10" fillId="2" borderId="15" xfId="0" applyNumberFormat="1" applyFont="1" applyFill="1" applyBorder="1" applyAlignment="1">
      <alignment horizontal="center" wrapText="1"/>
    </xf>
    <xf numFmtId="49" fontId="10" fillId="0" borderId="16" xfId="0" applyNumberFormat="1" applyFont="1" applyFill="1" applyBorder="1" applyAlignment="1">
      <alignment horizontal="center" vertical="top"/>
    </xf>
    <xf numFmtId="172" fontId="10" fillId="6" borderId="17" xfId="0" applyNumberFormat="1" applyFont="1" applyFill="1" applyBorder="1" applyAlignment="1">
      <alignment horizontal="center" vertical="top"/>
    </xf>
    <xf numFmtId="43" fontId="10" fillId="0" borderId="17" xfId="2" applyNumberFormat="1" applyFont="1" applyFill="1" applyBorder="1" applyAlignment="1">
      <alignment horizontal="center" vertical="top"/>
    </xf>
    <xf numFmtId="172" fontId="10" fillId="5" borderId="15" xfId="3" applyNumberFormat="1" applyFont="1" applyFill="1" applyBorder="1" applyAlignment="1">
      <alignment horizontal="right" vertical="top" indent="1"/>
    </xf>
    <xf numFmtId="172" fontId="10" fillId="2" borderId="14" xfId="2" applyNumberFormat="1" applyFont="1" applyFill="1" applyBorder="1" applyAlignment="1">
      <alignment horizontal="right" vertical="top" indent="1"/>
    </xf>
    <xf numFmtId="172" fontId="10" fillId="5" borderId="14" xfId="3" applyNumberFormat="1" applyFont="1" applyFill="1" applyBorder="1" applyAlignment="1">
      <alignment horizontal="right" vertical="top" indent="1"/>
    </xf>
    <xf numFmtId="175" fontId="10" fillId="2" borderId="15" xfId="2" applyNumberFormat="1" applyFont="1" applyFill="1" applyBorder="1" applyAlignment="1">
      <alignment horizontal="center" vertical="top"/>
    </xf>
    <xf numFmtId="0" fontId="13" fillId="2" borderId="0" xfId="0" applyFont="1" applyFill="1" applyBorder="1" applyAlignment="1">
      <alignment horizontal="center"/>
    </xf>
    <xf numFmtId="0" fontId="10" fillId="2" borderId="1" xfId="0" applyFont="1" applyFill="1" applyBorder="1" applyAlignment="1">
      <alignment horizontal="center" wrapText="1"/>
    </xf>
    <xf numFmtId="0" fontId="13" fillId="2" borderId="0" xfId="0" applyFont="1" applyFill="1" applyBorder="1" applyAlignment="1">
      <alignment horizontal="center" wrapText="1"/>
    </xf>
    <xf numFmtId="0" fontId="13" fillId="2" borderId="0" xfId="0" quotePrefix="1" applyFont="1" applyFill="1" applyBorder="1" applyAlignment="1">
      <alignment horizontal="center" vertical="top"/>
    </xf>
    <xf numFmtId="0" fontId="10" fillId="2" borderId="0" xfId="0" applyFont="1" applyFill="1" applyBorder="1" applyAlignment="1">
      <alignment horizontal="center"/>
    </xf>
    <xf numFmtId="0" fontId="10" fillId="2" borderId="0" xfId="0" applyFont="1" applyFill="1" applyBorder="1" applyAlignment="1">
      <alignment horizontal="center" wrapText="1"/>
    </xf>
    <xf numFmtId="0" fontId="10" fillId="0" borderId="0" xfId="0" applyFont="1" applyFill="1" applyBorder="1" applyAlignment="1">
      <alignment horizontal="center" wrapText="1"/>
    </xf>
    <xf numFmtId="43" fontId="10" fillId="4" borderId="0" xfId="2" applyNumberFormat="1" applyFont="1" applyFill="1" applyBorder="1" applyAlignment="1">
      <alignment horizontal="center" vertical="top"/>
    </xf>
    <xf numFmtId="0" fontId="10" fillId="2" borderId="0" xfId="0" applyFont="1" applyFill="1" applyBorder="1" applyAlignment="1">
      <alignment horizontal="right" vertical="top" wrapText="1"/>
    </xf>
    <xf numFmtId="43" fontId="10" fillId="5" borderId="4" xfId="2" applyNumberFormat="1" applyFont="1" applyFill="1" applyBorder="1" applyAlignment="1">
      <alignment horizontal="center"/>
    </xf>
    <xf numFmtId="0" fontId="13" fillId="2" borderId="0" xfId="0" quotePrefix="1" applyFont="1" applyFill="1" applyBorder="1" applyAlignment="1">
      <alignment horizontal="center"/>
    </xf>
    <xf numFmtId="43" fontId="10" fillId="5" borderId="4" xfId="2" applyNumberFormat="1" applyFont="1" applyFill="1" applyBorder="1" applyAlignment="1">
      <alignment horizontal="center" vertical="top"/>
    </xf>
    <xf numFmtId="0" fontId="18" fillId="2" borderId="0" xfId="0" applyFont="1" applyFill="1" applyBorder="1" applyAlignment="1">
      <alignment horizontal="center" vertical="top"/>
    </xf>
    <xf numFmtId="0" fontId="18" fillId="2" borderId="0" xfId="0" applyFont="1" applyFill="1" applyBorder="1" applyAlignment="1">
      <alignment vertical="top"/>
    </xf>
    <xf numFmtId="43" fontId="10" fillId="6" borderId="0" xfId="2" applyNumberFormat="1" applyFont="1" applyFill="1" applyBorder="1" applyAlignment="1">
      <alignment horizontal="center" vertical="top"/>
    </xf>
    <xf numFmtId="0" fontId="18" fillId="2" borderId="0" xfId="0" applyFont="1" applyFill="1" applyBorder="1" applyAlignment="1">
      <alignment horizontal="left" vertical="top"/>
    </xf>
    <xf numFmtId="0" fontId="10" fillId="2" borderId="0" xfId="0" quotePrefix="1" applyFont="1" applyFill="1" applyBorder="1" applyAlignment="1">
      <alignment horizontal="center"/>
    </xf>
    <xf numFmtId="0" fontId="10" fillId="2" borderId="1" xfId="0" applyFont="1" applyFill="1" applyBorder="1" applyAlignment="1">
      <alignment horizontal="left"/>
    </xf>
    <xf numFmtId="0" fontId="10" fillId="2" borderId="1" xfId="0" applyFont="1" applyFill="1" applyBorder="1" applyAlignment="1">
      <alignment horizontal="center"/>
    </xf>
    <xf numFmtId="0" fontId="10" fillId="4" borderId="0" xfId="0" applyFont="1" applyFill="1" applyBorder="1" applyAlignment="1">
      <alignment horizontal="left" vertical="top"/>
    </xf>
    <xf numFmtId="170" fontId="10" fillId="4" borderId="11" xfId="0" applyNumberFormat="1" applyFont="1" applyFill="1" applyBorder="1" applyAlignment="1">
      <alignment horizontal="right" vertical="top" indent="2"/>
    </xf>
    <xf numFmtId="0" fontId="10" fillId="4" borderId="1" xfId="0" applyFont="1" applyFill="1" applyBorder="1" applyAlignment="1">
      <alignment horizontal="left" vertical="top"/>
    </xf>
    <xf numFmtId="170" fontId="10" fillId="4" borderId="0" xfId="0" applyNumberFormat="1" applyFont="1" applyFill="1" applyBorder="1" applyAlignment="1">
      <alignment horizontal="right" vertical="top" indent="2"/>
    </xf>
    <xf numFmtId="0" fontId="10" fillId="2" borderId="11" xfId="0" applyFont="1" applyFill="1" applyBorder="1" applyAlignment="1">
      <alignment horizontal="left" vertical="top"/>
    </xf>
    <xf numFmtId="43" fontId="10" fillId="5" borderId="11" xfId="2" applyNumberFormat="1" applyFont="1" applyFill="1" applyBorder="1" applyAlignment="1">
      <alignment horizontal="center" vertical="top"/>
    </xf>
    <xf numFmtId="0" fontId="9" fillId="5" borderId="0" xfId="0" applyFont="1" applyFill="1" applyBorder="1" applyAlignment="1">
      <alignment horizontal="left" vertical="top"/>
    </xf>
    <xf numFmtId="0" fontId="10" fillId="7" borderId="0" xfId="0" applyFont="1" applyFill="1" applyBorder="1" applyAlignment="1">
      <alignment horizontal="right" vertical="top" wrapText="1"/>
    </xf>
    <xf numFmtId="43" fontId="10" fillId="7" borderId="4" xfId="2" applyNumberFormat="1" applyFont="1" applyFill="1" applyBorder="1" applyAlignment="1">
      <alignment horizontal="center" vertical="top"/>
    </xf>
    <xf numFmtId="167" fontId="10" fillId="7" borderId="0" xfId="2" applyNumberFormat="1" applyFont="1" applyFill="1" applyBorder="1" applyAlignment="1">
      <alignment horizontal="center" vertical="top"/>
    </xf>
    <xf numFmtId="0" fontId="11" fillId="7" borderId="0" xfId="0" applyFont="1" applyFill="1" applyBorder="1" applyAlignment="1">
      <alignment vertical="top" wrapText="1"/>
    </xf>
    <xf numFmtId="0" fontId="11" fillId="7" borderId="0" xfId="0" applyFont="1" applyFill="1" applyBorder="1" applyAlignment="1">
      <alignment vertical="top"/>
    </xf>
    <xf numFmtId="0" fontId="10" fillId="7" borderId="1" xfId="0" applyFont="1" applyFill="1" applyBorder="1" applyAlignment="1">
      <alignment vertical="top"/>
    </xf>
    <xf numFmtId="0" fontId="12" fillId="2" borderId="0" xfId="0" applyFont="1" applyFill="1" applyBorder="1" applyAlignment="1">
      <alignment horizontal="center" wrapText="1"/>
    </xf>
    <xf numFmtId="0" fontId="12" fillId="2" borderId="1" xfId="0" applyFont="1" applyFill="1" applyBorder="1" applyAlignment="1">
      <alignment horizontal="center" wrapText="1"/>
    </xf>
    <xf numFmtId="0" fontId="11" fillId="2" borderId="0" xfId="0" applyFont="1" applyFill="1" applyBorder="1" applyAlignment="1">
      <alignment horizontal="center" vertical="center" wrapText="1"/>
    </xf>
    <xf numFmtId="49" fontId="10" fillId="2" borderId="0"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xf>
    <xf numFmtId="165" fontId="10" fillId="2" borderId="0" xfId="0" applyNumberFormat="1" applyFont="1" applyFill="1" applyBorder="1" applyAlignment="1">
      <alignment horizontal="center" vertical="center" wrapText="1"/>
    </xf>
    <xf numFmtId="9" fontId="10" fillId="2" borderId="0" xfId="3" applyFont="1" applyFill="1" applyBorder="1" applyAlignment="1">
      <alignment horizontal="center" vertical="top"/>
    </xf>
    <xf numFmtId="49" fontId="10" fillId="2" borderId="0" xfId="0" applyNumberFormat="1" applyFont="1" applyFill="1" applyBorder="1" applyAlignment="1">
      <alignment horizontal="righ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left" vertical="top"/>
    </xf>
    <xf numFmtId="9" fontId="10" fillId="2" borderId="0" xfId="3" quotePrefix="1" applyFont="1" applyFill="1" applyBorder="1" applyAlignment="1">
      <alignment horizontal="right" vertical="top"/>
    </xf>
    <xf numFmtId="43" fontId="10" fillId="5" borderId="0" xfId="2" applyNumberFormat="1" applyFont="1" applyFill="1" applyBorder="1" applyAlignment="1">
      <alignment horizontal="right" vertical="top"/>
    </xf>
    <xf numFmtId="49" fontId="10" fillId="0" borderId="0" xfId="0" applyNumberFormat="1" applyFont="1" applyFill="1" applyBorder="1" applyAlignment="1">
      <alignment horizontal="left" vertical="top"/>
    </xf>
    <xf numFmtId="9" fontId="10" fillId="2" borderId="0" xfId="3" applyFont="1" applyFill="1" applyBorder="1" applyAlignment="1">
      <alignment horizontal="right" vertical="top"/>
    </xf>
    <xf numFmtId="10" fontId="10" fillId="2" borderId="0" xfId="3" applyNumberFormat="1" applyFont="1" applyFill="1" applyBorder="1" applyAlignment="1">
      <alignment horizontal="right" vertical="top"/>
    </xf>
    <xf numFmtId="10" fontId="10" fillId="2" borderId="0" xfId="0" applyNumberFormat="1" applyFont="1" applyFill="1" applyBorder="1" applyAlignment="1">
      <alignment horizontal="right" vertical="top"/>
    </xf>
    <xf numFmtId="10" fontId="10" fillId="2" borderId="0" xfId="3" quotePrefix="1" applyNumberFormat="1" applyFont="1" applyFill="1" applyBorder="1" applyAlignment="1">
      <alignment horizontal="right" vertical="top"/>
    </xf>
    <xf numFmtId="49" fontId="13" fillId="2" borderId="0" xfId="0" applyNumberFormat="1" applyFont="1" applyFill="1" applyBorder="1" applyAlignment="1">
      <alignment vertical="top"/>
    </xf>
    <xf numFmtId="49" fontId="13" fillId="2" borderId="0" xfId="0" applyNumberFormat="1" applyFont="1" applyFill="1" applyBorder="1" applyAlignment="1">
      <alignment horizontal="left" vertical="top"/>
    </xf>
    <xf numFmtId="10" fontId="13" fillId="2" borderId="0" xfId="0" applyNumberFormat="1" applyFont="1" applyFill="1" applyBorder="1" applyAlignment="1">
      <alignment horizontal="right" vertical="top"/>
    </xf>
    <xf numFmtId="165" fontId="13" fillId="2" borderId="0" xfId="0" applyNumberFormat="1" applyFont="1" applyFill="1" applyBorder="1" applyAlignment="1">
      <alignment horizontal="center" vertical="center" wrapText="1"/>
    </xf>
    <xf numFmtId="0" fontId="12" fillId="2" borderId="6" xfId="0" applyFont="1" applyFill="1" applyBorder="1" applyAlignment="1">
      <alignment horizontal="center" wrapText="1"/>
    </xf>
    <xf numFmtId="0" fontId="12" fillId="2" borderId="7" xfId="0" applyFont="1" applyFill="1" applyBorder="1" applyAlignment="1">
      <alignment horizontal="center" wrapText="1"/>
    </xf>
    <xf numFmtId="0" fontId="12" fillId="2" borderId="8" xfId="0" applyFont="1" applyFill="1" applyBorder="1" applyAlignment="1">
      <alignment horizontal="center" wrapText="1"/>
    </xf>
    <xf numFmtId="0" fontId="12" fillId="2" borderId="9" xfId="0" applyFont="1" applyFill="1" applyBorder="1" applyAlignment="1">
      <alignment horizontal="center" wrapText="1"/>
    </xf>
    <xf numFmtId="0" fontId="10" fillId="2" borderId="0" xfId="0" applyFont="1" applyFill="1" applyBorder="1" applyAlignment="1">
      <alignment horizontal="left"/>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165" fontId="10" fillId="2" borderId="10" xfId="0" applyNumberFormat="1" applyFont="1" applyFill="1" applyBorder="1" applyAlignment="1">
      <alignment horizontal="center" vertical="center" wrapText="1"/>
    </xf>
    <xf numFmtId="165" fontId="10" fillId="2" borderId="11" xfId="0" applyNumberFormat="1" applyFont="1" applyFill="1" applyBorder="1" applyAlignment="1">
      <alignment horizontal="center" vertical="center" wrapText="1"/>
    </xf>
    <xf numFmtId="0" fontId="10" fillId="2" borderId="12" xfId="0" applyFont="1" applyFill="1" applyBorder="1" applyAlignment="1">
      <alignment horizontal="left" vertical="top"/>
    </xf>
    <xf numFmtId="0" fontId="10" fillId="2" borderId="15" xfId="0" applyFont="1" applyFill="1" applyBorder="1" applyAlignment="1">
      <alignment horizontal="left" vertical="top"/>
    </xf>
    <xf numFmtId="165" fontId="10" fillId="2" borderId="17" xfId="0" applyNumberFormat="1" applyFont="1" applyFill="1" applyBorder="1" applyAlignment="1">
      <alignment horizontal="center" vertical="center" wrapText="1"/>
    </xf>
    <xf numFmtId="0" fontId="10" fillId="4" borderId="0" xfId="2" applyNumberFormat="1" applyFont="1" applyFill="1" applyBorder="1" applyAlignment="1">
      <alignment horizontal="left" vertical="top"/>
    </xf>
    <xf numFmtId="43" fontId="10" fillId="4" borderId="0" xfId="2" applyNumberFormat="1" applyFont="1" applyFill="1" applyBorder="1" applyAlignment="1">
      <alignment horizontal="right" vertical="top"/>
    </xf>
    <xf numFmtId="10" fontId="10" fillId="2" borderId="18" xfId="0" applyNumberFormat="1" applyFont="1" applyFill="1" applyBorder="1" applyAlignment="1">
      <alignment horizontal="right" vertical="top" indent="2"/>
    </xf>
    <xf numFmtId="43" fontId="10" fillId="5" borderId="14" xfId="2" applyNumberFormat="1" applyFont="1" applyFill="1" applyBorder="1" applyAlignment="1">
      <alignment horizontal="right" vertical="top"/>
    </xf>
    <xf numFmtId="44" fontId="10" fillId="4" borderId="14" xfId="2" applyNumberFormat="1" applyFont="1" applyFill="1" applyBorder="1" applyAlignment="1">
      <alignment horizontal="right" vertical="top"/>
    </xf>
    <xf numFmtId="10" fontId="10" fillId="2" borderId="0" xfId="0" applyNumberFormat="1" applyFont="1" applyFill="1" applyBorder="1" applyAlignment="1">
      <alignment horizontal="right" vertical="top" indent="2"/>
    </xf>
    <xf numFmtId="165" fontId="10" fillId="2" borderId="19"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43" fontId="10" fillId="4" borderId="1" xfId="2" applyNumberFormat="1" applyFont="1" applyFill="1" applyBorder="1" applyAlignment="1">
      <alignment horizontal="right" vertical="top"/>
    </xf>
    <xf numFmtId="0" fontId="10" fillId="2" borderId="12" xfId="0" applyFont="1" applyFill="1" applyBorder="1" applyAlignment="1">
      <alignment horizontal="right" vertical="top" indent="2"/>
    </xf>
    <xf numFmtId="10" fontId="10" fillId="2" borderId="15" xfId="0" applyNumberFormat="1" applyFont="1" applyFill="1" applyBorder="1" applyAlignment="1">
      <alignment horizontal="right" vertical="top" indent="2"/>
    </xf>
    <xf numFmtId="0" fontId="10" fillId="2" borderId="18" xfId="0" applyFont="1" applyFill="1" applyBorder="1" applyAlignment="1">
      <alignment horizontal="right" vertical="top" indent="2"/>
    </xf>
    <xf numFmtId="44" fontId="10" fillId="5" borderId="14" xfId="2" applyNumberFormat="1" applyFont="1" applyFill="1" applyBorder="1" applyAlignment="1">
      <alignment horizontal="right" vertical="top"/>
    </xf>
    <xf numFmtId="10" fontId="10" fillId="2" borderId="14" xfId="0" applyNumberFormat="1" applyFont="1" applyFill="1" applyBorder="1" applyAlignment="1">
      <alignment horizontal="right" vertical="top" indent="2"/>
    </xf>
    <xf numFmtId="10" fontId="10" fillId="2" borderId="20" xfId="0" applyNumberFormat="1" applyFont="1" applyFill="1" applyBorder="1" applyAlignment="1">
      <alignment horizontal="right" vertical="top" indent="2"/>
    </xf>
    <xf numFmtId="43" fontId="10" fillId="5" borderId="16" xfId="2" applyNumberFormat="1" applyFont="1" applyFill="1" applyBorder="1" applyAlignment="1">
      <alignment horizontal="right" vertical="top"/>
    </xf>
    <xf numFmtId="44" fontId="10" fillId="4" borderId="16" xfId="2" applyNumberFormat="1" applyFont="1" applyFill="1" applyBorder="1" applyAlignment="1">
      <alignment horizontal="right" vertical="top"/>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left" vertical="top"/>
    </xf>
    <xf numFmtId="0" fontId="10" fillId="2" borderId="14" xfId="0" applyFont="1" applyFill="1" applyBorder="1" applyAlignment="1">
      <alignment horizontal="left" vertical="top"/>
    </xf>
    <xf numFmtId="44" fontId="10" fillId="4" borderId="14" xfId="2" applyFont="1" applyFill="1" applyBorder="1" applyAlignment="1">
      <alignment horizontal="left" vertical="top"/>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left" vertical="top"/>
    </xf>
    <xf numFmtId="0" fontId="10" fillId="2" borderId="16" xfId="0" applyFont="1" applyFill="1" applyBorder="1" applyAlignment="1">
      <alignment horizontal="left" vertical="top"/>
    </xf>
    <xf numFmtId="43" fontId="10" fillId="5" borderId="7" xfId="2" applyNumberFormat="1" applyFont="1" applyFill="1" applyBorder="1" applyAlignment="1">
      <alignment horizontal="right" vertical="top"/>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1" fillId="2" borderId="6" xfId="0" applyFont="1" applyFill="1" applyBorder="1" applyAlignment="1">
      <alignment horizontal="center"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9" xfId="0" applyFont="1" applyFill="1" applyBorder="1" applyAlignment="1">
      <alignment horizontal="center" wrapText="1"/>
    </xf>
    <xf numFmtId="0" fontId="10" fillId="2" borderId="12" xfId="0" applyFont="1" applyFill="1" applyBorder="1" applyAlignment="1">
      <alignment horizontal="center" vertical="center"/>
    </xf>
    <xf numFmtId="175" fontId="10" fillId="4" borderId="14" xfId="0" applyNumberFormat="1" applyFont="1" applyFill="1" applyBorder="1" applyAlignment="1">
      <alignment horizontal="center" vertical="top"/>
    </xf>
    <xf numFmtId="175" fontId="10" fillId="2" borderId="15" xfId="0" applyNumberFormat="1" applyFont="1" applyFill="1" applyBorder="1" applyAlignment="1">
      <alignment horizontal="center" vertical="top"/>
    </xf>
    <xf numFmtId="175" fontId="10" fillId="2" borderId="14" xfId="0" applyNumberFormat="1" applyFont="1" applyFill="1" applyBorder="1" applyAlignment="1">
      <alignment horizontal="center" vertical="top"/>
    </xf>
    <xf numFmtId="175" fontId="10" fillId="4" borderId="16" xfId="0" applyNumberFormat="1" applyFont="1" applyFill="1" applyBorder="1" applyAlignment="1">
      <alignment horizontal="center" vertical="top"/>
    </xf>
    <xf numFmtId="175" fontId="10" fillId="2" borderId="0" xfId="2" applyNumberFormat="1" applyFont="1" applyFill="1" applyBorder="1" applyAlignment="1">
      <alignment horizontal="center"/>
    </xf>
    <xf numFmtId="0" fontId="10" fillId="2" borderId="0" xfId="0" applyFont="1" applyFill="1" applyBorder="1" applyAlignment="1">
      <alignment vertical="top" wrapText="1"/>
    </xf>
    <xf numFmtId="10" fontId="10" fillId="4" borderId="0" xfId="3" applyNumberFormat="1" applyFont="1" applyFill="1" applyBorder="1" applyAlignment="1">
      <alignment horizontal="right" vertical="top" wrapText="1" indent="1"/>
    </xf>
    <xf numFmtId="10" fontId="10" fillId="0" borderId="0" xfId="3" applyNumberFormat="1" applyFont="1" applyFill="1" applyBorder="1" applyAlignment="1">
      <alignment vertical="top"/>
    </xf>
    <xf numFmtId="0" fontId="11" fillId="0" borderId="0" xfId="0" applyFont="1" applyFill="1" applyBorder="1" applyAlignment="1">
      <alignment vertical="center"/>
    </xf>
    <xf numFmtId="171" fontId="10" fillId="6" borderId="0" xfId="2" applyNumberFormat="1" applyFont="1" applyFill="1" applyBorder="1" applyAlignment="1">
      <alignment horizontal="left" vertical="top"/>
    </xf>
    <xf numFmtId="171" fontId="10" fillId="0" borderId="11" xfId="2" applyNumberFormat="1" applyFont="1" applyFill="1" applyBorder="1" applyAlignment="1">
      <alignment horizontal="left" vertical="top"/>
    </xf>
    <xf numFmtId="171" fontId="10" fillId="4" borderId="0" xfId="2" applyNumberFormat="1" applyFont="1" applyFill="1" applyBorder="1" applyAlignment="1">
      <alignment horizontal="left" vertical="top"/>
    </xf>
    <xf numFmtId="171" fontId="10" fillId="7" borderId="11" xfId="2" applyNumberFormat="1" applyFont="1" applyFill="1" applyBorder="1" applyAlignment="1">
      <alignment horizontal="left" vertical="top"/>
    </xf>
    <xf numFmtId="10" fontId="10" fillId="7" borderId="0" xfId="3" applyNumberFormat="1" applyFont="1" applyFill="1" applyBorder="1" applyAlignment="1">
      <alignment horizontal="right" vertical="top" indent="1"/>
    </xf>
    <xf numFmtId="0" fontId="18" fillId="2" borderId="0" xfId="0" applyFont="1" applyFill="1" applyBorder="1" applyAlignment="1">
      <alignment horizontal="center" vertical="top" wrapText="1"/>
    </xf>
    <xf numFmtId="0" fontId="18" fillId="2" borderId="0" xfId="0" applyFont="1" applyFill="1" applyBorder="1" applyAlignment="1">
      <alignment horizontal="left" vertical="top" wrapText="1"/>
    </xf>
    <xf numFmtId="43" fontId="10" fillId="4" borderId="0" xfId="2" applyNumberFormat="1" applyFont="1" applyFill="1" applyBorder="1" applyAlignment="1">
      <alignment horizontal="left" vertical="top" indent="2"/>
    </xf>
    <xf numFmtId="170" fontId="10" fillId="2" borderId="1" xfId="0" applyNumberFormat="1" applyFont="1" applyFill="1" applyBorder="1" applyAlignment="1">
      <alignment horizontal="center" vertical="top"/>
    </xf>
    <xf numFmtId="170" fontId="10" fillId="2" borderId="0" xfId="0" applyNumberFormat="1" applyFont="1" applyFill="1" applyBorder="1" applyAlignment="1">
      <alignment horizontal="center" vertical="top"/>
    </xf>
    <xf numFmtId="10" fontId="10" fillId="4" borderId="0" xfId="3" applyNumberFormat="1" applyFont="1" applyFill="1" applyBorder="1" applyAlignment="1">
      <alignment horizontal="center" vertical="top"/>
    </xf>
    <xf numFmtId="0" fontId="10" fillId="4" borderId="1" xfId="0" applyFont="1" applyFill="1" applyBorder="1" applyAlignment="1">
      <alignment horizontal="center" vertical="top"/>
    </xf>
    <xf numFmtId="176" fontId="10" fillId="2" borderId="15" xfId="0" applyNumberFormat="1" applyFont="1" applyFill="1" applyBorder="1" applyAlignment="1">
      <alignment horizontal="right" vertical="top" indent="1"/>
    </xf>
    <xf numFmtId="176" fontId="10" fillId="2" borderId="15" xfId="0" applyNumberFormat="1" applyFont="1" applyFill="1" applyBorder="1" applyAlignment="1">
      <alignment horizontal="left" vertical="top"/>
    </xf>
    <xf numFmtId="176" fontId="10" fillId="2" borderId="10" xfId="0" applyNumberFormat="1" applyFont="1" applyFill="1" applyBorder="1" applyAlignment="1">
      <alignment horizontal="center" vertical="top"/>
    </xf>
    <xf numFmtId="176" fontId="10" fillId="4" borderId="0" xfId="3" applyNumberFormat="1" applyFont="1" applyFill="1" applyBorder="1" applyAlignment="1">
      <alignment horizontal="right" vertical="top" wrapText="1" indent="1"/>
    </xf>
    <xf numFmtId="0" fontId="11" fillId="7" borderId="0" xfId="0" applyFont="1" applyFill="1" applyBorder="1" applyAlignment="1">
      <alignment horizontal="left" vertical="top" indent="1"/>
    </xf>
    <xf numFmtId="165" fontId="11" fillId="2" borderId="0" xfId="0" applyNumberFormat="1" applyFont="1" applyFill="1" applyBorder="1" applyAlignment="1">
      <alignment horizontal="center" vertical="top"/>
    </xf>
    <xf numFmtId="0" fontId="11" fillId="2" borderId="0" xfId="0" applyFont="1" applyFill="1" applyBorder="1" applyAlignment="1">
      <alignment vertical="center"/>
    </xf>
    <xf numFmtId="167" fontId="11" fillId="7" borderId="0" xfId="2" applyNumberFormat="1" applyFont="1" applyFill="1" applyBorder="1" applyAlignment="1">
      <alignment horizontal="right" vertical="top"/>
    </xf>
    <xf numFmtId="171" fontId="11" fillId="7" borderId="0" xfId="0" applyNumberFormat="1" applyFont="1" applyFill="1" applyBorder="1" applyAlignment="1">
      <alignment vertical="top"/>
    </xf>
    <xf numFmtId="43" fontId="11" fillId="7" borderId="0" xfId="0" applyNumberFormat="1" applyFont="1" applyFill="1" applyBorder="1" applyAlignment="1">
      <alignment vertical="top"/>
    </xf>
    <xf numFmtId="167" fontId="11" fillId="6" borderId="0" xfId="2" applyNumberFormat="1" applyFont="1" applyFill="1" applyBorder="1" applyAlignment="1">
      <alignment horizontal="right" vertical="top"/>
    </xf>
    <xf numFmtId="0" fontId="11" fillId="7" borderId="0" xfId="0" applyFont="1" applyFill="1" applyBorder="1" applyAlignment="1">
      <alignment horizontal="center" vertical="top"/>
    </xf>
    <xf numFmtId="167" fontId="11" fillId="7" borderId="0" xfId="2" applyNumberFormat="1" applyFont="1" applyFill="1" applyBorder="1" applyAlignment="1">
      <alignment vertical="top"/>
    </xf>
    <xf numFmtId="0" fontId="10" fillId="2" borderId="0" xfId="0" applyFont="1" applyFill="1" applyBorder="1" applyAlignment="1">
      <alignment horizontal="center" vertical="top"/>
    </xf>
    <xf numFmtId="0" fontId="10" fillId="0" borderId="0" xfId="0" applyFont="1" applyFill="1" applyBorder="1" applyAlignment="1">
      <alignment horizontal="center" vertical="top"/>
    </xf>
    <xf numFmtId="0" fontId="10" fillId="5" borderId="0" xfId="0" applyFont="1" applyFill="1" applyBorder="1" applyAlignment="1">
      <alignment horizontal="left" vertical="top"/>
    </xf>
    <xf numFmtId="0" fontId="11" fillId="7" borderId="0" xfId="0" applyFont="1" applyFill="1" applyBorder="1" applyAlignment="1">
      <alignment horizontal="left" vertical="top"/>
    </xf>
    <xf numFmtId="0" fontId="10" fillId="2" borderId="0" xfId="0" applyFont="1" applyFill="1" applyBorder="1" applyAlignment="1">
      <alignment horizontal="left" vertical="top" wrapText="1"/>
    </xf>
    <xf numFmtId="0" fontId="13" fillId="2" borderId="0" xfId="0" applyFont="1" applyFill="1" applyBorder="1" applyAlignment="1">
      <alignment horizontal="center" vertical="top"/>
    </xf>
    <xf numFmtId="0" fontId="9" fillId="2" borderId="0" xfId="5" applyFont="1" applyFill="1" applyBorder="1" applyAlignment="1">
      <alignment horizontal="left" vertical="top" wrapText="1"/>
    </xf>
    <xf numFmtId="0" fontId="10" fillId="2" borderId="0" xfId="0" applyFont="1" applyFill="1" applyBorder="1" applyAlignment="1">
      <alignment horizontal="left" vertical="top"/>
    </xf>
    <xf numFmtId="14" fontId="11" fillId="4" borderId="0" xfId="0" applyNumberFormat="1" applyFont="1" applyFill="1" applyBorder="1" applyAlignment="1">
      <alignment horizontal="right" vertical="top"/>
    </xf>
    <xf numFmtId="14" fontId="10" fillId="5" borderId="0" xfId="0" applyNumberFormat="1" applyFont="1" applyFill="1" applyBorder="1" applyAlignment="1">
      <alignment horizontal="right" vertical="top"/>
    </xf>
    <xf numFmtId="0" fontId="10" fillId="2" borderId="13" xfId="0" applyFont="1" applyFill="1" applyBorder="1" applyAlignment="1">
      <alignment horizontal="center" vertical="top"/>
    </xf>
    <xf numFmtId="10" fontId="10" fillId="0" borderId="0" xfId="0" applyNumberFormat="1" applyFont="1" applyFill="1" applyBorder="1" applyAlignment="1">
      <alignment horizontal="right" vertical="top" indent="1"/>
    </xf>
    <xf numFmtId="10" fontId="10" fillId="2" borderId="0" xfId="3" applyNumberFormat="1" applyFont="1" applyFill="1" applyBorder="1" applyAlignment="1">
      <alignment horizontal="right" vertical="top" indent="1"/>
    </xf>
    <xf numFmtId="43" fontId="10" fillId="2" borderId="0" xfId="2" applyNumberFormat="1" applyFont="1" applyFill="1" applyBorder="1" applyAlignment="1">
      <alignment horizontal="center" vertical="top"/>
    </xf>
    <xf numFmtId="10" fontId="10" fillId="2" borderId="0" xfId="0" applyNumberFormat="1" applyFont="1" applyFill="1" applyBorder="1" applyAlignment="1">
      <alignment horizontal="right" vertical="top" indent="1"/>
    </xf>
    <xf numFmtId="0" fontId="10" fillId="2" borderId="0" xfId="0" quotePrefix="1" applyFont="1" applyFill="1" applyBorder="1" applyAlignment="1">
      <alignment horizontal="left" vertical="top" wrapText="1"/>
    </xf>
    <xf numFmtId="10" fontId="10" fillId="2" borderId="13" xfId="3" applyNumberFormat="1" applyFont="1" applyFill="1" applyBorder="1" applyAlignment="1">
      <alignment horizontal="right" vertical="top" indent="1"/>
    </xf>
    <xf numFmtId="0" fontId="10" fillId="2" borderId="0" xfId="0" applyFont="1" applyFill="1" applyBorder="1" applyAlignment="1">
      <alignment horizontal="left" wrapText="1"/>
    </xf>
    <xf numFmtId="0" fontId="10" fillId="2" borderId="0" xfId="0" applyFont="1" applyFill="1" applyBorder="1" applyAlignment="1">
      <alignment horizontal="right" vertical="top" indent="1"/>
    </xf>
    <xf numFmtId="10" fontId="10" fillId="5" borderId="0" xfId="3" applyNumberFormat="1" applyFont="1" applyFill="1" applyBorder="1" applyAlignment="1">
      <alignment horizontal="right" vertical="top" indent="1"/>
    </xf>
    <xf numFmtId="10" fontId="10" fillId="0" borderId="0" xfId="3" applyNumberFormat="1" applyFont="1" applyFill="1" applyBorder="1" applyAlignment="1">
      <alignment horizontal="right" vertical="top" indent="1"/>
    </xf>
    <xf numFmtId="166" fontId="10" fillId="2" borderId="0" xfId="0" applyNumberFormat="1" applyFont="1" applyFill="1" applyBorder="1" applyAlignment="1">
      <alignment horizontal="right" vertical="top" indent="1"/>
    </xf>
    <xf numFmtId="43" fontId="10" fillId="2" borderId="0" xfId="1" applyFont="1" applyFill="1" applyBorder="1" applyAlignment="1">
      <alignment horizontal="left" vertical="top"/>
    </xf>
    <xf numFmtId="43" fontId="10" fillId="2" borderId="1" xfId="2" applyNumberFormat="1" applyFont="1" applyFill="1" applyBorder="1" applyAlignment="1">
      <alignment horizontal="center" vertical="top"/>
    </xf>
    <xf numFmtId="43" fontId="10" fillId="2" borderId="11" xfId="2" applyNumberFormat="1" applyFont="1" applyFill="1" applyBorder="1" applyAlignment="1">
      <alignment horizontal="right" vertical="top"/>
    </xf>
    <xf numFmtId="10" fontId="10" fillId="4" borderId="0" xfId="3" applyNumberFormat="1" applyFont="1" applyFill="1" applyBorder="1" applyAlignment="1">
      <alignment horizontal="right" vertical="top" indent="1"/>
    </xf>
    <xf numFmtId="10" fontId="10" fillId="0" borderId="0" xfId="3" applyNumberFormat="1" applyFont="1" applyFill="1" applyBorder="1" applyAlignment="1">
      <alignment horizontal="center" vertical="top"/>
    </xf>
    <xf numFmtId="0" fontId="10" fillId="2" borderId="0" xfId="0" quotePrefix="1" applyFont="1" applyFill="1" applyBorder="1" applyAlignment="1">
      <alignment horizontal="left" vertical="top"/>
    </xf>
    <xf numFmtId="10" fontId="10" fillId="6" borderId="0" xfId="3" applyNumberFormat="1" applyFont="1" applyFill="1" applyBorder="1" applyAlignment="1">
      <alignment horizontal="right" vertical="top" indent="1"/>
    </xf>
    <xf numFmtId="10" fontId="10" fillId="4" borderId="1" xfId="3" applyNumberFormat="1" applyFont="1" applyFill="1" applyBorder="1" applyAlignment="1">
      <alignment horizontal="right" vertical="top" indent="1"/>
    </xf>
    <xf numFmtId="10" fontId="10" fillId="2" borderId="1" xfId="0" applyNumberFormat="1" applyFont="1" applyFill="1" applyBorder="1" applyAlignment="1">
      <alignment horizontal="right" vertical="top" indent="1"/>
    </xf>
    <xf numFmtId="0" fontId="10" fillId="5" borderId="0" xfId="0" applyFont="1" applyFill="1" applyBorder="1" applyAlignment="1">
      <alignment horizontal="center" wrapText="1"/>
    </xf>
    <xf numFmtId="0" fontId="10" fillId="4" borderId="0" xfId="0" applyFont="1" applyFill="1" applyBorder="1" applyAlignment="1">
      <alignment horizontal="center" vertical="top"/>
    </xf>
    <xf numFmtId="0" fontId="13" fillId="2" borderId="0" xfId="0" applyFont="1" applyFill="1" applyBorder="1" applyAlignment="1">
      <alignment horizontal="left" wrapText="1"/>
    </xf>
    <xf numFmtId="0" fontId="13" fillId="2" borderId="11" xfId="0" applyFont="1" applyFill="1" applyBorder="1" applyAlignment="1">
      <alignment horizontal="center" wrapText="1"/>
    </xf>
    <xf numFmtId="174" fontId="10" fillId="0" borderId="0" xfId="1" applyNumberFormat="1" applyFont="1" applyFill="1" applyBorder="1" applyAlignment="1">
      <alignment horizontal="right" vertical="top" indent="1"/>
    </xf>
    <xf numFmtId="0" fontId="13" fillId="2" borderId="0" xfId="0" applyFont="1" applyFill="1" applyBorder="1" applyAlignment="1">
      <alignment horizontal="left" vertical="top"/>
    </xf>
    <xf numFmtId="0" fontId="14" fillId="2" borderId="0" xfId="0" applyFont="1" applyFill="1" applyBorder="1" applyAlignment="1">
      <alignment horizontal="center" vertical="top"/>
    </xf>
    <xf numFmtId="171" fontId="10" fillId="5" borderId="0" xfId="2" applyNumberFormat="1" applyFont="1" applyFill="1" applyBorder="1" applyAlignment="1">
      <alignment horizontal="right" vertical="top"/>
    </xf>
    <xf numFmtId="174" fontId="10" fillId="7" borderId="0" xfId="3" applyNumberFormat="1" applyFont="1" applyFill="1" applyBorder="1" applyAlignment="1">
      <alignment horizontal="right" vertical="top"/>
    </xf>
    <xf numFmtId="171" fontId="10" fillId="5" borderId="1" xfId="2" applyNumberFormat="1" applyFont="1" applyFill="1" applyBorder="1" applyAlignment="1">
      <alignment horizontal="right" vertical="top"/>
    </xf>
    <xf numFmtId="43" fontId="10" fillId="7" borderId="0" xfId="1" applyFont="1" applyFill="1" applyBorder="1" applyAlignment="1">
      <alignment horizontal="right" vertical="top"/>
    </xf>
    <xf numFmtId="171" fontId="10" fillId="2" borderId="0" xfId="0" applyNumberFormat="1" applyFont="1" applyFill="1" applyBorder="1" applyAlignment="1">
      <alignment horizontal="right" vertical="top"/>
    </xf>
    <xf numFmtId="171" fontId="13" fillId="5" borderId="0" xfId="2" applyNumberFormat="1" applyFont="1" applyFill="1" applyBorder="1" applyAlignment="1">
      <alignment horizontal="right" vertical="top"/>
    </xf>
    <xf numFmtId="171" fontId="10" fillId="2" borderId="0" xfId="0" applyNumberFormat="1" applyFont="1" applyFill="1" applyBorder="1" applyAlignment="1">
      <alignment horizontal="left" vertical="top"/>
    </xf>
    <xf numFmtId="171" fontId="10" fillId="5" borderId="11" xfId="2" applyNumberFormat="1" applyFont="1" applyFill="1" applyBorder="1" applyAlignment="1">
      <alignment horizontal="right" vertical="top"/>
    </xf>
    <xf numFmtId="171" fontId="13" fillId="5" borderId="0" xfId="2" applyNumberFormat="1" applyFont="1" applyFill="1" applyBorder="1" applyAlignment="1">
      <alignment horizontal="center" vertical="top"/>
    </xf>
    <xf numFmtId="0" fontId="9" fillId="2" borderId="0" xfId="5" applyFont="1" applyFill="1" applyBorder="1" applyAlignment="1">
      <alignment horizontal="left" vertical="top"/>
    </xf>
    <xf numFmtId="0" fontId="10" fillId="2" borderId="0" xfId="5" applyFont="1" applyFill="1" applyBorder="1" applyAlignment="1">
      <alignment horizontal="right" vertical="top"/>
    </xf>
    <xf numFmtId="0" fontId="10" fillId="6" borderId="0" xfId="5" applyFont="1" applyFill="1" applyBorder="1" applyAlignment="1">
      <alignment horizontal="right" vertical="top"/>
    </xf>
    <xf numFmtId="0" fontId="11" fillId="2" borderId="0" xfId="5" applyFont="1" applyFill="1" applyBorder="1" applyAlignment="1">
      <alignment horizontal="center" vertical="top"/>
    </xf>
    <xf numFmtId="0" fontId="9" fillId="2" borderId="0" xfId="5" applyFont="1" applyFill="1" applyBorder="1" applyAlignment="1">
      <alignment horizontal="center" vertical="top"/>
    </xf>
    <xf numFmtId="0" fontId="9" fillId="2" borderId="0" xfId="5" quotePrefix="1" applyFont="1" applyFill="1" applyBorder="1" applyAlignment="1">
      <alignment horizontal="left" vertical="top" wrapText="1"/>
    </xf>
    <xf numFmtId="0" fontId="19" fillId="2" borderId="0" xfId="5" applyFont="1" applyFill="1" applyBorder="1" applyAlignment="1">
      <alignment horizontal="left" vertical="top" wrapText="1"/>
    </xf>
    <xf numFmtId="0" fontId="19" fillId="2" borderId="0" xfId="5" applyFont="1" applyFill="1" applyBorder="1" applyAlignment="1">
      <alignment horizontal="center" vertical="top" wrapText="1"/>
    </xf>
    <xf numFmtId="0" fontId="19" fillId="2" borderId="0" xfId="5" applyFont="1" applyFill="1" applyBorder="1" applyAlignment="1">
      <alignment horizontal="center" vertical="top"/>
    </xf>
    <xf numFmtId="0" fontId="9" fillId="2" borderId="1" xfId="5" applyFont="1" applyFill="1" applyBorder="1" applyAlignment="1">
      <alignment horizontal="center" vertical="top"/>
    </xf>
    <xf numFmtId="0" fontId="19" fillId="2" borderId="1" xfId="5" applyFont="1" applyFill="1" applyBorder="1" applyAlignment="1">
      <alignment horizontal="left" vertical="top"/>
    </xf>
    <xf numFmtId="0" fontId="19" fillId="2" borderId="0" xfId="5" applyFont="1" applyFill="1" applyBorder="1" applyAlignment="1">
      <alignment horizontal="left" vertical="top"/>
    </xf>
    <xf numFmtId="0" fontId="19" fillId="2" borderId="1" xfId="5" applyFont="1" applyFill="1" applyBorder="1" applyAlignment="1">
      <alignment horizontal="center" vertical="top"/>
    </xf>
    <xf numFmtId="0" fontId="9" fillId="2" borderId="0" xfId="5" applyFont="1" applyFill="1" applyBorder="1" applyAlignment="1">
      <alignment horizontal="center" vertical="center"/>
    </xf>
    <xf numFmtId="0" fontId="9" fillId="2" borderId="0" xfId="5" applyFont="1" applyFill="1" applyBorder="1" applyAlignment="1">
      <alignment horizontal="left" vertical="center"/>
    </xf>
    <xf numFmtId="10" fontId="9" fillId="6" borderId="0" xfId="3" applyNumberFormat="1" applyFont="1" applyFill="1" applyBorder="1" applyAlignment="1">
      <alignment horizontal="right" vertical="center"/>
    </xf>
    <xf numFmtId="10" fontId="9" fillId="6" borderId="1" xfId="3" applyNumberFormat="1" applyFont="1" applyFill="1" applyBorder="1" applyAlignment="1">
      <alignment horizontal="right" vertical="center"/>
    </xf>
    <xf numFmtId="10" fontId="9" fillId="2" borderId="0" xfId="3" applyNumberFormat="1" applyFont="1" applyFill="1" applyBorder="1" applyAlignment="1">
      <alignment horizontal="right" vertical="center"/>
    </xf>
    <xf numFmtId="10" fontId="9" fillId="2" borderId="0" xfId="5" applyNumberFormat="1" applyFont="1" applyFill="1" applyBorder="1" applyAlignment="1">
      <alignment horizontal="right" vertical="center"/>
    </xf>
    <xf numFmtId="0" fontId="9" fillId="0" borderId="0" xfId="5" applyFont="1"/>
    <xf numFmtId="0" fontId="20" fillId="2" borderId="0" xfId="4" applyFont="1" applyFill="1" applyBorder="1" applyAlignment="1">
      <alignment horizontal="left" vertical="center"/>
    </xf>
    <xf numFmtId="10" fontId="10" fillId="0" borderId="1" xfId="3" applyNumberFormat="1" applyFont="1" applyFill="1" applyBorder="1" applyAlignment="1">
      <alignment horizontal="right" vertical="top" indent="1"/>
    </xf>
    <xf numFmtId="10" fontId="13" fillId="0" borderId="0" xfId="0" applyNumberFormat="1" applyFont="1" applyFill="1" applyBorder="1" applyAlignment="1">
      <alignment horizontal="right" vertical="top" indent="1"/>
    </xf>
    <xf numFmtId="10" fontId="10" fillId="4" borderId="0" xfId="0" applyNumberFormat="1" applyFont="1" applyFill="1" applyBorder="1" applyAlignment="1">
      <alignment horizontal="right" vertical="top" indent="1"/>
    </xf>
    <xf numFmtId="0" fontId="13" fillId="2" borderId="1" xfId="0" applyFont="1" applyFill="1" applyBorder="1" applyAlignment="1">
      <alignment horizontal="center"/>
    </xf>
    <xf numFmtId="0" fontId="13" fillId="0" borderId="1" xfId="0" applyFont="1" applyFill="1" applyBorder="1" applyAlignment="1">
      <alignment horizontal="center" wrapText="1"/>
    </xf>
    <xf numFmtId="6" fontId="13" fillId="0" borderId="1" xfId="0" applyNumberFormat="1" applyFont="1" applyFill="1" applyBorder="1" applyAlignment="1">
      <alignment horizontal="center" wrapText="1"/>
    </xf>
    <xf numFmtId="171" fontId="10" fillId="4" borderId="0" xfId="2" applyNumberFormat="1" applyFont="1" applyFill="1" applyBorder="1" applyAlignment="1">
      <alignment horizontal="center" vertical="top"/>
    </xf>
    <xf numFmtId="171" fontId="10" fillId="5" borderId="0" xfId="2" applyNumberFormat="1" applyFont="1" applyFill="1" applyBorder="1" applyAlignment="1">
      <alignment horizontal="center" vertical="top"/>
    </xf>
    <xf numFmtId="171" fontId="10" fillId="5" borderId="11" xfId="2" applyNumberFormat="1" applyFont="1" applyFill="1" applyBorder="1" applyAlignment="1">
      <alignment horizontal="center" vertical="top"/>
    </xf>
    <xf numFmtId="10" fontId="10" fillId="2" borderId="11" xfId="3" applyNumberFormat="1" applyFont="1" applyFill="1" applyBorder="1" applyAlignment="1">
      <alignment horizontal="right" vertical="top" indent="1"/>
    </xf>
    <xf numFmtId="0" fontId="13" fillId="2" borderId="1" xfId="0" applyFont="1" applyFill="1" applyBorder="1" applyAlignment="1">
      <alignment horizontal="left"/>
    </xf>
    <xf numFmtId="0" fontId="10" fillId="0" borderId="1" xfId="0" applyFont="1" applyFill="1" applyBorder="1" applyAlignment="1">
      <alignment horizontal="center" wrapText="1"/>
    </xf>
    <xf numFmtId="170" fontId="10" fillId="4" borderId="0" xfId="0" applyNumberFormat="1" applyFont="1" applyFill="1" applyBorder="1" applyAlignment="1">
      <alignment horizontal="right" vertical="top"/>
    </xf>
    <xf numFmtId="170" fontId="10" fillId="5" borderId="0" xfId="0" applyNumberFormat="1" applyFont="1" applyFill="1" applyBorder="1" applyAlignment="1">
      <alignment horizontal="right" vertical="top"/>
    </xf>
    <xf numFmtId="170" fontId="10" fillId="4" borderId="0" xfId="0" applyNumberFormat="1" applyFont="1" applyFill="1" applyBorder="1" applyAlignment="1">
      <alignment horizontal="right" vertical="top" indent="1"/>
    </xf>
    <xf numFmtId="170" fontId="10" fillId="5" borderId="0" xfId="0" applyNumberFormat="1" applyFont="1" applyFill="1" applyBorder="1" applyAlignment="1">
      <alignment horizontal="right" vertical="top" indent="1"/>
    </xf>
    <xf numFmtId="170" fontId="10" fillId="5" borderId="11" xfId="0" applyNumberFormat="1" applyFont="1" applyFill="1" applyBorder="1" applyAlignment="1">
      <alignment horizontal="right" vertical="top"/>
    </xf>
    <xf numFmtId="170" fontId="10" fillId="5" borderId="11" xfId="0" applyNumberFormat="1" applyFont="1" applyFill="1" applyBorder="1" applyAlignment="1">
      <alignment horizontal="right" vertical="top" indent="1"/>
    </xf>
    <xf numFmtId="0" fontId="10" fillId="2" borderId="0" xfId="0" applyFont="1" applyFill="1" applyBorder="1" applyAlignment="1">
      <alignment horizontal="right" vertical="top" wrapText="1" indent="1"/>
    </xf>
    <xf numFmtId="0" fontId="10" fillId="2" borderId="0" xfId="0" applyFont="1" applyFill="1" applyBorder="1" applyAlignment="1">
      <alignment horizontal="right" vertical="top" wrapText="1" indent="2"/>
    </xf>
    <xf numFmtId="0" fontId="10" fillId="2" borderId="1" xfId="0" applyFont="1" applyFill="1" applyBorder="1" applyAlignment="1">
      <alignment vertical="top" wrapText="1"/>
    </xf>
    <xf numFmtId="170" fontId="10" fillId="4" borderId="1" xfId="0" applyNumberFormat="1" applyFont="1" applyFill="1" applyBorder="1" applyAlignment="1">
      <alignment horizontal="right" vertical="top"/>
    </xf>
    <xf numFmtId="0" fontId="10" fillId="2" borderId="1" xfId="0" applyFont="1" applyFill="1" applyBorder="1" applyAlignment="1">
      <alignment horizontal="right" vertical="top" wrapText="1" indent="1"/>
    </xf>
    <xf numFmtId="0" fontId="10" fillId="2" borderId="1" xfId="0" applyFont="1" applyFill="1" applyBorder="1" applyAlignment="1">
      <alignment horizontal="right" vertical="top" wrapText="1" indent="2"/>
    </xf>
    <xf numFmtId="173" fontId="10" fillId="6" borderId="0" xfId="3" applyNumberFormat="1" applyFont="1" applyFill="1" applyBorder="1" applyAlignment="1">
      <alignment horizontal="right" vertical="top" indent="1"/>
    </xf>
    <xf numFmtId="173" fontId="10" fillId="4" borderId="0" xfId="3" applyNumberFormat="1" applyFont="1" applyFill="1" applyBorder="1" applyAlignment="1">
      <alignment horizontal="right" vertical="top" indent="1"/>
    </xf>
    <xf numFmtId="173" fontId="10" fillId="7" borderId="0" xfId="3" applyNumberFormat="1" applyFont="1" applyFill="1" applyBorder="1" applyAlignment="1">
      <alignment horizontal="right" vertical="top" indent="1"/>
    </xf>
    <xf numFmtId="173" fontId="10" fillId="7" borderId="0" xfId="0" applyNumberFormat="1" applyFont="1" applyFill="1" applyBorder="1" applyAlignment="1">
      <alignment horizontal="left" vertical="top"/>
    </xf>
    <xf numFmtId="169" fontId="10" fillId="2" borderId="0" xfId="0" applyNumberFormat="1" applyFont="1" applyFill="1" applyBorder="1" applyAlignment="1">
      <alignment horizontal="left" vertical="top"/>
    </xf>
    <xf numFmtId="10" fontId="10" fillId="6" borderId="0" xfId="3" applyNumberFormat="1" applyFont="1" applyFill="1" applyBorder="1" applyAlignment="1">
      <alignment horizontal="center" wrapText="1"/>
    </xf>
    <xf numFmtId="10" fontId="10" fillId="6" borderId="0" xfId="3" applyNumberFormat="1" applyFont="1" applyFill="1" applyBorder="1" applyAlignment="1">
      <alignment horizontal="center" vertical="center"/>
    </xf>
    <xf numFmtId="0" fontId="11" fillId="7" borderId="0" xfId="0" applyFont="1" applyFill="1" applyBorder="1" applyAlignment="1">
      <alignment horizontal="center" vertical="center"/>
    </xf>
    <xf numFmtId="10" fontId="11" fillId="6" borderId="0" xfId="3" applyNumberFormat="1" applyFont="1" applyFill="1" applyBorder="1" applyAlignment="1">
      <alignment horizontal="center" wrapText="1"/>
    </xf>
    <xf numFmtId="169" fontId="11" fillId="2" borderId="0" xfId="0" applyNumberFormat="1" applyFont="1" applyFill="1" applyBorder="1" applyAlignment="1">
      <alignment horizontal="left" vertical="top"/>
    </xf>
    <xf numFmtId="0" fontId="11" fillId="2" borderId="0" xfId="0" applyFont="1" applyFill="1" applyBorder="1" applyAlignment="1">
      <alignment horizontal="center" vertical="center"/>
    </xf>
    <xf numFmtId="10" fontId="11" fillId="2" borderId="0" xfId="3" applyNumberFormat="1" applyFont="1" applyFill="1" applyBorder="1" applyAlignment="1">
      <alignment horizontal="center" vertical="center"/>
    </xf>
    <xf numFmtId="0" fontId="11" fillId="0" borderId="0" xfId="0" applyFont="1" applyFill="1" applyBorder="1" applyAlignment="1">
      <alignment horizontal="left" vertical="top"/>
    </xf>
    <xf numFmtId="10" fontId="11" fillId="2" borderId="0" xfId="3" applyNumberFormat="1" applyFont="1" applyFill="1" applyBorder="1" applyAlignment="1">
      <alignment horizontal="center" wrapText="1"/>
    </xf>
    <xf numFmtId="10" fontId="11" fillId="0" borderId="0" xfId="3" applyNumberFormat="1" applyFont="1" applyFill="1" applyBorder="1" applyAlignment="1">
      <alignment horizontal="center" vertical="center"/>
    </xf>
    <xf numFmtId="0" fontId="11" fillId="2" borderId="1" xfId="0" applyFont="1" applyFill="1" applyBorder="1" applyAlignment="1">
      <alignment horizontal="center" vertical="top"/>
    </xf>
    <xf numFmtId="0" fontId="10" fillId="2" borderId="2" xfId="0" applyFont="1" applyFill="1" applyBorder="1" applyAlignment="1">
      <alignment horizontal="left" vertical="top"/>
    </xf>
    <xf numFmtId="0" fontId="10" fillId="0" borderId="2" xfId="0" applyFont="1" applyFill="1" applyBorder="1" applyAlignment="1">
      <alignment horizontal="center" vertical="top"/>
    </xf>
    <xf numFmtId="0" fontId="10" fillId="2" borderId="2" xfId="0" applyFont="1" applyFill="1" applyBorder="1" applyAlignment="1">
      <alignment horizontal="center" vertical="top"/>
    </xf>
    <xf numFmtId="43" fontId="10" fillId="4" borderId="1" xfId="2" applyNumberFormat="1" applyFont="1" applyFill="1" applyBorder="1" applyAlignment="1">
      <alignment horizontal="center" vertical="top"/>
    </xf>
    <xf numFmtId="0" fontId="11" fillId="0" borderId="0" xfId="0" applyFont="1" applyFill="1" applyBorder="1" applyAlignment="1">
      <alignment vertical="top" wrapText="1"/>
    </xf>
    <xf numFmtId="43" fontId="10" fillId="7" borderId="0" xfId="0" applyNumberFormat="1" applyFont="1" applyFill="1" applyBorder="1" applyAlignment="1">
      <alignment horizontal="center" vertical="top"/>
    </xf>
    <xf numFmtId="43" fontId="10" fillId="7" borderId="0" xfId="2" applyNumberFormat="1" applyFont="1" applyFill="1" applyBorder="1" applyAlignment="1">
      <alignment horizontal="center" vertical="top"/>
    </xf>
    <xf numFmtId="171" fontId="10" fillId="5" borderId="4" xfId="2" applyNumberFormat="1" applyFont="1" applyFill="1" applyBorder="1" applyAlignment="1">
      <alignment horizontal="center"/>
    </xf>
    <xf numFmtId="171" fontId="10" fillId="5" borderId="4" xfId="2" applyNumberFormat="1" applyFont="1" applyFill="1" applyBorder="1" applyAlignment="1">
      <alignment horizontal="center" vertical="top"/>
    </xf>
    <xf numFmtId="171" fontId="10" fillId="4" borderId="11" xfId="2" applyNumberFormat="1" applyFont="1" applyFill="1" applyBorder="1" applyAlignment="1">
      <alignment horizontal="center" vertical="top"/>
    </xf>
    <xf numFmtId="171" fontId="10" fillId="0" borderId="0" xfId="2" applyNumberFormat="1" applyFont="1" applyFill="1" applyBorder="1" applyAlignment="1">
      <alignment horizontal="center" vertical="top"/>
    </xf>
    <xf numFmtId="10" fontId="10" fillId="4" borderId="0" xfId="8" applyNumberFormat="1" applyFont="1" applyFill="1" applyBorder="1" applyAlignment="1">
      <alignment horizontal="right" vertical="top" indent="1"/>
    </xf>
    <xf numFmtId="10" fontId="10" fillId="4" borderId="1" xfId="8" applyNumberFormat="1" applyFont="1" applyFill="1" applyBorder="1" applyAlignment="1">
      <alignment horizontal="right" vertical="top" indent="1"/>
    </xf>
    <xf numFmtId="171" fontId="10" fillId="5" borderId="0" xfId="0" applyNumberFormat="1" applyFont="1" applyFill="1" applyBorder="1" applyAlignment="1">
      <alignment horizontal="right" vertical="center"/>
    </xf>
    <xf numFmtId="171" fontId="10" fillId="4" borderId="0" xfId="0" applyNumberFormat="1" applyFont="1" applyFill="1" applyBorder="1" applyAlignment="1">
      <alignment horizontal="right" vertical="center"/>
    </xf>
    <xf numFmtId="171" fontId="10" fillId="5" borderId="1" xfId="0" applyNumberFormat="1" applyFont="1" applyFill="1" applyBorder="1" applyAlignment="1">
      <alignment horizontal="right" vertical="center"/>
    </xf>
    <xf numFmtId="171" fontId="10" fillId="5" borderId="11" xfId="0" applyNumberFormat="1" applyFont="1" applyFill="1" applyBorder="1" applyAlignment="1">
      <alignment horizontal="right" vertical="center"/>
    </xf>
    <xf numFmtId="171" fontId="10" fillId="5" borderId="0" xfId="0" applyNumberFormat="1" applyFont="1" applyFill="1" applyBorder="1" applyAlignment="1">
      <alignment horizontal="right" vertical="top" indent="1"/>
    </xf>
    <xf numFmtId="171" fontId="10" fillId="0" borderId="11" xfId="0" applyNumberFormat="1" applyFont="1" applyFill="1" applyBorder="1" applyAlignment="1">
      <alignment horizontal="right" vertical="top" indent="1"/>
    </xf>
    <xf numFmtId="171" fontId="10" fillId="2" borderId="0" xfId="2" applyNumberFormat="1" applyFont="1" applyFill="1" applyBorder="1" applyAlignment="1">
      <alignment horizontal="right" vertical="center"/>
    </xf>
    <xf numFmtId="171" fontId="10" fillId="2" borderId="11" xfId="2" applyNumberFormat="1" applyFont="1" applyFill="1" applyBorder="1" applyAlignment="1">
      <alignment horizontal="right" vertical="center"/>
    </xf>
    <xf numFmtId="171" fontId="10" fillId="2" borderId="11" xfId="2" applyNumberFormat="1" applyFont="1" applyFill="1" applyBorder="1" applyAlignment="1">
      <alignment horizontal="right" vertical="top" indent="1"/>
    </xf>
    <xf numFmtId="171" fontId="10" fillId="5" borderId="1" xfId="0" applyNumberFormat="1" applyFont="1" applyFill="1" applyBorder="1" applyAlignment="1">
      <alignment horizontal="right" vertical="top" indent="1"/>
    </xf>
    <xf numFmtId="171" fontId="10" fillId="2" borderId="4" xfId="2" applyNumberFormat="1" applyFont="1" applyFill="1" applyBorder="1" applyAlignment="1">
      <alignment horizontal="right" vertical="top" indent="1"/>
    </xf>
    <xf numFmtId="171" fontId="10" fillId="5" borderId="11" xfId="0" applyNumberFormat="1" applyFont="1" applyFill="1" applyBorder="1" applyAlignment="1">
      <alignment horizontal="right" vertical="top" indent="1"/>
    </xf>
    <xf numFmtId="171" fontId="10" fillId="5" borderId="0" xfId="0" applyNumberFormat="1" applyFont="1" applyFill="1" applyBorder="1" applyAlignment="1">
      <alignment horizontal="center" vertical="top"/>
    </xf>
    <xf numFmtId="171" fontId="10" fillId="5" borderId="1" xfId="0" applyNumberFormat="1" applyFont="1" applyFill="1" applyBorder="1" applyAlignment="1">
      <alignment vertical="top"/>
    </xf>
    <xf numFmtId="171" fontId="10" fillId="5" borderId="4" xfId="0" applyNumberFormat="1" applyFont="1" applyFill="1" applyBorder="1" applyAlignment="1">
      <alignment horizontal="right" vertical="top" indent="1"/>
    </xf>
    <xf numFmtId="171" fontId="11" fillId="2" borderId="0" xfId="0" applyNumberFormat="1" applyFont="1" applyFill="1" applyBorder="1" applyAlignment="1">
      <alignment vertical="top"/>
    </xf>
    <xf numFmtId="171" fontId="10" fillId="2" borderId="4" xfId="0" applyNumberFormat="1" applyFont="1" applyFill="1" applyBorder="1" applyAlignment="1">
      <alignment vertical="top"/>
    </xf>
    <xf numFmtId="171" fontId="10" fillId="4" borderId="0" xfId="0" applyNumberFormat="1" applyFont="1" applyFill="1" applyBorder="1" applyAlignment="1">
      <alignment vertical="top"/>
    </xf>
    <xf numFmtId="171" fontId="10" fillId="4" borderId="1" xfId="0" applyNumberFormat="1" applyFont="1" applyFill="1" applyBorder="1" applyAlignment="1">
      <alignment vertical="top"/>
    </xf>
    <xf numFmtId="177" fontId="10" fillId="2" borderId="0" xfId="2" applyNumberFormat="1" applyFont="1" applyFill="1" applyBorder="1" applyAlignment="1">
      <alignment vertical="top"/>
    </xf>
    <xf numFmtId="177" fontId="10" fillId="2" borderId="0" xfId="0" applyNumberFormat="1" applyFont="1" applyFill="1" applyBorder="1" applyAlignment="1">
      <alignment horizontal="left" vertical="top"/>
    </xf>
    <xf numFmtId="177" fontId="10" fillId="2" borderId="0" xfId="2" applyNumberFormat="1" applyFont="1" applyFill="1" applyBorder="1" applyAlignment="1">
      <alignment horizontal="left" vertical="top"/>
    </xf>
    <xf numFmtId="177" fontId="10" fillId="2" borderId="11" xfId="2" applyNumberFormat="1" applyFont="1" applyFill="1" applyBorder="1" applyAlignment="1">
      <alignment horizontal="left" vertical="top"/>
    </xf>
    <xf numFmtId="177" fontId="10" fillId="2" borderId="3" xfId="2" applyNumberFormat="1" applyFont="1" applyFill="1" applyBorder="1" applyAlignment="1">
      <alignment vertical="top"/>
    </xf>
    <xf numFmtId="171" fontId="10" fillId="2" borderId="1" xfId="0" applyNumberFormat="1" applyFont="1" applyFill="1" applyBorder="1" applyAlignment="1">
      <alignment vertical="top"/>
    </xf>
    <xf numFmtId="171" fontId="10" fillId="5" borderId="11" xfId="0" applyNumberFormat="1" applyFont="1" applyFill="1" applyBorder="1" applyAlignment="1">
      <alignment vertical="top"/>
    </xf>
    <xf numFmtId="171" fontId="10" fillId="4" borderId="0" xfId="2" applyNumberFormat="1" applyFont="1" applyFill="1" applyBorder="1" applyAlignment="1">
      <alignment horizontal="right" vertical="top"/>
    </xf>
    <xf numFmtId="177" fontId="10" fillId="4" borderId="14" xfId="2" applyNumberFormat="1" applyFont="1" applyFill="1" applyBorder="1" applyAlignment="1">
      <alignment horizontal="right" vertical="top"/>
    </xf>
    <xf numFmtId="171" fontId="10" fillId="5" borderId="14" xfId="2" applyNumberFormat="1" applyFont="1" applyFill="1" applyBorder="1" applyAlignment="1">
      <alignment horizontal="right" vertical="top"/>
    </xf>
    <xf numFmtId="177" fontId="10" fillId="5" borderId="15" xfId="2" applyNumberFormat="1" applyFont="1" applyFill="1" applyBorder="1" applyAlignment="1">
      <alignment horizontal="right" vertical="top"/>
    </xf>
    <xf numFmtId="171" fontId="10" fillId="5" borderId="15" xfId="2" applyNumberFormat="1" applyFont="1" applyFill="1" applyBorder="1" applyAlignment="1">
      <alignment horizontal="right" vertical="top"/>
    </xf>
    <xf numFmtId="171" fontId="10" fillId="5" borderId="9" xfId="2" applyNumberFormat="1" applyFont="1" applyFill="1" applyBorder="1" applyAlignment="1">
      <alignment horizontal="right" vertical="top"/>
    </xf>
    <xf numFmtId="171" fontId="10" fillId="5" borderId="16" xfId="2" applyNumberFormat="1" applyFont="1" applyFill="1" applyBorder="1" applyAlignment="1">
      <alignment horizontal="right" vertical="top"/>
    </xf>
    <xf numFmtId="171" fontId="10" fillId="2" borderId="20" xfId="0" applyNumberFormat="1" applyFont="1" applyFill="1" applyBorder="1" applyAlignment="1">
      <alignment horizontal="left" vertical="top"/>
    </xf>
    <xf numFmtId="171" fontId="10" fillId="4" borderId="14" xfId="2" applyNumberFormat="1" applyFont="1" applyFill="1" applyBorder="1" applyAlignment="1">
      <alignment horizontal="right" vertical="top"/>
    </xf>
    <xf numFmtId="171" fontId="10" fillId="5" borderId="14" xfId="2" applyNumberFormat="1" applyFont="1" applyFill="1" applyBorder="1" applyAlignment="1">
      <alignment horizontal="right" vertical="top" indent="1"/>
    </xf>
    <xf numFmtId="171" fontId="10" fillId="5" borderId="15" xfId="2" applyNumberFormat="1" applyFont="1" applyFill="1" applyBorder="1" applyAlignment="1">
      <alignment horizontal="right" vertical="top" indent="1"/>
    </xf>
    <xf numFmtId="171" fontId="10" fillId="4" borderId="16" xfId="2" applyNumberFormat="1" applyFont="1" applyFill="1" applyBorder="1" applyAlignment="1">
      <alignment horizontal="right" vertical="top"/>
    </xf>
    <xf numFmtId="171" fontId="10" fillId="5" borderId="17" xfId="2" applyNumberFormat="1" applyFont="1" applyFill="1" applyBorder="1" applyAlignment="1">
      <alignment horizontal="right" vertical="top"/>
    </xf>
    <xf numFmtId="171" fontId="10" fillId="4" borderId="17" xfId="2" applyNumberFormat="1" applyFont="1" applyFill="1" applyBorder="1" applyAlignment="1">
      <alignment horizontal="right" vertical="top"/>
    </xf>
    <xf numFmtId="171" fontId="10" fillId="5" borderId="16" xfId="2" applyNumberFormat="1" applyFont="1" applyFill="1" applyBorder="1" applyAlignment="1">
      <alignment horizontal="right" vertical="top" indent="1"/>
    </xf>
    <xf numFmtId="171" fontId="10" fillId="5" borderId="6" xfId="2" applyNumberFormat="1" applyFont="1" applyFill="1" applyBorder="1" applyAlignment="1">
      <alignment horizontal="right" vertical="top" indent="1"/>
    </xf>
    <xf numFmtId="171" fontId="10" fillId="5" borderId="18" xfId="2" applyNumberFormat="1" applyFont="1" applyFill="1" applyBorder="1" applyAlignment="1">
      <alignment horizontal="right" vertical="top"/>
    </xf>
    <xf numFmtId="171" fontId="10" fillId="5" borderId="8" xfId="2" applyNumberFormat="1" applyFont="1" applyFill="1" applyBorder="1" applyAlignment="1">
      <alignment horizontal="right" vertical="top" indent="1"/>
    </xf>
    <xf numFmtId="171" fontId="10" fillId="5" borderId="9" xfId="2" applyNumberFormat="1" applyFont="1" applyFill="1" applyBorder="1" applyAlignment="1">
      <alignment horizontal="right" vertical="top" indent="1"/>
    </xf>
    <xf numFmtId="179" fontId="10" fillId="2" borderId="17" xfId="0" applyNumberFormat="1" applyFont="1" applyFill="1" applyBorder="1" applyAlignment="1">
      <alignment horizontal="right" vertical="top" indent="2"/>
    </xf>
    <xf numFmtId="179" fontId="10" fillId="2" borderId="15" xfId="0" applyNumberFormat="1" applyFont="1" applyFill="1" applyBorder="1" applyAlignment="1">
      <alignment horizontal="right" vertical="top" indent="2"/>
    </xf>
    <xf numFmtId="179" fontId="10" fillId="2" borderId="14" xfId="0" applyNumberFormat="1" applyFont="1" applyFill="1" applyBorder="1" applyAlignment="1">
      <alignment horizontal="right" vertical="top" indent="2"/>
    </xf>
    <xf numFmtId="179" fontId="10" fillId="5" borderId="14" xfId="2" applyNumberFormat="1" applyFont="1" applyFill="1" applyBorder="1" applyAlignment="1">
      <alignment horizontal="right" vertical="top" indent="2"/>
    </xf>
    <xf numFmtId="179" fontId="10" fillId="2" borderId="9" xfId="0" applyNumberFormat="1" applyFont="1" applyFill="1" applyBorder="1" applyAlignment="1">
      <alignment horizontal="left" vertical="top"/>
    </xf>
    <xf numFmtId="171" fontId="10" fillId="2" borderId="21" xfId="2" applyNumberFormat="1" applyFont="1" applyFill="1" applyBorder="1" applyAlignment="1">
      <alignment horizontal="center" vertical="top"/>
    </xf>
    <xf numFmtId="171" fontId="10" fillId="2" borderId="0" xfId="2" applyNumberFormat="1" applyFont="1" applyFill="1" applyBorder="1" applyAlignment="1">
      <alignment horizontal="center" vertical="top"/>
    </xf>
    <xf numFmtId="171" fontId="10" fillId="2" borderId="0" xfId="2" applyNumberFormat="1" applyFont="1" applyFill="1" applyBorder="1" applyAlignment="1">
      <alignment horizontal="right" vertical="top"/>
    </xf>
    <xf numFmtId="171" fontId="10" fillId="2" borderId="0" xfId="0" applyNumberFormat="1" applyFont="1" applyFill="1" applyBorder="1" applyAlignment="1">
      <alignment horizontal="right"/>
    </xf>
    <xf numFmtId="0" fontId="10" fillId="8" borderId="0" xfId="0" applyFont="1" applyFill="1" applyBorder="1" applyAlignment="1">
      <alignment horizontal="left" vertical="top"/>
    </xf>
    <xf numFmtId="0" fontId="10" fillId="8" borderId="0" xfId="0" applyFont="1" applyFill="1" applyBorder="1" applyAlignment="1">
      <alignment vertical="top"/>
    </xf>
    <xf numFmtId="171" fontId="10" fillId="2" borderId="1" xfId="2" applyNumberFormat="1" applyFont="1" applyFill="1" applyBorder="1" applyAlignment="1">
      <alignment horizontal="right" vertical="top"/>
    </xf>
    <xf numFmtId="171" fontId="10" fillId="4" borderId="15" xfId="2" applyNumberFormat="1" applyFont="1" applyFill="1" applyBorder="1" applyAlignment="1">
      <alignment horizontal="center" vertical="top"/>
    </xf>
    <xf numFmtId="171" fontId="10" fillId="2" borderId="9" xfId="0" applyNumberFormat="1" applyFont="1" applyFill="1" applyBorder="1" applyAlignment="1">
      <alignment horizontal="center"/>
    </xf>
    <xf numFmtId="171" fontId="10" fillId="2" borderId="9" xfId="0" applyNumberFormat="1" applyFont="1" applyFill="1" applyBorder="1" applyAlignment="1">
      <alignment horizontal="center" wrapText="1"/>
    </xf>
    <xf numFmtId="171" fontId="10" fillId="2" borderId="12" xfId="2" applyNumberFormat="1" applyFont="1" applyFill="1" applyBorder="1" applyAlignment="1">
      <alignment horizontal="center" vertical="top"/>
    </xf>
    <xf numFmtId="171" fontId="10" fillId="2" borderId="18" xfId="2" applyNumberFormat="1" applyFont="1" applyFill="1" applyBorder="1" applyAlignment="1">
      <alignment horizontal="center" vertical="top"/>
    </xf>
    <xf numFmtId="171" fontId="10" fillId="2" borderId="20" xfId="2" applyNumberFormat="1" applyFont="1" applyFill="1" applyBorder="1" applyAlignment="1">
      <alignment horizontal="center" vertical="top"/>
    </xf>
    <xf numFmtId="171" fontId="10" fillId="2" borderId="0" xfId="2" applyNumberFormat="1" applyFont="1" applyFill="1" applyBorder="1" applyAlignment="1">
      <alignment horizontal="center"/>
    </xf>
    <xf numFmtId="171" fontId="10" fillId="2" borderId="0" xfId="0" applyNumberFormat="1" applyFont="1" applyFill="1" applyBorder="1" applyAlignment="1">
      <alignment horizontal="center" vertical="top"/>
    </xf>
    <xf numFmtId="171" fontId="10" fillId="6" borderId="17" xfId="2" applyNumberFormat="1" applyFont="1" applyFill="1" applyBorder="1" applyAlignment="1">
      <alignment horizontal="center" vertical="top"/>
    </xf>
    <xf numFmtId="171" fontId="10" fillId="7" borderId="10" xfId="2" applyNumberFormat="1" applyFont="1" applyFill="1" applyBorder="1" applyAlignment="1">
      <alignment horizontal="center" vertical="top"/>
    </xf>
    <xf numFmtId="171" fontId="10" fillId="7" borderId="17" xfId="2" applyNumberFormat="1" applyFont="1" applyFill="1" applyBorder="1" applyAlignment="1">
      <alignment horizontal="center" vertical="top"/>
    </xf>
    <xf numFmtId="171" fontId="10" fillId="6" borderId="19" xfId="2" applyNumberFormat="1" applyFont="1" applyFill="1" applyBorder="1" applyAlignment="1">
      <alignment horizontal="center" vertical="top"/>
    </xf>
    <xf numFmtId="171" fontId="10" fillId="2" borderId="19" xfId="2" applyNumberFormat="1" applyFont="1" applyFill="1" applyBorder="1" applyAlignment="1">
      <alignment horizontal="center" vertical="top"/>
    </xf>
    <xf numFmtId="171" fontId="10" fillId="2" borderId="14" xfId="2" applyNumberFormat="1" applyFont="1" applyFill="1" applyBorder="1" applyAlignment="1">
      <alignment horizontal="center" vertical="top"/>
    </xf>
    <xf numFmtId="171" fontId="10" fillId="2" borderId="15" xfId="2" applyNumberFormat="1" applyFont="1" applyFill="1" applyBorder="1" applyAlignment="1">
      <alignment horizontal="center" vertical="top"/>
    </xf>
    <xf numFmtId="171" fontId="10" fillId="2" borderId="16" xfId="2" applyNumberFormat="1" applyFont="1" applyFill="1" applyBorder="1" applyAlignment="1">
      <alignment horizontal="center" vertical="top"/>
    </xf>
    <xf numFmtId="177" fontId="10" fillId="6" borderId="16" xfId="0" applyNumberFormat="1" applyFont="1" applyFill="1" applyBorder="1" applyAlignment="1">
      <alignment horizontal="center" vertical="top"/>
    </xf>
    <xf numFmtId="177" fontId="10" fillId="6" borderId="16" xfId="2" applyNumberFormat="1" applyFont="1" applyFill="1" applyBorder="1" applyAlignment="1">
      <alignment horizontal="center" vertical="top"/>
    </xf>
    <xf numFmtId="171" fontId="10" fillId="2" borderId="0" xfId="2" applyNumberFormat="1" applyFont="1" applyFill="1" applyBorder="1" applyAlignment="1">
      <alignment horizontal="left" vertical="top"/>
    </xf>
    <xf numFmtId="177" fontId="10" fillId="2" borderId="16" xfId="0" applyNumberFormat="1" applyFont="1" applyFill="1" applyBorder="1" applyAlignment="1">
      <alignment horizontal="center" vertical="top"/>
    </xf>
    <xf numFmtId="0" fontId="10" fillId="2" borderId="0" xfId="0" applyFont="1" applyFill="1" applyBorder="1" applyAlignment="1">
      <alignment vertical="top" wrapText="1"/>
    </xf>
    <xf numFmtId="171" fontId="10" fillId="2" borderId="11" xfId="2" applyNumberFormat="1" applyFont="1" applyFill="1" applyBorder="1" applyAlignment="1">
      <alignment horizontal="center" vertical="top"/>
    </xf>
    <xf numFmtId="0" fontId="29" fillId="7" borderId="0" xfId="60" applyFont="1" applyFill="1"/>
    <xf numFmtId="171" fontId="30" fillId="7" borderId="0" xfId="26" applyNumberFormat="1" applyFont="1" applyFill="1"/>
    <xf numFmtId="0" fontId="7" fillId="7" borderId="0" xfId="60" applyFont="1" applyFill="1"/>
    <xf numFmtId="0" fontId="31" fillId="7" borderId="0" xfId="60" applyFont="1" applyFill="1" applyAlignment="1">
      <alignment horizontal="left"/>
    </xf>
    <xf numFmtId="180" fontId="31" fillId="7" borderId="0" xfId="61" quotePrefix="1" applyFont="1" applyFill="1"/>
    <xf numFmtId="0" fontId="31" fillId="7" borderId="0" xfId="17" applyFont="1" applyFill="1"/>
    <xf numFmtId="180" fontId="31" fillId="7" borderId="0" xfId="61" quotePrefix="1" applyFont="1" applyFill="1" applyAlignment="1">
      <alignment horizontal="center"/>
    </xf>
    <xf numFmtId="0" fontId="31" fillId="7" borderId="0" xfId="17" applyFont="1" applyFill="1" applyAlignment="1">
      <alignment horizontal="center"/>
    </xf>
    <xf numFmtId="0" fontId="30" fillId="7" borderId="0" xfId="17" applyFont="1" applyFill="1" applyAlignment="1">
      <alignment horizontal="center"/>
    </xf>
    <xf numFmtId="0" fontId="30" fillId="7" borderId="0" xfId="17" applyFont="1" applyFill="1" applyAlignment="1">
      <alignment horizontal="left"/>
    </xf>
    <xf numFmtId="0" fontId="6" fillId="7" borderId="0" xfId="26" applyNumberFormat="1" applyFont="1" applyFill="1" applyAlignment="1">
      <alignment horizontal="right" vertical="top"/>
    </xf>
    <xf numFmtId="0" fontId="30" fillId="7" borderId="0" xfId="17" applyFont="1" applyFill="1"/>
    <xf numFmtId="171" fontId="6" fillId="7" borderId="0" xfId="28" applyNumberFormat="1" applyFont="1" applyFill="1" applyAlignment="1">
      <alignment horizontal="center" vertical="top"/>
    </xf>
    <xf numFmtId="0" fontId="29" fillId="7" borderId="0" xfId="17" applyFont="1" applyFill="1"/>
    <xf numFmtId="0" fontId="30" fillId="7" borderId="0" xfId="18" applyFont="1" applyFill="1"/>
    <xf numFmtId="0" fontId="29" fillId="7" borderId="0" xfId="17" applyFont="1" applyFill="1" applyAlignment="1">
      <alignment horizontal="left"/>
    </xf>
    <xf numFmtId="171" fontId="30" fillId="7" borderId="0" xfId="19" applyNumberFormat="1" applyFont="1" applyFill="1" applyBorder="1" applyAlignment="1">
      <alignment horizontal="center" vertical="center" wrapText="1"/>
    </xf>
    <xf numFmtId="171" fontId="30" fillId="7" borderId="1" xfId="19" applyNumberFormat="1" applyFont="1" applyFill="1" applyBorder="1" applyAlignment="1">
      <alignment horizontal="center" vertical="center"/>
    </xf>
    <xf numFmtId="171" fontId="30" fillId="6" borderId="0" xfId="17" applyNumberFormat="1" applyFont="1" applyFill="1"/>
    <xf numFmtId="171" fontId="30" fillId="7" borderId="4" xfId="17" applyNumberFormat="1" applyFont="1" applyFill="1" applyBorder="1"/>
    <xf numFmtId="171" fontId="30" fillId="6" borderId="1" xfId="17" applyNumberFormat="1" applyFont="1" applyFill="1" applyBorder="1"/>
    <xf numFmtId="171" fontId="30" fillId="7" borderId="0" xfId="17" applyNumberFormat="1" applyFont="1" applyFill="1"/>
    <xf numFmtId="171" fontId="29" fillId="7" borderId="0" xfId="19" applyNumberFormat="1" applyFont="1" applyFill="1" applyAlignment="1">
      <alignment vertical="center"/>
    </xf>
    <xf numFmtId="0" fontId="29" fillId="7" borderId="0" xfId="17" applyFont="1" applyFill="1" applyAlignment="1">
      <alignment horizontal="center" wrapText="1"/>
    </xf>
    <xf numFmtId="0" fontId="32" fillId="7" borderId="0" xfId="21" applyFont="1" applyFill="1"/>
    <xf numFmtId="0" fontId="31" fillId="7" borderId="0" xfId="62" applyFont="1" applyFill="1"/>
    <xf numFmtId="0" fontId="31" fillId="7" borderId="0" xfId="21" applyFont="1" applyFill="1" applyAlignment="1">
      <alignment horizontal="center"/>
    </xf>
    <xf numFmtId="0" fontId="31" fillId="7" borderId="0" xfId="62" applyFont="1" applyFill="1" applyAlignment="1">
      <alignment horizontal="center"/>
    </xf>
    <xf numFmtId="0" fontId="29" fillId="7" borderId="0" xfId="60" applyFont="1" applyFill="1" applyAlignment="1">
      <alignment horizontal="center"/>
    </xf>
    <xf numFmtId="0" fontId="32" fillId="7" borderId="1" xfId="62" applyFont="1" applyFill="1" applyBorder="1" applyAlignment="1">
      <alignment horizontal="center" vertical="center"/>
    </xf>
    <xf numFmtId="0" fontId="30" fillId="7" borderId="1" xfId="20" applyFont="1" applyFill="1" applyBorder="1" applyAlignment="1">
      <alignment horizontal="center" vertical="center" wrapText="1"/>
    </xf>
    <xf numFmtId="0" fontId="32" fillId="7" borderId="0" xfId="62" applyFont="1" applyFill="1"/>
    <xf numFmtId="0" fontId="30" fillId="7" borderId="0" xfId="20" applyFont="1" applyFill="1" applyAlignment="1">
      <alignment horizontal="left"/>
    </xf>
    <xf numFmtId="171" fontId="30" fillId="6" borderId="0" xfId="20" applyNumberFormat="1" applyFont="1" applyFill="1" applyAlignment="1">
      <alignment horizontal="right"/>
    </xf>
    <xf numFmtId="171" fontId="30" fillId="7" borderId="0" xfId="22" applyNumberFormat="1" applyFont="1" applyFill="1" applyAlignment="1">
      <alignment horizontal="right"/>
    </xf>
    <xf numFmtId="0" fontId="30" fillId="6" borderId="0" xfId="20" applyFont="1" applyFill="1" applyAlignment="1">
      <alignment horizontal="center"/>
    </xf>
    <xf numFmtId="0" fontId="30" fillId="7" borderId="0" xfId="20" applyFont="1" applyFill="1" applyAlignment="1">
      <alignment horizontal="center"/>
    </xf>
    <xf numFmtId="171" fontId="30" fillId="7" borderId="0" xfId="20" applyNumberFormat="1" applyFont="1" applyFill="1" applyAlignment="1">
      <alignment horizontal="right"/>
    </xf>
    <xf numFmtId="171" fontId="30" fillId="7" borderId="0" xfId="20" applyNumberFormat="1" applyFont="1" applyFill="1"/>
    <xf numFmtId="171" fontId="30" fillId="6" borderId="0" xfId="20" applyNumberFormat="1" applyFont="1" applyFill="1"/>
    <xf numFmtId="171" fontId="30" fillId="7" borderId="1" xfId="20" applyNumberFormat="1" applyFont="1" applyFill="1" applyBorder="1"/>
    <xf numFmtId="0" fontId="32" fillId="7" borderId="11" xfId="62" applyFont="1" applyFill="1" applyBorder="1" applyAlignment="1">
      <alignment horizontal="right"/>
    </xf>
    <xf numFmtId="171" fontId="30" fillId="7" borderId="4" xfId="20" applyNumberFormat="1" applyFont="1" applyFill="1" applyBorder="1"/>
    <xf numFmtId="0" fontId="30" fillId="7" borderId="11" xfId="20" applyFont="1" applyFill="1" applyBorder="1"/>
    <xf numFmtId="0" fontId="32" fillId="7" borderId="0" xfId="62" applyFont="1" applyFill="1" applyBorder="1" applyAlignment="1">
      <alignment horizontal="right"/>
    </xf>
    <xf numFmtId="171" fontId="30" fillId="7" borderId="0" xfId="20" applyNumberFormat="1" applyFont="1" applyFill="1" applyBorder="1"/>
    <xf numFmtId="0" fontId="30" fillId="7" borderId="0" xfId="20" applyFont="1" applyFill="1" applyBorder="1"/>
    <xf numFmtId="0" fontId="7" fillId="7" borderId="0" xfId="60" applyFont="1" applyFill="1" applyAlignment="1">
      <alignment horizontal="left" vertical="top"/>
    </xf>
    <xf numFmtId="0" fontId="6" fillId="7" borderId="0" xfId="60" applyFont="1" applyFill="1" applyAlignment="1">
      <alignment horizontal="right" vertical="top"/>
    </xf>
    <xf numFmtId="0" fontId="30" fillId="7" borderId="0" xfId="60" applyFont="1" applyFill="1"/>
    <xf numFmtId="0" fontId="32" fillId="7" borderId="0" xfId="16" applyFont="1" applyFill="1"/>
    <xf numFmtId="0" fontId="32" fillId="7" borderId="0" xfId="16" applyFont="1" applyFill="1" applyAlignment="1">
      <alignment horizontal="center"/>
    </xf>
    <xf numFmtId="0" fontId="33" fillId="7" borderId="0" xfId="60" applyFont="1" applyFill="1" applyAlignment="1">
      <alignment horizontal="center" vertical="center"/>
    </xf>
    <xf numFmtId="0" fontId="7" fillId="7" borderId="0" xfId="60" applyFont="1" applyFill="1" applyAlignment="1">
      <alignment horizontal="left" vertical="center"/>
    </xf>
    <xf numFmtId="10" fontId="32" fillId="6" borderId="0" xfId="16" applyNumberFormat="1" applyFont="1" applyFill="1"/>
    <xf numFmtId="0" fontId="32" fillId="7" borderId="0" xfId="16" applyFont="1" applyFill="1" applyAlignment="1">
      <alignment horizontal="center" vertical="center"/>
    </xf>
    <xf numFmtId="0" fontId="7" fillId="7" borderId="0" xfId="60" applyFont="1" applyFill="1" applyAlignment="1">
      <alignment horizontal="center" vertical="top"/>
    </xf>
    <xf numFmtId="0" fontId="7" fillId="7" borderId="0" xfId="60" applyFont="1" applyFill="1" applyAlignment="1">
      <alignment horizontal="left" vertical="top" wrapText="1"/>
    </xf>
    <xf numFmtId="0" fontId="7" fillId="7" borderId="0" xfId="60" quotePrefix="1" applyFont="1" applyFill="1" applyAlignment="1">
      <alignment horizontal="left" vertical="top" wrapText="1"/>
    </xf>
    <xf numFmtId="0" fontId="34" fillId="7" borderId="0" xfId="60" applyFont="1" applyFill="1" applyAlignment="1">
      <alignment horizontal="left" vertical="top" wrapText="1"/>
    </xf>
    <xf numFmtId="0" fontId="34" fillId="7" borderId="0" xfId="60" applyFont="1" applyFill="1" applyAlignment="1">
      <alignment horizontal="center" vertical="top" wrapText="1"/>
    </xf>
    <xf numFmtId="0" fontId="34" fillId="7" borderId="0" xfId="60" applyFont="1" applyFill="1" applyAlignment="1">
      <alignment horizontal="center" vertical="top"/>
    </xf>
    <xf numFmtId="0" fontId="7" fillId="7" borderId="1" xfId="60" applyFont="1" applyFill="1" applyBorder="1" applyAlignment="1">
      <alignment horizontal="center" vertical="top"/>
    </xf>
    <xf numFmtId="0" fontId="34" fillId="7" borderId="1" xfId="60" applyFont="1" applyFill="1" applyBorder="1" applyAlignment="1">
      <alignment horizontal="left" vertical="top"/>
    </xf>
    <xf numFmtId="0" fontId="34" fillId="7" borderId="0" xfId="60" applyFont="1" applyFill="1" applyAlignment="1">
      <alignment horizontal="left" vertical="top"/>
    </xf>
    <xf numFmtId="0" fontId="34" fillId="7" borderId="1" xfId="60" applyFont="1" applyFill="1" applyBorder="1" applyAlignment="1">
      <alignment horizontal="center" vertical="top"/>
    </xf>
    <xf numFmtId="0" fontId="7" fillId="7" borderId="0" xfId="60" applyFont="1" applyFill="1" applyAlignment="1">
      <alignment horizontal="center" vertical="center"/>
    </xf>
    <xf numFmtId="10" fontId="7" fillId="6" borderId="0" xfId="24" applyNumberFormat="1" applyFont="1" applyFill="1" applyAlignment="1">
      <alignment horizontal="right" vertical="center"/>
    </xf>
    <xf numFmtId="10" fontId="7" fillId="6" borderId="1" xfId="24" applyNumberFormat="1" applyFont="1" applyFill="1" applyBorder="1" applyAlignment="1">
      <alignment horizontal="right" vertical="center"/>
    </xf>
    <xf numFmtId="10" fontId="7" fillId="7" borderId="0" xfId="24" applyNumberFormat="1" applyFont="1" applyFill="1" applyAlignment="1">
      <alignment horizontal="right" vertical="center"/>
    </xf>
    <xf numFmtId="10" fontId="7" fillId="7" borderId="0" xfId="60" applyNumberFormat="1" applyFont="1" applyFill="1" applyAlignment="1">
      <alignment horizontal="right" vertical="center"/>
    </xf>
    <xf numFmtId="0" fontId="8" fillId="7" borderId="0" xfId="4" applyFont="1" applyFill="1" applyAlignment="1">
      <alignment horizontal="left" vertical="center"/>
    </xf>
    <xf numFmtId="0" fontId="29" fillId="7" borderId="0" xfId="60" applyFont="1" applyFill="1" applyAlignment="1">
      <alignment horizontal="left" vertical="center"/>
    </xf>
    <xf numFmtId="0" fontId="32" fillId="7" borderId="0" xfId="16" applyFont="1" applyFill="1" applyAlignment="1">
      <alignment wrapText="1"/>
    </xf>
    <xf numFmtId="0" fontId="31" fillId="7" borderId="0" xfId="16" applyFont="1" applyFill="1"/>
    <xf numFmtId="171" fontId="32" fillId="6" borderId="0" xfId="22" applyNumberFormat="1" applyFont="1" applyFill="1"/>
    <xf numFmtId="171" fontId="32" fillId="7" borderId="11" xfId="22" applyNumberFormat="1" applyFont="1" applyFill="1" applyBorder="1"/>
    <xf numFmtId="171" fontId="31" fillId="7" borderId="0" xfId="22" applyNumberFormat="1" applyFont="1" applyFill="1"/>
    <xf numFmtId="10" fontId="32" fillId="7" borderId="0" xfId="24" applyNumberFormat="1" applyFont="1" applyFill="1"/>
    <xf numFmtId="171" fontId="31" fillId="7" borderId="4" xfId="16" applyNumberFormat="1" applyFont="1" applyFill="1" applyBorder="1"/>
    <xf numFmtId="0" fontId="29" fillId="7" borderId="0" xfId="5" applyFont="1" applyFill="1" applyAlignment="1">
      <alignment horizontal="left" vertical="center"/>
    </xf>
    <xf numFmtId="0" fontId="31" fillId="7" borderId="0" xfId="5" applyNumberFormat="1" applyFont="1" applyFill="1" applyAlignment="1">
      <alignment horizontal="left"/>
    </xf>
    <xf numFmtId="0" fontId="7" fillId="7" borderId="0" xfId="5" applyFont="1" applyFill="1" applyBorder="1" applyAlignment="1">
      <alignment horizontal="left" vertical="top"/>
    </xf>
    <xf numFmtId="0" fontId="7" fillId="2" borderId="0" xfId="5" applyFont="1" applyFill="1" applyBorder="1" applyAlignment="1">
      <alignment horizontal="left" vertical="top"/>
    </xf>
    <xf numFmtId="177" fontId="32" fillId="6" borderId="0" xfId="2" applyNumberFormat="1" applyFont="1" applyFill="1"/>
    <xf numFmtId="177" fontId="34" fillId="2" borderId="0" xfId="5" applyNumberFormat="1" applyFont="1" applyFill="1" applyBorder="1" applyAlignment="1">
      <alignment horizontal="right"/>
    </xf>
    <xf numFmtId="0" fontId="7" fillId="2" borderId="0" xfId="5" applyFont="1" applyFill="1" applyBorder="1" applyAlignment="1">
      <alignment horizontal="left"/>
    </xf>
    <xf numFmtId="177" fontId="34" fillId="2" borderId="0" xfId="5" applyNumberFormat="1" applyFont="1" applyFill="1" applyBorder="1" applyAlignment="1">
      <alignment horizontal="left" vertical="top"/>
    </xf>
    <xf numFmtId="0" fontId="33" fillId="2" borderId="0" xfId="5" applyFont="1" applyFill="1" applyBorder="1" applyAlignment="1">
      <alignment horizontal="left" vertical="top"/>
    </xf>
    <xf numFmtId="0" fontId="10" fillId="5" borderId="0" xfId="0" applyFont="1" applyFill="1" applyBorder="1" applyAlignment="1">
      <alignment horizontal="left" vertical="top"/>
    </xf>
    <xf numFmtId="0" fontId="10" fillId="2" borderId="0" xfId="0" applyFont="1" applyFill="1" applyBorder="1" applyAlignment="1">
      <alignment horizontal="center" vertical="top"/>
    </xf>
    <xf numFmtId="0" fontId="11" fillId="0" borderId="0" xfId="0" applyFont="1" applyFill="1" applyBorder="1" applyAlignment="1">
      <alignment horizontal="center" vertical="top"/>
    </xf>
    <xf numFmtId="0" fontId="10" fillId="0" borderId="0" xfId="0" applyFont="1" applyFill="1" applyBorder="1" applyAlignment="1">
      <alignment horizontal="center" vertical="top"/>
    </xf>
    <xf numFmtId="164" fontId="13" fillId="5" borderId="1" xfId="0" applyNumberFormat="1" applyFont="1" applyFill="1" applyBorder="1" applyAlignment="1">
      <alignment horizontal="center" vertical="top"/>
    </xf>
    <xf numFmtId="0" fontId="11" fillId="5" borderId="0" xfId="0" applyFont="1" applyFill="1" applyBorder="1" applyAlignment="1">
      <alignment horizontal="left" vertical="top" wrapText="1"/>
    </xf>
    <xf numFmtId="0" fontId="11" fillId="7" borderId="0" xfId="0" applyFont="1" applyFill="1" applyBorder="1" applyAlignment="1">
      <alignment horizontal="left" vertical="top"/>
    </xf>
    <xf numFmtId="0" fontId="11" fillId="7" borderId="0" xfId="0" applyFont="1" applyFill="1" applyBorder="1" applyAlignment="1">
      <alignment horizontal="left" vertical="top" wrapText="1"/>
    </xf>
    <xf numFmtId="0" fontId="13" fillId="2" borderId="1" xfId="0" applyFont="1" applyFill="1" applyBorder="1" applyAlignment="1">
      <alignment horizontal="center" vertical="top"/>
    </xf>
    <xf numFmtId="0" fontId="10" fillId="5" borderId="0" xfId="0" applyFont="1" applyFill="1" applyBorder="1" applyAlignment="1">
      <alignment horizontal="left" vertical="top" wrapText="1"/>
    </xf>
    <xf numFmtId="0" fontId="11" fillId="5" borderId="0" xfId="0" applyFont="1" applyFill="1" applyBorder="1" applyAlignment="1">
      <alignment vertical="top" wrapText="1"/>
    </xf>
    <xf numFmtId="0" fontId="12" fillId="2" borderId="1" xfId="0" applyFont="1" applyFill="1" applyBorder="1" applyAlignment="1">
      <alignment horizontal="center" vertical="top"/>
    </xf>
    <xf numFmtId="164" fontId="13" fillId="2" borderId="1" xfId="0" applyNumberFormat="1" applyFont="1" applyFill="1" applyBorder="1" applyAlignment="1">
      <alignment horizontal="center" vertical="top"/>
    </xf>
    <xf numFmtId="0" fontId="11" fillId="5" borderId="0" xfId="0" applyFont="1" applyFill="1" applyBorder="1" applyAlignment="1">
      <alignment horizontal="left" vertical="top"/>
    </xf>
    <xf numFmtId="0" fontId="10" fillId="2" borderId="0" xfId="0" applyFont="1" applyFill="1" applyBorder="1" applyAlignment="1">
      <alignment horizontal="left" wrapText="1"/>
    </xf>
    <xf numFmtId="0" fontId="10" fillId="2" borderId="0" xfId="0" applyFont="1" applyFill="1" applyBorder="1" applyAlignment="1">
      <alignment horizontal="left" vertical="top" wrapText="1"/>
    </xf>
    <xf numFmtId="49" fontId="10" fillId="2" borderId="0" xfId="0" applyNumberFormat="1" applyFont="1" applyFill="1" applyBorder="1" applyAlignment="1">
      <alignment horizontal="center" vertical="top"/>
    </xf>
    <xf numFmtId="0" fontId="10" fillId="0" borderId="0" xfId="0" quotePrefix="1" applyNumberFormat="1" applyFont="1" applyFill="1" applyBorder="1" applyAlignment="1" applyProtection="1">
      <alignment horizontal="left" vertical="top" wrapText="1"/>
      <protection locked="0"/>
    </xf>
    <xf numFmtId="0" fontId="10" fillId="0" borderId="0" xfId="0"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49" fontId="13" fillId="0" borderId="1" xfId="0" applyNumberFormat="1" applyFont="1" applyFill="1" applyBorder="1" applyAlignment="1">
      <alignment horizontal="left" vertical="center" wrapText="1"/>
    </xf>
    <xf numFmtId="49" fontId="13" fillId="2" borderId="9" xfId="0" applyNumberFormat="1" applyFont="1" applyFill="1" applyBorder="1" applyAlignment="1">
      <alignment horizontal="center" wrapText="1"/>
    </xf>
    <xf numFmtId="49" fontId="13" fillId="2" borderId="9" xfId="0" applyNumberFormat="1" applyFont="1" applyFill="1" applyBorder="1" applyAlignment="1">
      <alignment horizontal="center"/>
    </xf>
    <xf numFmtId="0" fontId="10" fillId="2" borderId="0" xfId="0" applyFont="1" applyFill="1" applyBorder="1" applyAlignment="1">
      <alignment horizontal="left" vertical="center" wrapText="1"/>
    </xf>
    <xf numFmtId="49" fontId="10" fillId="2" borderId="9" xfId="0" applyNumberFormat="1" applyFont="1" applyFill="1" applyBorder="1" applyAlignment="1">
      <alignment horizontal="center"/>
    </xf>
    <xf numFmtId="0" fontId="10" fillId="2" borderId="0" xfId="0" applyNumberFormat="1" applyFont="1" applyFill="1" applyBorder="1" applyAlignment="1">
      <alignment horizontal="left" vertical="top" wrapText="1"/>
    </xf>
    <xf numFmtId="0" fontId="13" fillId="2" borderId="0" xfId="0" applyFont="1" applyFill="1" applyBorder="1" applyAlignment="1">
      <alignment horizontal="center" vertical="top"/>
    </xf>
    <xf numFmtId="0" fontId="10" fillId="5" borderId="0" xfId="0" applyFont="1" applyFill="1" applyBorder="1" applyAlignment="1">
      <alignment vertical="top" wrapText="1"/>
    </xf>
    <xf numFmtId="0" fontId="13" fillId="2" borderId="0" xfId="0" applyFont="1" applyFill="1" applyBorder="1" applyAlignment="1">
      <alignment horizontal="center"/>
    </xf>
    <xf numFmtId="0" fontId="10" fillId="2" borderId="0" xfId="0" applyFont="1" applyFill="1" applyBorder="1" applyAlignment="1">
      <alignment horizontal="right" vertical="top"/>
    </xf>
    <xf numFmtId="0" fontId="10" fillId="0" borderId="0" xfId="0" applyFont="1" applyFill="1" applyBorder="1" applyAlignment="1">
      <alignment horizontal="left" vertical="top"/>
    </xf>
    <xf numFmtId="0" fontId="10" fillId="2" borderId="15"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2" borderId="0" xfId="5" applyFont="1" applyFill="1" applyBorder="1" applyAlignment="1">
      <alignment horizontal="center" vertical="top"/>
    </xf>
    <xf numFmtId="0" fontId="11" fillId="0" borderId="0" xfId="5" applyFont="1" applyFill="1" applyBorder="1" applyAlignment="1">
      <alignment horizontal="center" vertical="top"/>
    </xf>
    <xf numFmtId="0" fontId="9" fillId="2" borderId="0" xfId="5" applyFont="1" applyFill="1" applyBorder="1" applyAlignment="1">
      <alignment horizontal="left" vertical="top" wrapText="1"/>
    </xf>
    <xf numFmtId="0" fontId="10" fillId="2" borderId="0" xfId="0" applyFont="1" applyFill="1" applyBorder="1" applyAlignment="1">
      <alignment vertical="top" wrapText="1"/>
    </xf>
    <xf numFmtId="0" fontId="10"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top"/>
    </xf>
    <xf numFmtId="0" fontId="31" fillId="7" borderId="0" xfId="60" applyFont="1" applyFill="1" applyAlignment="1">
      <alignment horizontal="left"/>
    </xf>
    <xf numFmtId="0" fontId="7" fillId="7" borderId="0" xfId="17" applyFont="1" applyFill="1" applyAlignment="1">
      <alignment horizontal="left" wrapText="1"/>
    </xf>
    <xf numFmtId="0" fontId="30" fillId="7" borderId="0" xfId="17" applyFont="1" applyFill="1" applyAlignment="1">
      <alignment horizontal="left" wrapText="1"/>
    </xf>
    <xf numFmtId="171" fontId="30" fillId="7" borderId="0" xfId="19" applyNumberFormat="1" applyFont="1" applyFill="1" applyAlignment="1">
      <alignment horizontal="center" vertical="center" wrapText="1"/>
    </xf>
    <xf numFmtId="171" fontId="30" fillId="7" borderId="1" xfId="19" applyNumberFormat="1" applyFont="1" applyFill="1" applyBorder="1" applyAlignment="1">
      <alignment horizontal="center" vertical="center" wrapText="1"/>
    </xf>
    <xf numFmtId="0" fontId="29" fillId="7" borderId="0" xfId="17" applyFont="1" applyFill="1" applyAlignment="1">
      <alignment horizontal="left" wrapText="1"/>
    </xf>
    <xf numFmtId="180" fontId="31" fillId="7" borderId="0" xfId="61" quotePrefix="1" applyFont="1" applyFill="1" applyAlignment="1">
      <alignment vertical="top" wrapText="1"/>
    </xf>
    <xf numFmtId="0" fontId="6" fillId="7" borderId="0" xfId="60" applyFont="1" applyFill="1" applyAlignment="1">
      <alignment horizontal="center" vertical="top"/>
    </xf>
    <xf numFmtId="0" fontId="7" fillId="7" borderId="0" xfId="60" applyFont="1" applyFill="1" applyAlignment="1">
      <alignment horizontal="left" vertical="top" wrapText="1"/>
    </xf>
    <xf numFmtId="0" fontId="32" fillId="7" borderId="0" xfId="16" applyFont="1" applyFill="1" applyAlignment="1">
      <alignment horizontal="center" wrapText="1"/>
    </xf>
    <xf numFmtId="0" fontId="31" fillId="7" borderId="0" xfId="16" applyFont="1" applyFill="1" applyAlignment="1">
      <alignment horizontal="center" wrapText="1"/>
    </xf>
    <xf numFmtId="0" fontId="32" fillId="7" borderId="0" xfId="16" applyFont="1" applyFill="1" applyAlignment="1">
      <alignment horizontal="left" wrapText="1"/>
    </xf>
    <xf numFmtId="0" fontId="7" fillId="2" borderId="0" xfId="5" applyFont="1" applyFill="1" applyBorder="1" applyAlignment="1">
      <alignment horizontal="left" vertical="top" wrapText="1"/>
    </xf>
    <xf numFmtId="0" fontId="31" fillId="7" borderId="0" xfId="5" applyNumberFormat="1" applyFont="1" applyFill="1" applyAlignment="1">
      <alignment horizontal="left"/>
    </xf>
  </cellXfs>
  <cellStyles count="72">
    <cellStyle name="=C:\WINNT35\SYSTEM32\COMMAND.COM 2" xfId="42"/>
    <cellStyle name="Comma" xfId="1" builtinId="3"/>
    <cellStyle name="Comma 11" xfId="67"/>
    <cellStyle name="Comma 2" xfId="13"/>
    <cellStyle name="Comma 2 2" xfId="47"/>
    <cellStyle name="Comma 2 3" xfId="26"/>
    <cellStyle name="Comma 2 4" xfId="15"/>
    <cellStyle name="Comma 21 2" xfId="22"/>
    <cellStyle name="Comma 21 2 2" xfId="39"/>
    <cellStyle name="Comma 21 2 3" xfId="32"/>
    <cellStyle name="Comma 27 2" xfId="19"/>
    <cellStyle name="Comma 27 2 2" xfId="37"/>
    <cellStyle name="Comma 27 2 3" xfId="30"/>
    <cellStyle name="Comma 3" xfId="34"/>
    <cellStyle name="Comma 4" xfId="45"/>
    <cellStyle name="Comma 5" xfId="64"/>
    <cellStyle name="Comma 6" xfId="69"/>
    <cellStyle name="Comma 88 2" xfId="59"/>
    <cellStyle name="Currency" xfId="2" builtinId="4"/>
    <cellStyle name="Currency 2" xfId="7"/>
    <cellStyle name="Currency 2 2" xfId="40"/>
    <cellStyle name="Currency 2 3" xfId="28"/>
    <cellStyle name="Currency 3" xfId="54"/>
    <cellStyle name="Currency 4" xfId="65"/>
    <cellStyle name="Currency 5" xfId="70"/>
    <cellStyle name="Hyperlink" xfId="4" builtinId="8"/>
    <cellStyle name="Hyperlink 2" xfId="50"/>
    <cellStyle name="Normal" xfId="0" builtinId="0"/>
    <cellStyle name="Normal 10" xfId="46"/>
    <cellStyle name="Normal 10 2 2" xfId="58"/>
    <cellStyle name="Normal 2" xfId="5"/>
    <cellStyle name="Normal 2 2" xfId="49"/>
    <cellStyle name="Normal 2 2 2" xfId="44"/>
    <cellStyle name="Normal 2 3" xfId="60"/>
    <cellStyle name="Normal 2 4" xfId="16"/>
    <cellStyle name="Normal 28 2" xfId="20"/>
    <cellStyle name="Normal 28 2 2" xfId="38"/>
    <cellStyle name="Normal 28 2 3" xfId="31"/>
    <cellStyle name="Normal 283" xfId="51"/>
    <cellStyle name="Normal 283 2" xfId="9"/>
    <cellStyle name="Normal 3" xfId="6"/>
    <cellStyle name="Normal 3 2" xfId="33"/>
    <cellStyle name="Normal 3 3" xfId="14"/>
    <cellStyle name="Normal 4" xfId="10"/>
    <cellStyle name="Normal 4 2" xfId="21"/>
    <cellStyle name="Normal 4 3" xfId="23"/>
    <cellStyle name="Normal 48 2" xfId="56"/>
    <cellStyle name="Normal 5" xfId="12"/>
    <cellStyle name="Normal 5 2" xfId="43"/>
    <cellStyle name="Normal 6" xfId="52"/>
    <cellStyle name="Normal 69 2" xfId="17"/>
    <cellStyle name="Normal 69 2 2" xfId="35"/>
    <cellStyle name="Normal 69 2 2 2" xfId="57"/>
    <cellStyle name="Normal 69 2 3" xfId="27"/>
    <cellStyle name="Normal 69 3 2" xfId="18"/>
    <cellStyle name="Normal 69 3 2 2" xfId="36"/>
    <cellStyle name="Normal 69 3 2 3" xfId="29"/>
    <cellStyle name="Normal 7" xfId="53"/>
    <cellStyle name="Normal 8" xfId="63"/>
    <cellStyle name="Normal 9" xfId="68"/>
    <cellStyle name="Normal_Schedule O Info for Mike" xfId="62"/>
    <cellStyle name="Normal_SP ANCILLARIES_9-10(clean 9-19)(a)" xfId="61"/>
    <cellStyle name="Percent" xfId="3" builtinId="5"/>
    <cellStyle name="Percent 2" xfId="8"/>
    <cellStyle name="Percent 2 2" xfId="24"/>
    <cellStyle name="Percent 2 2 2" xfId="48"/>
    <cellStyle name="Percent 2 3" xfId="25"/>
    <cellStyle name="Percent 3" xfId="11"/>
    <cellStyle name="Percent 3 2" xfId="41"/>
    <cellStyle name="Percent 4" xfId="55"/>
    <cellStyle name="Percent 5" xfId="66"/>
    <cellStyle name="Percent 6" xfId="7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2"/>
  <sheetViews>
    <sheetView tabSelected="1" view="pageBreakPreview" zoomScaleNormal="80" zoomScaleSheetLayoutView="100" workbookViewId="0">
      <selection activeCell="B17" sqref="B17"/>
    </sheetView>
  </sheetViews>
  <sheetFormatPr defaultColWidth="9.33203125" defaultRowHeight="12"/>
  <cols>
    <col min="1" max="1" width="7.6640625" style="1" customWidth="1"/>
    <col min="2" max="2" width="52.83203125" style="1" customWidth="1"/>
    <col min="3" max="3" width="2.83203125" style="1" customWidth="1"/>
    <col min="4" max="4" width="35.5" style="1" customWidth="1"/>
    <col min="5" max="5" width="2.83203125" style="1" customWidth="1"/>
    <col min="6" max="6" width="23.6640625" style="1" customWidth="1"/>
    <col min="7" max="7" width="2.83203125" style="1" customWidth="1"/>
    <col min="8" max="8" width="9.83203125" style="1" customWidth="1"/>
    <col min="9" max="9" width="9.33203125" style="1"/>
    <col min="10" max="10" width="4.33203125" style="1" customWidth="1"/>
    <col min="11" max="11" width="17.1640625" style="1" customWidth="1"/>
    <col min="12" max="12" width="2.83203125" style="1" customWidth="1"/>
    <col min="13" max="13" width="19.5" style="1" customWidth="1"/>
    <col min="14" max="14" width="4.33203125" style="5" customWidth="1"/>
    <col min="15" max="16384" width="9.33203125" style="5"/>
  </cols>
  <sheetData>
    <row r="1" spans="1:63">
      <c r="B1" s="2" t="s">
        <v>400</v>
      </c>
      <c r="C1" s="2"/>
      <c r="M1" s="3" t="s">
        <v>384</v>
      </c>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c r="A2" s="606" t="s">
        <v>441</v>
      </c>
      <c r="B2" s="606"/>
      <c r="C2" s="606"/>
      <c r="D2" s="606"/>
      <c r="E2" s="606"/>
      <c r="F2" s="606"/>
      <c r="G2" s="606"/>
      <c r="H2" s="606"/>
      <c r="I2" s="606"/>
      <c r="J2" s="606"/>
      <c r="K2" s="606"/>
      <c r="L2" s="606"/>
      <c r="M2" s="606"/>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c r="A3" s="604" t="s">
        <v>609</v>
      </c>
      <c r="B3" s="604"/>
      <c r="C3" s="604"/>
      <c r="D3" s="604"/>
      <c r="E3" s="604"/>
      <c r="F3" s="604"/>
      <c r="G3" s="604"/>
      <c r="H3" s="604"/>
      <c r="I3" s="604"/>
      <c r="J3" s="604"/>
      <c r="K3" s="604"/>
      <c r="L3" s="604"/>
      <c r="M3" s="604"/>
    </row>
    <row r="4" spans="1:63">
      <c r="A4" s="605" t="s">
        <v>743</v>
      </c>
      <c r="B4" s="606"/>
      <c r="C4" s="606"/>
      <c r="D4" s="606"/>
      <c r="E4" s="606"/>
      <c r="F4" s="606"/>
      <c r="G4" s="606"/>
      <c r="H4" s="606"/>
      <c r="I4" s="606"/>
      <c r="J4" s="606"/>
      <c r="K4" s="606"/>
      <c r="L4" s="606"/>
      <c r="M4" s="606"/>
    </row>
    <row r="5" spans="1:63">
      <c r="M5" s="6" t="s">
        <v>610</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1:63">
      <c r="M6" s="322">
        <v>44926</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c r="M7" s="7"/>
    </row>
    <row r="8" spans="1:63">
      <c r="A8" s="8"/>
      <c r="B8" s="9" t="s">
        <v>386</v>
      </c>
      <c r="C8" s="9"/>
      <c r="D8" s="9" t="s">
        <v>387</v>
      </c>
      <c r="E8" s="9"/>
      <c r="F8" s="9" t="s">
        <v>388</v>
      </c>
      <c r="G8" s="9"/>
      <c r="H8" s="9"/>
      <c r="I8" s="9" t="s">
        <v>389</v>
      </c>
      <c r="J8" s="9"/>
      <c r="K8" s="9" t="s">
        <v>390</v>
      </c>
      <c r="L8" s="9"/>
    </row>
    <row r="9" spans="1:63">
      <c r="A9" s="10" t="s">
        <v>70</v>
      </c>
      <c r="B9" s="9"/>
      <c r="C9" s="9"/>
      <c r="D9" s="9"/>
      <c r="E9" s="9"/>
      <c r="F9" s="9"/>
      <c r="G9" s="9"/>
      <c r="H9" s="9"/>
      <c r="I9" s="9"/>
      <c r="J9" s="9"/>
      <c r="K9" s="11" t="s">
        <v>378</v>
      </c>
      <c r="L9" s="9"/>
    </row>
    <row r="10" spans="1:63">
      <c r="A10" s="12" t="s">
        <v>379</v>
      </c>
      <c r="B10" s="13"/>
      <c r="C10" s="13"/>
      <c r="D10" s="14" t="s">
        <v>385</v>
      </c>
      <c r="E10" s="15"/>
      <c r="F10" s="16"/>
      <c r="G10" s="16"/>
      <c r="H10" s="16"/>
      <c r="I10" s="16"/>
      <c r="J10" s="16"/>
      <c r="K10" s="17" t="s">
        <v>171</v>
      </c>
      <c r="L10" s="18"/>
      <c r="M10" s="16"/>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c r="A11" s="19">
        <v>1</v>
      </c>
      <c r="B11" s="7" t="s">
        <v>611</v>
      </c>
      <c r="C11" s="8"/>
      <c r="D11" s="8" t="s">
        <v>612</v>
      </c>
      <c r="E11" s="8"/>
      <c r="F11" s="9"/>
      <c r="G11" s="20"/>
      <c r="J11" s="20"/>
      <c r="K11" s="454">
        <f>K151</f>
        <v>24697572.620289274</v>
      </c>
      <c r="L11" s="21"/>
      <c r="M11" s="8"/>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c r="A12" s="22"/>
      <c r="B12" s="8"/>
      <c r="C12" s="8"/>
      <c r="D12" s="8"/>
      <c r="E12" s="8"/>
      <c r="J12" s="23"/>
      <c r="K12" s="454"/>
      <c r="L12" s="21"/>
      <c r="M12" s="8"/>
    </row>
    <row r="13" spans="1:63">
      <c r="A13" s="23"/>
      <c r="B13" s="8" t="s">
        <v>613</v>
      </c>
      <c r="C13" s="8"/>
      <c r="D13" s="8" t="s">
        <v>614</v>
      </c>
      <c r="E13" s="8"/>
      <c r="F13" s="24" t="s">
        <v>391</v>
      </c>
      <c r="G13" s="25"/>
      <c r="H13" s="611" t="s">
        <v>96</v>
      </c>
      <c r="I13" s="611"/>
      <c r="J13" s="26"/>
      <c r="K13" s="455"/>
      <c r="L13" s="27"/>
      <c r="M13" s="8"/>
    </row>
    <row r="14" spans="1:63">
      <c r="A14" s="22">
        <v>2</v>
      </c>
      <c r="B14" s="28" t="s">
        <v>615</v>
      </c>
      <c r="C14" s="28"/>
      <c r="D14" s="8" t="s">
        <v>616</v>
      </c>
      <c r="E14" s="8"/>
      <c r="F14" s="27">
        <f>K191</f>
        <v>0</v>
      </c>
      <c r="G14" s="27"/>
      <c r="H14" s="29" t="s">
        <v>393</v>
      </c>
      <c r="I14" s="30">
        <f>K169</f>
        <v>1</v>
      </c>
      <c r="J14" s="26"/>
      <c r="K14" s="456">
        <f>F14*I14</f>
        <v>0</v>
      </c>
      <c r="L14" s="27"/>
      <c r="M14" s="8"/>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row>
    <row r="15" spans="1:63">
      <c r="A15" s="22">
        <v>3</v>
      </c>
      <c r="B15" s="28" t="s">
        <v>617</v>
      </c>
      <c r="C15" s="28"/>
      <c r="D15" s="8" t="s">
        <v>618</v>
      </c>
      <c r="E15" s="8"/>
      <c r="F15" s="27">
        <f>K193</f>
        <v>0</v>
      </c>
      <c r="G15" s="27"/>
      <c r="H15" s="29" t="s">
        <v>393</v>
      </c>
      <c r="I15" s="30">
        <f>K169</f>
        <v>1</v>
      </c>
      <c r="J15" s="26"/>
      <c r="K15" s="456">
        <f>F15*I15</f>
        <v>0</v>
      </c>
      <c r="L15" s="27"/>
      <c r="M15" s="8"/>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c r="A16" s="22">
        <v>4</v>
      </c>
      <c r="B16" s="28" t="s">
        <v>619</v>
      </c>
      <c r="C16" s="28"/>
      <c r="D16" s="8" t="s">
        <v>620</v>
      </c>
      <c r="E16" s="8"/>
      <c r="F16" s="31">
        <v>0</v>
      </c>
      <c r="G16" s="27"/>
      <c r="H16" s="29" t="s">
        <v>393</v>
      </c>
      <c r="I16" s="30">
        <f>K169</f>
        <v>1</v>
      </c>
      <c r="J16" s="26"/>
      <c r="K16" s="456">
        <f>F16*I16</f>
        <v>0</v>
      </c>
      <c r="L16" s="27"/>
      <c r="M16" s="8"/>
    </row>
    <row r="17" spans="1:63">
      <c r="A17" s="22">
        <v>5</v>
      </c>
      <c r="B17" s="28" t="s">
        <v>621</v>
      </c>
      <c r="C17" s="28"/>
      <c r="F17" s="32">
        <v>0</v>
      </c>
      <c r="G17" s="27"/>
      <c r="H17" s="29" t="s">
        <v>393</v>
      </c>
      <c r="I17" s="30">
        <f>K169</f>
        <v>1</v>
      </c>
      <c r="J17" s="26"/>
      <c r="K17" s="454">
        <f>F17*I17</f>
        <v>0</v>
      </c>
      <c r="L17" s="27"/>
      <c r="M17" s="8"/>
    </row>
    <row r="18" spans="1:63">
      <c r="A18" s="22">
        <v>6</v>
      </c>
      <c r="B18" s="8" t="s">
        <v>622</v>
      </c>
      <c r="C18" s="8"/>
      <c r="D18" s="8" t="s">
        <v>623</v>
      </c>
      <c r="E18" s="8"/>
      <c r="F18" s="27">
        <f>SUM(F14:F17)</f>
        <v>0</v>
      </c>
      <c r="G18" s="27"/>
      <c r="H18" s="29"/>
      <c r="I18" s="26"/>
      <c r="J18" s="26"/>
      <c r="K18" s="457">
        <f>SUM(K14:K17)</f>
        <v>0</v>
      </c>
      <c r="L18" s="27"/>
      <c r="M18" s="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c r="A19" s="22"/>
      <c r="B19" s="8"/>
      <c r="C19" s="8"/>
      <c r="D19" s="8"/>
      <c r="E19" s="8"/>
      <c r="F19" s="27"/>
      <c r="H19" s="29"/>
      <c r="I19" s="26"/>
      <c r="J19" s="26"/>
      <c r="K19" s="456"/>
      <c r="L19" s="8"/>
      <c r="M19" s="8"/>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c r="A20" s="22">
        <v>7</v>
      </c>
      <c r="B20" s="8" t="s">
        <v>624</v>
      </c>
      <c r="C20" s="8"/>
      <c r="D20" s="8" t="s">
        <v>625</v>
      </c>
      <c r="E20" s="8"/>
      <c r="F20" s="27">
        <f>'Attachment 11'!F30</f>
        <v>0</v>
      </c>
      <c r="H20" s="29" t="s">
        <v>398</v>
      </c>
      <c r="I20" s="30">
        <v>1</v>
      </c>
      <c r="J20" s="26"/>
      <c r="K20" s="456">
        <f>F20*I20</f>
        <v>0</v>
      </c>
      <c r="L20" s="27"/>
      <c r="M20" s="8"/>
    </row>
    <row r="21" spans="1:63">
      <c r="A21" s="22">
        <v>8</v>
      </c>
      <c r="B21" s="8" t="s">
        <v>626</v>
      </c>
      <c r="C21" s="8"/>
      <c r="D21" s="33" t="s">
        <v>784</v>
      </c>
      <c r="E21" s="8"/>
      <c r="F21" s="510">
        <f>'Attachment 3'!L28</f>
        <v>400974.02572426229</v>
      </c>
      <c r="H21" s="29" t="s">
        <v>398</v>
      </c>
      <c r="I21" s="30">
        <v>1</v>
      </c>
      <c r="J21" s="26"/>
      <c r="K21" s="456">
        <f>F21*I21</f>
        <v>400974.02572426229</v>
      </c>
      <c r="L21" s="27"/>
      <c r="M21" s="8"/>
    </row>
    <row r="22" spans="1:63">
      <c r="A22" s="22"/>
      <c r="B22" s="8"/>
      <c r="C22" s="8"/>
      <c r="D22" s="8"/>
      <c r="E22" s="8"/>
      <c r="I22" s="8"/>
      <c r="J22" s="8"/>
      <c r="K22" s="456"/>
      <c r="L22" s="8"/>
      <c r="M22" s="8"/>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12.75" thickBot="1">
      <c r="A23" s="34">
        <v>9</v>
      </c>
      <c r="B23" s="8" t="s">
        <v>627</v>
      </c>
      <c r="C23" s="8"/>
      <c r="D23" s="13" t="s">
        <v>628</v>
      </c>
      <c r="E23" s="13"/>
      <c r="I23" s="8"/>
      <c r="J23" s="8"/>
      <c r="K23" s="458">
        <f>K11-K18+K20+K21</f>
        <v>25098546.646013536</v>
      </c>
      <c r="L23" s="21"/>
      <c r="M23" s="8"/>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ht="12.75" thickTop="1">
      <c r="A24" s="34"/>
      <c r="B24" s="8"/>
      <c r="C24" s="8"/>
      <c r="D24" s="13"/>
      <c r="E24" s="13"/>
      <c r="I24" s="8"/>
      <c r="J24" s="8"/>
      <c r="K24" s="455"/>
      <c r="L24" s="8"/>
      <c r="M24" s="8"/>
    </row>
    <row r="25" spans="1:63">
      <c r="A25" s="34"/>
      <c r="B25" s="8"/>
      <c r="C25" s="8"/>
      <c r="D25" s="13"/>
      <c r="E25" s="13"/>
      <c r="I25" s="8"/>
      <c r="J25" s="8"/>
      <c r="K25" s="8"/>
      <c r="L25" s="8"/>
      <c r="M25" s="8"/>
    </row>
    <row r="26" spans="1:63">
      <c r="B26" s="35" t="s">
        <v>629</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c r="A27" s="15" t="s">
        <v>401</v>
      </c>
      <c r="B27" s="36" t="s">
        <v>403</v>
      </c>
      <c r="C27" s="36"/>
      <c r="D27" s="25"/>
      <c r="E27" s="25"/>
      <c r="F27" s="35"/>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c r="A28" s="23">
        <v>10</v>
      </c>
      <c r="B28" s="1" t="s">
        <v>395</v>
      </c>
      <c r="D28" s="1" t="s">
        <v>546</v>
      </c>
      <c r="E28" s="37"/>
      <c r="F28" s="487">
        <f>'Attachment 1'!K94-'Attachment 1'!F94</f>
        <v>24532600.591211509</v>
      </c>
      <c r="G28" s="38"/>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row r="29" spans="1:63">
      <c r="A29" s="39">
        <v>11</v>
      </c>
      <c r="B29" s="1" t="s">
        <v>396</v>
      </c>
      <c r="D29" s="1" t="s">
        <v>248</v>
      </c>
      <c r="F29" s="491">
        <f>'Attachment 1'!F94</f>
        <v>565946.05480203126</v>
      </c>
      <c r="G29" s="38"/>
    </row>
    <row r="30" spans="1:63">
      <c r="A30" s="39">
        <v>12</v>
      </c>
      <c r="B30" s="1" t="s">
        <v>397</v>
      </c>
      <c r="D30" s="20" t="s">
        <v>177</v>
      </c>
      <c r="F30" s="487">
        <f>F28+F29</f>
        <v>25098546.646013539</v>
      </c>
      <c r="G30" s="38"/>
    </row>
    <row r="31" spans="1:63">
      <c r="A31" s="39"/>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c r="B32" s="2" t="s">
        <v>400</v>
      </c>
      <c r="C32" s="2"/>
      <c r="M32" s="40" t="s">
        <v>404</v>
      </c>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c r="A33" s="606" t="s">
        <v>441</v>
      </c>
      <c r="B33" s="606"/>
      <c r="C33" s="606"/>
      <c r="D33" s="606"/>
      <c r="E33" s="606"/>
      <c r="F33" s="606"/>
      <c r="G33" s="606"/>
      <c r="H33" s="606"/>
      <c r="I33" s="606"/>
      <c r="J33" s="606"/>
      <c r="K33" s="606"/>
      <c r="L33" s="606"/>
      <c r="M33" s="606"/>
    </row>
    <row r="34" spans="1:63">
      <c r="A34" s="604" t="s">
        <v>609</v>
      </c>
      <c r="B34" s="604"/>
      <c r="C34" s="604"/>
      <c r="D34" s="604"/>
      <c r="E34" s="604"/>
      <c r="F34" s="604"/>
      <c r="G34" s="604"/>
      <c r="H34" s="604"/>
      <c r="I34" s="604"/>
      <c r="J34" s="604"/>
      <c r="K34" s="604"/>
      <c r="L34" s="604"/>
      <c r="M34" s="604"/>
    </row>
    <row r="35" spans="1:63">
      <c r="A35" s="605" t="s">
        <v>743</v>
      </c>
      <c r="B35" s="606"/>
      <c r="C35" s="606"/>
      <c r="D35" s="606"/>
      <c r="E35" s="606"/>
      <c r="F35" s="606"/>
      <c r="G35" s="606"/>
      <c r="H35" s="606"/>
      <c r="I35" s="606"/>
      <c r="J35" s="606"/>
      <c r="K35" s="606"/>
      <c r="L35" s="606"/>
      <c r="M35" s="606"/>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c r="M36" s="41" t="str">
        <f>$M$5</f>
        <v>For the 12 months ended</v>
      </c>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c r="M37" s="323">
        <f>$M$6</f>
        <v>44926</v>
      </c>
      <c r="O37" s="489"/>
    </row>
    <row r="38" spans="1:63">
      <c r="M38" s="7"/>
      <c r="O38" s="489"/>
    </row>
    <row r="39" spans="1:63">
      <c r="A39" s="10" t="s">
        <v>70</v>
      </c>
      <c r="B39" s="9" t="s">
        <v>386</v>
      </c>
      <c r="C39" s="9"/>
      <c r="D39" s="9" t="s">
        <v>387</v>
      </c>
      <c r="E39" s="9"/>
      <c r="F39" s="9" t="s">
        <v>388</v>
      </c>
      <c r="G39" s="9"/>
      <c r="H39" s="9"/>
      <c r="I39" s="9" t="s">
        <v>389</v>
      </c>
      <c r="J39" s="9"/>
      <c r="K39" s="9" t="s">
        <v>390</v>
      </c>
      <c r="L39" s="9"/>
      <c r="N39" s="4"/>
      <c r="O39" s="490"/>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c r="A40" s="12" t="s">
        <v>379</v>
      </c>
      <c r="B40" s="42" t="s">
        <v>630</v>
      </c>
      <c r="C40" s="42"/>
      <c r="D40" s="14" t="s">
        <v>385</v>
      </c>
      <c r="E40" s="15"/>
      <c r="F40" s="17" t="s">
        <v>405</v>
      </c>
      <c r="G40" s="43"/>
      <c r="H40" s="615" t="s">
        <v>96</v>
      </c>
      <c r="I40" s="615"/>
      <c r="J40" s="43"/>
      <c r="K40" s="17" t="s">
        <v>406</v>
      </c>
      <c r="L40" s="43"/>
      <c r="M40" s="16"/>
      <c r="N40" s="4"/>
      <c r="O40" s="490"/>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c r="A41" s="44"/>
      <c r="B41" s="8" t="s">
        <v>631</v>
      </c>
      <c r="C41" s="8"/>
      <c r="D41" s="45" t="s">
        <v>632</v>
      </c>
      <c r="E41" s="45"/>
      <c r="F41" s="46"/>
      <c r="G41" s="46"/>
      <c r="H41" s="29"/>
      <c r="I41" s="46"/>
      <c r="J41" s="46"/>
      <c r="K41" s="29" t="s">
        <v>407</v>
      </c>
      <c r="L41" s="45"/>
      <c r="M41" s="45"/>
      <c r="O41" s="489"/>
    </row>
    <row r="42" spans="1:63">
      <c r="A42" s="22">
        <v>1</v>
      </c>
      <c r="B42" s="28" t="s">
        <v>633</v>
      </c>
      <c r="C42" s="28"/>
      <c r="D42" s="45" t="s">
        <v>634</v>
      </c>
      <c r="E42" s="45"/>
      <c r="F42" s="47">
        <v>0</v>
      </c>
      <c r="G42" s="45"/>
      <c r="H42" s="29" t="s">
        <v>373</v>
      </c>
      <c r="I42" s="48">
        <v>0</v>
      </c>
      <c r="J42" s="30"/>
      <c r="K42" s="441">
        <f>F42*I42</f>
        <v>0</v>
      </c>
      <c r="L42" s="49"/>
      <c r="M42" s="45"/>
    </row>
    <row r="43" spans="1:63">
      <c r="A43" s="22">
        <v>2</v>
      </c>
      <c r="B43" s="28" t="s">
        <v>635</v>
      </c>
      <c r="C43" s="28"/>
      <c r="D43" s="45" t="s">
        <v>636</v>
      </c>
      <c r="E43" s="45"/>
      <c r="F43" s="435">
        <f>'Attachment 4'!D24</f>
        <v>156327409.15384614</v>
      </c>
      <c r="G43" s="45"/>
      <c r="H43" s="29" t="s">
        <v>393</v>
      </c>
      <c r="I43" s="50">
        <f>K169</f>
        <v>1</v>
      </c>
      <c r="J43" s="30"/>
      <c r="K43" s="441">
        <f>F43*I43</f>
        <v>156327409.15384614</v>
      </c>
      <c r="L43" s="29"/>
      <c r="M43" s="45"/>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c r="A44" s="22">
        <v>3</v>
      </c>
      <c r="B44" s="28" t="s">
        <v>637</v>
      </c>
      <c r="C44" s="28"/>
      <c r="D44" s="45" t="s">
        <v>638</v>
      </c>
      <c r="E44" s="45"/>
      <c r="F44" s="436">
        <v>0</v>
      </c>
      <c r="G44" s="45"/>
      <c r="H44" s="29" t="s">
        <v>373</v>
      </c>
      <c r="I44" s="48">
        <v>0</v>
      </c>
      <c r="J44" s="30"/>
      <c r="K44" s="441">
        <f>F44*I44</f>
        <v>0</v>
      </c>
      <c r="L44" s="29"/>
      <c r="M44" s="45"/>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c r="A45" s="22">
        <v>4</v>
      </c>
      <c r="B45" s="28" t="s">
        <v>639</v>
      </c>
      <c r="C45" s="28"/>
      <c r="D45" s="45" t="s">
        <v>640</v>
      </c>
      <c r="E45" s="45"/>
      <c r="F45" s="437">
        <f>'Attachment 4'!E24</f>
        <v>1311652.3846153845</v>
      </c>
      <c r="G45" s="45"/>
      <c r="H45" s="29" t="s">
        <v>427</v>
      </c>
      <c r="I45" s="50">
        <f>K178</f>
        <v>1</v>
      </c>
      <c r="J45" s="30"/>
      <c r="K45" s="441">
        <f>F45*I45</f>
        <v>1311652.3846153845</v>
      </c>
      <c r="L45" s="29"/>
      <c r="M45" s="45"/>
    </row>
    <row r="46" spans="1:63">
      <c r="A46" s="22">
        <v>5</v>
      </c>
      <c r="B46" s="8" t="s">
        <v>641</v>
      </c>
      <c r="C46" s="8"/>
      <c r="D46" s="45" t="s">
        <v>642</v>
      </c>
      <c r="E46" s="45"/>
      <c r="F46" s="438">
        <f>SUM(F42:F45)</f>
        <v>157639061.53846154</v>
      </c>
      <c r="G46" s="45"/>
      <c r="H46" s="46" t="s">
        <v>408</v>
      </c>
      <c r="I46" s="50">
        <f>IF(K46&gt;0,K46/F46,1)</f>
        <v>1</v>
      </c>
      <c r="J46" s="30"/>
      <c r="K46" s="442">
        <f>SUM(K42:K45)</f>
        <v>157639061.53846154</v>
      </c>
      <c r="L46" s="29"/>
      <c r="M46" s="45"/>
    </row>
    <row r="47" spans="1:63">
      <c r="A47" s="22"/>
      <c r="B47" s="8"/>
      <c r="C47" s="8"/>
      <c r="D47" s="45"/>
      <c r="E47" s="45"/>
      <c r="F47" s="51"/>
      <c r="G47" s="45"/>
      <c r="H47" s="29"/>
      <c r="I47" s="50"/>
      <c r="J47" s="30"/>
      <c r="K47" s="435"/>
      <c r="L47" s="45"/>
      <c r="M47" s="45"/>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c r="A48" s="22">
        <v>6</v>
      </c>
      <c r="B48" s="8" t="s">
        <v>643</v>
      </c>
      <c r="C48" s="8"/>
      <c r="D48" s="45" t="s">
        <v>632</v>
      </c>
      <c r="E48" s="45"/>
      <c r="F48" s="51"/>
      <c r="G48" s="45"/>
      <c r="H48" s="29"/>
      <c r="I48" s="41"/>
      <c r="J48" s="45"/>
      <c r="K48" s="435"/>
      <c r="L48" s="45"/>
      <c r="M48" s="45"/>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ht="24">
      <c r="A49" s="34">
        <v>7</v>
      </c>
      <c r="B49" s="52" t="s">
        <v>375</v>
      </c>
      <c r="C49" s="53"/>
      <c r="D49" s="54" t="s">
        <v>409</v>
      </c>
      <c r="E49" s="54"/>
      <c r="F49" s="47">
        <v>0</v>
      </c>
      <c r="G49" s="45"/>
      <c r="H49" s="29" t="s">
        <v>373</v>
      </c>
      <c r="I49" s="48">
        <v>0</v>
      </c>
      <c r="J49" s="30"/>
      <c r="K49" s="441">
        <f>F49*I49</f>
        <v>0</v>
      </c>
      <c r="L49" s="55"/>
      <c r="M49" s="56"/>
    </row>
    <row r="50" spans="1:63">
      <c r="A50" s="22">
        <v>8</v>
      </c>
      <c r="B50" s="28" t="s">
        <v>635</v>
      </c>
      <c r="C50" s="28"/>
      <c r="D50" s="45" t="s">
        <v>644</v>
      </c>
      <c r="E50" s="45"/>
      <c r="F50" s="435">
        <f>'Attachment 4'!J24</f>
        <v>6808742.538461538</v>
      </c>
      <c r="G50" s="45"/>
      <c r="H50" s="29" t="s">
        <v>393</v>
      </c>
      <c r="I50" s="50">
        <f>K169</f>
        <v>1</v>
      </c>
      <c r="J50" s="30"/>
      <c r="K50" s="441">
        <f>F50*I50</f>
        <v>6808742.538461538</v>
      </c>
      <c r="L50" s="29"/>
      <c r="M50" s="116"/>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c r="A51" s="22">
        <v>9</v>
      </c>
      <c r="B51" s="28" t="s">
        <v>637</v>
      </c>
      <c r="C51" s="28"/>
      <c r="D51" s="45" t="s">
        <v>645</v>
      </c>
      <c r="E51" s="45"/>
      <c r="F51" s="436">
        <v>0</v>
      </c>
      <c r="G51" s="45"/>
      <c r="H51" s="29" t="s">
        <v>373</v>
      </c>
      <c r="I51" s="48">
        <v>0</v>
      </c>
      <c r="J51" s="30"/>
      <c r="K51" s="441">
        <f>F51*I51</f>
        <v>0</v>
      </c>
      <c r="L51" s="29"/>
      <c r="M51" s="45"/>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c r="A52" s="22">
        <v>10</v>
      </c>
      <c r="B52" s="28" t="s">
        <v>639</v>
      </c>
      <c r="C52" s="28"/>
      <c r="D52" s="45" t="s">
        <v>646</v>
      </c>
      <c r="E52" s="45"/>
      <c r="F52" s="435">
        <f>'Attachment 4'!K24</f>
        <v>236713.38461538462</v>
      </c>
      <c r="G52" s="57"/>
      <c r="H52" s="29" t="s">
        <v>427</v>
      </c>
      <c r="I52" s="50">
        <f>K178</f>
        <v>1</v>
      </c>
      <c r="J52" s="30"/>
      <c r="K52" s="441">
        <f>F52*I52</f>
        <v>236713.38461538462</v>
      </c>
      <c r="L52" s="29"/>
      <c r="M52" s="45"/>
    </row>
    <row r="53" spans="1:63">
      <c r="A53" s="22">
        <v>11</v>
      </c>
      <c r="B53" s="8" t="s">
        <v>647</v>
      </c>
      <c r="C53" s="8"/>
      <c r="D53" s="45" t="s">
        <v>648</v>
      </c>
      <c r="E53" s="45"/>
      <c r="F53" s="438">
        <f>SUM(F49:F52)</f>
        <v>7045455.923076923</v>
      </c>
      <c r="G53" s="57"/>
      <c r="H53" s="29"/>
      <c r="I53" s="45"/>
      <c r="J53" s="45"/>
      <c r="K53" s="442">
        <f>SUM(K49:K52)</f>
        <v>7045455.923076923</v>
      </c>
      <c r="L53" s="29"/>
      <c r="M53" s="45"/>
    </row>
    <row r="54" spans="1:63">
      <c r="A54" s="22"/>
      <c r="B54" s="8"/>
      <c r="C54" s="8"/>
      <c r="D54" s="45"/>
      <c r="E54" s="45"/>
      <c r="F54" s="116"/>
      <c r="G54" s="45"/>
      <c r="H54" s="29"/>
      <c r="I54" s="45"/>
      <c r="J54" s="45"/>
      <c r="K54" s="114"/>
      <c r="L54" s="45"/>
      <c r="M54" s="45"/>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c r="A55" s="22">
        <v>12</v>
      </c>
      <c r="B55" s="8" t="s">
        <v>649</v>
      </c>
      <c r="C55" s="8"/>
      <c r="D55" s="45"/>
      <c r="E55" s="45"/>
      <c r="F55" s="116"/>
      <c r="G55" s="45"/>
      <c r="H55" s="29"/>
      <c r="I55" s="45"/>
      <c r="J55" s="45"/>
      <c r="K55" s="114"/>
      <c r="L55" s="45"/>
      <c r="M55" s="45"/>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c r="A56" s="22">
        <v>13</v>
      </c>
      <c r="B56" s="28" t="s">
        <v>633</v>
      </c>
      <c r="C56" s="28"/>
      <c r="D56" s="45" t="s">
        <v>650</v>
      </c>
      <c r="E56" s="45"/>
      <c r="F56" s="439">
        <f>F42-F49</f>
        <v>0</v>
      </c>
      <c r="G56" s="57"/>
      <c r="H56" s="29"/>
      <c r="I56" s="45"/>
      <c r="J56" s="45"/>
      <c r="K56" s="439">
        <f>K42-K49</f>
        <v>0</v>
      </c>
      <c r="L56" s="55"/>
      <c r="M56" s="45"/>
    </row>
    <row r="57" spans="1:63">
      <c r="A57" s="22">
        <v>14</v>
      </c>
      <c r="B57" s="28" t="s">
        <v>635</v>
      </c>
      <c r="C57" s="28"/>
      <c r="D57" s="45" t="s">
        <v>651</v>
      </c>
      <c r="E57" s="45"/>
      <c r="F57" s="439">
        <f>F43-F50</f>
        <v>149518666.61538461</v>
      </c>
      <c r="G57" s="57"/>
      <c r="H57" s="29"/>
      <c r="I57" s="45"/>
      <c r="J57" s="45"/>
      <c r="K57" s="439">
        <f>K43-K50</f>
        <v>149518666.61538461</v>
      </c>
      <c r="L57" s="29"/>
      <c r="M57" s="45"/>
    </row>
    <row r="58" spans="1:63">
      <c r="A58" s="22">
        <v>15</v>
      </c>
      <c r="B58" s="28" t="s">
        <v>637</v>
      </c>
      <c r="C58" s="28"/>
      <c r="D58" s="45" t="s">
        <v>652</v>
      </c>
      <c r="E58" s="45"/>
      <c r="F58" s="439">
        <f>F44-F51</f>
        <v>0</v>
      </c>
      <c r="G58" s="57"/>
      <c r="H58" s="29"/>
      <c r="I58" s="45"/>
      <c r="J58" s="45"/>
      <c r="K58" s="439">
        <f>K44-K51</f>
        <v>0</v>
      </c>
      <c r="L58" s="29"/>
      <c r="M58" s="45"/>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c r="A59" s="22">
        <v>16</v>
      </c>
      <c r="B59" s="28" t="s">
        <v>639</v>
      </c>
      <c r="C59" s="28"/>
      <c r="D59" s="45" t="s">
        <v>653</v>
      </c>
      <c r="E59" s="45"/>
      <c r="F59" s="439">
        <f>F45-F52</f>
        <v>1074939</v>
      </c>
      <c r="G59" s="57"/>
      <c r="H59" s="29"/>
      <c r="I59" s="45"/>
      <c r="J59" s="45"/>
      <c r="K59" s="439">
        <f>K45-K52</f>
        <v>1074939</v>
      </c>
      <c r="L59" s="29"/>
      <c r="M59" s="45"/>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c r="A60" s="22">
        <v>17</v>
      </c>
      <c r="B60" s="8" t="s">
        <v>654</v>
      </c>
      <c r="C60" s="8"/>
      <c r="D60" s="7" t="s">
        <v>655</v>
      </c>
      <c r="E60" s="45"/>
      <c r="F60" s="440">
        <f>SUM(F56:F59)</f>
        <v>150593605.61538461</v>
      </c>
      <c r="G60" s="57"/>
      <c r="H60" s="46" t="s">
        <v>410</v>
      </c>
      <c r="I60" s="30">
        <f>IF(K60&gt;0,K60/F60,1)</f>
        <v>1</v>
      </c>
      <c r="J60" s="30"/>
      <c r="K60" s="443">
        <f>SUM(K56:K59)</f>
        <v>150593605.61538461</v>
      </c>
      <c r="L60" s="29"/>
      <c r="M60" s="45"/>
    </row>
    <row r="61" spans="1:63">
      <c r="A61" s="22"/>
      <c r="B61" s="8"/>
      <c r="C61" s="8"/>
      <c r="D61" s="45"/>
      <c r="E61" s="45"/>
      <c r="F61" s="29"/>
      <c r="G61" s="29"/>
      <c r="H61" s="29"/>
      <c r="I61" s="30"/>
      <c r="J61" s="30"/>
      <c r="K61" s="439"/>
      <c r="L61" s="29"/>
      <c r="M61" s="45"/>
    </row>
    <row r="62" spans="1:63">
      <c r="A62" s="22">
        <v>18</v>
      </c>
      <c r="B62" s="8" t="s">
        <v>656</v>
      </c>
      <c r="C62" s="8"/>
      <c r="D62" s="45"/>
      <c r="E62" s="45"/>
      <c r="F62" s="45"/>
      <c r="G62" s="45"/>
      <c r="H62" s="29"/>
      <c r="I62" s="45"/>
      <c r="J62" s="45"/>
      <c r="K62" s="439"/>
      <c r="L62" s="45"/>
      <c r="M62" s="45"/>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c r="A63" s="22">
        <v>19</v>
      </c>
      <c r="B63" s="305" t="s">
        <v>786</v>
      </c>
      <c r="C63" s="70"/>
      <c r="D63" s="69" t="s">
        <v>157</v>
      </c>
      <c r="E63" s="45"/>
      <c r="F63" s="113">
        <v>0</v>
      </c>
      <c r="G63" s="57"/>
      <c r="H63" s="59" t="s">
        <v>373</v>
      </c>
      <c r="I63" s="48">
        <v>0</v>
      </c>
      <c r="J63" s="58"/>
      <c r="K63" s="114">
        <f t="shared" ref="K63:K71" si="0">F63*I63</f>
        <v>0</v>
      </c>
      <c r="L63" s="115"/>
      <c r="M63" s="116"/>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c r="A64" s="22">
        <v>20</v>
      </c>
      <c r="B64" s="305" t="s">
        <v>787</v>
      </c>
      <c r="C64" s="70"/>
      <c r="D64" s="69" t="s">
        <v>157</v>
      </c>
      <c r="E64" s="45"/>
      <c r="F64" s="113">
        <f>'WP1 - ADIT'!G40</f>
        <v>-5668149.6245173756</v>
      </c>
      <c r="G64" s="57"/>
      <c r="H64" s="29" t="s">
        <v>411</v>
      </c>
      <c r="I64" s="30">
        <f>I60</f>
        <v>1</v>
      </c>
      <c r="J64" s="30"/>
      <c r="K64" s="114">
        <f t="shared" si="0"/>
        <v>-5668149.6245173756</v>
      </c>
      <c r="L64" s="55"/>
      <c r="M64" s="45"/>
    </row>
    <row r="65" spans="1:63">
      <c r="A65" s="22">
        <v>21</v>
      </c>
      <c r="B65" s="305" t="s">
        <v>788</v>
      </c>
      <c r="C65" s="70"/>
      <c r="D65" s="69" t="s">
        <v>157</v>
      </c>
      <c r="E65" s="45"/>
      <c r="F65" s="113">
        <f>'WP1 - ADIT'!G82</f>
        <v>-20814.901468205557</v>
      </c>
      <c r="G65" s="57"/>
      <c r="H65" s="29" t="s">
        <v>411</v>
      </c>
      <c r="I65" s="30">
        <f>I60</f>
        <v>1</v>
      </c>
      <c r="J65" s="30"/>
      <c r="K65" s="114">
        <f t="shared" si="0"/>
        <v>-20814.901468205557</v>
      </c>
      <c r="L65" s="55"/>
      <c r="M65" s="45"/>
    </row>
    <row r="66" spans="1:63">
      <c r="A66" s="22">
        <v>22</v>
      </c>
      <c r="B66" s="305" t="s">
        <v>789</v>
      </c>
      <c r="C66" s="70"/>
      <c r="D66" s="69" t="s">
        <v>157</v>
      </c>
      <c r="E66" s="45"/>
      <c r="F66" s="113">
        <f>'WP1 - ADIT'!G103</f>
        <v>282621.5633475564</v>
      </c>
      <c r="G66" s="57"/>
      <c r="H66" s="29" t="s">
        <v>411</v>
      </c>
      <c r="I66" s="30">
        <f>I60</f>
        <v>1</v>
      </c>
      <c r="J66" s="30"/>
      <c r="K66" s="114">
        <f t="shared" si="0"/>
        <v>282621.5633475564</v>
      </c>
      <c r="L66" s="55"/>
      <c r="M66" s="45"/>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c r="A67" s="22">
        <v>23</v>
      </c>
      <c r="B67" s="305" t="s">
        <v>790</v>
      </c>
      <c r="C67" s="70"/>
      <c r="D67" s="69" t="s">
        <v>785</v>
      </c>
      <c r="E67" s="45"/>
      <c r="F67" s="113">
        <v>0</v>
      </c>
      <c r="G67" s="57"/>
      <c r="H67" s="29" t="s">
        <v>411</v>
      </c>
      <c r="I67" s="30">
        <f>I60</f>
        <v>1</v>
      </c>
      <c r="J67" s="30"/>
      <c r="K67" s="114">
        <f t="shared" si="0"/>
        <v>0</v>
      </c>
      <c r="L67" s="55"/>
      <c r="M67" s="45"/>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c r="A68" s="22">
        <v>24</v>
      </c>
      <c r="B68" s="70" t="s">
        <v>791</v>
      </c>
      <c r="C68" s="70"/>
      <c r="D68" s="69" t="s">
        <v>792</v>
      </c>
      <c r="E68" s="45"/>
      <c r="F68" s="439">
        <f>'Attachment 4'!K74</f>
        <v>0</v>
      </c>
      <c r="G68" s="57"/>
      <c r="H68" s="29" t="s">
        <v>398</v>
      </c>
      <c r="I68" s="60">
        <v>1</v>
      </c>
      <c r="J68" s="30"/>
      <c r="K68" s="114">
        <f t="shared" si="0"/>
        <v>0</v>
      </c>
      <c r="L68" s="55"/>
      <c r="M68" s="45"/>
    </row>
    <row r="69" spans="1:63">
      <c r="A69" s="22">
        <v>25</v>
      </c>
      <c r="B69" s="70" t="s">
        <v>119</v>
      </c>
      <c r="C69" s="70"/>
      <c r="D69" s="69" t="s">
        <v>793</v>
      </c>
      <c r="E69" s="45"/>
      <c r="F69" s="439">
        <f>'Attachment 4'!F24</f>
        <v>0</v>
      </c>
      <c r="G69" s="57"/>
      <c r="H69" s="29" t="s">
        <v>398</v>
      </c>
      <c r="I69" s="60">
        <v>1</v>
      </c>
      <c r="J69" s="30"/>
      <c r="K69" s="114">
        <f t="shared" si="0"/>
        <v>0</v>
      </c>
      <c r="L69" s="55"/>
      <c r="M69" s="45"/>
    </row>
    <row r="70" spans="1:63">
      <c r="A70" s="22">
        <v>26</v>
      </c>
      <c r="B70" s="70" t="s">
        <v>154</v>
      </c>
      <c r="C70" s="70"/>
      <c r="D70" s="69" t="s">
        <v>794</v>
      </c>
      <c r="E70" s="45"/>
      <c r="F70" s="439">
        <f>'Attachment 4'!D43</f>
        <v>1697829.8000000003</v>
      </c>
      <c r="G70" s="57"/>
      <c r="H70" s="29" t="s">
        <v>398</v>
      </c>
      <c r="I70" s="60">
        <v>1</v>
      </c>
      <c r="J70" s="30"/>
      <c r="K70" s="114">
        <f t="shared" si="0"/>
        <v>1697829.8000000003</v>
      </c>
      <c r="L70" s="29"/>
      <c r="M70" s="45"/>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c r="A71" s="22">
        <v>27</v>
      </c>
      <c r="B71" s="70" t="s">
        <v>155</v>
      </c>
      <c r="C71" s="70"/>
      <c r="D71" s="69" t="s">
        <v>795</v>
      </c>
      <c r="E71" s="45"/>
      <c r="F71" s="439">
        <f>'Attachment 4'!E43</f>
        <v>0</v>
      </c>
      <c r="G71" s="57"/>
      <c r="H71" s="29" t="s">
        <v>398</v>
      </c>
      <c r="I71" s="60">
        <v>1</v>
      </c>
      <c r="J71" s="30"/>
      <c r="K71" s="114">
        <f t="shared" si="0"/>
        <v>0</v>
      </c>
      <c r="L71" s="29"/>
      <c r="M71" s="45"/>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c r="A72" s="22">
        <v>28</v>
      </c>
      <c r="B72" s="2" t="s">
        <v>796</v>
      </c>
      <c r="C72" s="2"/>
      <c r="D72" s="69" t="s">
        <v>797</v>
      </c>
      <c r="E72" s="45"/>
      <c r="F72" s="446">
        <f>SUM(F63:F71)</f>
        <v>-3708513.162638024</v>
      </c>
      <c r="G72" s="57"/>
      <c r="H72" s="29"/>
      <c r="I72" s="45"/>
      <c r="J72" s="45"/>
      <c r="K72" s="443">
        <f>SUM(K63:K71)</f>
        <v>-3708513.162638024</v>
      </c>
      <c r="L72" s="29"/>
      <c r="M72" s="45"/>
    </row>
    <row r="73" spans="1:63">
      <c r="A73" s="22"/>
      <c r="B73" s="8"/>
      <c r="C73" s="8"/>
      <c r="D73" s="45"/>
      <c r="E73" s="45"/>
      <c r="F73" s="439"/>
      <c r="G73" s="57"/>
      <c r="H73" s="29"/>
      <c r="I73" s="45"/>
      <c r="J73" s="45"/>
      <c r="K73" s="114"/>
      <c r="L73" s="29"/>
      <c r="M73" s="45"/>
    </row>
    <row r="74" spans="1:63">
      <c r="A74" s="22">
        <v>29</v>
      </c>
      <c r="B74" s="8" t="s">
        <v>657</v>
      </c>
      <c r="C74" s="8"/>
      <c r="D74" s="45" t="s">
        <v>658</v>
      </c>
      <c r="E74" s="45"/>
      <c r="F74" s="439">
        <f>'Attachment 4'!G24</f>
        <v>0</v>
      </c>
      <c r="G74" s="57"/>
      <c r="H74" s="29" t="s">
        <v>393</v>
      </c>
      <c r="I74" s="30">
        <f>K169</f>
        <v>1</v>
      </c>
      <c r="J74" s="30"/>
      <c r="K74" s="114">
        <f>F74*I74</f>
        <v>0</v>
      </c>
      <c r="L74" s="29"/>
      <c r="M74" s="45"/>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c r="A75" s="22"/>
      <c r="B75" s="8"/>
      <c r="C75" s="8"/>
      <c r="D75" s="45"/>
      <c r="E75" s="45"/>
      <c r="F75" s="447"/>
      <c r="G75" s="29"/>
      <c r="H75" s="29"/>
      <c r="I75" s="45"/>
      <c r="J75" s="45"/>
      <c r="K75" s="114"/>
      <c r="L75" s="29"/>
      <c r="M75" s="45"/>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c r="A76" s="22">
        <v>30</v>
      </c>
      <c r="B76" s="8" t="s">
        <v>659</v>
      </c>
      <c r="C76" s="8"/>
      <c r="D76" s="45" t="s">
        <v>660</v>
      </c>
      <c r="E76" s="45"/>
      <c r="F76" s="447"/>
      <c r="G76" s="29"/>
      <c r="H76" s="29"/>
      <c r="I76" s="29"/>
      <c r="J76" s="29"/>
      <c r="K76" s="114"/>
      <c r="L76" s="55"/>
      <c r="M76" s="45"/>
    </row>
    <row r="77" spans="1:63">
      <c r="A77" s="22">
        <v>31</v>
      </c>
      <c r="B77" s="28" t="s">
        <v>661</v>
      </c>
      <c r="C77" s="28"/>
      <c r="D77" s="7" t="s">
        <v>662</v>
      </c>
      <c r="E77" s="45"/>
      <c r="F77" s="439">
        <f>(1/8)*(F110-F107)</f>
        <v>716353.23375430296</v>
      </c>
      <c r="G77" s="57"/>
      <c r="H77" s="29"/>
      <c r="I77" s="45"/>
      <c r="J77" s="45"/>
      <c r="K77" s="439">
        <f>(1/8)*(K110-K107)</f>
        <v>716353.23375430296</v>
      </c>
      <c r="L77" s="29"/>
      <c r="M77" s="45"/>
    </row>
    <row r="78" spans="1:63">
      <c r="A78" s="22">
        <v>32</v>
      </c>
      <c r="B78" s="28" t="s">
        <v>663</v>
      </c>
      <c r="C78" s="28"/>
      <c r="D78" s="45" t="s">
        <v>664</v>
      </c>
      <c r="E78" s="45"/>
      <c r="F78" s="439">
        <f>'Attachment 4'!H24</f>
        <v>717708</v>
      </c>
      <c r="G78" s="57"/>
      <c r="H78" s="29" t="s">
        <v>393</v>
      </c>
      <c r="I78" s="30">
        <f>K169</f>
        <v>1</v>
      </c>
      <c r="J78" s="30"/>
      <c r="K78" s="114">
        <f>F78*I78</f>
        <v>717708</v>
      </c>
      <c r="L78" s="29"/>
      <c r="M78" s="45"/>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c r="A79" s="22">
        <v>33</v>
      </c>
      <c r="B79" s="28" t="s">
        <v>665</v>
      </c>
      <c r="C79" s="28"/>
      <c r="D79" s="45" t="s">
        <v>666</v>
      </c>
      <c r="E79" s="45"/>
      <c r="F79" s="439">
        <f>'Attachment 4'!I24</f>
        <v>599120.84615384613</v>
      </c>
      <c r="G79" s="57"/>
      <c r="H79" s="29" t="s">
        <v>412</v>
      </c>
      <c r="I79" s="30">
        <f>I46</f>
        <v>1</v>
      </c>
      <c r="J79" s="30"/>
      <c r="K79" s="114">
        <f>F79*I79</f>
        <v>599120.84615384613</v>
      </c>
      <c r="L79" s="29"/>
      <c r="M79" s="45"/>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c r="A80" s="22">
        <v>34</v>
      </c>
      <c r="B80" s="8" t="s">
        <v>667</v>
      </c>
      <c r="C80" s="8"/>
      <c r="D80" s="45" t="s">
        <v>668</v>
      </c>
      <c r="E80" s="45"/>
      <c r="F80" s="446">
        <f>SUM(F77:F79)</f>
        <v>2033182.0799081489</v>
      </c>
      <c r="G80" s="57"/>
      <c r="H80" s="7"/>
      <c r="I80" s="45"/>
      <c r="J80" s="45"/>
      <c r="K80" s="443">
        <f>SUM(K77:K79)</f>
        <v>2033182.0799081489</v>
      </c>
      <c r="L80" s="45"/>
      <c r="M80" s="45"/>
    </row>
    <row r="81" spans="1:63">
      <c r="A81" s="22"/>
      <c r="B81" s="8"/>
      <c r="C81" s="8"/>
      <c r="D81" s="45"/>
      <c r="E81" s="45"/>
      <c r="F81" s="448"/>
      <c r="G81" s="45"/>
      <c r="H81" s="45"/>
      <c r="I81" s="45"/>
      <c r="J81" s="45"/>
      <c r="K81" s="444"/>
      <c r="L81" s="29"/>
      <c r="M81" s="45"/>
    </row>
    <row r="82" spans="1:63" ht="12.75" thickBot="1">
      <c r="A82" s="22">
        <v>35</v>
      </c>
      <c r="B82" s="8" t="s">
        <v>669</v>
      </c>
      <c r="C82" s="8"/>
      <c r="D82" s="45" t="s">
        <v>670</v>
      </c>
      <c r="E82" s="45"/>
      <c r="F82" s="449">
        <f>F60+F72+F74+F80</f>
        <v>148918274.53265473</v>
      </c>
      <c r="G82" s="57"/>
      <c r="H82" s="45"/>
      <c r="I82" s="45"/>
      <c r="J82" s="45"/>
      <c r="K82" s="445">
        <f>K60+K72+K74+K80</f>
        <v>148918274.53265473</v>
      </c>
      <c r="L82" s="45"/>
      <c r="M82" s="45"/>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12.75" thickTop="1">
      <c r="C83" s="2"/>
    </row>
    <row r="84" spans="1:63">
      <c r="B84" s="2" t="s">
        <v>400</v>
      </c>
      <c r="C84" s="2"/>
      <c r="M84" s="41" t="s">
        <v>413</v>
      </c>
    </row>
    <row r="85" spans="1:63">
      <c r="A85" s="606" t="s">
        <v>441</v>
      </c>
      <c r="B85" s="606"/>
      <c r="C85" s="606"/>
      <c r="D85" s="606"/>
      <c r="E85" s="606"/>
      <c r="F85" s="606"/>
      <c r="G85" s="606"/>
      <c r="H85" s="606"/>
      <c r="I85" s="606"/>
      <c r="J85" s="606"/>
      <c r="K85" s="606"/>
      <c r="L85" s="606"/>
      <c r="M85" s="606"/>
    </row>
    <row r="86" spans="1:63">
      <c r="A86" s="604" t="s">
        <v>609</v>
      </c>
      <c r="B86" s="604"/>
      <c r="C86" s="604"/>
      <c r="D86" s="604"/>
      <c r="E86" s="604"/>
      <c r="F86" s="604"/>
      <c r="G86" s="604"/>
      <c r="H86" s="604"/>
      <c r="I86" s="604"/>
      <c r="J86" s="604"/>
      <c r="K86" s="604"/>
      <c r="L86" s="604"/>
      <c r="M86" s="60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c r="A87" s="605" t="s">
        <v>743</v>
      </c>
      <c r="B87" s="606"/>
      <c r="C87" s="606"/>
      <c r="D87" s="606"/>
      <c r="E87" s="606"/>
      <c r="F87" s="606"/>
      <c r="G87" s="606"/>
      <c r="H87" s="606"/>
      <c r="I87" s="606"/>
      <c r="J87" s="606"/>
      <c r="K87" s="606"/>
      <c r="L87" s="606"/>
      <c r="M87" s="606"/>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c r="H88" s="46"/>
      <c r="I88" s="46"/>
      <c r="J88" s="46"/>
      <c r="K88" s="46"/>
      <c r="L88" s="46"/>
      <c r="M88" s="41" t="str">
        <f>$M$5</f>
        <v>For the 12 months ended</v>
      </c>
    </row>
    <row r="89" spans="1:63">
      <c r="H89" s="46"/>
      <c r="I89" s="46"/>
      <c r="J89" s="46"/>
      <c r="K89" s="46"/>
      <c r="L89" s="46"/>
      <c r="M89" s="323">
        <f>$M$6</f>
        <v>44926</v>
      </c>
    </row>
    <row r="90" spans="1:63">
      <c r="H90" s="46"/>
      <c r="I90" s="46"/>
      <c r="J90" s="46"/>
      <c r="K90" s="46"/>
      <c r="L90" s="46"/>
      <c r="M90" s="45"/>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c r="A91" s="10" t="s">
        <v>70</v>
      </c>
      <c r="B91" s="9" t="s">
        <v>386</v>
      </c>
      <c r="C91" s="9"/>
      <c r="D91" s="9" t="s">
        <v>387</v>
      </c>
      <c r="E91" s="9"/>
      <c r="F91" s="9" t="s">
        <v>388</v>
      </c>
      <c r="G91" s="9"/>
      <c r="H91" s="61"/>
      <c r="I91" s="61" t="s">
        <v>389</v>
      </c>
      <c r="J91" s="61"/>
      <c r="K91" s="61" t="s">
        <v>390</v>
      </c>
      <c r="L91" s="61"/>
      <c r="M91" s="46"/>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c r="A92" s="12" t="s">
        <v>379</v>
      </c>
      <c r="B92" s="42"/>
      <c r="C92" s="42"/>
      <c r="D92" s="14" t="s">
        <v>385</v>
      </c>
      <c r="E92" s="15"/>
      <c r="F92" s="17" t="s">
        <v>405</v>
      </c>
      <c r="G92" s="43"/>
      <c r="H92" s="607" t="s">
        <v>96</v>
      </c>
      <c r="I92" s="607"/>
      <c r="J92" s="62"/>
      <c r="K92" s="63" t="s">
        <v>406</v>
      </c>
      <c r="L92" s="62"/>
      <c r="M92" s="64"/>
    </row>
    <row r="93" spans="1:63">
      <c r="A93" s="20"/>
      <c r="B93" s="42" t="s">
        <v>414</v>
      </c>
      <c r="C93" s="42"/>
      <c r="D93" s="15"/>
      <c r="E93" s="15"/>
      <c r="F93" s="65"/>
      <c r="G93" s="65"/>
      <c r="H93" s="62"/>
      <c r="I93" s="62"/>
      <c r="J93" s="62"/>
      <c r="K93" s="66" t="s">
        <v>407</v>
      </c>
      <c r="L93" s="66"/>
      <c r="M93" s="64"/>
    </row>
    <row r="94" spans="1:63">
      <c r="A94" s="39">
        <v>1</v>
      </c>
      <c r="B94" s="28" t="s">
        <v>406</v>
      </c>
      <c r="C94" s="28"/>
      <c r="D94" s="46" t="s">
        <v>415</v>
      </c>
      <c r="E94" s="46"/>
      <c r="F94" s="452">
        <v>4414166.4216117272</v>
      </c>
      <c r="G94" s="45"/>
      <c r="H94" s="29" t="s">
        <v>393</v>
      </c>
      <c r="I94" s="30">
        <f>K169</f>
        <v>1</v>
      </c>
      <c r="J94" s="30"/>
      <c r="K94" s="116">
        <f t="shared" ref="K94:K101" si="1">F94*I94</f>
        <v>4414166.4216117272</v>
      </c>
      <c r="L94" s="68"/>
      <c r="M94" s="46"/>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c r="A95" s="22">
        <v>2</v>
      </c>
      <c r="B95" s="28" t="s">
        <v>671</v>
      </c>
      <c r="C95" s="28"/>
      <c r="D95" s="45" t="s">
        <v>672</v>
      </c>
      <c r="E95" s="45"/>
      <c r="F95" s="452">
        <v>710936.61693950172</v>
      </c>
      <c r="G95" s="45"/>
      <c r="H95" s="29" t="s">
        <v>393</v>
      </c>
      <c r="I95" s="30">
        <f>K169</f>
        <v>1</v>
      </c>
      <c r="J95" s="30"/>
      <c r="K95" s="116">
        <f t="shared" si="1"/>
        <v>710936.61693950172</v>
      </c>
      <c r="L95" s="68"/>
      <c r="M95" s="4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c r="A96" s="22">
        <v>3</v>
      </c>
      <c r="B96" s="28" t="s">
        <v>673</v>
      </c>
      <c r="C96" s="28"/>
      <c r="D96" s="45" t="s">
        <v>674</v>
      </c>
      <c r="E96" s="45"/>
      <c r="F96" s="452">
        <v>0</v>
      </c>
      <c r="G96" s="45"/>
      <c r="H96" s="29" t="s">
        <v>393</v>
      </c>
      <c r="I96" s="30">
        <f>K169</f>
        <v>1</v>
      </c>
      <c r="J96" s="30"/>
      <c r="K96" s="116">
        <f t="shared" si="1"/>
        <v>0</v>
      </c>
      <c r="L96" s="68"/>
      <c r="M96" s="45"/>
    </row>
    <row r="97" spans="1:63">
      <c r="A97" s="22">
        <v>4</v>
      </c>
      <c r="B97" s="8" t="s">
        <v>675</v>
      </c>
      <c r="C97" s="8"/>
      <c r="D97" s="45" t="s">
        <v>676</v>
      </c>
      <c r="E97" s="45"/>
      <c r="F97" s="452">
        <v>1934052.008422696</v>
      </c>
      <c r="G97" s="45"/>
      <c r="H97" s="29" t="s">
        <v>427</v>
      </c>
      <c r="I97" s="30">
        <f>K178</f>
        <v>1</v>
      </c>
      <c r="J97" s="30"/>
      <c r="K97" s="116">
        <f t="shared" si="1"/>
        <v>1934052.008422696</v>
      </c>
      <c r="L97" s="68"/>
      <c r="M97" s="45"/>
    </row>
    <row r="98" spans="1:63">
      <c r="A98" s="22">
        <v>5</v>
      </c>
      <c r="B98" s="28" t="s">
        <v>677</v>
      </c>
      <c r="C98" s="28"/>
      <c r="D98" s="69" t="s">
        <v>552</v>
      </c>
      <c r="E98" s="45"/>
      <c r="F98" s="452">
        <v>0</v>
      </c>
      <c r="G98" s="45"/>
      <c r="H98" s="29" t="s">
        <v>427</v>
      </c>
      <c r="I98" s="30">
        <f>K178</f>
        <v>1</v>
      </c>
      <c r="J98" s="30"/>
      <c r="K98" s="116">
        <f t="shared" si="1"/>
        <v>0</v>
      </c>
      <c r="L98" s="68"/>
      <c r="M98" s="45"/>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c r="A99" s="22">
        <v>6</v>
      </c>
      <c r="B99" s="70" t="s">
        <v>607</v>
      </c>
      <c r="C99" s="28"/>
      <c r="D99" s="45" t="s">
        <v>678</v>
      </c>
      <c r="E99" s="45"/>
      <c r="F99" s="452">
        <v>0</v>
      </c>
      <c r="G99" s="45"/>
      <c r="H99" s="29" t="s">
        <v>427</v>
      </c>
      <c r="I99" s="30">
        <f>K178</f>
        <v>1</v>
      </c>
      <c r="J99" s="30"/>
      <c r="K99" s="116">
        <f t="shared" si="1"/>
        <v>0</v>
      </c>
      <c r="L99" s="68"/>
      <c r="M99" s="45"/>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1:63">
      <c r="A100" s="22">
        <v>7</v>
      </c>
      <c r="B100" s="28" t="s">
        <v>679</v>
      </c>
      <c r="C100" s="28"/>
      <c r="D100" s="45" t="s">
        <v>678</v>
      </c>
      <c r="E100" s="45"/>
      <c r="F100" s="452">
        <v>6000</v>
      </c>
      <c r="G100" s="45"/>
      <c r="H100" s="29" t="s">
        <v>427</v>
      </c>
      <c r="I100" s="30">
        <f>K178</f>
        <v>1</v>
      </c>
      <c r="J100" s="30"/>
      <c r="K100" s="116">
        <f t="shared" si="1"/>
        <v>6000</v>
      </c>
      <c r="L100" s="68"/>
      <c r="M100" s="45"/>
    </row>
    <row r="101" spans="1:63">
      <c r="A101" s="22">
        <v>8</v>
      </c>
      <c r="B101" s="28" t="s">
        <v>680</v>
      </c>
      <c r="C101" s="28"/>
      <c r="D101" s="7" t="s">
        <v>678</v>
      </c>
      <c r="E101" s="45"/>
      <c r="F101" s="452">
        <v>0</v>
      </c>
      <c r="G101" s="45"/>
      <c r="H101" s="29" t="s">
        <v>427</v>
      </c>
      <c r="I101" s="30">
        <f>K178</f>
        <v>1</v>
      </c>
      <c r="J101" s="30"/>
      <c r="K101" s="116">
        <f t="shared" si="1"/>
        <v>0</v>
      </c>
      <c r="L101" s="68"/>
      <c r="M101" s="45"/>
    </row>
    <row r="102" spans="1:63">
      <c r="A102" s="71">
        <v>9</v>
      </c>
      <c r="B102" s="8"/>
      <c r="C102" s="8"/>
      <c r="D102" s="45"/>
      <c r="E102" s="45"/>
      <c r="F102" s="118"/>
      <c r="G102" s="45"/>
      <c r="H102" s="29"/>
      <c r="I102" s="45"/>
      <c r="J102" s="45"/>
      <c r="K102" s="116"/>
      <c r="L102" s="73"/>
      <c r="M102" s="45"/>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row>
    <row r="103" spans="1:63">
      <c r="A103" s="22">
        <v>10</v>
      </c>
      <c r="B103" s="28" t="s">
        <v>681</v>
      </c>
      <c r="C103" s="28"/>
      <c r="D103" s="45" t="s">
        <v>682</v>
      </c>
      <c r="E103" s="45"/>
      <c r="F103" s="452">
        <v>6000</v>
      </c>
      <c r="G103" s="45"/>
      <c r="H103" s="29" t="s">
        <v>393</v>
      </c>
      <c r="I103" s="30">
        <f>K169</f>
        <v>1</v>
      </c>
      <c r="J103" s="30"/>
      <c r="K103" s="116">
        <f>F103*I103</f>
        <v>6000</v>
      </c>
      <c r="L103" s="68"/>
      <c r="M103" s="45"/>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row>
    <row r="104" spans="1:63">
      <c r="A104" s="71">
        <v>11</v>
      </c>
      <c r="B104" s="8"/>
      <c r="C104" s="8"/>
      <c r="D104" s="45"/>
      <c r="E104" s="45"/>
      <c r="F104" s="118"/>
      <c r="G104" s="45"/>
      <c r="H104" s="29"/>
      <c r="I104" s="45"/>
      <c r="J104" s="45"/>
      <c r="K104" s="116"/>
      <c r="L104" s="73"/>
      <c r="M104" s="45"/>
    </row>
    <row r="105" spans="1:63">
      <c r="A105" s="22">
        <v>12</v>
      </c>
      <c r="B105" s="28" t="s">
        <v>683</v>
      </c>
      <c r="C105" s="28"/>
      <c r="D105" s="45" t="s">
        <v>684</v>
      </c>
      <c r="E105" s="45"/>
      <c r="F105" s="452">
        <v>0</v>
      </c>
      <c r="G105" s="45"/>
      <c r="H105" s="29" t="s">
        <v>398</v>
      </c>
      <c r="I105" s="60">
        <v>1</v>
      </c>
      <c r="J105" s="30"/>
      <c r="K105" s="116">
        <f>F105*I105</f>
        <v>0</v>
      </c>
      <c r="L105" s="68"/>
      <c r="M105" s="45"/>
    </row>
    <row r="106" spans="1:63">
      <c r="A106" s="22">
        <v>13</v>
      </c>
      <c r="B106" s="8" t="s">
        <v>685</v>
      </c>
      <c r="C106" s="8"/>
      <c r="D106" s="45"/>
      <c r="E106" s="45"/>
      <c r="F106" s="118"/>
      <c r="G106" s="45"/>
      <c r="H106" s="29"/>
      <c r="I106" s="45"/>
      <c r="J106" s="45"/>
      <c r="K106" s="116"/>
      <c r="L106" s="45"/>
      <c r="M106" s="45"/>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c r="A107" s="22">
        <v>14</v>
      </c>
      <c r="B107" s="28" t="s">
        <v>686</v>
      </c>
      <c r="C107" s="28"/>
      <c r="D107" s="45" t="s">
        <v>687</v>
      </c>
      <c r="E107" s="45"/>
      <c r="F107" s="452">
        <v>617392.55999999994</v>
      </c>
      <c r="G107" s="45"/>
      <c r="H107" s="29" t="s">
        <v>398</v>
      </c>
      <c r="I107" s="60">
        <v>1</v>
      </c>
      <c r="J107" s="30"/>
      <c r="K107" s="116">
        <f>F107*I107</f>
        <v>617392.55999999994</v>
      </c>
      <c r="L107" s="68"/>
      <c r="M107" s="45"/>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c r="A108" s="22">
        <v>15</v>
      </c>
      <c r="B108" s="74" t="s">
        <v>688</v>
      </c>
      <c r="C108" s="28"/>
      <c r="D108" s="7" t="s">
        <v>541</v>
      </c>
      <c r="E108" s="45"/>
      <c r="F108" s="452">
        <f>F95-F107</f>
        <v>93544.056939501781</v>
      </c>
      <c r="G108" s="45"/>
      <c r="H108" s="29" t="s">
        <v>393</v>
      </c>
      <c r="I108" s="30">
        <f>K169</f>
        <v>1</v>
      </c>
      <c r="J108" s="30"/>
      <c r="K108" s="116">
        <f>F108*I108</f>
        <v>93544.056939501781</v>
      </c>
      <c r="L108" s="68"/>
      <c r="M108" s="45"/>
    </row>
    <row r="109" spans="1:63">
      <c r="A109" s="22">
        <v>16</v>
      </c>
      <c r="B109" s="8" t="s">
        <v>689</v>
      </c>
      <c r="C109" s="8"/>
      <c r="D109" s="69" t="s">
        <v>249</v>
      </c>
      <c r="E109" s="69"/>
      <c r="F109" s="459">
        <f>SUM(F107:F108)</f>
        <v>710936.61693950172</v>
      </c>
      <c r="G109" s="72"/>
      <c r="H109" s="29"/>
      <c r="I109" s="45"/>
      <c r="J109" s="45"/>
      <c r="K109" s="116">
        <f>SUM(K107:K108)</f>
        <v>710936.61693950172</v>
      </c>
      <c r="L109" s="68"/>
      <c r="M109" s="45"/>
    </row>
    <row r="110" spans="1:63">
      <c r="A110" s="22">
        <v>17</v>
      </c>
      <c r="B110" s="8" t="s">
        <v>690</v>
      </c>
      <c r="C110" s="8"/>
      <c r="D110" s="608" t="s">
        <v>604</v>
      </c>
      <c r="E110" s="45"/>
      <c r="F110" s="116">
        <f>F94+F97+F103+F104+F105+F109-F95-F96-SUM(F98:F102)</f>
        <v>6348218.4300344232</v>
      </c>
      <c r="G110" s="68"/>
      <c r="H110" s="29"/>
      <c r="I110" s="45"/>
      <c r="J110" s="45"/>
      <c r="K110" s="460">
        <f>K94+K97+K103+K104+K105+K109-K95-K96-SUM(K98:K102)</f>
        <v>6348218.4300344232</v>
      </c>
      <c r="L110" s="68"/>
      <c r="M110" s="45"/>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c r="A111" s="22"/>
      <c r="B111" s="8"/>
      <c r="C111" s="8"/>
      <c r="D111" s="612"/>
      <c r="E111" s="45"/>
      <c r="F111" s="72"/>
      <c r="G111" s="45"/>
      <c r="H111" s="29"/>
      <c r="I111" s="45"/>
      <c r="J111" s="45"/>
      <c r="K111" s="116"/>
      <c r="L111" s="68"/>
      <c r="M111" s="45"/>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c r="A112" s="22">
        <v>18</v>
      </c>
      <c r="B112" s="8" t="s">
        <v>691</v>
      </c>
      <c r="C112" s="8"/>
      <c r="D112" s="45" t="s">
        <v>632</v>
      </c>
      <c r="E112" s="45"/>
      <c r="F112" s="8"/>
      <c r="G112" s="45"/>
      <c r="H112" s="29"/>
      <c r="I112" s="45"/>
      <c r="J112" s="45"/>
      <c r="K112" s="116"/>
      <c r="L112" s="45"/>
      <c r="M112" s="45"/>
    </row>
    <row r="113" spans="1:63">
      <c r="A113" s="22">
        <v>19</v>
      </c>
      <c r="B113" s="28" t="s">
        <v>635</v>
      </c>
      <c r="C113" s="28"/>
      <c r="D113" s="45" t="s">
        <v>692</v>
      </c>
      <c r="E113" s="45"/>
      <c r="F113" s="452">
        <f>'Attachment 4'!J23-'Attachment 4'!J11</f>
        <v>3327216</v>
      </c>
      <c r="G113" s="45"/>
      <c r="H113" s="29" t="s">
        <v>393</v>
      </c>
      <c r="I113" s="30">
        <f>K169</f>
        <v>1</v>
      </c>
      <c r="J113" s="30"/>
      <c r="K113" s="116">
        <f>F113*I113</f>
        <v>3327216</v>
      </c>
      <c r="L113" s="68"/>
      <c r="M113" s="45"/>
    </row>
    <row r="114" spans="1:63">
      <c r="A114" s="22">
        <v>20</v>
      </c>
      <c r="B114" s="28" t="s">
        <v>639</v>
      </c>
      <c r="C114" s="28"/>
      <c r="D114" s="45" t="s">
        <v>693</v>
      </c>
      <c r="E114" s="45"/>
      <c r="F114" s="452">
        <f>'Attachment 4'!K23-'Attachment 4'!K11</f>
        <v>138855</v>
      </c>
      <c r="G114" s="45"/>
      <c r="H114" s="29" t="s">
        <v>427</v>
      </c>
      <c r="I114" s="30">
        <f>K178</f>
        <v>1</v>
      </c>
      <c r="J114" s="30"/>
      <c r="K114" s="116">
        <f>F114*I114</f>
        <v>138855</v>
      </c>
      <c r="L114" s="68"/>
      <c r="M114" s="45"/>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c r="A115" s="22">
        <v>21</v>
      </c>
      <c r="B115" s="28" t="s">
        <v>694</v>
      </c>
      <c r="C115" s="28"/>
      <c r="D115" s="45" t="s">
        <v>695</v>
      </c>
      <c r="E115" s="45"/>
      <c r="F115" s="453">
        <v>0</v>
      </c>
      <c r="G115" s="45"/>
      <c r="H115" s="29" t="s">
        <v>398</v>
      </c>
      <c r="I115" s="60">
        <v>1</v>
      </c>
      <c r="J115" s="30"/>
      <c r="K115" s="116">
        <f>F115*I115</f>
        <v>0</v>
      </c>
      <c r="L115" s="68"/>
      <c r="M115" s="4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c r="A116" s="22">
        <v>22</v>
      </c>
      <c r="B116" s="8" t="s">
        <v>696</v>
      </c>
      <c r="C116" s="8"/>
      <c r="D116" s="69" t="s">
        <v>250</v>
      </c>
      <c r="E116" s="69"/>
      <c r="F116" s="118">
        <f>SUM(F113:F115)</f>
        <v>3466071</v>
      </c>
      <c r="G116" s="45"/>
      <c r="H116" s="29"/>
      <c r="I116" s="45"/>
      <c r="J116" s="45"/>
      <c r="K116" s="460">
        <f>SUM(K113:K115)</f>
        <v>3466071</v>
      </c>
      <c r="L116" s="68"/>
      <c r="M116" s="45"/>
    </row>
    <row r="117" spans="1:63">
      <c r="A117" s="22"/>
      <c r="B117" s="8"/>
      <c r="C117" s="8"/>
      <c r="D117" s="45"/>
      <c r="E117" s="45"/>
      <c r="F117" s="72"/>
      <c r="G117" s="45"/>
      <c r="H117" s="29"/>
      <c r="I117" s="45"/>
      <c r="J117" s="45"/>
      <c r="K117" s="116"/>
      <c r="L117" s="68"/>
      <c r="M117" s="45"/>
    </row>
    <row r="118" spans="1:63">
      <c r="A118" s="22">
        <v>23</v>
      </c>
      <c r="B118" s="8" t="s">
        <v>697</v>
      </c>
      <c r="C118" s="8"/>
      <c r="D118" s="45"/>
      <c r="E118" s="45"/>
      <c r="F118" s="8"/>
      <c r="G118" s="45"/>
      <c r="H118" s="29"/>
      <c r="I118" s="45"/>
      <c r="J118" s="45"/>
      <c r="K118" s="116"/>
      <c r="L118" s="45"/>
      <c r="M118" s="45"/>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row>
    <row r="119" spans="1:63">
      <c r="A119" s="22">
        <v>24</v>
      </c>
      <c r="B119" s="28" t="s">
        <v>698</v>
      </c>
      <c r="C119" s="28"/>
      <c r="D119" s="45"/>
      <c r="E119" s="45"/>
      <c r="F119" s="8"/>
      <c r="G119" s="45"/>
      <c r="H119" s="29"/>
      <c r="I119" s="45"/>
      <c r="J119" s="45"/>
      <c r="K119" s="116"/>
      <c r="L119" s="45"/>
      <c r="M119" s="45"/>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1:63">
      <c r="A120" s="22">
        <v>25</v>
      </c>
      <c r="B120" s="77" t="s">
        <v>699</v>
      </c>
      <c r="C120" s="77"/>
      <c r="D120" s="45" t="s">
        <v>700</v>
      </c>
      <c r="E120" s="45"/>
      <c r="F120" s="452">
        <v>133012.28619172121</v>
      </c>
      <c r="G120" s="45"/>
      <c r="H120" s="29" t="s">
        <v>427</v>
      </c>
      <c r="I120" s="30">
        <f>K178</f>
        <v>1</v>
      </c>
      <c r="J120" s="30"/>
      <c r="K120" s="116">
        <f>F120*I120</f>
        <v>133012.28619172121</v>
      </c>
      <c r="L120" s="68"/>
      <c r="M120" s="45"/>
    </row>
    <row r="121" spans="1:63" ht="24">
      <c r="A121" s="23">
        <v>26</v>
      </c>
      <c r="B121" s="78" t="s">
        <v>701</v>
      </c>
      <c r="C121" s="77"/>
      <c r="D121" s="45" t="s">
        <v>700</v>
      </c>
      <c r="E121" s="45"/>
      <c r="F121" s="452">
        <v>0</v>
      </c>
      <c r="G121" s="45"/>
      <c r="H121" s="29" t="s">
        <v>427</v>
      </c>
      <c r="I121" s="30">
        <f>K178</f>
        <v>1</v>
      </c>
      <c r="J121" s="30"/>
      <c r="K121" s="116">
        <f>F121*I121</f>
        <v>0</v>
      </c>
      <c r="L121" s="68"/>
      <c r="M121" s="45"/>
    </row>
    <row r="122" spans="1:63">
      <c r="A122" s="23">
        <v>27</v>
      </c>
      <c r="B122" s="28" t="s">
        <v>416</v>
      </c>
      <c r="C122" s="28"/>
      <c r="D122" s="45"/>
      <c r="E122" s="45"/>
      <c r="F122" s="118"/>
      <c r="G122" s="45"/>
      <c r="H122" s="29"/>
      <c r="I122" s="45"/>
      <c r="J122" s="45"/>
      <c r="K122" s="116"/>
      <c r="L122" s="45"/>
      <c r="M122" s="45"/>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c r="A123" s="22">
        <v>28</v>
      </c>
      <c r="B123" s="77" t="s">
        <v>702</v>
      </c>
      <c r="C123" s="77"/>
      <c r="D123" s="69" t="s">
        <v>553</v>
      </c>
      <c r="E123" s="45"/>
      <c r="F123" s="452">
        <v>944040</v>
      </c>
      <c r="G123" s="45"/>
      <c r="H123" s="29" t="s">
        <v>412</v>
      </c>
      <c r="I123" s="30">
        <f>I46</f>
        <v>1</v>
      </c>
      <c r="J123" s="30"/>
      <c r="K123" s="116">
        <f>F123*I123</f>
        <v>944040</v>
      </c>
      <c r="L123" s="68"/>
      <c r="M123" s="45"/>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c r="A124" s="22">
        <v>29</v>
      </c>
      <c r="B124" s="77" t="s">
        <v>703</v>
      </c>
      <c r="C124" s="77"/>
      <c r="D124" s="45" t="s">
        <v>700</v>
      </c>
      <c r="E124" s="45"/>
      <c r="F124" s="452">
        <v>0</v>
      </c>
      <c r="G124" s="45"/>
      <c r="H124" s="29" t="s">
        <v>373</v>
      </c>
      <c r="I124" s="50">
        <v>0</v>
      </c>
      <c r="J124" s="50"/>
      <c r="K124" s="116">
        <f>F124*I124</f>
        <v>0</v>
      </c>
      <c r="L124" s="68"/>
      <c r="M124" s="45"/>
    </row>
    <row r="125" spans="1:63">
      <c r="A125" s="22">
        <v>30</v>
      </c>
      <c r="B125" s="77" t="s">
        <v>704</v>
      </c>
      <c r="C125" s="77"/>
      <c r="D125" s="45" t="s">
        <v>700</v>
      </c>
      <c r="E125" s="45"/>
      <c r="F125" s="452">
        <v>0</v>
      </c>
      <c r="G125" s="45"/>
      <c r="H125" s="29" t="s">
        <v>412</v>
      </c>
      <c r="I125" s="30">
        <f>I46</f>
        <v>1</v>
      </c>
      <c r="J125" s="30"/>
      <c r="K125" s="116">
        <f>F125*I125</f>
        <v>0</v>
      </c>
      <c r="L125" s="68"/>
      <c r="M125" s="45"/>
    </row>
    <row r="126" spans="1:63">
      <c r="A126" s="22">
        <v>31</v>
      </c>
      <c r="B126" s="77" t="s">
        <v>705</v>
      </c>
      <c r="C126" s="77"/>
      <c r="D126" s="7" t="s">
        <v>700</v>
      </c>
      <c r="E126" s="45"/>
      <c r="F126" s="453">
        <v>0</v>
      </c>
      <c r="G126" s="45"/>
      <c r="H126" s="29" t="s">
        <v>412</v>
      </c>
      <c r="I126" s="30">
        <f>I46</f>
        <v>1</v>
      </c>
      <c r="J126" s="30"/>
      <c r="K126" s="448">
        <f>F126*I126</f>
        <v>0</v>
      </c>
      <c r="L126" s="68"/>
      <c r="M126" s="45"/>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c r="A127" s="34">
        <v>32</v>
      </c>
      <c r="B127" s="13" t="s">
        <v>706</v>
      </c>
      <c r="C127" s="13"/>
      <c r="D127" s="56" t="s">
        <v>707</v>
      </c>
      <c r="E127" s="56"/>
      <c r="F127" s="116">
        <f>SUM(F120:F126)</f>
        <v>1077052.2861917212</v>
      </c>
      <c r="G127" s="45"/>
      <c r="H127" s="29"/>
      <c r="I127" s="56"/>
      <c r="J127" s="56"/>
      <c r="K127" s="116">
        <f>SUM(K120:K126)</f>
        <v>1077052.2861917212</v>
      </c>
      <c r="L127" s="68"/>
      <c r="M127" s="56"/>
    </row>
    <row r="128" spans="1:63">
      <c r="A128" s="34"/>
      <c r="B128" s="13"/>
      <c r="C128" s="13"/>
      <c r="D128" s="56"/>
      <c r="E128" s="56"/>
      <c r="F128" s="72"/>
      <c r="G128" s="45"/>
      <c r="H128" s="29"/>
      <c r="I128" s="56"/>
      <c r="J128" s="56"/>
      <c r="K128" s="116"/>
      <c r="L128" s="68"/>
      <c r="M128" s="56"/>
    </row>
    <row r="129" spans="1:63">
      <c r="A129" s="34">
        <v>33</v>
      </c>
      <c r="B129" s="307" t="s">
        <v>798</v>
      </c>
      <c r="C129" s="13"/>
      <c r="D129" s="45" t="s">
        <v>708</v>
      </c>
      <c r="E129" s="45"/>
      <c r="G129" s="45"/>
      <c r="H129" s="29"/>
      <c r="I129" s="45"/>
      <c r="J129" s="45"/>
      <c r="K129" s="45"/>
      <c r="L129" s="45"/>
      <c r="M129" s="45"/>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c r="A130" s="34">
        <v>34</v>
      </c>
      <c r="B130" s="80" t="s">
        <v>799</v>
      </c>
      <c r="C130" s="28"/>
      <c r="D130" s="7"/>
      <c r="E130" s="45"/>
      <c r="F130" s="81">
        <f>1-(((1-F220)*(1-F219))/(1-F219*F220*F221))</f>
        <v>0.27967799999999998</v>
      </c>
      <c r="G130" s="45"/>
      <c r="H130" s="29"/>
      <c r="I130" s="45"/>
      <c r="J130" s="45"/>
      <c r="K130" s="45"/>
      <c r="L130" s="45"/>
      <c r="M130" s="45"/>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c r="A131" s="22">
        <v>35</v>
      </c>
      <c r="B131" s="28" t="s">
        <v>709</v>
      </c>
      <c r="C131" s="28"/>
      <c r="D131" s="117"/>
      <c r="E131" s="45"/>
      <c r="F131" s="82">
        <f>(F130/(1-F130))*(1-K183/K187)</f>
        <v>0.31037686814784143</v>
      </c>
      <c r="G131" s="45"/>
      <c r="H131" s="29"/>
      <c r="I131" s="45"/>
      <c r="J131" s="45"/>
      <c r="K131" s="45"/>
      <c r="L131" s="45"/>
      <c r="M131" s="45"/>
    </row>
    <row r="132" spans="1:63">
      <c r="A132" s="22">
        <v>36</v>
      </c>
      <c r="B132" s="70" t="s">
        <v>800</v>
      </c>
      <c r="C132" s="74"/>
      <c r="D132" s="45"/>
      <c r="E132" s="45"/>
      <c r="F132" s="7"/>
      <c r="G132" s="45"/>
      <c r="H132" s="29"/>
      <c r="I132" s="45"/>
      <c r="J132" s="45"/>
      <c r="K132" s="45"/>
      <c r="L132" s="45"/>
      <c r="M132" s="45"/>
    </row>
    <row r="133" spans="1:63">
      <c r="A133" s="22">
        <v>37</v>
      </c>
      <c r="B133" s="8"/>
      <c r="C133" s="8"/>
      <c r="D133" s="45"/>
      <c r="E133" s="45"/>
      <c r="F133" s="8"/>
      <c r="G133" s="45"/>
      <c r="H133" s="29"/>
      <c r="I133" s="45"/>
      <c r="J133" s="45"/>
      <c r="K133" s="45"/>
      <c r="L133" s="45"/>
      <c r="M133" s="45"/>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c r="A134" s="22">
        <v>38</v>
      </c>
      <c r="B134" s="28" t="s">
        <v>710</v>
      </c>
      <c r="C134" s="28"/>
      <c r="D134" s="117"/>
      <c r="E134" s="45"/>
      <c r="F134" s="83">
        <f>1/(1-F130)</f>
        <v>1.3882680245778971</v>
      </c>
      <c r="G134" s="45"/>
      <c r="H134" s="29"/>
      <c r="I134" s="45"/>
      <c r="J134" s="45"/>
      <c r="K134" s="45"/>
      <c r="L134" s="45"/>
      <c r="M134" s="45"/>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c r="A135" s="22">
        <v>39</v>
      </c>
      <c r="B135" s="2" t="s">
        <v>801</v>
      </c>
      <c r="C135" s="8"/>
      <c r="D135" s="117"/>
      <c r="E135" s="45"/>
      <c r="F135" s="67">
        <v>0</v>
      </c>
      <c r="G135" s="45"/>
      <c r="H135" s="29"/>
      <c r="I135" s="45"/>
      <c r="J135" s="45"/>
      <c r="K135" s="45"/>
      <c r="L135" s="45"/>
      <c r="M135" s="45"/>
    </row>
    <row r="136" spans="1:63">
      <c r="A136" s="22">
        <v>40</v>
      </c>
      <c r="B136" s="2" t="s">
        <v>801</v>
      </c>
      <c r="C136" s="8"/>
      <c r="D136" s="117"/>
      <c r="E136" s="45"/>
      <c r="F136" s="67">
        <v>0</v>
      </c>
      <c r="G136" s="45"/>
      <c r="H136" s="29"/>
      <c r="I136" s="45"/>
      <c r="J136" s="45"/>
      <c r="K136" s="45"/>
      <c r="L136" s="45"/>
      <c r="M136" s="45"/>
    </row>
    <row r="137" spans="1:63">
      <c r="A137" s="22">
        <v>41</v>
      </c>
      <c r="B137" s="2" t="s">
        <v>801</v>
      </c>
      <c r="C137" s="8"/>
      <c r="D137" s="117"/>
      <c r="E137" s="45"/>
      <c r="F137" s="67">
        <v>0</v>
      </c>
      <c r="G137" s="45"/>
      <c r="H137" s="29"/>
      <c r="I137" s="45"/>
      <c r="J137" s="45"/>
      <c r="K137" s="45"/>
      <c r="L137" s="45"/>
      <c r="M137" s="45"/>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c r="A138" s="22">
        <v>42</v>
      </c>
      <c r="B138" s="2" t="s">
        <v>264</v>
      </c>
      <c r="C138" s="8"/>
      <c r="D138" s="45" t="s">
        <v>711</v>
      </c>
      <c r="E138" s="45"/>
      <c r="F138" s="118">
        <f>F131*F145</f>
        <v>3118168.4160839785</v>
      </c>
      <c r="G138" s="45"/>
      <c r="H138" s="29" t="s">
        <v>373</v>
      </c>
      <c r="I138" s="60">
        <v>0</v>
      </c>
      <c r="J138" s="30"/>
      <c r="K138" s="68">
        <f>+F138</f>
        <v>3118168.4160839785</v>
      </c>
      <c r="L138" s="68"/>
      <c r="M138" s="45"/>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c r="A139" s="22">
        <v>43</v>
      </c>
      <c r="B139" s="2" t="s">
        <v>802</v>
      </c>
      <c r="C139" s="8"/>
      <c r="D139" s="69" t="s">
        <v>785</v>
      </c>
      <c r="E139" s="45"/>
      <c r="F139" s="67">
        <v>0</v>
      </c>
      <c r="G139" s="45"/>
      <c r="H139" s="29" t="s">
        <v>411</v>
      </c>
      <c r="I139" s="30">
        <f>I60</f>
        <v>1</v>
      </c>
      <c r="J139" s="30"/>
      <c r="K139" s="68">
        <f>F139*I139</f>
        <v>0</v>
      </c>
      <c r="L139" s="68"/>
      <c r="M139" s="45"/>
    </row>
    <row r="140" spans="1:63">
      <c r="A140" s="22">
        <v>44</v>
      </c>
      <c r="B140" s="2" t="s">
        <v>818</v>
      </c>
      <c r="C140" s="8"/>
      <c r="D140" s="69"/>
      <c r="E140" s="45"/>
      <c r="F140" s="67">
        <v>0</v>
      </c>
      <c r="G140" s="45"/>
      <c r="H140" s="29" t="s">
        <v>411</v>
      </c>
      <c r="I140" s="30">
        <f>I60</f>
        <v>1</v>
      </c>
      <c r="J140" s="30"/>
      <c r="K140" s="68">
        <f>F140*I140</f>
        <v>0</v>
      </c>
      <c r="L140" s="68"/>
      <c r="M140" s="45"/>
    </row>
    <row r="141" spans="1:63">
      <c r="A141" s="22">
        <v>45</v>
      </c>
      <c r="B141" s="8" t="s">
        <v>712</v>
      </c>
      <c r="C141" s="8"/>
      <c r="D141" s="69" t="s">
        <v>744</v>
      </c>
      <c r="E141" s="45"/>
      <c r="F141" s="453">
        <f>'WP3 - Perm Tax'!H19*'Attachment H-27A'!F134</f>
        <v>75722.078174140479</v>
      </c>
      <c r="G141" s="45"/>
      <c r="H141" s="29" t="s">
        <v>411</v>
      </c>
      <c r="I141" s="30">
        <f>I60</f>
        <v>1</v>
      </c>
      <c r="J141" s="30"/>
      <c r="K141" s="68">
        <f>F141*I141</f>
        <v>75722.078174140479</v>
      </c>
      <c r="L141" s="68"/>
      <c r="M141" s="45"/>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c r="A142" s="22">
        <v>46</v>
      </c>
      <c r="B142" s="8" t="s">
        <v>713</v>
      </c>
      <c r="C142" s="8"/>
      <c r="D142" s="69" t="s">
        <v>571</v>
      </c>
      <c r="E142" s="45"/>
      <c r="F142" s="118">
        <f>SUM(F138:F141)</f>
        <v>3193890.4942581188</v>
      </c>
      <c r="G142" s="45"/>
      <c r="H142" s="29"/>
      <c r="I142" s="45"/>
      <c r="J142" s="45"/>
      <c r="K142" s="75">
        <f>SUM(K138:K141)</f>
        <v>3193890.4942581188</v>
      </c>
      <c r="L142" s="68"/>
      <c r="M142" s="45"/>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c r="A143" s="22"/>
      <c r="B143" s="8"/>
      <c r="C143" s="8"/>
      <c r="D143" s="69"/>
      <c r="E143" s="45"/>
      <c r="F143" s="72"/>
      <c r="G143" s="45"/>
      <c r="H143" s="29"/>
      <c r="I143" s="45"/>
      <c r="J143" s="45"/>
      <c r="K143" s="68"/>
      <c r="L143" s="68"/>
      <c r="M143" s="45"/>
    </row>
    <row r="144" spans="1:63">
      <c r="A144" s="22">
        <v>47</v>
      </c>
      <c r="B144" s="8" t="s">
        <v>714</v>
      </c>
      <c r="C144" s="8"/>
      <c r="D144" s="45"/>
      <c r="E144" s="45"/>
      <c r="F144" s="8"/>
      <c r="G144" s="45"/>
      <c r="H144" s="29"/>
      <c r="I144" s="45"/>
      <c r="J144" s="45"/>
      <c r="K144" s="45"/>
      <c r="L144" s="45"/>
      <c r="M144" s="45"/>
    </row>
    <row r="145" spans="1:63">
      <c r="A145" s="22">
        <v>48</v>
      </c>
      <c r="B145" s="8" t="s">
        <v>715</v>
      </c>
      <c r="C145" s="8"/>
      <c r="D145" s="45" t="s">
        <v>716</v>
      </c>
      <c r="E145" s="45"/>
      <c r="F145" s="118">
        <f>F82*K187</f>
        <v>10046394.355002981</v>
      </c>
      <c r="G145" s="45"/>
      <c r="H145" s="29" t="s">
        <v>373</v>
      </c>
      <c r="I145" s="48">
        <v>0</v>
      </c>
      <c r="J145" s="8"/>
      <c r="K145" s="118">
        <f>K82*K187</f>
        <v>10046394.355002981</v>
      </c>
      <c r="L145" s="72"/>
      <c r="M145" s="8"/>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c r="A146" s="22"/>
      <c r="B146" s="2"/>
      <c r="C146" s="2"/>
      <c r="D146" s="69"/>
      <c r="E146" s="69"/>
      <c r="F146" s="450"/>
      <c r="G146" s="69"/>
      <c r="H146" s="112"/>
      <c r="I146" s="308"/>
      <c r="J146" s="8"/>
      <c r="K146" s="118"/>
      <c r="L146" s="72"/>
      <c r="M146" s="8"/>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c r="A147" s="312" t="s">
        <v>745</v>
      </c>
      <c r="B147" s="208" t="s">
        <v>746</v>
      </c>
      <c r="C147" s="208"/>
      <c r="D147" s="208" t="s">
        <v>760</v>
      </c>
      <c r="E147" s="208"/>
      <c r="F147" s="309">
        <f>F110+F116+F127+F142+F145</f>
        <v>24131626.565487243</v>
      </c>
      <c r="G147" s="310"/>
      <c r="H147" s="112" t="s">
        <v>373</v>
      </c>
      <c r="I147" s="311">
        <v>0</v>
      </c>
      <c r="J147" s="119"/>
      <c r="K147" s="120">
        <f>K110+K116+K127+K142+K145</f>
        <v>24131626.565487243</v>
      </c>
      <c r="L147" s="72"/>
      <c r="M147" s="8"/>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c r="A148" s="312"/>
      <c r="B148" s="208"/>
      <c r="C148" s="208"/>
      <c r="D148" s="208"/>
      <c r="E148" s="208"/>
      <c r="F148" s="309"/>
      <c r="G148" s="310"/>
      <c r="H148" s="312"/>
      <c r="I148" s="308"/>
      <c r="J148" s="119"/>
      <c r="K148" s="120"/>
      <c r="L148" s="72"/>
      <c r="M148" s="8"/>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c r="A149" s="312" t="s">
        <v>747</v>
      </c>
      <c r="B149" s="208" t="s">
        <v>748</v>
      </c>
      <c r="C149" s="208"/>
      <c r="D149" s="208" t="s">
        <v>749</v>
      </c>
      <c r="E149" s="208"/>
      <c r="F149" s="309">
        <f>+'Attachment 1'!F102</f>
        <v>565946.05480203126</v>
      </c>
      <c r="G149" s="310"/>
      <c r="H149" s="312" t="s">
        <v>398</v>
      </c>
      <c r="I149" s="313">
        <v>1</v>
      </c>
      <c r="J149" s="119"/>
      <c r="K149" s="120">
        <f>F149*I149</f>
        <v>565946.05480203126</v>
      </c>
      <c r="L149" s="72"/>
      <c r="M149" s="8"/>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c r="A150" s="306"/>
      <c r="B150" s="8"/>
      <c r="C150" s="8"/>
      <c r="D150" s="45"/>
      <c r="E150" s="45"/>
      <c r="F150" s="118"/>
      <c r="G150" s="72"/>
      <c r="H150" s="29"/>
      <c r="I150" s="8"/>
      <c r="J150" s="8"/>
      <c r="K150" s="118"/>
      <c r="L150" s="72"/>
      <c r="M150" s="8"/>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ht="12.75" thickBot="1">
      <c r="A151" s="306">
        <v>49</v>
      </c>
      <c r="B151" s="8" t="s">
        <v>717</v>
      </c>
      <c r="C151" s="8"/>
      <c r="D151" s="69" t="s">
        <v>803</v>
      </c>
      <c r="E151" s="45"/>
      <c r="F151" s="451">
        <f>F110+F116+F127+F142+F145+F149</f>
        <v>24697572.620289274</v>
      </c>
      <c r="G151" s="45"/>
      <c r="H151" s="29"/>
      <c r="I151" s="8"/>
      <c r="J151" s="8"/>
      <c r="K151" s="451">
        <f>K110+K116+K127+K142+K145+K149</f>
        <v>24697572.620289274</v>
      </c>
      <c r="L151" s="72"/>
      <c r="M151" s="8"/>
    </row>
    <row r="152" spans="1:63" ht="12.75" thickTop="1">
      <c r="A152" s="22"/>
      <c r="B152" s="8"/>
      <c r="C152" s="8"/>
      <c r="D152" s="8"/>
      <c r="E152" s="8"/>
      <c r="F152" s="8"/>
      <c r="G152" s="45"/>
      <c r="H152" s="29"/>
      <c r="I152" s="8"/>
      <c r="J152" s="8"/>
      <c r="K152" s="8"/>
      <c r="L152" s="8"/>
      <c r="M152" s="8"/>
    </row>
    <row r="153" spans="1:63">
      <c r="B153" s="2" t="s">
        <v>400</v>
      </c>
      <c r="C153" s="2"/>
      <c r="M153" s="40" t="s">
        <v>417</v>
      </c>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c r="A154" s="606" t="s">
        <v>441</v>
      </c>
      <c r="B154" s="606"/>
      <c r="C154" s="606"/>
      <c r="D154" s="606"/>
      <c r="E154" s="606"/>
      <c r="F154" s="606"/>
      <c r="G154" s="606"/>
      <c r="H154" s="606"/>
      <c r="I154" s="606"/>
      <c r="J154" s="606"/>
      <c r="K154" s="606"/>
      <c r="L154" s="606"/>
      <c r="M154" s="606"/>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c r="A155" s="604" t="s">
        <v>609</v>
      </c>
      <c r="B155" s="604"/>
      <c r="C155" s="604"/>
      <c r="D155" s="604"/>
      <c r="E155" s="604"/>
      <c r="F155" s="604"/>
      <c r="G155" s="604"/>
      <c r="H155" s="604"/>
      <c r="I155" s="604"/>
      <c r="J155" s="604"/>
      <c r="K155" s="604"/>
      <c r="L155" s="604"/>
      <c r="M155" s="604"/>
    </row>
    <row r="156" spans="1:63">
      <c r="A156" s="605" t="str">
        <f>+A87</f>
        <v>Silver Run Electric, LLC</v>
      </c>
      <c r="B156" s="606"/>
      <c r="C156" s="606"/>
      <c r="D156" s="606"/>
      <c r="E156" s="606"/>
      <c r="F156" s="606"/>
      <c r="G156" s="606"/>
      <c r="H156" s="606"/>
      <c r="I156" s="606"/>
      <c r="J156" s="606"/>
      <c r="K156" s="606"/>
      <c r="L156" s="606"/>
      <c r="M156" s="606"/>
    </row>
    <row r="157" spans="1:63">
      <c r="M157" s="41" t="str">
        <f>$M$5</f>
        <v>For the 12 months ended</v>
      </c>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c r="M158" s="323">
        <f>$M$6</f>
        <v>44926</v>
      </c>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c r="M159" s="7"/>
    </row>
    <row r="160" spans="1:63">
      <c r="A160" s="10" t="s">
        <v>70</v>
      </c>
      <c r="B160" s="9" t="s">
        <v>386</v>
      </c>
      <c r="C160" s="9"/>
      <c r="D160" s="9" t="s">
        <v>387</v>
      </c>
      <c r="E160" s="9"/>
      <c r="F160" s="9" t="s">
        <v>388</v>
      </c>
      <c r="G160" s="9"/>
      <c r="H160" s="9"/>
      <c r="I160" s="9" t="s">
        <v>389</v>
      </c>
      <c r="J160" s="9"/>
      <c r="K160" s="9" t="s">
        <v>390</v>
      </c>
      <c r="L160" s="9"/>
    </row>
    <row r="161" spans="1:63">
      <c r="A161" s="84" t="s">
        <v>379</v>
      </c>
      <c r="B161" s="614" t="s">
        <v>418</v>
      </c>
      <c r="C161" s="614"/>
      <c r="D161" s="614"/>
      <c r="E161" s="614"/>
      <c r="F161" s="614"/>
      <c r="G161" s="614"/>
      <c r="H161" s="614"/>
      <c r="I161" s="614"/>
      <c r="J161" s="614"/>
      <c r="K161" s="614"/>
      <c r="L161" s="15"/>
      <c r="M161" s="16"/>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c r="A162" s="20"/>
      <c r="B162" s="8" t="s">
        <v>419</v>
      </c>
      <c r="C162" s="8"/>
      <c r="D162" s="45"/>
      <c r="E162" s="45"/>
      <c r="F162" s="8"/>
      <c r="G162" s="8"/>
      <c r="H162" s="8"/>
      <c r="I162" s="8"/>
      <c r="J162" s="8"/>
      <c r="K162" s="8"/>
      <c r="L162" s="8"/>
      <c r="M162" s="8"/>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c r="A163" s="22">
        <v>1</v>
      </c>
      <c r="B163" s="8" t="s">
        <v>718</v>
      </c>
      <c r="C163" s="8"/>
      <c r="D163" s="45" t="s">
        <v>719</v>
      </c>
      <c r="E163" s="45"/>
      <c r="F163" s="8"/>
      <c r="G163" s="8"/>
      <c r="H163" s="8"/>
      <c r="I163" s="8"/>
      <c r="J163" s="8"/>
      <c r="K163" s="118">
        <f>F43</f>
        <v>156327409.15384614</v>
      </c>
      <c r="L163" s="72"/>
      <c r="M163" s="8"/>
    </row>
    <row r="164" spans="1:63" ht="24">
      <c r="A164" s="23">
        <v>2</v>
      </c>
      <c r="B164" s="207" t="s">
        <v>569</v>
      </c>
      <c r="C164" s="207"/>
      <c r="D164" s="208" t="s">
        <v>421</v>
      </c>
      <c r="E164" s="69"/>
      <c r="F164" s="8"/>
      <c r="G164" s="8"/>
      <c r="H164" s="8"/>
      <c r="I164" s="8"/>
      <c r="J164" s="8"/>
      <c r="K164" s="452">
        <v>0</v>
      </c>
      <c r="L164" s="72"/>
      <c r="M164" s="8"/>
    </row>
    <row r="165" spans="1:63" ht="24">
      <c r="A165" s="59">
        <v>3</v>
      </c>
      <c r="B165" s="207" t="s">
        <v>570</v>
      </c>
      <c r="C165" s="209"/>
      <c r="D165" s="209" t="s">
        <v>420</v>
      </c>
      <c r="E165" s="45"/>
      <c r="F165" s="8"/>
      <c r="G165" s="8"/>
      <c r="H165" s="8"/>
      <c r="I165" s="8"/>
      <c r="J165" s="8"/>
      <c r="K165" s="453">
        <v>0</v>
      </c>
      <c r="L165" s="72"/>
      <c r="M165" s="8"/>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c r="A166" s="23"/>
      <c r="B166" s="8"/>
      <c r="C166" s="8"/>
      <c r="D166" s="45"/>
      <c r="E166" s="45"/>
      <c r="F166" s="8"/>
      <c r="G166" s="8"/>
      <c r="H166" s="8"/>
      <c r="I166" s="8"/>
      <c r="J166" s="8"/>
      <c r="K166" s="118"/>
      <c r="L166" s="8"/>
      <c r="M166" s="8"/>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c r="A167" s="34">
        <v>4</v>
      </c>
      <c r="B167" s="13" t="s">
        <v>720</v>
      </c>
      <c r="C167" s="13"/>
      <c r="D167" s="56" t="s">
        <v>721</v>
      </c>
      <c r="E167" s="56"/>
      <c r="F167" s="13"/>
      <c r="G167" s="13"/>
      <c r="H167" s="13"/>
      <c r="I167" s="13"/>
      <c r="J167" s="13"/>
      <c r="K167" s="118">
        <f>K163-K164-K165</f>
        <v>156327409.15384614</v>
      </c>
      <c r="L167" s="72"/>
      <c r="M167" s="13"/>
    </row>
    <row r="168" spans="1:63">
      <c r="A168" s="34"/>
      <c r="B168" s="13"/>
      <c r="C168" s="13"/>
      <c r="D168" s="56"/>
      <c r="E168" s="56"/>
      <c r="F168" s="13"/>
      <c r="G168" s="13"/>
      <c r="H168" s="13"/>
      <c r="I168" s="13"/>
      <c r="J168" s="13"/>
      <c r="K168" s="13"/>
      <c r="L168" s="13"/>
      <c r="M168" s="13"/>
    </row>
    <row r="169" spans="1:63">
      <c r="A169" s="34">
        <v>5</v>
      </c>
      <c r="B169" s="8" t="s">
        <v>722</v>
      </c>
      <c r="C169" s="8"/>
      <c r="D169" s="45" t="s">
        <v>723</v>
      </c>
      <c r="E169" s="45"/>
      <c r="F169" s="8"/>
      <c r="G169" s="8"/>
      <c r="H169" s="23"/>
      <c r="J169" s="40" t="s">
        <v>422</v>
      </c>
      <c r="K169" s="72">
        <f>IF(K163=0,1,K167/K163)</f>
        <v>1</v>
      </c>
      <c r="L169" s="86"/>
      <c r="M169" s="8"/>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c r="A170" s="34"/>
      <c r="B170" s="8"/>
      <c r="C170" s="8"/>
      <c r="D170" s="45"/>
      <c r="E170" s="45"/>
      <c r="F170" s="8"/>
      <c r="G170" s="8"/>
      <c r="H170" s="8"/>
      <c r="I170" s="8"/>
      <c r="J170" s="8"/>
      <c r="K170" s="8"/>
      <c r="L170" s="8"/>
      <c r="M170" s="8"/>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c r="A171" s="22">
        <v>6</v>
      </c>
      <c r="B171" s="8" t="s">
        <v>724</v>
      </c>
      <c r="C171" s="8"/>
      <c r="D171" s="46"/>
      <c r="E171" s="46"/>
      <c r="F171" s="8"/>
      <c r="G171" s="8"/>
      <c r="H171" s="8"/>
      <c r="I171" s="8"/>
      <c r="J171" s="8"/>
      <c r="K171" s="8"/>
      <c r="L171" s="8"/>
      <c r="M171" s="8"/>
    </row>
    <row r="172" spans="1:63">
      <c r="A172" s="22"/>
      <c r="B172" s="8"/>
      <c r="C172" s="8"/>
      <c r="D172" s="87" t="s">
        <v>725</v>
      </c>
      <c r="E172" s="87"/>
      <c r="F172" s="88" t="s">
        <v>423</v>
      </c>
      <c r="G172" s="88"/>
      <c r="H172" s="89" t="s">
        <v>393</v>
      </c>
      <c r="I172" s="88" t="s">
        <v>425</v>
      </c>
      <c r="J172" s="23"/>
      <c r="K172" s="8"/>
      <c r="L172" s="8"/>
      <c r="M172" s="8"/>
    </row>
    <row r="173" spans="1:63">
      <c r="A173" s="22">
        <v>7</v>
      </c>
      <c r="B173" s="8" t="s">
        <v>633</v>
      </c>
      <c r="C173" s="8"/>
      <c r="D173" s="45" t="s">
        <v>726</v>
      </c>
      <c r="E173" s="45"/>
      <c r="F173" s="67">
        <v>0</v>
      </c>
      <c r="G173" s="45"/>
      <c r="H173" s="122">
        <v>0</v>
      </c>
      <c r="I173" s="90">
        <f>F173*H173</f>
        <v>0</v>
      </c>
      <c r="J173" s="8"/>
      <c r="K173" s="8"/>
      <c r="L173" s="8"/>
      <c r="M173" s="8"/>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c r="A174" s="22">
        <v>8</v>
      </c>
      <c r="B174" s="8" t="s">
        <v>635</v>
      </c>
      <c r="C174" s="8"/>
      <c r="D174" s="45" t="s">
        <v>727</v>
      </c>
      <c r="E174" s="45"/>
      <c r="F174" s="67">
        <v>0</v>
      </c>
      <c r="G174" s="45"/>
      <c r="H174" s="122">
        <v>1</v>
      </c>
      <c r="I174" s="30">
        <f>F174*H174</f>
        <v>0</v>
      </c>
      <c r="J174" s="8"/>
      <c r="K174" s="8"/>
      <c r="L174" s="8"/>
      <c r="M174" s="8"/>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c r="A175" s="22">
        <v>9</v>
      </c>
      <c r="B175" s="8" t="s">
        <v>637</v>
      </c>
      <c r="C175" s="8"/>
      <c r="D175" s="45" t="s">
        <v>728</v>
      </c>
      <c r="E175" s="45"/>
      <c r="F175" s="67">
        <v>0</v>
      </c>
      <c r="G175" s="45"/>
      <c r="H175" s="122">
        <v>0</v>
      </c>
      <c r="I175" s="30">
        <f>F175*H175</f>
        <v>0</v>
      </c>
      <c r="J175" s="8"/>
      <c r="K175" s="23" t="s">
        <v>428</v>
      </c>
      <c r="L175" s="8"/>
      <c r="M175" s="8"/>
    </row>
    <row r="176" spans="1:63">
      <c r="A176" s="22">
        <v>10</v>
      </c>
      <c r="B176" s="8" t="s">
        <v>704</v>
      </c>
      <c r="C176" s="8"/>
      <c r="D176" s="45" t="s">
        <v>729</v>
      </c>
      <c r="E176" s="45"/>
      <c r="F176" s="76">
        <v>0</v>
      </c>
      <c r="G176" s="45"/>
      <c r="H176" s="122">
        <v>0</v>
      </c>
      <c r="I176" s="91">
        <f>F176*H176</f>
        <v>0</v>
      </c>
      <c r="J176" s="8"/>
      <c r="K176" s="88" t="s">
        <v>429</v>
      </c>
      <c r="L176" s="8"/>
      <c r="M176" s="8"/>
    </row>
    <row r="177" spans="1:64">
      <c r="A177" s="22"/>
      <c r="B177" s="8"/>
      <c r="C177" s="8"/>
      <c r="D177" s="45"/>
      <c r="E177" s="45"/>
      <c r="F177" s="72"/>
      <c r="G177" s="45"/>
      <c r="H177" s="8"/>
      <c r="I177" s="8"/>
      <c r="J177" s="8"/>
      <c r="K177" s="8"/>
      <c r="L177" s="8"/>
      <c r="M177" s="8"/>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4">
      <c r="A178" s="23">
        <v>11</v>
      </c>
      <c r="B178" s="37" t="s">
        <v>380</v>
      </c>
      <c r="C178" s="37"/>
      <c r="D178" s="46" t="s">
        <v>251</v>
      </c>
      <c r="E178" s="46"/>
      <c r="F178" s="72">
        <f>SUM(F173:F176)</f>
        <v>0</v>
      </c>
      <c r="G178" s="72"/>
      <c r="H178" s="72"/>
      <c r="I178" s="72">
        <f>SUM(I173:I176)</f>
        <v>0</v>
      </c>
      <c r="J178" s="23" t="s">
        <v>426</v>
      </c>
      <c r="K178" s="122">
        <f>IF(F178=0,1,I178/F178)</f>
        <v>1</v>
      </c>
      <c r="L178" s="206" t="s">
        <v>426</v>
      </c>
      <c r="M178" s="124" t="s">
        <v>427</v>
      </c>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4">
      <c r="A179" s="23"/>
      <c r="B179" s="37"/>
      <c r="C179" s="37"/>
      <c r="D179" s="46"/>
      <c r="E179" s="46"/>
      <c r="F179" s="68"/>
      <c r="G179" s="68"/>
      <c r="H179" s="46"/>
      <c r="I179" s="46"/>
      <c r="J179" s="46"/>
      <c r="K179" s="124"/>
      <c r="L179" s="124"/>
      <c r="M179" s="124"/>
    </row>
    <row r="180" spans="1:64">
      <c r="A180" s="22">
        <v>12</v>
      </c>
      <c r="B180" s="7" t="s">
        <v>730</v>
      </c>
      <c r="C180" s="8"/>
      <c r="D180" s="45"/>
      <c r="E180" s="45"/>
      <c r="F180" s="45"/>
      <c r="G180" s="45"/>
      <c r="H180" s="45"/>
      <c r="I180" s="45"/>
      <c r="J180" s="45"/>
      <c r="L180" s="45"/>
      <c r="M180" s="8"/>
      <c r="BL180" s="4"/>
    </row>
    <row r="181" spans="1:64">
      <c r="A181" s="22">
        <v>13</v>
      </c>
      <c r="B181" s="8"/>
      <c r="C181" s="8"/>
      <c r="D181" s="45"/>
      <c r="E181" s="45"/>
      <c r="F181" s="45"/>
      <c r="G181" s="45"/>
      <c r="H181" s="45"/>
      <c r="I181" s="45"/>
      <c r="J181" s="45"/>
      <c r="K181" s="29"/>
      <c r="L181" s="45"/>
      <c r="M181" s="8"/>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2" spans="1:64">
      <c r="A182" s="22">
        <v>14</v>
      </c>
      <c r="B182" s="8"/>
      <c r="C182" s="8"/>
      <c r="D182" s="45"/>
      <c r="E182" s="45"/>
      <c r="F182" s="92" t="s">
        <v>423</v>
      </c>
      <c r="G182" s="92"/>
      <c r="H182" s="92" t="s">
        <v>431</v>
      </c>
      <c r="I182" s="29" t="s">
        <v>434</v>
      </c>
      <c r="J182" s="45"/>
      <c r="K182" s="92" t="s">
        <v>430</v>
      </c>
      <c r="L182" s="45"/>
      <c r="M182" s="8"/>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row>
    <row r="183" spans="1:64">
      <c r="A183" s="22">
        <v>15</v>
      </c>
      <c r="B183" s="8" t="s">
        <v>731</v>
      </c>
      <c r="C183" s="8"/>
      <c r="D183" s="45" t="s">
        <v>732</v>
      </c>
      <c r="E183" s="45"/>
      <c r="F183" s="116">
        <f>'Attachment 5'!F21</f>
        <v>68080769.230769232</v>
      </c>
      <c r="G183" s="68"/>
      <c r="H183" s="93">
        <f>'Attachment 5'!G21</f>
        <v>0.45250051363210347</v>
      </c>
      <c r="I183" s="94">
        <f>'Attachment 5'!H21</f>
        <v>2.9908847285464099E-2</v>
      </c>
      <c r="J183" s="45"/>
      <c r="K183" s="94">
        <f>'Attachment 5'!I21</f>
        <v>1.3533768758816648E-2</v>
      </c>
      <c r="L183" s="29" t="s">
        <v>426</v>
      </c>
      <c r="M183" s="8" t="s">
        <v>432</v>
      </c>
      <c r="BL183" s="4"/>
    </row>
    <row r="184" spans="1:64">
      <c r="A184" s="22">
        <v>16</v>
      </c>
      <c r="B184" s="8" t="s">
        <v>733</v>
      </c>
      <c r="C184" s="8"/>
      <c r="D184" s="45" t="s">
        <v>732</v>
      </c>
      <c r="E184" s="45"/>
      <c r="F184" s="116">
        <f>'Attachment 5'!F22</f>
        <v>0</v>
      </c>
      <c r="G184" s="68"/>
      <c r="H184" s="93">
        <f>'Attachment 5'!G22</f>
        <v>0</v>
      </c>
      <c r="I184" s="94">
        <f>'Attachment 5'!H22</f>
        <v>0</v>
      </c>
      <c r="J184" s="45"/>
      <c r="K184" s="95">
        <f>'Attachment 5'!I22</f>
        <v>0</v>
      </c>
      <c r="L184" s="29"/>
      <c r="M184" s="8"/>
      <c r="BL184" s="4"/>
    </row>
    <row r="185" spans="1:64">
      <c r="A185" s="22">
        <v>17</v>
      </c>
      <c r="B185" s="8" t="s">
        <v>734</v>
      </c>
      <c r="C185" s="8"/>
      <c r="D185" s="45" t="s">
        <v>735</v>
      </c>
      <c r="E185" s="45"/>
      <c r="F185" s="448">
        <f>'Attachment 5'!F23</f>
        <v>82373798.620000005</v>
      </c>
      <c r="G185" s="79"/>
      <c r="H185" s="96">
        <f>'Attachment 5'!G23</f>
        <v>0.54749948636789669</v>
      </c>
      <c r="I185" s="94">
        <f>'Attachment 5'!H23</f>
        <v>9.8500000000000004E-2</v>
      </c>
      <c r="J185" s="45"/>
      <c r="K185" s="97">
        <f>'Attachment 5'!I23</f>
        <v>5.3928699407237823E-2</v>
      </c>
      <c r="L185" s="29"/>
      <c r="M185" s="8"/>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row>
    <row r="186" spans="1:64">
      <c r="A186" s="22"/>
      <c r="B186" s="8"/>
      <c r="C186" s="8"/>
      <c r="D186" s="45"/>
      <c r="E186" s="45"/>
      <c r="F186" s="116"/>
      <c r="G186" s="45"/>
      <c r="H186" s="45"/>
      <c r="I186" s="45"/>
      <c r="J186" s="45"/>
      <c r="K186" s="98"/>
      <c r="L186" s="29"/>
      <c r="M186" s="8"/>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row>
    <row r="187" spans="1:64">
      <c r="A187" s="34">
        <v>18</v>
      </c>
      <c r="B187" s="13" t="s">
        <v>736</v>
      </c>
      <c r="C187" s="13"/>
      <c r="D187" s="56" t="s">
        <v>737</v>
      </c>
      <c r="E187" s="56"/>
      <c r="F187" s="116">
        <f>SUM(F183:F185)</f>
        <v>150454567.85076922</v>
      </c>
      <c r="G187" s="68"/>
      <c r="H187" s="56"/>
      <c r="I187" s="56"/>
      <c r="J187" s="56"/>
      <c r="K187" s="99">
        <f>SUM(K183:K185)</f>
        <v>6.7462468166054473E-2</v>
      </c>
      <c r="L187" s="100" t="s">
        <v>426</v>
      </c>
      <c r="M187" s="13" t="s">
        <v>433</v>
      </c>
      <c r="BL187" s="4"/>
    </row>
    <row r="188" spans="1:64">
      <c r="A188" s="34"/>
      <c r="B188" s="13"/>
      <c r="C188" s="13"/>
      <c r="D188" s="56"/>
      <c r="E188" s="56"/>
      <c r="F188" s="56"/>
      <c r="G188" s="56"/>
      <c r="H188" s="56"/>
      <c r="I188" s="56"/>
      <c r="J188" s="56"/>
      <c r="K188" s="99"/>
      <c r="L188" s="55"/>
      <c r="M188" s="13"/>
      <c r="BL188" s="4"/>
    </row>
    <row r="189" spans="1:64">
      <c r="A189" s="22">
        <v>19</v>
      </c>
      <c r="B189" s="8" t="s">
        <v>613</v>
      </c>
      <c r="C189" s="8"/>
      <c r="D189" s="45"/>
      <c r="E189" s="45"/>
      <c r="F189" s="45"/>
      <c r="G189" s="45"/>
      <c r="H189" s="45"/>
      <c r="I189" s="45"/>
      <c r="J189" s="45"/>
      <c r="K189" s="89" t="s">
        <v>423</v>
      </c>
      <c r="L189" s="45"/>
      <c r="M189" s="8"/>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row>
    <row r="190" spans="1:64">
      <c r="A190" s="22"/>
      <c r="B190" s="8"/>
      <c r="C190" s="8"/>
      <c r="D190" s="45"/>
      <c r="E190" s="45"/>
      <c r="F190" s="45"/>
      <c r="G190" s="45"/>
      <c r="H190" s="45"/>
      <c r="I190" s="45"/>
      <c r="J190" s="45"/>
      <c r="K190" s="45"/>
      <c r="L190" s="45"/>
      <c r="M190" s="8"/>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row>
    <row r="191" spans="1:64">
      <c r="A191" s="34">
        <v>20</v>
      </c>
      <c r="B191" s="8" t="s">
        <v>738</v>
      </c>
      <c r="C191" s="8"/>
      <c r="D191" s="101" t="s">
        <v>547</v>
      </c>
      <c r="E191" s="56"/>
      <c r="F191" s="45"/>
      <c r="G191" s="45"/>
      <c r="H191" s="45"/>
      <c r="I191" s="45"/>
      <c r="J191" s="45"/>
      <c r="K191" s="68">
        <f>'Attachment 12'!F17</f>
        <v>0</v>
      </c>
      <c r="L191" s="45"/>
      <c r="M191" s="8"/>
      <c r="BL191" s="4"/>
    </row>
    <row r="192" spans="1:64" s="107" customFormat="1">
      <c r="A192" s="102"/>
      <c r="B192" s="103"/>
      <c r="C192" s="103"/>
      <c r="D192" s="104"/>
      <c r="E192" s="104"/>
      <c r="F192" s="105"/>
      <c r="G192" s="105"/>
      <c r="H192" s="105"/>
      <c r="I192" s="105"/>
      <c r="J192" s="105"/>
      <c r="K192" s="105"/>
      <c r="L192" s="105"/>
      <c r="M192" s="103"/>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106"/>
    </row>
    <row r="193" spans="1:64">
      <c r="A193" s="34">
        <v>21</v>
      </c>
      <c r="B193" s="8" t="s">
        <v>739</v>
      </c>
      <c r="C193" s="8"/>
      <c r="D193" s="101" t="s">
        <v>548</v>
      </c>
      <c r="E193" s="56"/>
      <c r="F193" s="45"/>
      <c r="G193" s="45"/>
      <c r="H193" s="45"/>
      <c r="I193" s="45"/>
      <c r="J193" s="45"/>
      <c r="K193" s="68">
        <f>'Attachment 12'!F28</f>
        <v>0</v>
      </c>
      <c r="L193" s="45"/>
      <c r="M193" s="8"/>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row>
    <row r="194" spans="1:64">
      <c r="A194" s="108"/>
      <c r="B194" s="8"/>
      <c r="C194" s="8"/>
      <c r="D194" s="8"/>
      <c r="E194" s="8"/>
      <c r="F194" s="8"/>
      <c r="G194" s="8"/>
      <c r="H194" s="8"/>
      <c r="I194" s="8"/>
      <c r="J194" s="8"/>
      <c r="K194" s="8"/>
      <c r="L194" s="8"/>
      <c r="M194" s="8"/>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row>
    <row r="195" spans="1:64">
      <c r="B195" s="2" t="s">
        <v>400</v>
      </c>
      <c r="C195" s="2"/>
      <c r="M195" s="109" t="s">
        <v>435</v>
      </c>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row>
    <row r="196" spans="1:64">
      <c r="A196" s="604" t="s">
        <v>441</v>
      </c>
      <c r="B196" s="604"/>
      <c r="C196" s="604"/>
      <c r="D196" s="604"/>
      <c r="E196" s="604"/>
      <c r="F196" s="604"/>
      <c r="G196" s="604"/>
      <c r="H196" s="604"/>
      <c r="I196" s="604"/>
      <c r="J196" s="604"/>
      <c r="K196" s="604"/>
      <c r="L196" s="604"/>
      <c r="M196" s="60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row>
    <row r="197" spans="1:64">
      <c r="A197" s="604" t="s">
        <v>609</v>
      </c>
      <c r="B197" s="604"/>
      <c r="C197" s="604"/>
      <c r="D197" s="604"/>
      <c r="E197" s="604"/>
      <c r="F197" s="604"/>
      <c r="G197" s="604"/>
      <c r="H197" s="604"/>
      <c r="I197" s="604"/>
      <c r="J197" s="604"/>
      <c r="K197" s="604"/>
      <c r="L197" s="604"/>
      <c r="M197" s="60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row>
    <row r="198" spans="1:64">
      <c r="A198" s="605" t="str">
        <f>+A156</f>
        <v>Silver Run Electric, LLC</v>
      </c>
      <c r="B198" s="606"/>
      <c r="C198" s="606"/>
      <c r="D198" s="606"/>
      <c r="E198" s="606"/>
      <c r="F198" s="606"/>
      <c r="G198" s="606"/>
      <c r="H198" s="606"/>
      <c r="I198" s="606"/>
      <c r="J198" s="606"/>
      <c r="K198" s="606"/>
      <c r="L198" s="606"/>
      <c r="M198" s="606"/>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row>
    <row r="199" spans="1:64">
      <c r="M199" s="41" t="str">
        <f>$M$5</f>
        <v>For the 12 months ended</v>
      </c>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row>
    <row r="200" spans="1:64">
      <c r="M200" s="323">
        <f>$M$6</f>
        <v>44926</v>
      </c>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row>
    <row r="201" spans="1:64">
      <c r="M201" s="7"/>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row>
    <row r="202" spans="1:64">
      <c r="A202" s="20"/>
      <c r="B202" s="1" t="s">
        <v>740</v>
      </c>
    </row>
    <row r="203" spans="1:64">
      <c r="A203" s="46"/>
      <c r="B203" s="46" t="s">
        <v>741</v>
      </c>
      <c r="C203" s="46"/>
      <c r="D203" s="46"/>
      <c r="E203" s="46"/>
      <c r="F203" s="46"/>
      <c r="G203" s="46"/>
      <c r="H203" s="46"/>
      <c r="I203" s="46"/>
      <c r="J203" s="46"/>
      <c r="K203" s="46"/>
      <c r="L203" s="46"/>
      <c r="M203" s="46"/>
    </row>
    <row r="204" spans="1:64">
      <c r="A204" s="46"/>
      <c r="B204" s="46"/>
      <c r="C204" s="46"/>
      <c r="D204" s="46"/>
      <c r="E204" s="46"/>
      <c r="F204" s="46"/>
      <c r="G204" s="46"/>
      <c r="H204" s="46"/>
      <c r="I204" s="46"/>
      <c r="J204" s="46"/>
      <c r="K204" s="46"/>
      <c r="L204" s="46"/>
      <c r="M204" s="46"/>
    </row>
    <row r="205" spans="1:64">
      <c r="A205" s="92" t="s">
        <v>742</v>
      </c>
      <c r="B205" s="46"/>
      <c r="C205" s="46"/>
      <c r="D205" s="46"/>
      <c r="E205" s="46"/>
      <c r="F205" s="46"/>
      <c r="G205" s="46"/>
      <c r="H205" s="46"/>
      <c r="I205" s="46"/>
      <c r="J205" s="46"/>
      <c r="K205" s="46"/>
      <c r="L205" s="46"/>
      <c r="M205" s="46"/>
    </row>
    <row r="206" spans="1:64" ht="24.75" customHeight="1">
      <c r="A206" s="29" t="s">
        <v>424</v>
      </c>
      <c r="B206" s="608" t="s">
        <v>767</v>
      </c>
      <c r="C206" s="608"/>
      <c r="D206" s="608"/>
      <c r="E206" s="608"/>
      <c r="F206" s="608"/>
      <c r="G206" s="608"/>
      <c r="H206" s="608"/>
      <c r="I206" s="608"/>
      <c r="J206" s="608"/>
      <c r="K206" s="608"/>
      <c r="L206" s="608"/>
      <c r="M206" s="608"/>
    </row>
    <row r="207" spans="1:64">
      <c r="A207" s="29" t="s">
        <v>436</v>
      </c>
      <c r="B207" s="616" t="s">
        <v>437</v>
      </c>
      <c r="C207" s="616"/>
      <c r="D207" s="616"/>
      <c r="E207" s="616"/>
      <c r="F207" s="616"/>
      <c r="G207" s="616"/>
      <c r="H207" s="616"/>
      <c r="I207" s="616"/>
      <c r="J207" s="616"/>
      <c r="K207" s="616"/>
      <c r="L207" s="616"/>
      <c r="M207" s="616"/>
    </row>
    <row r="208" spans="1:64">
      <c r="A208" s="29" t="s">
        <v>439</v>
      </c>
      <c r="B208" s="603" t="s">
        <v>438</v>
      </c>
      <c r="C208" s="603"/>
      <c r="D208" s="603"/>
      <c r="E208" s="603"/>
      <c r="F208" s="603"/>
      <c r="G208" s="603"/>
      <c r="H208" s="603"/>
      <c r="I208" s="603"/>
      <c r="J208" s="603"/>
      <c r="K208" s="603"/>
      <c r="L208" s="603"/>
      <c r="M208" s="603"/>
    </row>
    <row r="209" spans="1:13" ht="62.25" customHeight="1">
      <c r="A209" s="29" t="s">
        <v>440</v>
      </c>
      <c r="B209" s="613" t="s">
        <v>804</v>
      </c>
      <c r="C209" s="613"/>
      <c r="D209" s="613"/>
      <c r="E209" s="613"/>
      <c r="F209" s="613"/>
      <c r="G209" s="613"/>
      <c r="H209" s="613"/>
      <c r="I209" s="613"/>
      <c r="J209" s="613"/>
      <c r="K209" s="613"/>
      <c r="L209" s="613"/>
      <c r="M209" s="613"/>
    </row>
    <row r="210" spans="1:13" ht="39" customHeight="1">
      <c r="A210" s="29" t="s">
        <v>484</v>
      </c>
      <c r="B210" s="608" t="s">
        <v>608</v>
      </c>
      <c r="C210" s="608"/>
      <c r="D210" s="608"/>
      <c r="E210" s="608"/>
      <c r="F210" s="608"/>
      <c r="G210" s="608"/>
      <c r="H210" s="608"/>
      <c r="I210" s="608"/>
      <c r="J210" s="608"/>
      <c r="K210" s="608"/>
      <c r="L210" s="608"/>
      <c r="M210" s="608"/>
    </row>
    <row r="211" spans="1:13" ht="27.75" customHeight="1">
      <c r="A211" s="29" t="s">
        <v>485</v>
      </c>
      <c r="B211" s="608" t="s">
        <v>394</v>
      </c>
      <c r="C211" s="608"/>
      <c r="D211" s="608"/>
      <c r="E211" s="608"/>
      <c r="F211" s="608"/>
      <c r="G211" s="608"/>
      <c r="H211" s="608"/>
      <c r="I211" s="608"/>
      <c r="J211" s="608"/>
      <c r="K211" s="608"/>
      <c r="L211" s="608"/>
      <c r="M211" s="608"/>
    </row>
    <row r="212" spans="1:13">
      <c r="A212" s="29" t="s">
        <v>486</v>
      </c>
      <c r="B212" s="616" t="s">
        <v>482</v>
      </c>
      <c r="C212" s="616"/>
      <c r="D212" s="616"/>
      <c r="E212" s="616"/>
      <c r="F212" s="616"/>
      <c r="G212" s="616"/>
      <c r="H212" s="616"/>
      <c r="I212" s="616"/>
      <c r="J212" s="616"/>
      <c r="K212" s="616"/>
      <c r="L212" s="616"/>
      <c r="M212" s="616"/>
    </row>
    <row r="213" spans="1:13" ht="26.25" customHeight="1">
      <c r="A213" s="29" t="s">
        <v>487</v>
      </c>
      <c r="B213" s="608" t="s">
        <v>2</v>
      </c>
      <c r="C213" s="608"/>
      <c r="D213" s="608"/>
      <c r="E213" s="608"/>
      <c r="F213" s="608"/>
      <c r="G213" s="608"/>
      <c r="H213" s="608"/>
      <c r="I213" s="608"/>
      <c r="J213" s="608"/>
      <c r="K213" s="608"/>
      <c r="L213" s="608"/>
      <c r="M213" s="608"/>
    </row>
    <row r="214" spans="1:13" ht="26.25" customHeight="1">
      <c r="A214" s="29" t="s">
        <v>488</v>
      </c>
      <c r="B214" s="608" t="s">
        <v>0</v>
      </c>
      <c r="C214" s="608"/>
      <c r="D214" s="608"/>
      <c r="E214" s="608"/>
      <c r="F214" s="608"/>
      <c r="G214" s="608"/>
      <c r="H214" s="608"/>
      <c r="I214" s="608"/>
      <c r="J214" s="608"/>
      <c r="K214" s="608"/>
      <c r="L214" s="608"/>
      <c r="M214" s="608"/>
    </row>
    <row r="215" spans="1:13" ht="27" customHeight="1">
      <c r="A215" s="29" t="s">
        <v>489</v>
      </c>
      <c r="B215" s="608" t="s">
        <v>768</v>
      </c>
      <c r="C215" s="608"/>
      <c r="D215" s="608"/>
      <c r="E215" s="608"/>
      <c r="F215" s="608"/>
      <c r="G215" s="608"/>
      <c r="H215" s="608"/>
      <c r="I215" s="608"/>
      <c r="J215" s="608"/>
      <c r="K215" s="608"/>
      <c r="L215" s="608"/>
      <c r="M215" s="608"/>
    </row>
    <row r="216" spans="1:13">
      <c r="A216" s="29" t="s">
        <v>490</v>
      </c>
      <c r="B216" s="609" t="s">
        <v>483</v>
      </c>
      <c r="C216" s="609"/>
      <c r="D216" s="609"/>
      <c r="E216" s="609"/>
      <c r="F216" s="609"/>
      <c r="G216" s="609"/>
      <c r="H216" s="609"/>
      <c r="I216" s="609"/>
      <c r="J216" s="609"/>
      <c r="K216" s="609"/>
      <c r="L216" s="609"/>
      <c r="M216" s="609"/>
    </row>
    <row r="217" spans="1:13" ht="52.5" customHeight="1">
      <c r="A217" s="110" t="s">
        <v>491</v>
      </c>
      <c r="B217" s="610" t="s">
        <v>606</v>
      </c>
      <c r="C217" s="610"/>
      <c r="D217" s="610"/>
      <c r="E217" s="610"/>
      <c r="F217" s="610"/>
      <c r="G217" s="610"/>
      <c r="H217" s="610"/>
      <c r="I217" s="610"/>
      <c r="J217" s="610"/>
      <c r="K217" s="610"/>
      <c r="L217" s="610"/>
      <c r="M217" s="610"/>
    </row>
    <row r="218" spans="1:13" ht="30" customHeight="1">
      <c r="A218" s="29" t="s">
        <v>492</v>
      </c>
      <c r="B218" s="610" t="s">
        <v>805</v>
      </c>
      <c r="C218" s="610"/>
      <c r="D218" s="610"/>
      <c r="E218" s="610"/>
      <c r="F218" s="610"/>
      <c r="G218" s="610"/>
      <c r="H218" s="610"/>
      <c r="I218" s="610"/>
      <c r="J218" s="610"/>
      <c r="K218" s="610"/>
      <c r="L218" s="610"/>
      <c r="M218" s="610"/>
    </row>
    <row r="219" spans="1:13">
      <c r="A219" s="46"/>
      <c r="B219" s="121" t="s">
        <v>504</v>
      </c>
      <c r="C219" s="121"/>
      <c r="D219" s="119" t="s">
        <v>505</v>
      </c>
      <c r="E219" s="119"/>
      <c r="F219" s="111">
        <f>'WP2 - Tax Rates'!K26</f>
        <v>0.21</v>
      </c>
      <c r="G219" s="123"/>
      <c r="H219" s="45" t="s">
        <v>752</v>
      </c>
      <c r="I219" s="119"/>
      <c r="J219" s="119"/>
      <c r="K219" s="119"/>
      <c r="L219" s="119"/>
      <c r="M219" s="119"/>
    </row>
    <row r="220" spans="1:13">
      <c r="A220" s="46"/>
      <c r="B220" s="121"/>
      <c r="C220" s="124"/>
      <c r="D220" s="119" t="s">
        <v>506</v>
      </c>
      <c r="E220" s="119"/>
      <c r="F220" s="111">
        <f>'WP2 - Tax Rates'!K31</f>
        <v>8.8200000000000001E-2</v>
      </c>
      <c r="G220" s="123"/>
      <c r="H220" s="45" t="s">
        <v>753</v>
      </c>
      <c r="I220" s="119"/>
      <c r="J220" s="119"/>
      <c r="K220" s="119"/>
      <c r="L220" s="119"/>
      <c r="M220" s="119"/>
    </row>
    <row r="221" spans="1:13">
      <c r="A221" s="46"/>
      <c r="B221" s="121"/>
      <c r="C221" s="121"/>
      <c r="D221" s="119" t="s">
        <v>507</v>
      </c>
      <c r="E221" s="119"/>
      <c r="F221" s="111">
        <v>0</v>
      </c>
      <c r="G221" s="123"/>
      <c r="H221" s="45" t="s">
        <v>754</v>
      </c>
      <c r="I221" s="119"/>
      <c r="J221" s="119"/>
      <c r="K221" s="119"/>
      <c r="L221" s="119"/>
      <c r="M221" s="119"/>
    </row>
    <row r="222" spans="1:13" ht="38.25" customHeight="1">
      <c r="A222" s="112" t="s">
        <v>493</v>
      </c>
      <c r="B222" s="610" t="s">
        <v>806</v>
      </c>
      <c r="C222" s="610"/>
      <c r="D222" s="610"/>
      <c r="E222" s="610"/>
      <c r="F222" s="610"/>
      <c r="G222" s="610"/>
      <c r="H222" s="610"/>
      <c r="I222" s="610"/>
      <c r="J222" s="610"/>
      <c r="K222" s="610"/>
      <c r="L222" s="610"/>
      <c r="M222" s="610"/>
    </row>
    <row r="223" spans="1:13">
      <c r="A223" s="29" t="s">
        <v>495</v>
      </c>
      <c r="B223" s="609" t="s">
        <v>494</v>
      </c>
      <c r="C223" s="609"/>
      <c r="D223" s="609"/>
      <c r="E223" s="609"/>
      <c r="F223" s="609"/>
      <c r="G223" s="609"/>
      <c r="H223" s="609"/>
      <c r="I223" s="609"/>
      <c r="J223" s="609"/>
      <c r="K223" s="609"/>
      <c r="L223" s="609"/>
      <c r="M223" s="609"/>
    </row>
    <row r="224" spans="1:13" ht="88.5" customHeight="1">
      <c r="A224" s="29" t="s">
        <v>496</v>
      </c>
      <c r="B224" s="610" t="s">
        <v>94</v>
      </c>
      <c r="C224" s="610"/>
      <c r="D224" s="610"/>
      <c r="E224" s="610"/>
      <c r="F224" s="610"/>
      <c r="G224" s="610"/>
      <c r="H224" s="610"/>
      <c r="I224" s="610"/>
      <c r="J224" s="610"/>
      <c r="K224" s="610"/>
      <c r="L224" s="610"/>
      <c r="M224" s="610"/>
    </row>
    <row r="225" spans="1:13" ht="10.5" customHeight="1">
      <c r="A225" s="29" t="s">
        <v>433</v>
      </c>
      <c r="B225" s="610" t="s">
        <v>819</v>
      </c>
      <c r="C225" s="610"/>
      <c r="D225" s="610"/>
      <c r="E225" s="610"/>
      <c r="F225" s="610"/>
      <c r="G225" s="610"/>
      <c r="H225" s="610"/>
      <c r="I225" s="610"/>
      <c r="J225" s="610"/>
      <c r="K225" s="610"/>
      <c r="L225" s="610"/>
      <c r="M225" s="610"/>
    </row>
    <row r="226" spans="1:13" ht="27.75" customHeight="1">
      <c r="A226" s="29" t="s">
        <v>500</v>
      </c>
      <c r="B226" s="608" t="s">
        <v>497</v>
      </c>
      <c r="C226" s="608"/>
      <c r="D226" s="608"/>
      <c r="E226" s="608"/>
      <c r="F226" s="608"/>
      <c r="G226" s="608"/>
      <c r="H226" s="608"/>
      <c r="I226" s="608"/>
      <c r="J226" s="608"/>
      <c r="K226" s="608"/>
      <c r="L226" s="608"/>
      <c r="M226" s="608"/>
    </row>
    <row r="227" spans="1:13" ht="99" customHeight="1">
      <c r="A227" s="29" t="s">
        <v>501</v>
      </c>
      <c r="B227" s="608" t="s">
        <v>769</v>
      </c>
      <c r="C227" s="608"/>
      <c r="D227" s="608"/>
      <c r="E227" s="608"/>
      <c r="F227" s="608"/>
      <c r="G227" s="608"/>
      <c r="H227" s="608"/>
      <c r="I227" s="608"/>
      <c r="J227" s="608"/>
      <c r="K227" s="608"/>
      <c r="L227" s="608"/>
      <c r="M227" s="608"/>
    </row>
    <row r="228" spans="1:13">
      <c r="A228" s="29" t="s">
        <v>502</v>
      </c>
      <c r="B228" s="616" t="s">
        <v>498</v>
      </c>
      <c r="C228" s="616"/>
      <c r="D228" s="616"/>
      <c r="E228" s="616"/>
      <c r="F228" s="616"/>
      <c r="G228" s="616"/>
      <c r="H228" s="616"/>
      <c r="I228" s="616"/>
      <c r="J228" s="616"/>
      <c r="K228" s="616"/>
      <c r="L228" s="616"/>
      <c r="M228" s="616"/>
    </row>
    <row r="229" spans="1:13">
      <c r="A229" s="29" t="s">
        <v>503</v>
      </c>
      <c r="B229" s="616" t="s">
        <v>499</v>
      </c>
      <c r="C229" s="616"/>
      <c r="D229" s="616"/>
      <c r="E229" s="616"/>
      <c r="F229" s="616"/>
      <c r="G229" s="616"/>
      <c r="H229" s="616"/>
      <c r="I229" s="616"/>
      <c r="J229" s="616"/>
      <c r="K229" s="616"/>
      <c r="L229" s="616"/>
      <c r="M229" s="616"/>
    </row>
    <row r="230" spans="1:13" ht="25.5" customHeight="1">
      <c r="A230" s="29" t="s">
        <v>95</v>
      </c>
      <c r="B230" s="608" t="s">
        <v>97</v>
      </c>
      <c r="C230" s="608"/>
      <c r="D230" s="608"/>
      <c r="E230" s="608"/>
      <c r="F230" s="608"/>
      <c r="G230" s="608"/>
      <c r="H230" s="608"/>
      <c r="I230" s="608"/>
      <c r="J230" s="608"/>
      <c r="K230" s="608"/>
      <c r="L230" s="608"/>
      <c r="M230" s="608"/>
    </row>
    <row r="231" spans="1:13" ht="23.25" customHeight="1">
      <c r="A231" s="312" t="s">
        <v>750</v>
      </c>
      <c r="B231" s="608" t="s">
        <v>751</v>
      </c>
      <c r="C231" s="608"/>
      <c r="D231" s="608"/>
      <c r="E231" s="608"/>
      <c r="F231" s="608"/>
      <c r="G231" s="608"/>
      <c r="H231" s="608"/>
      <c r="I231" s="608"/>
      <c r="J231" s="608"/>
      <c r="K231" s="608"/>
      <c r="L231" s="608"/>
      <c r="M231" s="608"/>
    </row>
    <row r="232" spans="1:13" ht="131.25" customHeight="1">
      <c r="A232" s="312"/>
      <c r="B232" s="608"/>
      <c r="C232" s="608"/>
      <c r="D232" s="608"/>
      <c r="E232" s="608"/>
      <c r="F232" s="608"/>
      <c r="G232" s="608"/>
      <c r="H232" s="608"/>
      <c r="I232" s="608"/>
      <c r="J232" s="608"/>
      <c r="K232" s="608"/>
      <c r="L232" s="608"/>
      <c r="M232" s="608"/>
    </row>
  </sheetData>
  <mergeCells count="44">
    <mergeCell ref="B231:M231"/>
    <mergeCell ref="B232:M232"/>
    <mergeCell ref="A197:M197"/>
    <mergeCell ref="A198:M198"/>
    <mergeCell ref="B213:M213"/>
    <mergeCell ref="B212:M212"/>
    <mergeCell ref="B207:M207"/>
    <mergeCell ref="B214:M214"/>
    <mergeCell ref="B215:M215"/>
    <mergeCell ref="B230:M230"/>
    <mergeCell ref="B224:M224"/>
    <mergeCell ref="B211:M211"/>
    <mergeCell ref="B225:M225"/>
    <mergeCell ref="B227:M227"/>
    <mergeCell ref="B218:M218"/>
    <mergeCell ref="B222:M222"/>
    <mergeCell ref="B228:M228"/>
    <mergeCell ref="B229:M229"/>
    <mergeCell ref="B226:M226"/>
    <mergeCell ref="B223:M223"/>
    <mergeCell ref="B216:M216"/>
    <mergeCell ref="B217:M217"/>
    <mergeCell ref="A2:M2"/>
    <mergeCell ref="A3:M3"/>
    <mergeCell ref="A4:M4"/>
    <mergeCell ref="H13:I13"/>
    <mergeCell ref="A33:M33"/>
    <mergeCell ref="D110:D111"/>
    <mergeCell ref="B209:M209"/>
    <mergeCell ref="B210:M210"/>
    <mergeCell ref="A34:M34"/>
    <mergeCell ref="A35:M35"/>
    <mergeCell ref="A156:M156"/>
    <mergeCell ref="B161:K161"/>
    <mergeCell ref="H40:I40"/>
    <mergeCell ref="A85:M85"/>
    <mergeCell ref="B208:M208"/>
    <mergeCell ref="A86:M86"/>
    <mergeCell ref="A87:M87"/>
    <mergeCell ref="H92:I92"/>
    <mergeCell ref="A154:M154"/>
    <mergeCell ref="A155:M155"/>
    <mergeCell ref="B206:M206"/>
    <mergeCell ref="A196:M196"/>
  </mergeCells>
  <phoneticPr fontId="0" type="noConversion"/>
  <printOptions horizontalCentered="1"/>
  <pageMargins left="0.5" right="0.5" top="0.75" bottom="0.75" header="0.3" footer="0.3"/>
  <pageSetup scale="57" orientation="landscape" r:id="rId1"/>
  <rowBreaks count="5" manualBreakCount="5">
    <brk id="31" max="16383" man="1"/>
    <brk id="83" max="12" man="1"/>
    <brk id="152" max="12" man="1"/>
    <brk id="194" max="16383" man="1"/>
    <brk id="23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Normal="100" zoomScaleSheetLayoutView="100" workbookViewId="0">
      <selection activeCell="B8" sqref="B8:I8"/>
    </sheetView>
  </sheetViews>
  <sheetFormatPr defaultColWidth="9.33203125" defaultRowHeight="12"/>
  <cols>
    <col min="1" max="1" width="9.33203125" style="321"/>
    <col min="2" max="2" width="50.6640625" style="321" customWidth="1"/>
    <col min="3" max="3" width="10.1640625" style="321" customWidth="1"/>
    <col min="4" max="4" width="17" style="321" customWidth="1"/>
    <col min="5" max="5" width="13" style="321" customWidth="1"/>
    <col min="6" max="6" width="17.5" style="321" customWidth="1"/>
    <col min="7" max="7" width="17.6640625" style="321" customWidth="1"/>
    <col min="8" max="8" width="17.33203125" style="321" customWidth="1"/>
    <col min="9" max="9" width="15.33203125" style="321" customWidth="1"/>
    <col min="10" max="16384" width="9.33203125" style="321"/>
  </cols>
  <sheetData>
    <row r="1" spans="1:19">
      <c r="A1" s="129"/>
      <c r="B1" s="129"/>
      <c r="G1" s="8"/>
      <c r="I1" s="40" t="s">
        <v>67</v>
      </c>
      <c r="M1" s="314"/>
    </row>
    <row r="2" spans="1:19">
      <c r="A2" s="129"/>
      <c r="B2" s="129"/>
      <c r="G2" s="8"/>
      <c r="I2" s="128" t="s">
        <v>821</v>
      </c>
      <c r="M2" s="314"/>
    </row>
    <row r="3" spans="1:19">
      <c r="A3" s="604" t="s">
        <v>243</v>
      </c>
      <c r="B3" s="604"/>
      <c r="C3" s="604"/>
      <c r="D3" s="604"/>
      <c r="E3" s="604"/>
      <c r="F3" s="604"/>
      <c r="G3" s="604"/>
      <c r="H3" s="604"/>
      <c r="I3" s="604"/>
    </row>
    <row r="4" spans="1:19">
      <c r="A4" s="604" t="s">
        <v>242</v>
      </c>
      <c r="B4" s="604"/>
      <c r="C4" s="604"/>
      <c r="D4" s="604"/>
      <c r="E4" s="604"/>
      <c r="F4" s="604"/>
      <c r="G4" s="604"/>
      <c r="H4" s="604"/>
      <c r="I4" s="604"/>
    </row>
    <row r="5" spans="1:19">
      <c r="A5" s="605" t="s">
        <v>743</v>
      </c>
      <c r="B5" s="606"/>
      <c r="C5" s="606"/>
      <c r="D5" s="606"/>
      <c r="E5" s="606"/>
      <c r="F5" s="606"/>
      <c r="G5" s="606"/>
      <c r="H5" s="606"/>
      <c r="I5" s="606"/>
    </row>
    <row r="7" spans="1:19" ht="25.5" customHeight="1">
      <c r="B7" s="621" t="s">
        <v>469</v>
      </c>
      <c r="C7" s="621"/>
      <c r="D7" s="621"/>
      <c r="E7" s="621"/>
      <c r="F7" s="621"/>
      <c r="G7" s="621"/>
      <c r="H7" s="621"/>
      <c r="I7" s="621"/>
    </row>
    <row r="8" spans="1:19" ht="27" customHeight="1">
      <c r="B8" s="618" t="s">
        <v>244</v>
      </c>
      <c r="C8" s="618"/>
      <c r="D8" s="618"/>
      <c r="E8" s="618"/>
      <c r="F8" s="618"/>
      <c r="G8" s="618"/>
      <c r="H8" s="618"/>
      <c r="I8" s="618"/>
    </row>
    <row r="9" spans="1:19" ht="27" customHeight="1">
      <c r="B9" s="641" t="s">
        <v>245</v>
      </c>
      <c r="C9" s="641"/>
      <c r="D9" s="641"/>
      <c r="E9" s="641"/>
      <c r="F9" s="641"/>
      <c r="G9" s="641"/>
      <c r="H9" s="641"/>
      <c r="I9" s="641"/>
    </row>
    <row r="10" spans="1:19">
      <c r="B10" s="618" t="s">
        <v>246</v>
      </c>
      <c r="C10" s="618"/>
      <c r="D10" s="618"/>
      <c r="E10" s="618"/>
      <c r="F10" s="618"/>
      <c r="G10" s="618"/>
      <c r="H10" s="618"/>
      <c r="I10" s="618"/>
    </row>
    <row r="11" spans="1:19" ht="22.5" customHeight="1">
      <c r="B11" s="618" t="s">
        <v>247</v>
      </c>
      <c r="C11" s="618"/>
      <c r="D11" s="618"/>
      <c r="E11" s="618"/>
      <c r="F11" s="618"/>
      <c r="G11" s="618"/>
      <c r="H11" s="618"/>
      <c r="I11" s="618"/>
      <c r="L11" s="618"/>
      <c r="M11" s="618"/>
      <c r="N11" s="618"/>
      <c r="O11" s="618"/>
      <c r="P11" s="618"/>
      <c r="Q11" s="618"/>
      <c r="R11" s="618"/>
      <c r="S11" s="618"/>
    </row>
    <row r="12" spans="1:19">
      <c r="B12" s="318"/>
      <c r="C12" s="318"/>
      <c r="D12" s="318"/>
      <c r="E12" s="318"/>
      <c r="F12" s="318"/>
      <c r="G12" s="318"/>
      <c r="H12" s="318"/>
      <c r="I12" s="318"/>
      <c r="L12" s="318"/>
      <c r="M12" s="318"/>
      <c r="N12" s="318"/>
      <c r="O12" s="318"/>
      <c r="P12" s="318"/>
      <c r="Q12" s="318"/>
      <c r="R12" s="318"/>
      <c r="S12" s="318"/>
    </row>
    <row r="13" spans="1:19">
      <c r="A13" s="314" t="s">
        <v>111</v>
      </c>
    </row>
    <row r="14" spans="1:19">
      <c r="A14" s="314">
        <v>1</v>
      </c>
      <c r="B14" s="321" t="s">
        <v>276</v>
      </c>
      <c r="D14" s="334" t="e">
        <f>I37</f>
        <v>#DIV/0!</v>
      </c>
    </row>
    <row r="15" spans="1:19">
      <c r="A15" s="314">
        <v>2</v>
      </c>
      <c r="B15" s="35" t="s">
        <v>277</v>
      </c>
      <c r="D15" s="382" t="e">
        <f>G57</f>
        <v>#DIV/0!</v>
      </c>
    </row>
    <row r="16" spans="1:19">
      <c r="A16" s="314">
        <v>3</v>
      </c>
      <c r="B16" s="350" t="s">
        <v>565</v>
      </c>
      <c r="D16" s="383" t="e">
        <f>D14+D15</f>
        <v>#DIV/0!</v>
      </c>
    </row>
    <row r="17" spans="1:11">
      <c r="A17" s="314"/>
    </row>
    <row r="18" spans="1:11">
      <c r="A18" s="314"/>
      <c r="B18" s="350" t="s">
        <v>275</v>
      </c>
    </row>
    <row r="19" spans="1:11">
      <c r="A19" s="314">
        <v>4</v>
      </c>
      <c r="B19" s="321" t="s">
        <v>278</v>
      </c>
      <c r="D19" s="339">
        <v>0</v>
      </c>
    </row>
    <row r="20" spans="1:11">
      <c r="A20" s="314">
        <v>5</v>
      </c>
      <c r="B20" s="321" t="s">
        <v>279</v>
      </c>
      <c r="D20" s="384">
        <v>0</v>
      </c>
      <c r="E20" s="20"/>
    </row>
    <row r="21" spans="1:11">
      <c r="A21" s="314"/>
      <c r="K21" s="7"/>
    </row>
    <row r="22" spans="1:11" ht="36">
      <c r="A22" s="314"/>
      <c r="B22" s="385" t="s">
        <v>280</v>
      </c>
      <c r="C22" s="319"/>
      <c r="D22" s="386" t="s">
        <v>274</v>
      </c>
      <c r="E22" s="386" t="s">
        <v>283</v>
      </c>
      <c r="F22" s="387" t="s">
        <v>287</v>
      </c>
      <c r="G22" s="386" t="s">
        <v>284</v>
      </c>
      <c r="H22" s="386" t="s">
        <v>285</v>
      </c>
      <c r="I22" s="386" t="s">
        <v>286</v>
      </c>
    </row>
    <row r="23" spans="1:11">
      <c r="A23" s="314"/>
      <c r="B23" s="319" t="s">
        <v>123</v>
      </c>
      <c r="C23" s="319"/>
      <c r="D23" s="319" t="s">
        <v>124</v>
      </c>
      <c r="E23" s="319" t="s">
        <v>281</v>
      </c>
      <c r="F23" s="319" t="s">
        <v>125</v>
      </c>
      <c r="G23" s="319" t="s">
        <v>282</v>
      </c>
      <c r="H23" s="319" t="s">
        <v>128</v>
      </c>
      <c r="I23" s="319" t="s">
        <v>129</v>
      </c>
    </row>
    <row r="24" spans="1:11">
      <c r="A24" s="314">
        <v>6</v>
      </c>
      <c r="B24" s="321" t="s">
        <v>139</v>
      </c>
      <c r="C24" s="319"/>
      <c r="D24" s="388">
        <v>0</v>
      </c>
      <c r="E24" s="388">
        <v>0</v>
      </c>
      <c r="F24" s="389">
        <f>D24-E24</f>
        <v>0</v>
      </c>
      <c r="G24" s="167">
        <f>F24*$D$19/12</f>
        <v>0</v>
      </c>
      <c r="H24" s="389">
        <f>E24*$D$20/12</f>
        <v>0</v>
      </c>
    </row>
    <row r="25" spans="1:11">
      <c r="A25" s="314">
        <v>7</v>
      </c>
      <c r="B25" s="321" t="s">
        <v>140</v>
      </c>
      <c r="C25" s="319"/>
      <c r="D25" s="388">
        <v>0</v>
      </c>
      <c r="E25" s="388">
        <v>0</v>
      </c>
      <c r="F25" s="389">
        <f t="shared" ref="F25:F36" si="0">D25-E25</f>
        <v>0</v>
      </c>
      <c r="G25" s="167">
        <f t="shared" ref="G25:G36" si="1">F25*$D$19/12</f>
        <v>0</v>
      </c>
      <c r="H25" s="389">
        <f t="shared" ref="H25:H36" si="2">E25*$D$20/12</f>
        <v>0</v>
      </c>
    </row>
    <row r="26" spans="1:11">
      <c r="A26" s="314">
        <v>8</v>
      </c>
      <c r="B26" s="321" t="s">
        <v>141</v>
      </c>
      <c r="C26" s="319"/>
      <c r="D26" s="388">
        <v>0</v>
      </c>
      <c r="E26" s="388">
        <v>0</v>
      </c>
      <c r="F26" s="389">
        <f t="shared" si="0"/>
        <v>0</v>
      </c>
      <c r="G26" s="167">
        <f t="shared" si="1"/>
        <v>0</v>
      </c>
      <c r="H26" s="389">
        <f t="shared" si="2"/>
        <v>0</v>
      </c>
    </row>
    <row r="27" spans="1:11">
      <c r="A27" s="314">
        <v>9</v>
      </c>
      <c r="B27" s="321" t="s">
        <v>142</v>
      </c>
      <c r="C27" s="319"/>
      <c r="D27" s="388">
        <v>0</v>
      </c>
      <c r="E27" s="388">
        <v>0</v>
      </c>
      <c r="F27" s="389">
        <f t="shared" si="0"/>
        <v>0</v>
      </c>
      <c r="G27" s="167">
        <f t="shared" si="1"/>
        <v>0</v>
      </c>
      <c r="H27" s="389">
        <f t="shared" si="2"/>
        <v>0</v>
      </c>
    </row>
    <row r="28" spans="1:11">
      <c r="A28" s="314">
        <v>10</v>
      </c>
      <c r="B28" s="321" t="s">
        <v>143</v>
      </c>
      <c r="C28" s="319"/>
      <c r="D28" s="388">
        <v>0</v>
      </c>
      <c r="E28" s="388">
        <v>0</v>
      </c>
      <c r="F28" s="389">
        <f t="shared" si="0"/>
        <v>0</v>
      </c>
      <c r="G28" s="167">
        <f t="shared" si="1"/>
        <v>0</v>
      </c>
      <c r="H28" s="389">
        <f t="shared" si="2"/>
        <v>0</v>
      </c>
    </row>
    <row r="29" spans="1:11">
      <c r="A29" s="314">
        <v>11</v>
      </c>
      <c r="B29" s="321" t="s">
        <v>144</v>
      </c>
      <c r="C29" s="319"/>
      <c r="D29" s="388">
        <v>0</v>
      </c>
      <c r="E29" s="388">
        <v>0</v>
      </c>
      <c r="F29" s="389">
        <f t="shared" si="0"/>
        <v>0</v>
      </c>
      <c r="G29" s="167">
        <f t="shared" si="1"/>
        <v>0</v>
      </c>
      <c r="H29" s="389">
        <f t="shared" si="2"/>
        <v>0</v>
      </c>
    </row>
    <row r="30" spans="1:11">
      <c r="A30" s="314">
        <v>12</v>
      </c>
      <c r="B30" s="321" t="s">
        <v>145</v>
      </c>
      <c r="C30" s="319"/>
      <c r="D30" s="291">
        <v>0</v>
      </c>
      <c r="E30" s="388">
        <v>0</v>
      </c>
      <c r="F30" s="389">
        <f t="shared" si="0"/>
        <v>0</v>
      </c>
      <c r="G30" s="167">
        <f t="shared" si="1"/>
        <v>0</v>
      </c>
      <c r="H30" s="389">
        <f t="shared" si="2"/>
        <v>0</v>
      </c>
    </row>
    <row r="31" spans="1:11">
      <c r="A31" s="314">
        <v>13</v>
      </c>
      <c r="B31" s="321" t="s">
        <v>146</v>
      </c>
      <c r="C31" s="319"/>
      <c r="D31" s="388">
        <v>0</v>
      </c>
      <c r="E31" s="388">
        <v>0</v>
      </c>
      <c r="F31" s="389">
        <f t="shared" si="0"/>
        <v>0</v>
      </c>
      <c r="G31" s="167">
        <f t="shared" si="1"/>
        <v>0</v>
      </c>
      <c r="H31" s="389">
        <f t="shared" si="2"/>
        <v>0</v>
      </c>
    </row>
    <row r="32" spans="1:11">
      <c r="A32" s="314">
        <v>14</v>
      </c>
      <c r="B32" s="321" t="s">
        <v>147</v>
      </c>
      <c r="C32" s="319"/>
      <c r="D32" s="388">
        <v>0</v>
      </c>
      <c r="E32" s="388">
        <v>0</v>
      </c>
      <c r="F32" s="389">
        <f t="shared" si="0"/>
        <v>0</v>
      </c>
      <c r="G32" s="167">
        <f t="shared" si="1"/>
        <v>0</v>
      </c>
      <c r="H32" s="389">
        <f t="shared" si="2"/>
        <v>0</v>
      </c>
    </row>
    <row r="33" spans="1:9">
      <c r="A33" s="314">
        <v>15</v>
      </c>
      <c r="B33" s="321" t="s">
        <v>148</v>
      </c>
      <c r="C33" s="319"/>
      <c r="D33" s="388">
        <v>0</v>
      </c>
      <c r="E33" s="388">
        <v>0</v>
      </c>
      <c r="F33" s="389">
        <f t="shared" si="0"/>
        <v>0</v>
      </c>
      <c r="G33" s="167">
        <f t="shared" si="1"/>
        <v>0</v>
      </c>
      <c r="H33" s="389">
        <f t="shared" si="2"/>
        <v>0</v>
      </c>
    </row>
    <row r="34" spans="1:9">
      <c r="A34" s="314">
        <v>16</v>
      </c>
      <c r="B34" s="321" t="s">
        <v>149</v>
      </c>
      <c r="C34" s="319"/>
      <c r="D34" s="388">
        <v>0</v>
      </c>
      <c r="E34" s="388">
        <v>0</v>
      </c>
      <c r="F34" s="389">
        <f t="shared" si="0"/>
        <v>0</v>
      </c>
      <c r="G34" s="167">
        <f t="shared" si="1"/>
        <v>0</v>
      </c>
      <c r="H34" s="389">
        <f t="shared" si="2"/>
        <v>0</v>
      </c>
    </row>
    <row r="35" spans="1:9">
      <c r="A35" s="314">
        <v>17</v>
      </c>
      <c r="B35" s="321" t="s">
        <v>150</v>
      </c>
      <c r="C35" s="319"/>
      <c r="D35" s="388">
        <v>0</v>
      </c>
      <c r="E35" s="388">
        <v>0</v>
      </c>
      <c r="F35" s="389">
        <f t="shared" si="0"/>
        <v>0</v>
      </c>
      <c r="G35" s="167">
        <f t="shared" si="1"/>
        <v>0</v>
      </c>
      <c r="H35" s="389">
        <f t="shared" si="2"/>
        <v>0</v>
      </c>
    </row>
    <row r="36" spans="1:9">
      <c r="A36" s="314">
        <v>18</v>
      </c>
      <c r="B36" s="321" t="s">
        <v>151</v>
      </c>
      <c r="C36" s="319"/>
      <c r="D36" s="388">
        <v>0</v>
      </c>
      <c r="E36" s="388">
        <v>0</v>
      </c>
      <c r="F36" s="389">
        <f t="shared" si="0"/>
        <v>0</v>
      </c>
      <c r="G36" s="167">
        <f t="shared" si="1"/>
        <v>0</v>
      </c>
      <c r="H36" s="389">
        <f t="shared" si="2"/>
        <v>0</v>
      </c>
    </row>
    <row r="37" spans="1:9">
      <c r="A37" s="314">
        <v>19</v>
      </c>
      <c r="B37" s="40" t="s">
        <v>152</v>
      </c>
      <c r="D37" s="390"/>
      <c r="E37" s="390">
        <f>AVERAGE(E24:E36)</f>
        <v>0</v>
      </c>
      <c r="F37" s="390"/>
      <c r="G37" s="202">
        <f>SUM(G24:G36)</f>
        <v>0</v>
      </c>
      <c r="H37" s="390">
        <f>SUM(H24:H36)</f>
        <v>0</v>
      </c>
      <c r="I37" s="391" t="e">
        <f>(G37+H37)/E37</f>
        <v>#DIV/0!</v>
      </c>
    </row>
    <row r="38" spans="1:9">
      <c r="A38" s="314"/>
    </row>
    <row r="39" spans="1:9">
      <c r="A39" s="314"/>
      <c r="B39" s="321" t="s">
        <v>288</v>
      </c>
    </row>
    <row r="40" spans="1:9">
      <c r="A40" s="314"/>
      <c r="C40" s="319" t="s">
        <v>123</v>
      </c>
      <c r="D40" s="319" t="s">
        <v>124</v>
      </c>
      <c r="E40" s="319" t="s">
        <v>281</v>
      </c>
      <c r="F40" s="319" t="s">
        <v>125</v>
      </c>
      <c r="G40" s="319" t="s">
        <v>282</v>
      </c>
      <c r="H40" s="319" t="s">
        <v>128</v>
      </c>
      <c r="I40" s="319" t="s">
        <v>129</v>
      </c>
    </row>
    <row r="41" spans="1:9" ht="48">
      <c r="A41" s="314"/>
      <c r="B41" s="392" t="s">
        <v>289</v>
      </c>
      <c r="C41" s="393" t="s">
        <v>302</v>
      </c>
      <c r="D41" s="393" t="s">
        <v>303</v>
      </c>
      <c r="E41" s="393" t="s">
        <v>304</v>
      </c>
      <c r="F41" s="393" t="s">
        <v>305</v>
      </c>
      <c r="G41" s="393" t="s">
        <v>306</v>
      </c>
      <c r="H41" s="393" t="s">
        <v>307</v>
      </c>
      <c r="I41" s="393" t="s">
        <v>308</v>
      </c>
    </row>
    <row r="42" spans="1:9">
      <c r="A42" s="314">
        <v>20</v>
      </c>
      <c r="B42" s="321" t="s">
        <v>290</v>
      </c>
      <c r="C42" s="394">
        <v>0</v>
      </c>
      <c r="D42" s="394">
        <v>0</v>
      </c>
      <c r="E42" s="394">
        <v>0</v>
      </c>
      <c r="F42" s="394">
        <v>0</v>
      </c>
      <c r="G42" s="395" t="e">
        <f t="shared" ref="G42:G47" si="3">D42/F42</f>
        <v>#DIV/0!</v>
      </c>
      <c r="H42" s="396">
        <v>0</v>
      </c>
      <c r="I42" s="397" t="e">
        <f>G42-H42</f>
        <v>#DIV/0!</v>
      </c>
    </row>
    <row r="43" spans="1:9">
      <c r="A43" s="314">
        <v>21</v>
      </c>
      <c r="B43" s="321" t="s">
        <v>291</v>
      </c>
      <c r="C43" s="394">
        <v>0</v>
      </c>
      <c r="D43" s="394">
        <v>0</v>
      </c>
      <c r="E43" s="394">
        <v>0</v>
      </c>
      <c r="F43" s="394">
        <v>0</v>
      </c>
      <c r="G43" s="395" t="e">
        <f t="shared" si="3"/>
        <v>#DIV/0!</v>
      </c>
      <c r="H43" s="396">
        <v>0</v>
      </c>
      <c r="I43" s="397" t="e">
        <f t="shared" ref="I43:I47" si="4">G43-H43</f>
        <v>#DIV/0!</v>
      </c>
    </row>
    <row r="44" spans="1:9">
      <c r="A44" s="314">
        <v>22</v>
      </c>
      <c r="B44" s="321" t="s">
        <v>292</v>
      </c>
      <c r="C44" s="394">
        <v>0</v>
      </c>
      <c r="D44" s="394">
        <v>0</v>
      </c>
      <c r="E44" s="394">
        <v>0</v>
      </c>
      <c r="F44" s="394">
        <v>0</v>
      </c>
      <c r="G44" s="395" t="e">
        <f t="shared" si="3"/>
        <v>#DIV/0!</v>
      </c>
      <c r="H44" s="396">
        <v>0</v>
      </c>
      <c r="I44" s="397" t="e">
        <f t="shared" si="4"/>
        <v>#DIV/0!</v>
      </c>
    </row>
    <row r="45" spans="1:9">
      <c r="A45" s="314">
        <v>23</v>
      </c>
      <c r="B45" s="321" t="s">
        <v>293</v>
      </c>
      <c r="C45" s="394">
        <v>0</v>
      </c>
      <c r="D45" s="394">
        <v>0</v>
      </c>
      <c r="E45" s="394">
        <v>0</v>
      </c>
      <c r="F45" s="394">
        <v>0</v>
      </c>
      <c r="G45" s="395" t="e">
        <f t="shared" si="3"/>
        <v>#DIV/0!</v>
      </c>
      <c r="H45" s="396">
        <v>0</v>
      </c>
      <c r="I45" s="397" t="e">
        <f t="shared" si="4"/>
        <v>#DIV/0!</v>
      </c>
    </row>
    <row r="46" spans="1:9">
      <c r="A46" s="314">
        <v>24</v>
      </c>
      <c r="B46" s="321" t="s">
        <v>294</v>
      </c>
      <c r="C46" s="394">
        <v>0</v>
      </c>
      <c r="D46" s="394">
        <v>0</v>
      </c>
      <c r="E46" s="394">
        <v>0</v>
      </c>
      <c r="F46" s="394">
        <v>0</v>
      </c>
      <c r="G46" s="395" t="e">
        <f t="shared" si="3"/>
        <v>#DIV/0!</v>
      </c>
      <c r="H46" s="396">
        <v>0</v>
      </c>
      <c r="I46" s="397" t="e">
        <f t="shared" si="4"/>
        <v>#DIV/0!</v>
      </c>
    </row>
    <row r="47" spans="1:9">
      <c r="A47" s="314">
        <v>25</v>
      </c>
      <c r="B47" s="321" t="s">
        <v>16</v>
      </c>
      <c r="C47" s="394">
        <v>0</v>
      </c>
      <c r="D47" s="394">
        <v>0</v>
      </c>
      <c r="E47" s="394">
        <v>0</v>
      </c>
      <c r="F47" s="394">
        <v>0</v>
      </c>
      <c r="G47" s="395" t="e">
        <f t="shared" si="3"/>
        <v>#DIV/0!</v>
      </c>
      <c r="H47" s="396">
        <v>0</v>
      </c>
      <c r="I47" s="397" t="e">
        <f t="shared" si="4"/>
        <v>#DIV/0!</v>
      </c>
    </row>
    <row r="48" spans="1:9">
      <c r="A48" s="314">
        <v>26</v>
      </c>
      <c r="B48" s="201" t="s">
        <v>566</v>
      </c>
      <c r="C48" s="201"/>
      <c r="D48" s="398">
        <f>SUM(D42:D47)</f>
        <v>0</v>
      </c>
      <c r="E48" s="201"/>
      <c r="F48" s="201"/>
      <c r="G48" s="398" t="e">
        <f>SUM(G42:G47)</f>
        <v>#DIV/0!</v>
      </c>
      <c r="H48" s="399">
        <f>SUM(H42:H47)</f>
        <v>0</v>
      </c>
      <c r="I48" s="399" t="e">
        <f>SUM(I42:I47)</f>
        <v>#DIV/0!</v>
      </c>
    </row>
    <row r="49" spans="1:9">
      <c r="A49" s="314">
        <v>27</v>
      </c>
    </row>
    <row r="50" spans="1:9">
      <c r="A50" s="314">
        <v>28</v>
      </c>
      <c r="B50" s="285" t="s">
        <v>822</v>
      </c>
      <c r="C50" s="285"/>
      <c r="D50" s="285"/>
      <c r="E50" s="285"/>
      <c r="F50" s="285"/>
      <c r="G50" s="285"/>
      <c r="H50" s="285"/>
      <c r="I50" s="285"/>
    </row>
    <row r="51" spans="1:9">
      <c r="A51" s="314">
        <v>29</v>
      </c>
      <c r="B51" s="285" t="s">
        <v>823</v>
      </c>
      <c r="C51" s="394">
        <v>0</v>
      </c>
      <c r="D51" s="394">
        <v>0</v>
      </c>
      <c r="E51" s="394">
        <v>0</v>
      </c>
      <c r="F51" s="400" t="s">
        <v>373</v>
      </c>
      <c r="G51" s="400">
        <f>D51</f>
        <v>0</v>
      </c>
      <c r="H51" s="400" t="s">
        <v>373</v>
      </c>
      <c r="I51" s="401" t="s">
        <v>373</v>
      </c>
    </row>
    <row r="52" spans="1:9">
      <c r="A52" s="314">
        <v>30</v>
      </c>
      <c r="B52" s="285" t="s">
        <v>824</v>
      </c>
      <c r="C52" s="394">
        <v>0</v>
      </c>
      <c r="D52" s="394">
        <v>0</v>
      </c>
      <c r="E52" s="394">
        <v>0</v>
      </c>
      <c r="F52" s="400" t="s">
        <v>373</v>
      </c>
      <c r="G52" s="400">
        <f>D52</f>
        <v>0</v>
      </c>
      <c r="H52" s="400" t="s">
        <v>373</v>
      </c>
      <c r="I52" s="401" t="s">
        <v>373</v>
      </c>
    </row>
    <row r="53" spans="1:9">
      <c r="A53" s="314">
        <v>31</v>
      </c>
      <c r="B53" s="285" t="s">
        <v>825</v>
      </c>
      <c r="C53" s="394">
        <v>0</v>
      </c>
      <c r="D53" s="394">
        <v>0</v>
      </c>
      <c r="E53" s="394">
        <v>0</v>
      </c>
      <c r="F53" s="400" t="s">
        <v>373</v>
      </c>
      <c r="G53" s="400">
        <f>D53</f>
        <v>0</v>
      </c>
      <c r="H53" s="400" t="s">
        <v>373</v>
      </c>
      <c r="I53" s="401" t="s">
        <v>373</v>
      </c>
    </row>
    <row r="54" spans="1:9">
      <c r="A54" s="314">
        <v>32</v>
      </c>
      <c r="B54" s="402" t="s">
        <v>826</v>
      </c>
      <c r="C54" s="403">
        <v>0</v>
      </c>
      <c r="D54" s="403">
        <v>0</v>
      </c>
      <c r="E54" s="403">
        <v>0</v>
      </c>
      <c r="F54" s="404" t="s">
        <v>373</v>
      </c>
      <c r="G54" s="404">
        <f>D54</f>
        <v>0</v>
      </c>
      <c r="H54" s="404" t="s">
        <v>373</v>
      </c>
      <c r="I54" s="405" t="s">
        <v>373</v>
      </c>
    </row>
    <row r="55" spans="1:9">
      <c r="A55" s="314">
        <v>33</v>
      </c>
      <c r="B55" s="321" t="s">
        <v>295</v>
      </c>
      <c r="D55" s="395">
        <f>D48+SUM(D51:D54)</f>
        <v>0</v>
      </c>
      <c r="G55" s="395" t="e">
        <f>G48+SUM(G51:G54)</f>
        <v>#DIV/0!</v>
      </c>
      <c r="H55" s="397">
        <f>H48+SUM(H51:H54)</f>
        <v>0</v>
      </c>
      <c r="I55" s="397" t="e">
        <f>I48+SUM(I51:I54)</f>
        <v>#DIV/0!</v>
      </c>
    </row>
    <row r="56" spans="1:9">
      <c r="A56" s="314">
        <v>34</v>
      </c>
      <c r="B56" s="321" t="s">
        <v>296</v>
      </c>
      <c r="G56" s="389">
        <f>E37</f>
        <v>0</v>
      </c>
    </row>
    <row r="57" spans="1:9">
      <c r="A57" s="314">
        <v>35</v>
      </c>
      <c r="B57" s="321" t="s">
        <v>297</v>
      </c>
      <c r="G57" s="224" t="e">
        <f>G55/G56</f>
        <v>#DIV/0!</v>
      </c>
    </row>
    <row r="58" spans="1:9">
      <c r="A58" s="314">
        <v>36</v>
      </c>
      <c r="B58" s="321" t="s">
        <v>298</v>
      </c>
      <c r="E58" s="406">
        <v>2.3640999999999999E-2</v>
      </c>
    </row>
    <row r="59" spans="1:9" ht="9.75" customHeight="1">
      <c r="A59" s="314"/>
    </row>
    <row r="60" spans="1:9" ht="9.75" customHeight="1">
      <c r="A60" s="314" t="s">
        <v>21</v>
      </c>
    </row>
    <row r="61" spans="1:9" ht="24" customHeight="1">
      <c r="A61" s="314" t="s">
        <v>424</v>
      </c>
      <c r="B61" s="618" t="s">
        <v>299</v>
      </c>
      <c r="C61" s="618"/>
      <c r="D61" s="618"/>
      <c r="E61" s="618"/>
      <c r="F61" s="618"/>
      <c r="G61" s="618"/>
      <c r="H61" s="618"/>
      <c r="I61" s="618"/>
    </row>
    <row r="62" spans="1:9">
      <c r="B62" s="321" t="s">
        <v>300</v>
      </c>
      <c r="C62" s="407">
        <v>3.6410000000000001E-3</v>
      </c>
    </row>
    <row r="63" spans="1:9">
      <c r="B63" s="321" t="s">
        <v>301</v>
      </c>
      <c r="C63" s="407">
        <v>0.02</v>
      </c>
    </row>
    <row r="64" spans="1:9">
      <c r="B64" s="124" t="s">
        <v>391</v>
      </c>
      <c r="C64" s="408">
        <f>C62+C63</f>
        <v>2.3641000000000002E-2</v>
      </c>
      <c r="D64" s="124"/>
    </row>
    <row r="65" spans="2:4">
      <c r="B65" s="124"/>
      <c r="C65" s="409"/>
      <c r="D65" s="124"/>
    </row>
    <row r="66" spans="2:4" ht="9.75" customHeight="1"/>
    <row r="67" spans="2:4" ht="9.75" customHeight="1"/>
    <row r="68" spans="2:4" ht="9.75" customHeight="1"/>
    <row r="69" spans="2:4" ht="9.75" customHeight="1"/>
    <row r="70" spans="2:4" ht="9.75" customHeight="1"/>
    <row r="71" spans="2:4" ht="9.75" customHeight="1"/>
    <row r="72" spans="2:4" ht="9.75" customHeight="1"/>
    <row r="73" spans="2:4" ht="9.75" customHeight="1"/>
    <row r="74" spans="2:4" ht="9.75" customHeight="1"/>
    <row r="75" spans="2:4" ht="9.75" customHeight="1"/>
    <row r="76" spans="2:4" ht="9.75" customHeight="1"/>
    <row r="77" spans="2:4" ht="9.75" customHeight="1"/>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56" orientation="landscape" horizontalDpi="1200" verticalDpi="1200" r:id="rId1"/>
  <rowBreaks count="1" manualBreakCount="1">
    <brk id="64" max="13" man="1"/>
  </rowBreaks>
  <colBreaks count="1" manualBreakCount="1">
    <brk id="9" max="6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110" zoomScaleNormal="110" zoomScaleSheetLayoutView="110" workbookViewId="0">
      <selection activeCell="A3" sqref="A3:G3"/>
    </sheetView>
  </sheetViews>
  <sheetFormatPr defaultRowHeight="12"/>
  <cols>
    <col min="1" max="1" width="6.83203125" style="1" customWidth="1"/>
    <col min="2" max="2" width="29.1640625" style="1" customWidth="1"/>
    <col min="3" max="3" width="18" style="1" customWidth="1"/>
    <col min="4" max="4" width="17" style="1" customWidth="1"/>
    <col min="5" max="5" width="31.1640625" style="1" customWidth="1"/>
    <col min="6" max="6" width="18.33203125" style="1" customWidth="1"/>
    <col min="7" max="7" width="22.83203125" style="1" customWidth="1"/>
    <col min="8" max="16384" width="9.33203125" style="126"/>
  </cols>
  <sheetData>
    <row r="1" spans="1:10">
      <c r="A1" s="129"/>
      <c r="B1" s="129"/>
      <c r="G1" s="40" t="s">
        <v>67</v>
      </c>
      <c r="J1" s="127"/>
    </row>
    <row r="2" spans="1:10">
      <c r="A2" s="129"/>
      <c r="B2" s="129"/>
      <c r="G2" s="128" t="s">
        <v>821</v>
      </c>
      <c r="J2" s="127"/>
    </row>
    <row r="3" spans="1:10">
      <c r="A3" s="604" t="s">
        <v>313</v>
      </c>
      <c r="B3" s="604"/>
      <c r="C3" s="604"/>
      <c r="D3" s="604"/>
      <c r="E3" s="604"/>
      <c r="F3" s="604"/>
      <c r="G3" s="604"/>
    </row>
    <row r="4" spans="1:10">
      <c r="A4" s="604" t="s">
        <v>314</v>
      </c>
      <c r="B4" s="604"/>
      <c r="C4" s="604"/>
      <c r="D4" s="604"/>
      <c r="E4" s="604"/>
      <c r="F4" s="604"/>
      <c r="G4" s="604"/>
    </row>
    <row r="5" spans="1:10">
      <c r="A5" s="605" t="s">
        <v>743</v>
      </c>
      <c r="B5" s="606"/>
      <c r="C5" s="606"/>
      <c r="D5" s="606"/>
      <c r="E5" s="606"/>
      <c r="F5" s="606"/>
      <c r="G5" s="606"/>
    </row>
    <row r="8" spans="1:10" ht="39" customHeight="1">
      <c r="A8" s="621" t="s">
        <v>470</v>
      </c>
      <c r="B8" s="621"/>
      <c r="C8" s="621"/>
      <c r="D8" s="621"/>
      <c r="E8" s="621"/>
      <c r="F8" s="621"/>
      <c r="G8" s="621"/>
    </row>
    <row r="9" spans="1:10">
      <c r="A9" s="642" t="s">
        <v>315</v>
      </c>
      <c r="B9" s="642"/>
      <c r="C9" s="642"/>
      <c r="D9" s="642"/>
      <c r="E9" s="642"/>
      <c r="F9" s="642"/>
      <c r="G9" s="642"/>
    </row>
    <row r="10" spans="1:10" ht="24" customHeight="1">
      <c r="A10" s="618" t="s">
        <v>247</v>
      </c>
      <c r="B10" s="618"/>
      <c r="C10" s="618"/>
      <c r="D10" s="618"/>
      <c r="E10" s="618"/>
      <c r="F10" s="618"/>
      <c r="G10" s="618"/>
    </row>
    <row r="12" spans="1:10">
      <c r="A12" s="23" t="s">
        <v>399</v>
      </c>
    </row>
    <row r="13" spans="1:10">
      <c r="A13" s="23"/>
      <c r="F13" s="23" t="s">
        <v>423</v>
      </c>
    </row>
    <row r="14" spans="1:10">
      <c r="A14" s="23">
        <v>1</v>
      </c>
      <c r="B14" s="46" t="s">
        <v>1</v>
      </c>
      <c r="D14" s="288"/>
      <c r="F14" s="289">
        <v>0</v>
      </c>
    </row>
    <row r="15" spans="1:10">
      <c r="A15" s="23">
        <v>2</v>
      </c>
      <c r="B15" s="46" t="s">
        <v>309</v>
      </c>
      <c r="F15" s="289">
        <v>0</v>
      </c>
    </row>
    <row r="16" spans="1:10">
      <c r="A16" s="23">
        <v>3</v>
      </c>
      <c r="B16" s="1" t="s">
        <v>310</v>
      </c>
      <c r="F16" s="290">
        <f>F14+F15</f>
        <v>0</v>
      </c>
    </row>
    <row r="17" spans="1:6">
      <c r="A17" s="23"/>
    </row>
    <row r="18" spans="1:6">
      <c r="A18" s="23"/>
    </row>
    <row r="19" spans="1:6">
      <c r="A19" s="23"/>
      <c r="B19" s="1" t="s">
        <v>311</v>
      </c>
    </row>
    <row r="20" spans="1:6">
      <c r="A20" s="23"/>
      <c r="C20" s="1" t="s">
        <v>280</v>
      </c>
      <c r="F20" s="88" t="s">
        <v>54</v>
      </c>
    </row>
    <row r="21" spans="1:6">
      <c r="A21" s="23"/>
      <c r="C21" s="25" t="s">
        <v>123</v>
      </c>
      <c r="F21" s="25" t="s">
        <v>125</v>
      </c>
    </row>
    <row r="22" spans="1:6">
      <c r="A22" s="23">
        <v>4</v>
      </c>
      <c r="B22" s="1" t="s">
        <v>139</v>
      </c>
      <c r="F22" s="291">
        <v>0</v>
      </c>
    </row>
    <row r="23" spans="1:6">
      <c r="A23" s="23">
        <v>5</v>
      </c>
      <c r="B23" s="1" t="s">
        <v>140</v>
      </c>
      <c r="F23" s="291">
        <v>0</v>
      </c>
    </row>
    <row r="24" spans="1:6">
      <c r="A24" s="23">
        <v>6</v>
      </c>
      <c r="B24" s="1" t="s">
        <v>141</v>
      </c>
      <c r="F24" s="291">
        <v>0</v>
      </c>
    </row>
    <row r="25" spans="1:6">
      <c r="A25" s="23">
        <v>7</v>
      </c>
      <c r="B25" s="1" t="s">
        <v>142</v>
      </c>
      <c r="F25" s="291">
        <v>0</v>
      </c>
    </row>
    <row r="26" spans="1:6">
      <c r="A26" s="23">
        <v>8</v>
      </c>
      <c r="B26" s="1" t="s">
        <v>143</v>
      </c>
      <c r="F26" s="291">
        <v>0</v>
      </c>
    </row>
    <row r="27" spans="1:6">
      <c r="A27" s="23">
        <v>9</v>
      </c>
      <c r="B27" s="1" t="s">
        <v>144</v>
      </c>
      <c r="F27" s="291">
        <v>0</v>
      </c>
    </row>
    <row r="28" spans="1:6">
      <c r="A28" s="23">
        <v>10</v>
      </c>
      <c r="B28" s="1" t="s">
        <v>145</v>
      </c>
      <c r="F28" s="291">
        <v>0</v>
      </c>
    </row>
    <row r="29" spans="1:6">
      <c r="A29" s="23">
        <v>11</v>
      </c>
      <c r="B29" s="1" t="s">
        <v>146</v>
      </c>
      <c r="F29" s="291">
        <v>0</v>
      </c>
    </row>
    <row r="30" spans="1:6">
      <c r="A30" s="23">
        <v>12</v>
      </c>
      <c r="B30" s="1" t="s">
        <v>147</v>
      </c>
      <c r="F30" s="291">
        <v>0</v>
      </c>
    </row>
    <row r="31" spans="1:6">
      <c r="A31" s="23">
        <v>13</v>
      </c>
      <c r="B31" s="1" t="s">
        <v>148</v>
      </c>
      <c r="F31" s="291">
        <v>0</v>
      </c>
    </row>
    <row r="32" spans="1:6">
      <c r="A32" s="23">
        <v>14</v>
      </c>
      <c r="B32" s="1" t="s">
        <v>149</v>
      </c>
      <c r="F32" s="291">
        <v>0</v>
      </c>
    </row>
    <row r="33" spans="1:7">
      <c r="A33" s="23">
        <v>15</v>
      </c>
      <c r="B33" s="1" t="s">
        <v>150</v>
      </c>
      <c r="F33" s="291">
        <v>0</v>
      </c>
    </row>
    <row r="34" spans="1:7">
      <c r="A34" s="23">
        <v>16</v>
      </c>
      <c r="B34" s="1" t="s">
        <v>151</v>
      </c>
      <c r="F34" s="291">
        <v>0</v>
      </c>
    </row>
    <row r="35" spans="1:7">
      <c r="A35" s="23">
        <v>17</v>
      </c>
      <c r="D35" s="1" t="s">
        <v>152</v>
      </c>
      <c r="F35" s="292">
        <f>AVERAGE(F22:F34)</f>
        <v>0</v>
      </c>
    </row>
    <row r="36" spans="1:7">
      <c r="A36" s="23"/>
      <c r="F36" s="124"/>
    </row>
    <row r="37" spans="1:7">
      <c r="A37" s="23">
        <v>18</v>
      </c>
      <c r="B37" s="1" t="s">
        <v>312</v>
      </c>
      <c r="F37" s="293" t="e">
        <f>F16/F35</f>
        <v>#DIV/0!</v>
      </c>
    </row>
    <row r="38" spans="1:7">
      <c r="A38" s="23"/>
      <c r="F38" s="124"/>
    </row>
    <row r="39" spans="1:7">
      <c r="A39" s="88" t="s">
        <v>21</v>
      </c>
      <c r="G39" s="20"/>
    </row>
    <row r="40" spans="1:7" ht="30" customHeight="1">
      <c r="A40" s="23" t="s">
        <v>424</v>
      </c>
      <c r="B40" s="618" t="s">
        <v>551</v>
      </c>
      <c r="C40" s="618"/>
      <c r="D40" s="618"/>
      <c r="E40" s="618"/>
      <c r="F40" s="618"/>
      <c r="G40" s="618"/>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95"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00" zoomScaleSheetLayoutView="100" workbookViewId="0">
      <selection activeCell="O59" sqref="O59"/>
    </sheetView>
  </sheetViews>
  <sheetFormatPr defaultColWidth="9.33203125" defaultRowHeight="12"/>
  <cols>
    <col min="1" max="1" width="6.83203125" style="321" customWidth="1"/>
    <col min="2" max="2" width="5.83203125" style="321" customWidth="1"/>
    <col min="3" max="3" width="35.83203125" style="321" customWidth="1"/>
    <col min="4" max="4" width="11.83203125" style="321" customWidth="1"/>
    <col min="5" max="5" width="16.83203125" style="321" customWidth="1"/>
    <col min="6" max="6" width="14.33203125" style="321" customWidth="1"/>
    <col min="7" max="7" width="25.83203125" style="321" customWidth="1"/>
    <col min="8" max="16384" width="9.33203125" style="321"/>
  </cols>
  <sheetData>
    <row r="1" spans="1:7">
      <c r="C1" s="129"/>
      <c r="G1" s="40" t="s">
        <v>67</v>
      </c>
    </row>
    <row r="2" spans="1:7">
      <c r="C2" s="129"/>
      <c r="G2" s="128" t="s">
        <v>821</v>
      </c>
    </row>
    <row r="3" spans="1:7">
      <c r="B3" s="604" t="s">
        <v>316</v>
      </c>
      <c r="C3" s="604"/>
      <c r="D3" s="604"/>
      <c r="E3" s="604"/>
      <c r="F3" s="604"/>
      <c r="G3" s="604"/>
    </row>
    <row r="4" spans="1:7">
      <c r="B4" s="604" t="s">
        <v>317</v>
      </c>
      <c r="C4" s="604"/>
      <c r="D4" s="604"/>
      <c r="E4" s="604"/>
      <c r="F4" s="604"/>
      <c r="G4" s="604"/>
    </row>
    <row r="5" spans="1:7">
      <c r="B5" s="605" t="s">
        <v>743</v>
      </c>
      <c r="C5" s="605"/>
      <c r="D5" s="605"/>
      <c r="E5" s="605"/>
      <c r="F5" s="605"/>
      <c r="G5" s="605"/>
    </row>
    <row r="7" spans="1:7">
      <c r="F7" s="316"/>
    </row>
    <row r="9" spans="1:7">
      <c r="B9" s="629" t="s">
        <v>318</v>
      </c>
      <c r="C9" s="629"/>
      <c r="D9" s="629"/>
      <c r="E9" s="629"/>
      <c r="F9" s="629"/>
      <c r="G9" s="629"/>
    </row>
    <row r="10" spans="1:7">
      <c r="B10" s="319"/>
      <c r="C10" s="319"/>
      <c r="D10" s="319"/>
      <c r="E10" s="319"/>
      <c r="F10" s="319"/>
      <c r="G10" s="319"/>
    </row>
    <row r="11" spans="1:7" ht="24">
      <c r="G11" s="183" t="s">
        <v>104</v>
      </c>
    </row>
    <row r="12" spans="1:7">
      <c r="D12" s="183"/>
      <c r="E12" s="183"/>
      <c r="F12" s="183"/>
      <c r="G12" s="179" t="s">
        <v>105</v>
      </c>
    </row>
    <row r="13" spans="1:7">
      <c r="A13" s="314" t="s">
        <v>399</v>
      </c>
      <c r="B13" s="321" t="s">
        <v>98</v>
      </c>
      <c r="D13" s="183"/>
      <c r="E13" s="183"/>
      <c r="F13" s="183"/>
      <c r="G13" s="183"/>
    </row>
    <row r="14" spans="1:7">
      <c r="D14" s="183"/>
      <c r="E14" s="183"/>
      <c r="F14" s="183"/>
      <c r="G14" s="183"/>
    </row>
    <row r="15" spans="1:7">
      <c r="A15" s="314">
        <v>1</v>
      </c>
      <c r="B15" s="410">
        <v>301</v>
      </c>
      <c r="C15" s="321" t="s">
        <v>99</v>
      </c>
      <c r="D15" s="183"/>
      <c r="E15" s="183"/>
      <c r="F15" s="183"/>
      <c r="G15" s="411" t="s">
        <v>471</v>
      </c>
    </row>
    <row r="16" spans="1:7">
      <c r="A16" s="314">
        <v>2</v>
      </c>
      <c r="B16" s="410">
        <v>302</v>
      </c>
      <c r="C16" s="321" t="s">
        <v>100</v>
      </c>
      <c r="D16" s="129"/>
      <c r="E16" s="129"/>
      <c r="F16" s="129"/>
      <c r="G16" s="412" t="s">
        <v>471</v>
      </c>
    </row>
    <row r="17" spans="1:7">
      <c r="A17" s="314">
        <v>3</v>
      </c>
      <c r="B17" s="410">
        <v>303</v>
      </c>
      <c r="C17" s="20" t="s">
        <v>543</v>
      </c>
      <c r="D17" s="129"/>
      <c r="E17" s="129"/>
      <c r="F17" s="129"/>
      <c r="G17" s="412" t="s">
        <v>472</v>
      </c>
    </row>
    <row r="18" spans="1:7">
      <c r="A18" s="39" t="s">
        <v>9</v>
      </c>
      <c r="B18" s="37">
        <v>303.10000000000002</v>
      </c>
      <c r="C18" s="317" t="s">
        <v>764</v>
      </c>
      <c r="D18" s="413"/>
      <c r="E18" s="413"/>
      <c r="F18" s="413"/>
      <c r="G18" s="414" t="s">
        <v>156</v>
      </c>
    </row>
    <row r="19" spans="1:7">
      <c r="A19" s="37"/>
      <c r="B19" s="415"/>
      <c r="C19" s="415"/>
      <c r="D19" s="416"/>
      <c r="E19" s="416"/>
      <c r="F19" s="416"/>
      <c r="G19" s="417"/>
    </row>
    <row r="20" spans="1:7">
      <c r="A20" s="37"/>
      <c r="B20" s="415" t="s">
        <v>545</v>
      </c>
      <c r="C20" s="418"/>
      <c r="D20" s="416"/>
      <c r="E20" s="416"/>
      <c r="F20" s="416"/>
      <c r="G20" s="417"/>
    </row>
    <row r="21" spans="1:7">
      <c r="A21" s="37"/>
      <c r="B21" s="37"/>
      <c r="C21" s="37"/>
      <c r="D21" s="416"/>
      <c r="E21" s="416"/>
      <c r="F21" s="416"/>
      <c r="G21" s="419"/>
    </row>
    <row r="22" spans="1:7">
      <c r="A22" s="39">
        <v>4</v>
      </c>
      <c r="B22" s="415">
        <v>350.2</v>
      </c>
      <c r="C22" s="37" t="s">
        <v>542</v>
      </c>
      <c r="D22" s="416"/>
      <c r="E22" s="416"/>
      <c r="F22" s="416"/>
      <c r="G22" s="414" t="s">
        <v>473</v>
      </c>
    </row>
    <row r="23" spans="1:7">
      <c r="A23" s="39">
        <v>5</v>
      </c>
      <c r="B23" s="415">
        <v>352</v>
      </c>
      <c r="C23" s="37" t="s">
        <v>320</v>
      </c>
      <c r="D23" s="416"/>
      <c r="E23" s="416"/>
      <c r="F23" s="416"/>
      <c r="G23" s="414" t="s">
        <v>474</v>
      </c>
    </row>
    <row r="24" spans="1:7">
      <c r="A24" s="39">
        <v>6</v>
      </c>
      <c r="B24" s="415">
        <v>353</v>
      </c>
      <c r="C24" s="37" t="s">
        <v>321</v>
      </c>
      <c r="D24" s="416"/>
      <c r="E24" s="416"/>
      <c r="F24" s="416"/>
      <c r="G24" s="414" t="s">
        <v>475</v>
      </c>
    </row>
    <row r="25" spans="1:7">
      <c r="A25" s="39">
        <v>7</v>
      </c>
      <c r="B25" s="415">
        <v>354</v>
      </c>
      <c r="C25" s="37" t="s">
        <v>322</v>
      </c>
      <c r="D25" s="416"/>
      <c r="E25" s="416"/>
      <c r="F25" s="416"/>
      <c r="G25" s="414" t="s">
        <v>476</v>
      </c>
    </row>
    <row r="26" spans="1:7">
      <c r="A26" s="39">
        <v>8</v>
      </c>
      <c r="B26" s="415">
        <v>355</v>
      </c>
      <c r="C26" s="37" t="s">
        <v>323</v>
      </c>
      <c r="D26" s="416"/>
      <c r="E26" s="416"/>
      <c r="F26" s="416"/>
      <c r="G26" s="414" t="s">
        <v>477</v>
      </c>
    </row>
    <row r="27" spans="1:7">
      <c r="A27" s="39">
        <v>9</v>
      </c>
      <c r="B27" s="415">
        <v>356</v>
      </c>
      <c r="C27" s="37" t="s">
        <v>101</v>
      </c>
      <c r="D27" s="416"/>
      <c r="E27" s="416"/>
      <c r="F27" s="416"/>
      <c r="G27" s="414" t="s">
        <v>478</v>
      </c>
    </row>
    <row r="28" spans="1:7">
      <c r="A28" s="39">
        <v>10</v>
      </c>
      <c r="B28" s="415">
        <v>357</v>
      </c>
      <c r="C28" s="37" t="s">
        <v>324</v>
      </c>
      <c r="D28" s="416"/>
      <c r="E28" s="416"/>
      <c r="F28" s="416"/>
      <c r="G28" s="414" t="s">
        <v>347</v>
      </c>
    </row>
    <row r="29" spans="1:7">
      <c r="A29" s="39">
        <v>11</v>
      </c>
      <c r="B29" s="415">
        <v>358</v>
      </c>
      <c r="C29" s="37" t="s">
        <v>325</v>
      </c>
      <c r="D29" s="416"/>
      <c r="E29" s="416"/>
      <c r="F29" s="416"/>
      <c r="G29" s="414" t="s">
        <v>478</v>
      </c>
    </row>
    <row r="30" spans="1:7">
      <c r="A30" s="39">
        <v>12</v>
      </c>
      <c r="B30" s="415">
        <v>359</v>
      </c>
      <c r="C30" s="37" t="s">
        <v>102</v>
      </c>
      <c r="D30" s="416"/>
      <c r="E30" s="416"/>
      <c r="F30" s="416"/>
      <c r="G30" s="414" t="s">
        <v>473</v>
      </c>
    </row>
    <row r="31" spans="1:7">
      <c r="A31" s="37"/>
      <c r="B31" s="37"/>
      <c r="C31" s="37"/>
      <c r="D31" s="416"/>
      <c r="E31" s="416"/>
      <c r="F31" s="416"/>
      <c r="G31" s="419"/>
    </row>
    <row r="32" spans="1:7">
      <c r="A32" s="37"/>
      <c r="B32" s="37" t="s">
        <v>319</v>
      </c>
      <c r="C32" s="37"/>
      <c r="D32" s="416"/>
      <c r="E32" s="416"/>
      <c r="F32" s="416"/>
      <c r="G32" s="419"/>
    </row>
    <row r="33" spans="1:7">
      <c r="A33" s="37"/>
      <c r="B33" s="37"/>
      <c r="C33" s="37"/>
      <c r="D33" s="416"/>
      <c r="E33" s="416"/>
      <c r="F33" s="416"/>
      <c r="G33" s="419"/>
    </row>
    <row r="34" spans="1:7">
      <c r="A34" s="39">
        <v>13</v>
      </c>
      <c r="B34" s="415">
        <v>391</v>
      </c>
      <c r="C34" s="37" t="s">
        <v>326</v>
      </c>
      <c r="D34" s="416"/>
      <c r="E34" s="416"/>
      <c r="F34" s="416"/>
      <c r="G34" s="414" t="s">
        <v>479</v>
      </c>
    </row>
    <row r="35" spans="1:7">
      <c r="A35" s="39">
        <v>14</v>
      </c>
      <c r="B35" s="415">
        <v>391.1</v>
      </c>
      <c r="C35" s="37" t="s">
        <v>103</v>
      </c>
      <c r="D35" s="416"/>
      <c r="E35" s="416"/>
      <c r="F35" s="416"/>
      <c r="G35" s="414" t="s">
        <v>479</v>
      </c>
    </row>
    <row r="36" spans="1:7">
      <c r="A36" s="39">
        <v>15</v>
      </c>
      <c r="B36" s="415">
        <v>392</v>
      </c>
      <c r="C36" s="37" t="s">
        <v>327</v>
      </c>
      <c r="D36" s="416"/>
      <c r="E36" s="416"/>
      <c r="F36" s="416"/>
      <c r="G36" s="414" t="s">
        <v>480</v>
      </c>
    </row>
    <row r="37" spans="1:7">
      <c r="A37" s="39">
        <v>16</v>
      </c>
      <c r="B37" s="415">
        <v>393</v>
      </c>
      <c r="C37" s="37" t="s">
        <v>328</v>
      </c>
      <c r="D37" s="416"/>
      <c r="E37" s="416"/>
      <c r="F37" s="416"/>
      <c r="G37" s="414" t="s">
        <v>479</v>
      </c>
    </row>
    <row r="38" spans="1:7">
      <c r="A38" s="39">
        <v>17</v>
      </c>
      <c r="B38" s="415">
        <v>397</v>
      </c>
      <c r="C38" s="37" t="s">
        <v>329</v>
      </c>
      <c r="D38" s="416"/>
      <c r="E38" s="416"/>
      <c r="F38" s="416"/>
      <c r="G38" s="414" t="s">
        <v>481</v>
      </c>
    </row>
    <row r="39" spans="1:7" ht="9.9499999999999993" customHeight="1">
      <c r="A39" s="37"/>
      <c r="B39" s="37"/>
      <c r="C39" s="37"/>
      <c r="D39" s="416"/>
      <c r="E39" s="416"/>
      <c r="F39" s="416"/>
      <c r="G39" s="420"/>
    </row>
    <row r="40" spans="1:7" ht="9.9499999999999993" customHeight="1">
      <c r="A40" s="37"/>
      <c r="B40" s="37"/>
      <c r="C40" s="37"/>
      <c r="D40" s="416"/>
      <c r="E40" s="416"/>
      <c r="F40" s="416"/>
      <c r="G40" s="416"/>
    </row>
    <row r="41" spans="1:7" ht="9.9499999999999993" customHeight="1">
      <c r="A41" s="37"/>
      <c r="B41" s="421" t="s">
        <v>21</v>
      </c>
      <c r="C41" s="37"/>
      <c r="D41" s="416"/>
      <c r="E41" s="416"/>
      <c r="F41" s="416"/>
      <c r="G41" s="416"/>
    </row>
    <row r="42" spans="1:7" ht="40.5" customHeight="1">
      <c r="A42" s="37"/>
      <c r="B42" s="39" t="s">
        <v>424</v>
      </c>
      <c r="C42" s="643" t="s">
        <v>766</v>
      </c>
      <c r="D42" s="644"/>
      <c r="E42" s="644"/>
      <c r="F42" s="644"/>
      <c r="G42" s="644"/>
    </row>
    <row r="43" spans="1:7">
      <c r="A43" s="37"/>
      <c r="B43" s="39" t="s">
        <v>436</v>
      </c>
      <c r="C43" s="418" t="s">
        <v>330</v>
      </c>
      <c r="D43" s="37"/>
      <c r="E43" s="37"/>
      <c r="F43" s="37"/>
      <c r="G43" s="37"/>
    </row>
    <row r="44" spans="1:7" ht="25.5" customHeight="1">
      <c r="A44" s="37"/>
      <c r="B44" s="312" t="s">
        <v>439</v>
      </c>
      <c r="C44" s="643" t="s">
        <v>765</v>
      </c>
      <c r="D44" s="643"/>
      <c r="E44" s="643"/>
      <c r="F44" s="643"/>
      <c r="G44" s="643"/>
    </row>
    <row r="45" spans="1:7" ht="27" customHeight="1">
      <c r="A45" s="37"/>
      <c r="B45" s="37"/>
      <c r="C45" s="643"/>
      <c r="D45" s="643"/>
      <c r="E45" s="643"/>
      <c r="F45" s="643"/>
      <c r="G45" s="643"/>
    </row>
    <row r="46" spans="1:7">
      <c r="A46" s="37"/>
      <c r="B46" s="37"/>
      <c r="C46" s="37"/>
      <c r="D46" s="37"/>
      <c r="E46" s="37"/>
      <c r="F46" s="37"/>
      <c r="G46" s="37"/>
    </row>
  </sheetData>
  <mergeCells count="6">
    <mergeCell ref="C44:G45"/>
    <mergeCell ref="B4:G4"/>
    <mergeCell ref="B3:G3"/>
    <mergeCell ref="C42:G42"/>
    <mergeCell ref="B9:G9"/>
    <mergeCell ref="B5:G5"/>
  </mergeCells>
  <phoneticPr fontId="0" type="noConversion"/>
  <printOptions horizontalCentered="1"/>
  <pageMargins left="0.5" right="0.5" top="0.75" bottom="0.75" header="0.3" footer="0.3"/>
  <pageSetup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view="pageBreakPreview" zoomScaleNormal="100" zoomScaleSheetLayoutView="100" workbookViewId="0">
      <selection activeCell="S43" sqref="S43"/>
    </sheetView>
  </sheetViews>
  <sheetFormatPr defaultColWidth="9.33203125" defaultRowHeight="12"/>
  <cols>
    <col min="1" max="1" width="7.6640625" style="23" customWidth="1"/>
    <col min="2" max="2" width="34.1640625" style="1" customWidth="1"/>
    <col min="3" max="3" width="20" style="1" customWidth="1"/>
    <col min="4" max="4" width="24.83203125" style="1" customWidth="1"/>
    <col min="5" max="5" width="26.1640625" style="1" customWidth="1"/>
    <col min="6" max="6" width="30.5" style="1" customWidth="1"/>
    <col min="7" max="16384" width="9.33203125" style="1"/>
  </cols>
  <sheetData>
    <row r="1" spans="1:6">
      <c r="B1" s="129"/>
      <c r="C1" s="129"/>
      <c r="F1" s="40" t="s">
        <v>67</v>
      </c>
    </row>
    <row r="2" spans="1:6">
      <c r="B2" s="129"/>
      <c r="C2" s="129"/>
      <c r="F2" s="128" t="s">
        <v>821</v>
      </c>
    </row>
    <row r="3" spans="1:6">
      <c r="A3" s="604" t="s">
        <v>85</v>
      </c>
      <c r="B3" s="604"/>
      <c r="C3" s="604"/>
      <c r="D3" s="604"/>
      <c r="E3" s="604"/>
      <c r="F3" s="604"/>
    </row>
    <row r="4" spans="1:6">
      <c r="A4" s="604" t="s">
        <v>331</v>
      </c>
      <c r="B4" s="604"/>
      <c r="C4" s="604"/>
      <c r="D4" s="604"/>
      <c r="E4" s="604"/>
      <c r="F4" s="604"/>
    </row>
    <row r="5" spans="1:6">
      <c r="A5" s="605" t="s">
        <v>743</v>
      </c>
      <c r="B5" s="606"/>
      <c r="C5" s="606"/>
      <c r="D5" s="606"/>
      <c r="E5" s="606"/>
      <c r="F5" s="606"/>
    </row>
    <row r="8" spans="1:6">
      <c r="E8" s="25" t="s">
        <v>123</v>
      </c>
      <c r="F8" s="25" t="s">
        <v>124</v>
      </c>
    </row>
    <row r="9" spans="1:6">
      <c r="F9" s="23" t="s">
        <v>332</v>
      </c>
    </row>
    <row r="10" spans="1:6">
      <c r="F10" s="197"/>
    </row>
    <row r="11" spans="1:6" ht="24">
      <c r="A11" s="294" t="s">
        <v>399</v>
      </c>
      <c r="B11" s="295" t="s">
        <v>333</v>
      </c>
      <c r="C11" s="294"/>
      <c r="D11" s="295" t="s">
        <v>385</v>
      </c>
      <c r="E11" s="294" t="s">
        <v>334</v>
      </c>
      <c r="F11" s="294" t="s">
        <v>335</v>
      </c>
    </row>
    <row r="12" spans="1:6">
      <c r="F12" s="23"/>
    </row>
    <row r="13" spans="1:6">
      <c r="A13" s="23">
        <v>1</v>
      </c>
      <c r="B13" s="1" t="s">
        <v>336</v>
      </c>
      <c r="F13" s="296">
        <v>0</v>
      </c>
    </row>
    <row r="14" spans="1:6">
      <c r="A14" s="23">
        <v>2</v>
      </c>
      <c r="B14" s="1" t="s">
        <v>337</v>
      </c>
      <c r="F14" s="31">
        <v>0</v>
      </c>
    </row>
    <row r="15" spans="1:6">
      <c r="A15" s="23">
        <v>3</v>
      </c>
      <c r="F15" s="23"/>
    </row>
    <row r="16" spans="1:6">
      <c r="A16" s="23">
        <v>4</v>
      </c>
      <c r="B16" s="1" t="s">
        <v>338</v>
      </c>
      <c r="F16" s="185">
        <v>0</v>
      </c>
    </row>
    <row r="17" spans="1:6">
      <c r="A17" s="23">
        <v>5</v>
      </c>
      <c r="B17" s="1" t="s">
        <v>339</v>
      </c>
      <c r="F17" s="185">
        <v>0</v>
      </c>
    </row>
    <row r="18" spans="1:6">
      <c r="A18" s="23">
        <v>6</v>
      </c>
      <c r="F18" s="297"/>
    </row>
    <row r="19" spans="1:6">
      <c r="A19" s="23">
        <v>7</v>
      </c>
      <c r="B19" s="1" t="s">
        <v>340</v>
      </c>
      <c r="D19" s="1" t="s">
        <v>349</v>
      </c>
      <c r="F19" s="167">
        <f>F16+F17</f>
        <v>0</v>
      </c>
    </row>
    <row r="20" spans="1:6">
      <c r="A20" s="23">
        <v>8</v>
      </c>
      <c r="F20" s="298"/>
    </row>
    <row r="21" spans="1:6">
      <c r="A21" s="23">
        <v>9</v>
      </c>
      <c r="B21" s="1" t="s">
        <v>341</v>
      </c>
      <c r="D21" s="1" t="s">
        <v>354</v>
      </c>
      <c r="F21" s="167">
        <f>F14+F19</f>
        <v>0</v>
      </c>
    </row>
    <row r="22" spans="1:6">
      <c r="A22" s="23">
        <v>10</v>
      </c>
      <c r="F22" s="23"/>
    </row>
    <row r="23" spans="1:6">
      <c r="A23" s="23">
        <v>11</v>
      </c>
      <c r="F23" s="23"/>
    </row>
    <row r="24" spans="1:6">
      <c r="A24" s="23">
        <v>12</v>
      </c>
      <c r="B24" s="1" t="s">
        <v>340</v>
      </c>
      <c r="D24" s="1" t="s">
        <v>350</v>
      </c>
      <c r="F24" s="167">
        <f>F19</f>
        <v>0</v>
      </c>
    </row>
    <row r="25" spans="1:6">
      <c r="A25" s="23">
        <v>13</v>
      </c>
      <c r="F25" s="23"/>
    </row>
    <row r="26" spans="1:6">
      <c r="A26" s="23">
        <v>14</v>
      </c>
      <c r="B26" s="1" t="s">
        <v>342</v>
      </c>
      <c r="D26" s="46" t="s">
        <v>351</v>
      </c>
      <c r="F26" s="299">
        <v>0</v>
      </c>
    </row>
    <row r="27" spans="1:6">
      <c r="A27" s="23">
        <v>15</v>
      </c>
      <c r="B27" s="1" t="s">
        <v>343</v>
      </c>
      <c r="D27" s="46" t="s">
        <v>352</v>
      </c>
      <c r="F27" s="300">
        <v>30</v>
      </c>
    </row>
    <row r="28" spans="1:6">
      <c r="A28" s="23">
        <v>16</v>
      </c>
      <c r="B28" s="1" t="s">
        <v>344</v>
      </c>
      <c r="D28" s="1" t="s">
        <v>353</v>
      </c>
      <c r="F28" s="167">
        <f>F24*F26*F27</f>
        <v>0</v>
      </c>
    </row>
    <row r="29" spans="1:6">
      <c r="A29" s="23">
        <v>17</v>
      </c>
      <c r="F29" s="23"/>
    </row>
    <row r="30" spans="1:6">
      <c r="A30" s="23">
        <v>18</v>
      </c>
      <c r="B30" s="20" t="s">
        <v>576</v>
      </c>
      <c r="D30" s="1" t="s">
        <v>355</v>
      </c>
      <c r="F30" s="167">
        <f>F24+F28</f>
        <v>0</v>
      </c>
    </row>
    <row r="31" spans="1:6">
      <c r="F31" s="23"/>
    </row>
    <row r="32" spans="1:6">
      <c r="A32" s="88" t="s">
        <v>21</v>
      </c>
    </row>
    <row r="33" spans="1:6" ht="35.25" customHeight="1">
      <c r="A33" s="23" t="s">
        <v>424</v>
      </c>
      <c r="B33" s="618" t="s">
        <v>345</v>
      </c>
      <c r="C33" s="618"/>
      <c r="D33" s="618"/>
      <c r="E33" s="618"/>
      <c r="F33" s="618"/>
    </row>
    <row r="34" spans="1:6" ht="45" customHeight="1">
      <c r="A34" s="23" t="s">
        <v>436</v>
      </c>
      <c r="B34" s="618" t="s">
        <v>348</v>
      </c>
      <c r="C34" s="618"/>
      <c r="D34" s="618"/>
      <c r="E34" s="618"/>
      <c r="F34" s="618"/>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zoomScaleNormal="100" zoomScaleSheetLayoutView="100" workbookViewId="0">
      <selection activeCell="J26" sqref="J26"/>
    </sheetView>
  </sheetViews>
  <sheetFormatPr defaultColWidth="9.33203125" defaultRowHeight="12"/>
  <cols>
    <col min="1" max="1" width="9.5" style="314" customWidth="1"/>
    <col min="2" max="2" width="46.83203125" style="321" customWidth="1"/>
    <col min="3" max="3" width="20" style="321" customWidth="1"/>
    <col min="4" max="4" width="20.83203125" style="321" customWidth="1"/>
    <col min="5" max="5" width="24.33203125" style="321" customWidth="1"/>
    <col min="6" max="6" width="20.83203125" style="321" customWidth="1"/>
    <col min="7" max="16384" width="9.33203125" style="321"/>
  </cols>
  <sheetData>
    <row r="1" spans="1:6">
      <c r="B1" s="129"/>
      <c r="C1" s="129"/>
      <c r="F1" s="40" t="s">
        <v>67</v>
      </c>
    </row>
    <row r="2" spans="1:6">
      <c r="B2" s="129"/>
      <c r="C2" s="129"/>
      <c r="F2" s="128" t="s">
        <v>821</v>
      </c>
    </row>
    <row r="3" spans="1:6">
      <c r="A3" s="604" t="s">
        <v>356</v>
      </c>
      <c r="B3" s="604"/>
      <c r="C3" s="604"/>
      <c r="D3" s="604"/>
      <c r="E3" s="604"/>
      <c r="F3" s="604"/>
    </row>
    <row r="4" spans="1:6">
      <c r="A4" s="604" t="s">
        <v>357</v>
      </c>
      <c r="B4" s="604"/>
      <c r="C4" s="604"/>
      <c r="D4" s="604"/>
      <c r="E4" s="604"/>
      <c r="F4" s="604"/>
    </row>
    <row r="5" spans="1:6">
      <c r="A5" s="605" t="s">
        <v>743</v>
      </c>
      <c r="B5" s="606"/>
      <c r="C5" s="606"/>
      <c r="D5" s="606"/>
      <c r="E5" s="606"/>
      <c r="F5" s="606"/>
    </row>
    <row r="8" spans="1:6">
      <c r="D8" s="314" t="s">
        <v>123</v>
      </c>
      <c r="E8" s="314" t="s">
        <v>124</v>
      </c>
      <c r="F8" s="314" t="s">
        <v>162</v>
      </c>
    </row>
    <row r="9" spans="1:6">
      <c r="A9" s="88" t="s">
        <v>399</v>
      </c>
      <c r="B9" s="321" t="s">
        <v>138</v>
      </c>
      <c r="C9" s="321" t="s">
        <v>385</v>
      </c>
      <c r="D9" s="314" t="s">
        <v>405</v>
      </c>
      <c r="E9" s="314" t="s">
        <v>358</v>
      </c>
      <c r="F9" s="314" t="s">
        <v>359</v>
      </c>
    </row>
    <row r="10" spans="1:6">
      <c r="A10" s="314">
        <v>1</v>
      </c>
      <c r="B10" s="350" t="s">
        <v>360</v>
      </c>
      <c r="C10" s="422"/>
      <c r="D10" s="423"/>
      <c r="E10" s="423"/>
      <c r="F10" s="424"/>
    </row>
    <row r="11" spans="1:6">
      <c r="A11" s="314">
        <v>2</v>
      </c>
      <c r="B11" s="321" t="s">
        <v>361</v>
      </c>
      <c r="C11" s="285" t="s">
        <v>827</v>
      </c>
      <c r="D11" s="185">
        <v>0</v>
      </c>
      <c r="E11" s="185">
        <v>0</v>
      </c>
      <c r="F11" s="327">
        <f>D11-E11</f>
        <v>0</v>
      </c>
    </row>
    <row r="12" spans="1:6">
      <c r="A12" s="314">
        <v>3</v>
      </c>
      <c r="B12" s="321" t="s">
        <v>362</v>
      </c>
      <c r="C12" s="285" t="s">
        <v>827</v>
      </c>
      <c r="D12" s="185">
        <v>0</v>
      </c>
      <c r="E12" s="185">
        <v>0</v>
      </c>
      <c r="F12" s="327">
        <f t="shared" ref="F12:F27" si="0">D12-E12</f>
        <v>0</v>
      </c>
    </row>
    <row r="13" spans="1:6">
      <c r="A13" s="314">
        <v>4</v>
      </c>
      <c r="B13" s="321" t="s">
        <v>363</v>
      </c>
      <c r="C13" s="285" t="s">
        <v>827</v>
      </c>
      <c r="D13" s="185">
        <v>0</v>
      </c>
      <c r="E13" s="185">
        <v>0</v>
      </c>
      <c r="F13" s="327">
        <f t="shared" si="0"/>
        <v>0</v>
      </c>
    </row>
    <row r="14" spans="1:6">
      <c r="A14" s="314">
        <v>5</v>
      </c>
      <c r="B14" s="321" t="s">
        <v>364</v>
      </c>
      <c r="C14" s="285" t="s">
        <v>827</v>
      </c>
      <c r="D14" s="185">
        <v>0</v>
      </c>
      <c r="E14" s="185">
        <v>0</v>
      </c>
      <c r="F14" s="327">
        <f t="shared" si="0"/>
        <v>0</v>
      </c>
    </row>
    <row r="15" spans="1:6">
      <c r="A15" s="314">
        <v>6</v>
      </c>
      <c r="B15" s="321" t="s">
        <v>365</v>
      </c>
      <c r="C15" s="285" t="s">
        <v>827</v>
      </c>
      <c r="D15" s="185">
        <v>0</v>
      </c>
      <c r="E15" s="185">
        <v>0</v>
      </c>
      <c r="F15" s="327">
        <f t="shared" si="0"/>
        <v>0</v>
      </c>
    </row>
    <row r="16" spans="1:6">
      <c r="A16" s="314">
        <v>7</v>
      </c>
      <c r="B16" s="321" t="s">
        <v>365</v>
      </c>
      <c r="C16" s="285" t="s">
        <v>827</v>
      </c>
      <c r="D16" s="425">
        <v>0</v>
      </c>
      <c r="E16" s="425">
        <v>0</v>
      </c>
      <c r="F16" s="337">
        <f t="shared" si="0"/>
        <v>0</v>
      </c>
    </row>
    <row r="17" spans="1:6">
      <c r="A17" s="314">
        <v>8</v>
      </c>
      <c r="B17" s="350" t="s">
        <v>366</v>
      </c>
      <c r="C17" s="85" t="s">
        <v>371</v>
      </c>
      <c r="D17" s="327">
        <f>SUM(D11:D16)</f>
        <v>0</v>
      </c>
      <c r="E17" s="327">
        <f>SUM(E11:E16)</f>
        <v>0</v>
      </c>
      <c r="F17" s="327">
        <f t="shared" si="0"/>
        <v>0</v>
      </c>
    </row>
    <row r="18" spans="1:6">
      <c r="D18" s="314"/>
      <c r="E18" s="314"/>
      <c r="F18" s="327"/>
    </row>
    <row r="19" spans="1:6">
      <c r="A19" s="314">
        <v>9</v>
      </c>
      <c r="B19" s="350" t="s">
        <v>367</v>
      </c>
      <c r="D19" s="314"/>
      <c r="E19" s="314"/>
      <c r="F19" s="327"/>
    </row>
    <row r="20" spans="1:6">
      <c r="A20" s="314">
        <v>10</v>
      </c>
      <c r="B20" s="321" t="s">
        <v>368</v>
      </c>
      <c r="C20" s="285" t="s">
        <v>827</v>
      </c>
      <c r="D20" s="185">
        <v>0</v>
      </c>
      <c r="E20" s="185">
        <v>0</v>
      </c>
      <c r="F20" s="327">
        <f t="shared" si="0"/>
        <v>0</v>
      </c>
    </row>
    <row r="21" spans="1:6">
      <c r="A21" s="314">
        <v>11</v>
      </c>
      <c r="B21" s="321" t="s">
        <v>369</v>
      </c>
      <c r="C21" s="285" t="s">
        <v>827</v>
      </c>
      <c r="D21" s="185">
        <v>0</v>
      </c>
      <c r="E21" s="185">
        <v>0</v>
      </c>
      <c r="F21" s="327">
        <f t="shared" si="0"/>
        <v>0</v>
      </c>
    </row>
    <row r="22" spans="1:6">
      <c r="A22" s="314">
        <v>12</v>
      </c>
      <c r="B22" s="321" t="s">
        <v>370</v>
      </c>
      <c r="C22" s="285" t="s">
        <v>827</v>
      </c>
      <c r="D22" s="185">
        <v>0</v>
      </c>
      <c r="E22" s="185">
        <v>0</v>
      </c>
      <c r="F22" s="327">
        <f t="shared" si="0"/>
        <v>0</v>
      </c>
    </row>
    <row r="23" spans="1:6">
      <c r="A23" s="314">
        <v>13</v>
      </c>
      <c r="B23" s="285" t="s">
        <v>828</v>
      </c>
      <c r="C23" s="285" t="s">
        <v>827</v>
      </c>
      <c r="D23" s="185">
        <v>0</v>
      </c>
      <c r="E23" s="185">
        <v>0</v>
      </c>
      <c r="F23" s="327">
        <f t="shared" si="0"/>
        <v>0</v>
      </c>
    </row>
    <row r="24" spans="1:6">
      <c r="A24" s="314">
        <v>14</v>
      </c>
      <c r="B24" s="285" t="s">
        <v>704</v>
      </c>
      <c r="C24" s="285" t="s">
        <v>827</v>
      </c>
      <c r="D24" s="425">
        <v>0</v>
      </c>
      <c r="E24" s="425">
        <v>0</v>
      </c>
      <c r="F24" s="337">
        <f t="shared" si="0"/>
        <v>0</v>
      </c>
    </row>
    <row r="25" spans="1:6">
      <c r="A25" s="314">
        <v>15</v>
      </c>
      <c r="B25" s="285" t="s">
        <v>829</v>
      </c>
      <c r="C25" s="285" t="s">
        <v>830</v>
      </c>
      <c r="D25" s="327">
        <f>SUM(D20:D24)</f>
        <v>0</v>
      </c>
      <c r="E25" s="327">
        <f>SUM(E20:E24)</f>
        <v>0</v>
      </c>
      <c r="F25" s="327">
        <f t="shared" si="0"/>
        <v>0</v>
      </c>
    </row>
    <row r="26" spans="1:6">
      <c r="A26" s="314">
        <v>16</v>
      </c>
      <c r="B26" s="285" t="s">
        <v>831</v>
      </c>
      <c r="C26" s="285"/>
      <c r="D26" s="185">
        <v>0</v>
      </c>
      <c r="E26" s="185">
        <v>0</v>
      </c>
      <c r="F26" s="327">
        <f>D26-E26</f>
        <v>0</v>
      </c>
    </row>
    <row r="27" spans="1:6">
      <c r="A27" s="314">
        <v>17</v>
      </c>
      <c r="B27" s="285" t="s">
        <v>832</v>
      </c>
      <c r="C27" s="285"/>
      <c r="D27" s="425">
        <v>0</v>
      </c>
      <c r="E27" s="425">
        <v>0</v>
      </c>
      <c r="F27" s="337">
        <f t="shared" si="0"/>
        <v>0</v>
      </c>
    </row>
    <row r="28" spans="1:6" ht="24">
      <c r="A28" s="314">
        <v>18</v>
      </c>
      <c r="B28" s="285" t="s">
        <v>833</v>
      </c>
      <c r="C28" s="426" t="s">
        <v>817</v>
      </c>
      <c r="D28" s="427">
        <f>D25-D26-D27</f>
        <v>0</v>
      </c>
      <c r="E28" s="427">
        <f>E25-E26-E27</f>
        <v>0</v>
      </c>
      <c r="F28" s="428">
        <f>D28-E28</f>
        <v>0</v>
      </c>
    </row>
    <row r="29" spans="1:6">
      <c r="D29" s="121"/>
      <c r="E29" s="121"/>
      <c r="F29" s="428"/>
    </row>
    <row r="30" spans="1:6">
      <c r="A30" s="314">
        <v>19</v>
      </c>
      <c r="B30" s="285" t="s">
        <v>834</v>
      </c>
      <c r="C30" s="285" t="s">
        <v>372</v>
      </c>
      <c r="D30" s="427">
        <f>D17+D28</f>
        <v>0</v>
      </c>
      <c r="E30" s="427">
        <f>E17+E28</f>
        <v>0</v>
      </c>
      <c r="F30" s="428">
        <f>D30-E30</f>
        <v>0</v>
      </c>
    </row>
    <row r="31" spans="1:6">
      <c r="D31" s="314"/>
      <c r="E31" s="314"/>
      <c r="F31" s="314"/>
    </row>
    <row r="32" spans="1:6" ht="9.75" customHeight="1"/>
    <row r="33" spans="1:7" ht="12" customHeight="1">
      <c r="A33" s="314" t="s">
        <v>351</v>
      </c>
      <c r="B33" s="618" t="s">
        <v>600</v>
      </c>
      <c r="C33" s="618"/>
      <c r="D33" s="618"/>
      <c r="E33" s="618"/>
      <c r="F33" s="618"/>
      <c r="G33" s="512"/>
    </row>
    <row r="34" spans="1:7" ht="16.5" customHeight="1">
      <c r="B34" s="618"/>
      <c r="C34" s="618"/>
      <c r="D34" s="618"/>
      <c r="E34" s="618"/>
      <c r="F34" s="618"/>
      <c r="G34" s="512"/>
    </row>
    <row r="35" spans="1:7" ht="9.75" customHeight="1">
      <c r="F35" s="126"/>
    </row>
    <row r="36" spans="1:7" ht="9.75" customHeight="1">
      <c r="F36" s="126"/>
    </row>
    <row r="37" spans="1:7" ht="9.75" customHeight="1"/>
    <row r="38" spans="1:7" ht="9.75" customHeight="1"/>
    <row r="39" spans="1:7" ht="9.75" customHeight="1"/>
    <row r="40" spans="1:7" ht="9.75" customHeight="1"/>
    <row r="41" spans="1:7" ht="9.75" customHeight="1"/>
    <row r="42" spans="1:7" ht="9.75" customHeight="1"/>
    <row r="43" spans="1:7" ht="9.75" customHeight="1"/>
    <row r="44" spans="1:7" ht="9.75" customHeight="1"/>
    <row r="45" spans="1:7" ht="9.75" customHeight="1"/>
    <row r="46" spans="1:7" ht="9.75" customHeight="1"/>
    <row r="47" spans="1:7" ht="9.75" customHeight="1"/>
    <row r="48" spans="1:7"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sheetData>
  <mergeCells count="4">
    <mergeCell ref="A3:F3"/>
    <mergeCell ref="A4:F4"/>
    <mergeCell ref="A5:F5"/>
    <mergeCell ref="B33:F34"/>
  </mergeCells>
  <phoneticPr fontId="0" type="noConversion"/>
  <printOptions horizontalCentered="1"/>
  <pageMargins left="0.5" right="0.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04"/>
  <sheetViews>
    <sheetView view="pageBreakPreview" zoomScaleNormal="90" zoomScaleSheetLayoutView="100" workbookViewId="0">
      <selection activeCell="B11" sqref="B11:J11"/>
    </sheetView>
  </sheetViews>
  <sheetFormatPr defaultColWidth="10.83203125" defaultRowHeight="12.75"/>
  <cols>
    <col min="1" max="1" width="10.83203125" style="538"/>
    <col min="2" max="2" width="19.33203125" style="538" customWidth="1"/>
    <col min="3" max="3" width="9.5" style="538" customWidth="1"/>
    <col min="4" max="5" width="19.33203125" style="538" customWidth="1"/>
    <col min="6" max="6" width="13" style="538" customWidth="1"/>
    <col min="7" max="7" width="16.1640625" style="538" customWidth="1"/>
    <col min="8" max="9" width="19.33203125" style="538" customWidth="1"/>
    <col min="10" max="10" width="30" style="538" customWidth="1"/>
    <col min="11" max="16384" width="10.83203125" style="538"/>
  </cols>
  <sheetData>
    <row r="1" spans="1:11" s="516" customFormat="1">
      <c r="A1" s="514" t="s">
        <v>743</v>
      </c>
      <c r="B1" s="515"/>
    </row>
    <row r="2" spans="1:11" s="516" customFormat="1">
      <c r="A2" s="645" t="s">
        <v>838</v>
      </c>
      <c r="B2" s="645"/>
      <c r="C2" s="645"/>
      <c r="D2" s="645"/>
      <c r="E2" s="645"/>
      <c r="F2" s="645"/>
      <c r="G2" s="645"/>
      <c r="H2" s="645"/>
      <c r="I2" s="645"/>
      <c r="J2" s="645"/>
      <c r="K2" s="645"/>
    </row>
    <row r="3" spans="1:11" s="516" customFormat="1">
      <c r="A3" s="517" t="s">
        <v>839</v>
      </c>
      <c r="B3" s="517"/>
      <c r="C3" s="517"/>
      <c r="D3" s="517"/>
      <c r="E3" s="517"/>
      <c r="F3" s="517"/>
      <c r="G3" s="517"/>
      <c r="H3" s="517"/>
      <c r="I3" s="517"/>
      <c r="J3" s="517"/>
      <c r="K3" s="517"/>
    </row>
    <row r="4" spans="1:11" s="516" customFormat="1">
      <c r="A4" s="651" t="s">
        <v>840</v>
      </c>
      <c r="B4" s="651"/>
      <c r="C4" s="651"/>
      <c r="D4" s="651"/>
      <c r="E4" s="651"/>
      <c r="F4" s="651"/>
      <c r="G4" s="651"/>
      <c r="H4" s="651"/>
      <c r="I4" s="651"/>
      <c r="J4" s="651"/>
      <c r="K4" s="651"/>
    </row>
    <row r="5" spans="1:11" s="519" customFormat="1" ht="13.15" customHeight="1">
      <c r="A5" s="518"/>
      <c r="B5" s="518"/>
      <c r="C5" s="518"/>
      <c r="D5" s="518"/>
      <c r="E5" s="518"/>
      <c r="F5" s="518"/>
      <c r="G5" s="518"/>
      <c r="H5" s="518"/>
    </row>
    <row r="6" spans="1:11" s="519" customFormat="1" ht="13.15" customHeight="1">
      <c r="A6" s="520" t="s">
        <v>70</v>
      </c>
      <c r="B6" s="518"/>
      <c r="C6" s="518"/>
      <c r="D6" s="518"/>
      <c r="E6" s="518"/>
      <c r="F6" s="518"/>
      <c r="G6" s="518"/>
      <c r="H6" s="518"/>
    </row>
    <row r="7" spans="1:11" s="519" customFormat="1">
      <c r="A7" s="520" t="s">
        <v>841</v>
      </c>
      <c r="B7" s="521"/>
      <c r="C7" s="521"/>
      <c r="D7" s="521"/>
      <c r="E7" s="521"/>
      <c r="F7" s="521"/>
      <c r="G7" s="521"/>
      <c r="H7" s="521"/>
      <c r="I7" s="521"/>
      <c r="J7" s="521"/>
    </row>
    <row r="8" spans="1:11" s="519" customFormat="1">
      <c r="A8" s="522">
        <v>1</v>
      </c>
      <c r="B8" s="523" t="s">
        <v>842</v>
      </c>
      <c r="D8" s="521"/>
      <c r="F8" s="524">
        <v>2021</v>
      </c>
      <c r="G8" s="521"/>
      <c r="H8" s="521"/>
      <c r="I8" s="521"/>
      <c r="J8" s="521"/>
    </row>
    <row r="9" spans="1:11" s="525" customFormat="1">
      <c r="A9" s="522">
        <f>+A8+1</f>
        <v>2</v>
      </c>
      <c r="B9" s="523" t="s">
        <v>843</v>
      </c>
      <c r="F9" s="526">
        <v>365</v>
      </c>
    </row>
    <row r="10" spans="1:11" s="525" customFormat="1">
      <c r="A10" s="522"/>
      <c r="B10" s="522"/>
    </row>
    <row r="11" spans="1:11" s="525" customFormat="1" ht="49.9" customHeight="1">
      <c r="A11" s="522">
        <f>+A9+1</f>
        <v>3</v>
      </c>
      <c r="B11" s="646" t="s">
        <v>908</v>
      </c>
      <c r="C11" s="647"/>
      <c r="D11" s="647"/>
      <c r="E11" s="647"/>
      <c r="F11" s="647"/>
      <c r="G11" s="647"/>
      <c r="H11" s="647"/>
      <c r="I11" s="647"/>
      <c r="J11" s="647"/>
    </row>
    <row r="12" spans="1:11" s="525" customFormat="1">
      <c r="A12" s="522"/>
      <c r="B12" s="527"/>
      <c r="I12" s="528"/>
    </row>
    <row r="13" spans="1:11" s="525" customFormat="1" ht="43.5" customHeight="1">
      <c r="A13" s="522">
        <f>+A11+1</f>
        <v>4</v>
      </c>
      <c r="B13" s="647" t="s">
        <v>909</v>
      </c>
      <c r="C13" s="647"/>
      <c r="D13" s="647"/>
      <c r="E13" s="647"/>
      <c r="F13" s="647"/>
      <c r="G13" s="647"/>
      <c r="H13" s="647"/>
      <c r="I13" s="647"/>
      <c r="J13" s="647"/>
    </row>
    <row r="14" spans="1:11" s="525" customFormat="1">
      <c r="A14" s="522"/>
      <c r="B14" s="527"/>
      <c r="I14" s="528"/>
    </row>
    <row r="15" spans="1:11" s="525" customFormat="1">
      <c r="A15" s="522"/>
      <c r="B15" s="527"/>
      <c r="I15" s="528"/>
    </row>
    <row r="16" spans="1:11" s="525" customFormat="1" ht="14.45" customHeight="1">
      <c r="A16" s="522">
        <f>A13+1</f>
        <v>5</v>
      </c>
      <c r="B16" s="529" t="s">
        <v>844</v>
      </c>
      <c r="G16" s="530" t="s">
        <v>171</v>
      </c>
      <c r="I16" s="528"/>
    </row>
    <row r="17" spans="1:9" s="525" customFormat="1" ht="14.45" customHeight="1">
      <c r="A17" s="522"/>
      <c r="B17" s="529"/>
      <c r="G17" s="531" t="s">
        <v>845</v>
      </c>
      <c r="I17" s="528"/>
    </row>
    <row r="18" spans="1:9" s="525" customFormat="1">
      <c r="A18" s="522">
        <f>A16+1</f>
        <v>6</v>
      </c>
      <c r="B18" s="523" t="s">
        <v>846</v>
      </c>
      <c r="G18" s="532">
        <v>0</v>
      </c>
      <c r="I18" s="528"/>
    </row>
    <row r="19" spans="1:9" s="525" customFormat="1">
      <c r="A19" s="522">
        <f>A18+1</f>
        <v>7</v>
      </c>
      <c r="B19" s="523" t="s">
        <v>847</v>
      </c>
      <c r="G19" s="532">
        <v>0</v>
      </c>
      <c r="I19" s="528"/>
    </row>
    <row r="20" spans="1:9" s="525" customFormat="1" ht="13.5" thickBot="1">
      <c r="A20" s="522">
        <f>A19+1</f>
        <v>8</v>
      </c>
      <c r="B20" s="523" t="s">
        <v>848</v>
      </c>
      <c r="G20" s="533">
        <f>SUM(G18:G19)/2</f>
        <v>0</v>
      </c>
      <c r="H20" s="527" t="s">
        <v>849</v>
      </c>
      <c r="I20" s="528"/>
    </row>
    <row r="21" spans="1:9" s="525" customFormat="1" ht="13.5" thickTop="1">
      <c r="A21" s="522"/>
      <c r="B21" s="527"/>
      <c r="I21" s="528"/>
    </row>
    <row r="22" spans="1:9" s="525" customFormat="1" ht="12.75" customHeight="1">
      <c r="A22" s="522">
        <f>+A13+1</f>
        <v>5</v>
      </c>
      <c r="B22" s="529" t="s">
        <v>850</v>
      </c>
      <c r="C22" s="529"/>
      <c r="D22" s="529"/>
      <c r="E22" s="529"/>
      <c r="G22" s="648" t="s">
        <v>851</v>
      </c>
    </row>
    <row r="23" spans="1:9" s="525" customFormat="1" ht="12.75" customHeight="1">
      <c r="A23" s="522"/>
      <c r="B23" s="529"/>
      <c r="C23" s="529"/>
      <c r="D23" s="529"/>
      <c r="G23" s="649"/>
    </row>
    <row r="24" spans="1:9" s="525" customFormat="1" ht="12.75" customHeight="1">
      <c r="A24" s="522">
        <f>+A22+1</f>
        <v>6</v>
      </c>
      <c r="B24" s="523" t="s">
        <v>846</v>
      </c>
      <c r="C24" s="523"/>
      <c r="D24" s="523"/>
      <c r="G24" s="532">
        <v>-5997980.3715178203</v>
      </c>
    </row>
    <row r="25" spans="1:9" s="525" customFormat="1" ht="12.75" customHeight="1">
      <c r="A25" s="522">
        <f>+A24+1</f>
        <v>7</v>
      </c>
      <c r="B25" s="523" t="s">
        <v>852</v>
      </c>
      <c r="C25" s="523"/>
      <c r="D25" s="523"/>
      <c r="G25" s="532">
        <v>0</v>
      </c>
    </row>
    <row r="26" spans="1:9" s="525" customFormat="1" ht="12.75" customHeight="1">
      <c r="A26" s="522">
        <f>+A25+1</f>
        <v>8</v>
      </c>
      <c r="B26" s="523" t="s">
        <v>853</v>
      </c>
      <c r="C26" s="523"/>
      <c r="D26" s="523"/>
      <c r="G26" s="534">
        <v>-1655906.0849605873</v>
      </c>
    </row>
    <row r="27" spans="1:9" s="525" customFormat="1" ht="12.75" customHeight="1">
      <c r="A27" s="522">
        <f>+A26+1</f>
        <v>9</v>
      </c>
      <c r="B27" s="523" t="s">
        <v>854</v>
      </c>
      <c r="C27" s="523"/>
      <c r="D27" s="523"/>
      <c r="G27" s="535">
        <f>G24-G25-G26</f>
        <v>-4342074.286557233</v>
      </c>
    </row>
    <row r="28" spans="1:9" s="525" customFormat="1" ht="12.75" customHeight="1">
      <c r="A28" s="522">
        <f>+A27+1</f>
        <v>10</v>
      </c>
      <c r="B28" s="523" t="s">
        <v>855</v>
      </c>
      <c r="C28" s="523"/>
      <c r="D28" s="523"/>
      <c r="G28" s="532">
        <v>-4633490.2724617431</v>
      </c>
    </row>
    <row r="29" spans="1:9" s="525" customFormat="1" ht="12.75" customHeight="1" thickBot="1">
      <c r="A29" s="522">
        <f>+A28+1</f>
        <v>11</v>
      </c>
      <c r="B29" s="523" t="s">
        <v>856</v>
      </c>
      <c r="C29" s="523"/>
      <c r="D29" s="523"/>
      <c r="G29" s="533">
        <f>G27-G28</f>
        <v>291415.98590451013</v>
      </c>
    </row>
    <row r="30" spans="1:9" s="525" customFormat="1" ht="12.75" customHeight="1" thickTop="1">
      <c r="A30" s="522"/>
      <c r="B30" s="523"/>
      <c r="C30" s="523"/>
      <c r="D30" s="523"/>
      <c r="G30" s="535"/>
    </row>
    <row r="31" spans="1:9" s="525" customFormat="1" ht="12.75" customHeight="1">
      <c r="A31" s="522">
        <f>+A29+1</f>
        <v>12</v>
      </c>
      <c r="B31" s="523" t="s">
        <v>847</v>
      </c>
      <c r="C31" s="523"/>
      <c r="D31" s="523"/>
      <c r="G31" s="532">
        <v>-8845020.8981579412</v>
      </c>
    </row>
    <row r="32" spans="1:9" s="525" customFormat="1" ht="12.75" customHeight="1">
      <c r="A32" s="522">
        <f>+A31+1</f>
        <v>13</v>
      </c>
      <c r="B32" s="523" t="s">
        <v>852</v>
      </c>
      <c r="C32" s="523"/>
      <c r="D32" s="523"/>
      <c r="G32" s="532">
        <v>0</v>
      </c>
    </row>
    <row r="33" spans="1:10" s="525" customFormat="1" ht="12.75" customHeight="1">
      <c r="A33" s="522">
        <f>+A32+1</f>
        <v>14</v>
      </c>
      <c r="B33" s="523" t="s">
        <v>853</v>
      </c>
      <c r="C33" s="523"/>
      <c r="D33" s="523"/>
      <c r="G33" s="534">
        <v>-1626049.7273275934</v>
      </c>
    </row>
    <row r="34" spans="1:10" s="525" customFormat="1" ht="12.75" customHeight="1">
      <c r="A34" s="522">
        <f>+A33+1</f>
        <v>15</v>
      </c>
      <c r="B34" s="523" t="s">
        <v>854</v>
      </c>
      <c r="C34" s="523"/>
      <c r="D34" s="523"/>
      <c r="G34" s="535">
        <f>G31-G32-G33</f>
        <v>-7218971.1708303476</v>
      </c>
    </row>
    <row r="35" spans="1:10" s="525" customFormat="1" ht="12.75" customHeight="1">
      <c r="A35" s="522">
        <f>+A34+1</f>
        <v>16</v>
      </c>
      <c r="B35" s="523" t="s">
        <v>857</v>
      </c>
      <c r="C35" s="523"/>
      <c r="D35" s="523"/>
      <c r="G35" s="532">
        <v>-7690597.0817331513</v>
      </c>
    </row>
    <row r="36" spans="1:10" s="525" customFormat="1" ht="12.75" customHeight="1" thickBot="1">
      <c r="A36" s="522">
        <f>+A35+1</f>
        <v>17</v>
      </c>
      <c r="B36" s="523" t="s">
        <v>858</v>
      </c>
      <c r="C36" s="523"/>
      <c r="D36" s="523"/>
      <c r="G36" s="533">
        <f>G34-G35</f>
        <v>471625.91090280376</v>
      </c>
    </row>
    <row r="37" spans="1:10" s="525" customFormat="1" ht="12.75" customHeight="1" thickTop="1">
      <c r="A37" s="522"/>
      <c r="B37" s="523"/>
      <c r="C37" s="523"/>
      <c r="D37" s="523"/>
      <c r="G37" s="535"/>
    </row>
    <row r="38" spans="1:10" s="525" customFormat="1" ht="12.75" customHeight="1">
      <c r="A38" s="522">
        <f>+A36+1</f>
        <v>18</v>
      </c>
      <c r="B38" s="523" t="s">
        <v>859</v>
      </c>
      <c r="C38" s="523"/>
      <c r="D38" s="523"/>
      <c r="G38" s="535">
        <f>I59</f>
        <v>-6049670.572921033</v>
      </c>
    </row>
    <row r="39" spans="1:10" s="525" customFormat="1" ht="12.75" customHeight="1">
      <c r="A39" s="522">
        <f>+A38+1</f>
        <v>19</v>
      </c>
      <c r="B39" s="523" t="s">
        <v>860</v>
      </c>
      <c r="C39" s="523"/>
      <c r="D39" s="523"/>
      <c r="G39" s="535">
        <f>(G29+G36)/2</f>
        <v>381520.94840365695</v>
      </c>
    </row>
    <row r="40" spans="1:10" s="525" customFormat="1" ht="12.75" customHeight="1" thickBot="1">
      <c r="A40" s="522">
        <f>+A39+1</f>
        <v>20</v>
      </c>
      <c r="B40" s="523" t="s">
        <v>861</v>
      </c>
      <c r="C40" s="523"/>
      <c r="D40" s="523"/>
      <c r="G40" s="533">
        <f>SUM(G38:G39)</f>
        <v>-5668149.6245173756</v>
      </c>
      <c r="H40" s="527" t="s">
        <v>862</v>
      </c>
    </row>
    <row r="41" spans="1:10" s="525" customFormat="1" ht="12.75" customHeight="1" thickTop="1">
      <c r="A41" s="522"/>
      <c r="B41" s="529"/>
      <c r="C41" s="529"/>
      <c r="D41" s="529"/>
      <c r="F41" s="536"/>
      <c r="I41" s="528"/>
      <c r="J41" s="537"/>
    </row>
    <row r="42" spans="1:10" ht="25.15" customHeight="1">
      <c r="A42" s="522">
        <f>+A40+1</f>
        <v>21</v>
      </c>
      <c r="B42" s="650" t="s">
        <v>907</v>
      </c>
      <c r="C42" s="647"/>
      <c r="D42" s="647"/>
      <c r="E42" s="647"/>
      <c r="F42" s="647"/>
      <c r="G42" s="647"/>
      <c r="H42" s="647"/>
      <c r="I42" s="647"/>
      <c r="J42" s="647"/>
    </row>
    <row r="43" spans="1:10">
      <c r="A43" s="522"/>
      <c r="B43" s="539"/>
      <c r="C43" s="539"/>
      <c r="D43" s="516"/>
      <c r="E43" s="516"/>
      <c r="F43" s="516"/>
      <c r="G43" s="516"/>
      <c r="H43" s="516"/>
      <c r="I43" s="516"/>
    </row>
    <row r="44" spans="1:10">
      <c r="A44" s="522">
        <f>+A42+1</f>
        <v>22</v>
      </c>
      <c r="B44" s="529" t="s">
        <v>850</v>
      </c>
      <c r="C44" s="539"/>
      <c r="D44" s="516"/>
      <c r="E44" s="516"/>
      <c r="F44" s="516"/>
      <c r="G44" s="516"/>
      <c r="H44" s="516"/>
      <c r="I44" s="516"/>
    </row>
    <row r="45" spans="1:10">
      <c r="A45" s="522"/>
      <c r="B45" s="540" t="s">
        <v>123</v>
      </c>
      <c r="C45" s="541" t="s">
        <v>124</v>
      </c>
      <c r="D45" s="542" t="s">
        <v>281</v>
      </c>
      <c r="E45" s="542" t="s">
        <v>125</v>
      </c>
      <c r="F45" s="542" t="s">
        <v>282</v>
      </c>
      <c r="G45" s="542" t="s">
        <v>128</v>
      </c>
      <c r="H45" s="542" t="s">
        <v>129</v>
      </c>
      <c r="I45" s="542" t="s">
        <v>130</v>
      </c>
    </row>
    <row r="46" spans="1:10" ht="69" customHeight="1">
      <c r="A46" s="522">
        <f>+A44+1</f>
        <v>23</v>
      </c>
      <c r="B46" s="543" t="s">
        <v>112</v>
      </c>
      <c r="C46" s="543" t="s">
        <v>863</v>
      </c>
      <c r="D46" s="544" t="s">
        <v>864</v>
      </c>
      <c r="E46" s="544" t="s">
        <v>865</v>
      </c>
      <c r="F46" s="544" t="s">
        <v>866</v>
      </c>
      <c r="G46" s="544" t="s">
        <v>867</v>
      </c>
      <c r="H46" s="544" t="s">
        <v>868</v>
      </c>
      <c r="I46" s="544" t="s">
        <v>869</v>
      </c>
    </row>
    <row r="47" spans="1:10">
      <c r="A47" s="522">
        <f t="shared" ref="A47:A60" si="0">+A46+1</f>
        <v>24</v>
      </c>
      <c r="B47" s="545" t="s">
        <v>870</v>
      </c>
      <c r="C47" s="546">
        <v>2019</v>
      </c>
      <c r="D47" s="547" t="s">
        <v>871</v>
      </c>
      <c r="E47" s="548">
        <f>G28</f>
        <v>-4633490.2724617431</v>
      </c>
      <c r="F47" s="549" t="s">
        <v>871</v>
      </c>
      <c r="G47" s="550">
        <f>F9</f>
        <v>365</v>
      </c>
      <c r="H47" s="551" t="s">
        <v>871</v>
      </c>
      <c r="I47" s="552">
        <f>E47</f>
        <v>-4633490.2724617431</v>
      </c>
    </row>
    <row r="48" spans="1:10">
      <c r="A48" s="522">
        <f t="shared" si="0"/>
        <v>25</v>
      </c>
      <c r="B48" s="545" t="s">
        <v>872</v>
      </c>
      <c r="C48" s="546">
        <v>2020</v>
      </c>
      <c r="D48" s="553">
        <f>(G35-G28)/12</f>
        <v>-254758.90077261734</v>
      </c>
      <c r="E48" s="552">
        <f t="shared" ref="E48:E59" si="1">E47+D48</f>
        <v>-4888249.1732343603</v>
      </c>
      <c r="F48" s="549">
        <v>335</v>
      </c>
      <c r="G48" s="550">
        <f t="shared" ref="G48:G59" si="2">G47</f>
        <v>365</v>
      </c>
      <c r="H48" s="552">
        <f t="shared" ref="H48:H59" si="3">D48*F48/G48</f>
        <v>-233819.81303788166</v>
      </c>
      <c r="I48" s="552">
        <f t="shared" ref="I48:I59" si="4">I47+H48</f>
        <v>-4867310.0854996247</v>
      </c>
    </row>
    <row r="49" spans="1:9">
      <c r="A49" s="522">
        <f t="shared" si="0"/>
        <v>26</v>
      </c>
      <c r="B49" s="545" t="s">
        <v>141</v>
      </c>
      <c r="C49" s="546">
        <v>2020</v>
      </c>
      <c r="D49" s="553">
        <f t="shared" ref="D49:D59" si="5">D48</f>
        <v>-254758.90077261734</v>
      </c>
      <c r="E49" s="552">
        <f t="shared" si="1"/>
        <v>-5143008.0740069775</v>
      </c>
      <c r="F49" s="549">
        <v>307</v>
      </c>
      <c r="G49" s="550">
        <f t="shared" si="2"/>
        <v>365</v>
      </c>
      <c r="H49" s="552">
        <f t="shared" si="3"/>
        <v>-214276.66448546169</v>
      </c>
      <c r="I49" s="552">
        <f t="shared" si="4"/>
        <v>-5081586.7499850867</v>
      </c>
    </row>
    <row r="50" spans="1:9">
      <c r="A50" s="522">
        <f t="shared" si="0"/>
        <v>27</v>
      </c>
      <c r="B50" s="545" t="s">
        <v>873</v>
      </c>
      <c r="C50" s="546">
        <v>2020</v>
      </c>
      <c r="D50" s="553">
        <f t="shared" si="5"/>
        <v>-254758.90077261734</v>
      </c>
      <c r="E50" s="552">
        <f>E49+D50</f>
        <v>-5397766.9747795947</v>
      </c>
      <c r="F50" s="549">
        <v>276</v>
      </c>
      <c r="G50" s="550">
        <f t="shared" si="2"/>
        <v>365</v>
      </c>
      <c r="H50" s="552">
        <f t="shared" si="3"/>
        <v>-192639.60715956817</v>
      </c>
      <c r="I50" s="552">
        <f t="shared" si="4"/>
        <v>-5274226.3571446547</v>
      </c>
    </row>
    <row r="51" spans="1:9">
      <c r="A51" s="522">
        <f t="shared" si="0"/>
        <v>28</v>
      </c>
      <c r="B51" s="545" t="s">
        <v>143</v>
      </c>
      <c r="C51" s="546">
        <v>2020</v>
      </c>
      <c r="D51" s="553">
        <f t="shared" si="5"/>
        <v>-254758.90077261734</v>
      </c>
      <c r="E51" s="552">
        <f t="shared" si="1"/>
        <v>-5652525.8755522119</v>
      </c>
      <c r="F51" s="549">
        <v>246</v>
      </c>
      <c r="G51" s="550">
        <f t="shared" si="2"/>
        <v>365</v>
      </c>
      <c r="H51" s="552">
        <f>D51*F51/G51</f>
        <v>-171700.51942483251</v>
      </c>
      <c r="I51" s="552">
        <f t="shared" si="4"/>
        <v>-5445926.8765694872</v>
      </c>
    </row>
    <row r="52" spans="1:9">
      <c r="A52" s="522">
        <f t="shared" si="0"/>
        <v>29</v>
      </c>
      <c r="B52" s="545" t="s">
        <v>144</v>
      </c>
      <c r="C52" s="546">
        <v>2020</v>
      </c>
      <c r="D52" s="553">
        <f t="shared" si="5"/>
        <v>-254758.90077261734</v>
      </c>
      <c r="E52" s="552">
        <f t="shared" si="1"/>
        <v>-5907284.7763248291</v>
      </c>
      <c r="F52" s="549">
        <v>215</v>
      </c>
      <c r="G52" s="550">
        <f t="shared" si="2"/>
        <v>365</v>
      </c>
      <c r="H52" s="552">
        <f t="shared" si="3"/>
        <v>-150063.462098939</v>
      </c>
      <c r="I52" s="552">
        <f>I51+H52</f>
        <v>-5595990.3386684265</v>
      </c>
    </row>
    <row r="53" spans="1:9">
      <c r="A53" s="522">
        <f t="shared" si="0"/>
        <v>30</v>
      </c>
      <c r="B53" s="545" t="s">
        <v>145</v>
      </c>
      <c r="C53" s="546">
        <v>2020</v>
      </c>
      <c r="D53" s="553">
        <f t="shared" si="5"/>
        <v>-254758.90077261734</v>
      </c>
      <c r="E53" s="552">
        <f t="shared" si="1"/>
        <v>-6162043.6770974463</v>
      </c>
      <c r="F53" s="549">
        <v>185</v>
      </c>
      <c r="G53" s="550">
        <f t="shared" si="2"/>
        <v>365</v>
      </c>
      <c r="H53" s="552">
        <f t="shared" si="3"/>
        <v>-129124.37436420332</v>
      </c>
      <c r="I53" s="552">
        <f t="shared" si="4"/>
        <v>-5725114.7130326303</v>
      </c>
    </row>
    <row r="54" spans="1:9">
      <c r="A54" s="522">
        <f t="shared" si="0"/>
        <v>31</v>
      </c>
      <c r="B54" s="545" t="s">
        <v>146</v>
      </c>
      <c r="C54" s="546">
        <v>2020</v>
      </c>
      <c r="D54" s="553">
        <f t="shared" si="5"/>
        <v>-254758.90077261734</v>
      </c>
      <c r="E54" s="552">
        <f t="shared" si="1"/>
        <v>-6416802.5778700635</v>
      </c>
      <c r="F54" s="549">
        <v>154</v>
      </c>
      <c r="G54" s="550">
        <f t="shared" si="2"/>
        <v>365</v>
      </c>
      <c r="H54" s="552">
        <f t="shared" si="3"/>
        <v>-107487.31703830977</v>
      </c>
      <c r="I54" s="552">
        <f t="shared" si="4"/>
        <v>-5832602.03007094</v>
      </c>
    </row>
    <row r="55" spans="1:9">
      <c r="A55" s="522">
        <f t="shared" si="0"/>
        <v>32</v>
      </c>
      <c r="B55" s="545" t="s">
        <v>874</v>
      </c>
      <c r="C55" s="546">
        <v>2020</v>
      </c>
      <c r="D55" s="553">
        <f t="shared" si="5"/>
        <v>-254758.90077261734</v>
      </c>
      <c r="E55" s="552">
        <f t="shared" si="1"/>
        <v>-6671561.4786426807</v>
      </c>
      <c r="F55" s="549">
        <v>123</v>
      </c>
      <c r="G55" s="550">
        <f t="shared" si="2"/>
        <v>365</v>
      </c>
      <c r="H55" s="552">
        <f t="shared" si="3"/>
        <v>-85850.259712416257</v>
      </c>
      <c r="I55" s="552">
        <f t="shared" si="4"/>
        <v>-5918452.2897833567</v>
      </c>
    </row>
    <row r="56" spans="1:9">
      <c r="A56" s="522">
        <f t="shared" si="0"/>
        <v>33</v>
      </c>
      <c r="B56" s="545" t="s">
        <v>148</v>
      </c>
      <c r="C56" s="546">
        <v>2020</v>
      </c>
      <c r="D56" s="553">
        <f t="shared" si="5"/>
        <v>-254758.90077261734</v>
      </c>
      <c r="E56" s="552">
        <f t="shared" si="1"/>
        <v>-6926320.3794152979</v>
      </c>
      <c r="F56" s="549">
        <v>93</v>
      </c>
      <c r="G56" s="550">
        <f t="shared" si="2"/>
        <v>365</v>
      </c>
      <c r="H56" s="552">
        <f t="shared" si="3"/>
        <v>-64911.171977680584</v>
      </c>
      <c r="I56" s="552">
        <f t="shared" si="4"/>
        <v>-5983363.4617610369</v>
      </c>
    </row>
    <row r="57" spans="1:9">
      <c r="A57" s="522">
        <f t="shared" si="0"/>
        <v>34</v>
      </c>
      <c r="B57" s="545" t="s">
        <v>149</v>
      </c>
      <c r="C57" s="546">
        <v>2020</v>
      </c>
      <c r="D57" s="553">
        <f t="shared" si="5"/>
        <v>-254758.90077261734</v>
      </c>
      <c r="E57" s="552">
        <f t="shared" si="1"/>
        <v>-7181079.2801879151</v>
      </c>
      <c r="F57" s="549">
        <v>62</v>
      </c>
      <c r="G57" s="550">
        <f t="shared" si="2"/>
        <v>365</v>
      </c>
      <c r="H57" s="552">
        <f t="shared" si="3"/>
        <v>-43274.114651787058</v>
      </c>
      <c r="I57" s="552">
        <f t="shared" si="4"/>
        <v>-6026637.576412824</v>
      </c>
    </row>
    <row r="58" spans="1:9">
      <c r="A58" s="522">
        <f t="shared" si="0"/>
        <v>35</v>
      </c>
      <c r="B58" s="545" t="s">
        <v>150</v>
      </c>
      <c r="C58" s="546">
        <v>2020</v>
      </c>
      <c r="D58" s="553">
        <f t="shared" si="5"/>
        <v>-254758.90077261734</v>
      </c>
      <c r="E58" s="552">
        <f t="shared" si="1"/>
        <v>-7435838.1809605323</v>
      </c>
      <c r="F58" s="549">
        <v>32</v>
      </c>
      <c r="G58" s="550">
        <f t="shared" si="2"/>
        <v>365</v>
      </c>
      <c r="H58" s="552">
        <f t="shared" si="3"/>
        <v>-22335.026917051382</v>
      </c>
      <c r="I58" s="552">
        <f t="shared" si="4"/>
        <v>-6048972.6033298755</v>
      </c>
    </row>
    <row r="59" spans="1:9">
      <c r="A59" s="522">
        <f t="shared" si="0"/>
        <v>36</v>
      </c>
      <c r="B59" s="545" t="s">
        <v>151</v>
      </c>
      <c r="C59" s="546">
        <v>2020</v>
      </c>
      <c r="D59" s="553">
        <f t="shared" si="5"/>
        <v>-254758.90077261734</v>
      </c>
      <c r="E59" s="552">
        <f t="shared" si="1"/>
        <v>-7690597.0817331495</v>
      </c>
      <c r="F59" s="549">
        <v>1</v>
      </c>
      <c r="G59" s="550">
        <f t="shared" si="2"/>
        <v>365</v>
      </c>
      <c r="H59" s="552">
        <f t="shared" si="3"/>
        <v>-697.96959115785569</v>
      </c>
      <c r="I59" s="554">
        <f t="shared" si="4"/>
        <v>-6049670.572921033</v>
      </c>
    </row>
    <row r="60" spans="1:9" ht="13.5" thickBot="1">
      <c r="A60" s="522">
        <f t="shared" si="0"/>
        <v>37</v>
      </c>
      <c r="B60" s="555" t="s">
        <v>875</v>
      </c>
      <c r="C60" s="555"/>
      <c r="D60" s="556">
        <f>SUM(D48:D59)</f>
        <v>-3057106.8092714078</v>
      </c>
      <c r="E60" s="557"/>
      <c r="F60" s="557"/>
      <c r="G60" s="557"/>
      <c r="H60" s="557"/>
      <c r="I60" s="552"/>
    </row>
    <row r="61" spans="1:9" ht="13.5" thickTop="1">
      <c r="A61" s="522"/>
      <c r="B61" s="558"/>
      <c r="C61" s="558"/>
      <c r="D61" s="559"/>
      <c r="E61" s="560"/>
      <c r="F61" s="560"/>
      <c r="G61" s="560"/>
      <c r="H61" s="560"/>
      <c r="I61" s="552"/>
    </row>
    <row r="62" spans="1:9">
      <c r="A62" s="529" t="s">
        <v>906</v>
      </c>
      <c r="B62" s="516"/>
      <c r="C62" s="516"/>
      <c r="D62" s="516"/>
      <c r="E62" s="516"/>
      <c r="F62" s="516"/>
      <c r="G62" s="516"/>
      <c r="H62" s="516"/>
      <c r="I62" s="516"/>
    </row>
    <row r="63" spans="1:9">
      <c r="A63" s="522"/>
    </row>
    <row r="64" spans="1:9" s="525" customFormat="1" ht="14.45" customHeight="1">
      <c r="A64" s="522">
        <f>A60+1</f>
        <v>38</v>
      </c>
      <c r="B64" s="529" t="s">
        <v>876</v>
      </c>
      <c r="G64" s="530" t="s">
        <v>171</v>
      </c>
      <c r="I64" s="528"/>
    </row>
    <row r="65" spans="1:9" s="525" customFormat="1" ht="14.45" customHeight="1">
      <c r="A65" s="522"/>
      <c r="B65" s="529"/>
      <c r="G65" s="531" t="s">
        <v>845</v>
      </c>
      <c r="I65" s="528"/>
    </row>
    <row r="66" spans="1:9">
      <c r="A66" s="522">
        <f>A64+1</f>
        <v>39</v>
      </c>
      <c r="B66" s="523" t="s">
        <v>846</v>
      </c>
      <c r="C66" s="523"/>
      <c r="D66" s="523"/>
      <c r="E66" s="525"/>
      <c r="F66" s="525"/>
      <c r="G66" s="532">
        <v>-772610.24787423236</v>
      </c>
    </row>
    <row r="67" spans="1:9">
      <c r="A67" s="522">
        <f>+A66+1</f>
        <v>40</v>
      </c>
      <c r="B67" s="523" t="s">
        <v>852</v>
      </c>
      <c r="C67" s="523"/>
      <c r="D67" s="523"/>
      <c r="E67" s="525"/>
      <c r="F67" s="525"/>
      <c r="G67" s="532">
        <v>0</v>
      </c>
    </row>
    <row r="68" spans="1:9">
      <c r="A68" s="522">
        <f>+A67+1</f>
        <v>41</v>
      </c>
      <c r="B68" s="523" t="s">
        <v>853</v>
      </c>
      <c r="C68" s="523"/>
      <c r="D68" s="523"/>
      <c r="E68" s="525"/>
      <c r="F68" s="525"/>
      <c r="G68" s="534">
        <v>-748021.93943019467</v>
      </c>
    </row>
    <row r="69" spans="1:9">
      <c r="A69" s="522">
        <f>+A68+1</f>
        <v>42</v>
      </c>
      <c r="B69" s="523" t="s">
        <v>854</v>
      </c>
      <c r="C69" s="523"/>
      <c r="D69" s="523"/>
      <c r="E69" s="525"/>
      <c r="F69" s="525"/>
      <c r="G69" s="535">
        <f>G66-G67-G68</f>
        <v>-24588.308444037684</v>
      </c>
    </row>
    <row r="70" spans="1:9">
      <c r="A70" s="522">
        <f>+A69+1</f>
        <v>43</v>
      </c>
      <c r="B70" s="523" t="s">
        <v>855</v>
      </c>
      <c r="C70" s="523"/>
      <c r="D70" s="523"/>
      <c r="E70" s="525"/>
      <c r="F70" s="525"/>
      <c r="G70" s="534">
        <v>0</v>
      </c>
    </row>
    <row r="71" spans="1:9" ht="13.5" thickBot="1">
      <c r="A71" s="522">
        <f>+A70+1</f>
        <v>44</v>
      </c>
      <c r="B71" s="523" t="s">
        <v>856</v>
      </c>
      <c r="C71" s="523"/>
      <c r="D71" s="523"/>
      <c r="E71" s="525"/>
      <c r="F71" s="525"/>
      <c r="G71" s="533">
        <f>G69-G70</f>
        <v>-24588.308444037684</v>
      </c>
    </row>
    <row r="72" spans="1:9" ht="13.5" thickTop="1">
      <c r="A72" s="522"/>
      <c r="B72" s="523"/>
      <c r="C72" s="523"/>
      <c r="D72" s="523"/>
      <c r="E72" s="525"/>
      <c r="F72" s="525"/>
      <c r="G72" s="535"/>
    </row>
    <row r="73" spans="1:9">
      <c r="A73" s="522">
        <f>+A71+1</f>
        <v>45</v>
      </c>
      <c r="B73" s="523" t="s">
        <v>847</v>
      </c>
      <c r="C73" s="523"/>
      <c r="D73" s="523"/>
      <c r="E73" s="525"/>
      <c r="F73" s="525"/>
      <c r="G73" s="532">
        <v>-725715.95053870569</v>
      </c>
    </row>
    <row r="74" spans="1:9">
      <c r="A74" s="522">
        <f>+A73+1</f>
        <v>46</v>
      </c>
      <c r="B74" s="523" t="s">
        <v>852</v>
      </c>
      <c r="C74" s="523"/>
      <c r="D74" s="523"/>
      <c r="E74" s="525"/>
      <c r="F74" s="525"/>
      <c r="G74" s="532">
        <v>0</v>
      </c>
    </row>
    <row r="75" spans="1:9">
      <c r="A75" s="522">
        <f>+A74+1</f>
        <v>47</v>
      </c>
      <c r="B75" s="523" t="s">
        <v>853</v>
      </c>
      <c r="C75" s="523"/>
      <c r="D75" s="523"/>
      <c r="E75" s="525"/>
      <c r="F75" s="525"/>
      <c r="G75" s="534">
        <v>-708674.45604633226</v>
      </c>
    </row>
    <row r="76" spans="1:9">
      <c r="A76" s="522">
        <f>+A75+1</f>
        <v>48</v>
      </c>
      <c r="B76" s="523" t="s">
        <v>854</v>
      </c>
      <c r="C76" s="523"/>
      <c r="D76" s="523"/>
      <c r="E76" s="525"/>
      <c r="F76" s="525"/>
      <c r="G76" s="535">
        <f>G73-G74-G75</f>
        <v>-17041.494492373429</v>
      </c>
    </row>
    <row r="77" spans="1:9">
      <c r="A77" s="522">
        <f>+A76+1</f>
        <v>49</v>
      </c>
      <c r="B77" s="523" t="s">
        <v>857</v>
      </c>
      <c r="C77" s="523"/>
      <c r="D77" s="523"/>
      <c r="E77" s="525"/>
      <c r="F77" s="525"/>
      <c r="G77" s="534">
        <v>0</v>
      </c>
    </row>
    <row r="78" spans="1:9" ht="13.5" thickBot="1">
      <c r="A78" s="522">
        <f>+A77+1</f>
        <v>50</v>
      </c>
      <c r="B78" s="523" t="s">
        <v>858</v>
      </c>
      <c r="C78" s="523"/>
      <c r="D78" s="523"/>
      <c r="E78" s="525"/>
      <c r="F78" s="525"/>
      <c r="G78" s="533">
        <f>G76-G77</f>
        <v>-17041.494492373429</v>
      </c>
    </row>
    <row r="79" spans="1:9" ht="13.5" thickTop="1">
      <c r="A79" s="522"/>
      <c r="B79" s="523"/>
      <c r="C79" s="523"/>
      <c r="D79" s="523"/>
      <c r="E79" s="525"/>
      <c r="F79" s="525"/>
      <c r="G79" s="535"/>
    </row>
    <row r="80" spans="1:9">
      <c r="A80" s="522">
        <f>+A78+1</f>
        <v>51</v>
      </c>
      <c r="B80" s="523" t="s">
        <v>859</v>
      </c>
      <c r="C80" s="523"/>
      <c r="D80" s="523"/>
      <c r="E80" s="525"/>
      <c r="F80" s="525"/>
      <c r="G80" s="535">
        <v>0</v>
      </c>
    </row>
    <row r="81" spans="1:9">
      <c r="A81" s="522">
        <f>+A80+1</f>
        <v>52</v>
      </c>
      <c r="B81" s="523" t="s">
        <v>860</v>
      </c>
      <c r="C81" s="523"/>
      <c r="D81" s="523"/>
      <c r="E81" s="525"/>
      <c r="F81" s="525"/>
      <c r="G81" s="535">
        <f>(G71+G78)/2</f>
        <v>-20814.901468205557</v>
      </c>
    </row>
    <row r="82" spans="1:9" ht="13.5" thickBot="1">
      <c r="A82" s="522">
        <f>+A81+1</f>
        <v>53</v>
      </c>
      <c r="B82" s="523" t="s">
        <v>861</v>
      </c>
      <c r="C82" s="523"/>
      <c r="D82" s="523"/>
      <c r="E82" s="525"/>
      <c r="F82" s="525"/>
      <c r="G82" s="533">
        <f>SUM(G80:G81)</f>
        <v>-20814.901468205557</v>
      </c>
      <c r="H82" s="527" t="s">
        <v>877</v>
      </c>
    </row>
    <row r="83" spans="1:9" ht="13.5" thickTop="1"/>
    <row r="85" spans="1:9" s="525" customFormat="1" ht="14.45" customHeight="1">
      <c r="A85" s="522">
        <f>A82+1</f>
        <v>54</v>
      </c>
      <c r="B85" s="529" t="s">
        <v>878</v>
      </c>
      <c r="G85" s="530" t="s">
        <v>171</v>
      </c>
      <c r="I85" s="528"/>
    </row>
    <row r="86" spans="1:9" s="525" customFormat="1" ht="14.45" customHeight="1">
      <c r="A86" s="522"/>
      <c r="B86" s="529"/>
      <c r="G86" s="531" t="s">
        <v>845</v>
      </c>
      <c r="I86" s="528"/>
    </row>
    <row r="87" spans="1:9" s="525" customFormat="1">
      <c r="A87" s="522">
        <f>A85+1</f>
        <v>55</v>
      </c>
      <c r="B87" s="523" t="s">
        <v>846</v>
      </c>
      <c r="C87" s="523"/>
      <c r="D87" s="523"/>
      <c r="G87" s="532">
        <v>93611.703290225531</v>
      </c>
      <c r="H87" s="538"/>
      <c r="I87" s="528"/>
    </row>
    <row r="88" spans="1:9" s="525" customFormat="1">
      <c r="A88" s="522">
        <f>+A87+1</f>
        <v>56</v>
      </c>
      <c r="B88" s="523" t="s">
        <v>852</v>
      </c>
      <c r="C88" s="523"/>
      <c r="D88" s="523"/>
      <c r="G88" s="532">
        <v>0</v>
      </c>
      <c r="H88" s="538"/>
      <c r="I88" s="528"/>
    </row>
    <row r="89" spans="1:9" s="525" customFormat="1">
      <c r="A89" s="522">
        <f>+A88+1</f>
        <v>57</v>
      </c>
      <c r="B89" s="523" t="s">
        <v>853</v>
      </c>
      <c r="C89" s="523"/>
      <c r="D89" s="523"/>
      <c r="G89" s="534">
        <v>0</v>
      </c>
      <c r="H89" s="538"/>
      <c r="I89" s="528"/>
    </row>
    <row r="90" spans="1:9">
      <c r="A90" s="522">
        <f>+A89+1</f>
        <v>58</v>
      </c>
      <c r="B90" s="523" t="s">
        <v>854</v>
      </c>
      <c r="C90" s="523"/>
      <c r="D90" s="523"/>
      <c r="E90" s="525"/>
      <c r="F90" s="525"/>
      <c r="G90" s="535">
        <f>G87-G88-G89</f>
        <v>93611.703290225531</v>
      </c>
    </row>
    <row r="91" spans="1:9">
      <c r="A91" s="522">
        <f>+A90+1</f>
        <v>59</v>
      </c>
      <c r="B91" s="523" t="s">
        <v>855</v>
      </c>
      <c r="C91" s="523"/>
      <c r="D91" s="523"/>
      <c r="E91" s="525"/>
      <c r="F91" s="525"/>
      <c r="G91" s="534">
        <v>0</v>
      </c>
    </row>
    <row r="92" spans="1:9" ht="13.5" thickBot="1">
      <c r="A92" s="522">
        <f>+A91+1</f>
        <v>60</v>
      </c>
      <c r="B92" s="523" t="s">
        <v>856</v>
      </c>
      <c r="C92" s="523"/>
      <c r="D92" s="523"/>
      <c r="E92" s="525"/>
      <c r="F92" s="525"/>
      <c r="G92" s="533">
        <f>G90-G91</f>
        <v>93611.703290225531</v>
      </c>
    </row>
    <row r="93" spans="1:9" ht="13.5" thickTop="1">
      <c r="A93" s="522"/>
      <c r="B93" s="523"/>
      <c r="C93" s="523"/>
      <c r="D93" s="523"/>
      <c r="E93" s="525"/>
      <c r="F93" s="525"/>
      <c r="G93" s="535"/>
    </row>
    <row r="94" spans="1:9">
      <c r="A94" s="522">
        <f>+A92+1</f>
        <v>61</v>
      </c>
      <c r="B94" s="523" t="s">
        <v>847</v>
      </c>
      <c r="C94" s="523"/>
      <c r="D94" s="523"/>
      <c r="E94" s="525"/>
      <c r="F94" s="525"/>
      <c r="G94" s="532">
        <v>471631.42340488726</v>
      </c>
    </row>
    <row r="95" spans="1:9">
      <c r="A95" s="522">
        <f>+A94+1</f>
        <v>62</v>
      </c>
      <c r="B95" s="523" t="s">
        <v>852</v>
      </c>
      <c r="C95" s="523"/>
      <c r="D95" s="523"/>
      <c r="E95" s="525"/>
      <c r="F95" s="525"/>
      <c r="G95" s="532">
        <v>0</v>
      </c>
    </row>
    <row r="96" spans="1:9">
      <c r="A96" s="522">
        <f>+A95+1</f>
        <v>63</v>
      </c>
      <c r="B96" s="523" t="s">
        <v>853</v>
      </c>
      <c r="C96" s="523"/>
      <c r="D96" s="523"/>
      <c r="E96" s="525"/>
      <c r="F96" s="525"/>
      <c r="G96" s="534">
        <v>0</v>
      </c>
    </row>
    <row r="97" spans="1:8">
      <c r="A97" s="522">
        <f>+A96+1</f>
        <v>64</v>
      </c>
      <c r="B97" s="523" t="s">
        <v>854</v>
      </c>
      <c r="C97" s="523"/>
      <c r="D97" s="523"/>
      <c r="E97" s="525"/>
      <c r="F97" s="525"/>
      <c r="G97" s="535">
        <f>G94-G95-G96</f>
        <v>471631.42340488726</v>
      </c>
    </row>
    <row r="98" spans="1:8">
      <c r="A98" s="522">
        <f>+A97+1</f>
        <v>65</v>
      </c>
      <c r="B98" s="523" t="s">
        <v>857</v>
      </c>
      <c r="C98" s="523"/>
      <c r="D98" s="523"/>
      <c r="E98" s="525"/>
      <c r="F98" s="525"/>
      <c r="G98" s="534">
        <v>0</v>
      </c>
    </row>
    <row r="99" spans="1:8" ht="13.5" thickBot="1">
      <c r="A99" s="522">
        <f>+A98+1</f>
        <v>66</v>
      </c>
      <c r="B99" s="523" t="s">
        <v>858</v>
      </c>
      <c r="C99" s="523"/>
      <c r="D99" s="523"/>
      <c r="E99" s="525"/>
      <c r="F99" s="525"/>
      <c r="G99" s="533">
        <f>G97-G98</f>
        <v>471631.42340488726</v>
      </c>
    </row>
    <row r="100" spans="1:8" ht="13.5" thickTop="1">
      <c r="A100" s="522"/>
      <c r="B100" s="523"/>
      <c r="C100" s="523"/>
      <c r="D100" s="523"/>
      <c r="E100" s="525"/>
      <c r="F100" s="525"/>
      <c r="G100" s="535"/>
    </row>
    <row r="101" spans="1:8">
      <c r="A101" s="522">
        <f>+A99+1</f>
        <v>67</v>
      </c>
      <c r="B101" s="523" t="s">
        <v>859</v>
      </c>
      <c r="C101" s="523"/>
      <c r="D101" s="523"/>
      <c r="E101" s="525"/>
      <c r="F101" s="525"/>
      <c r="G101" s="535">
        <v>0</v>
      </c>
    </row>
    <row r="102" spans="1:8">
      <c r="A102" s="522">
        <f>+A101+1</f>
        <v>68</v>
      </c>
      <c r="B102" s="523" t="s">
        <v>860</v>
      </c>
      <c r="C102" s="523"/>
      <c r="D102" s="523"/>
      <c r="E102" s="525"/>
      <c r="F102" s="525"/>
      <c r="G102" s="535">
        <f>(G92+G99)/2</f>
        <v>282621.5633475564</v>
      </c>
    </row>
    <row r="103" spans="1:8" ht="13.5" thickBot="1">
      <c r="A103" s="522">
        <f>+A102+1</f>
        <v>69</v>
      </c>
      <c r="B103" s="523" t="s">
        <v>861</v>
      </c>
      <c r="C103" s="523"/>
      <c r="D103" s="523"/>
      <c r="E103" s="525"/>
      <c r="F103" s="525"/>
      <c r="G103" s="533">
        <f>SUM(G101:G102)</f>
        <v>282621.5633475564</v>
      </c>
      <c r="H103" s="527" t="s">
        <v>879</v>
      </c>
    </row>
    <row r="104" spans="1:8" ht="13.5" thickTop="1"/>
  </sheetData>
  <mergeCells count="6">
    <mergeCell ref="A2:K2"/>
    <mergeCell ref="B11:J11"/>
    <mergeCell ref="B13:J13"/>
    <mergeCell ref="G22:G23"/>
    <mergeCell ref="B42:J42"/>
    <mergeCell ref="A4:K4"/>
  </mergeCells>
  <pageMargins left="0.7" right="0.7" top="0.75" bottom="0.75" header="0.3" footer="0.3"/>
  <pageSetup scale="53"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5"/>
  <sheetViews>
    <sheetView view="pageBreakPreview" zoomScaleNormal="100" zoomScaleSheetLayoutView="100" workbookViewId="0">
      <selection activeCell="C8" sqref="C8"/>
    </sheetView>
  </sheetViews>
  <sheetFormatPr defaultColWidth="9.83203125" defaultRowHeight="12.75"/>
  <cols>
    <col min="1" max="1" width="7.1640625" style="561" customWidth="1"/>
    <col min="2" max="2" width="36.83203125" style="561" customWidth="1"/>
    <col min="3" max="4" width="4" style="561" customWidth="1"/>
    <col min="5" max="11" width="16.83203125" style="561" customWidth="1"/>
    <col min="12" max="16384" width="9.83203125" style="561"/>
  </cols>
  <sheetData>
    <row r="1" spans="1:11" s="516" customFormat="1">
      <c r="A1" s="514" t="s">
        <v>743</v>
      </c>
      <c r="B1" s="515"/>
    </row>
    <row r="2" spans="1:11" s="516" customFormat="1">
      <c r="A2" s="645" t="s">
        <v>838</v>
      </c>
      <c r="B2" s="645"/>
      <c r="C2" s="645"/>
      <c r="D2" s="645"/>
      <c r="E2" s="645"/>
      <c r="F2" s="645"/>
      <c r="G2" s="645"/>
      <c r="H2" s="645"/>
      <c r="I2" s="645"/>
      <c r="J2" s="645"/>
      <c r="K2" s="645"/>
    </row>
    <row r="3" spans="1:11" s="516" customFormat="1">
      <c r="A3" s="517" t="s">
        <v>880</v>
      </c>
      <c r="B3" s="517"/>
      <c r="C3" s="517"/>
      <c r="D3" s="517"/>
      <c r="E3" s="517"/>
      <c r="F3" s="517"/>
      <c r="G3" s="517"/>
      <c r="H3" s="517"/>
      <c r="I3" s="517"/>
      <c r="J3" s="517"/>
      <c r="K3" s="517"/>
    </row>
    <row r="4" spans="1:11" s="516" customFormat="1">
      <c r="A4" s="645" t="s">
        <v>881</v>
      </c>
      <c r="B4" s="645"/>
      <c r="C4" s="645"/>
      <c r="D4" s="645"/>
      <c r="E4" s="645"/>
      <c r="F4" s="645"/>
      <c r="G4" s="645"/>
      <c r="H4" s="645"/>
      <c r="I4" s="645"/>
      <c r="J4" s="645"/>
      <c r="K4" s="645"/>
    </row>
    <row r="5" spans="1:11">
      <c r="K5" s="562"/>
    </row>
    <row r="6" spans="1:11">
      <c r="K6" s="562"/>
    </row>
    <row r="7" spans="1:11">
      <c r="A7" s="652"/>
      <c r="B7" s="652"/>
      <c r="C7" s="652"/>
      <c r="D7" s="652"/>
      <c r="E7" s="652"/>
      <c r="F7" s="652"/>
      <c r="G7" s="652"/>
      <c r="H7" s="652"/>
      <c r="I7" s="652"/>
      <c r="J7" s="652"/>
      <c r="K7" s="652"/>
    </row>
    <row r="8" spans="1:11" s="564" customFormat="1">
      <c r="A8" s="563"/>
      <c r="F8" s="565"/>
      <c r="G8" s="566">
        <v>2021</v>
      </c>
    </row>
    <row r="9" spans="1:11" s="564" customFormat="1"/>
    <row r="10" spans="1:11" s="564" customFormat="1">
      <c r="A10" s="567" t="s">
        <v>882</v>
      </c>
      <c r="B10" s="567"/>
      <c r="G10" s="568">
        <v>0.21</v>
      </c>
    </row>
    <row r="11" spans="1:11" s="564" customFormat="1">
      <c r="A11" s="567"/>
      <c r="B11" s="567"/>
      <c r="F11" s="569"/>
    </row>
    <row r="12" spans="1:11" s="564" customFormat="1">
      <c r="A12" s="567" t="s">
        <v>883</v>
      </c>
      <c r="B12" s="567"/>
      <c r="E12" s="568">
        <v>8.6999999999999994E-2</v>
      </c>
      <c r="F12" s="568">
        <v>0.6</v>
      </c>
    </row>
    <row r="13" spans="1:11" s="564" customFormat="1">
      <c r="A13" s="567" t="s">
        <v>884</v>
      </c>
      <c r="B13" s="567"/>
      <c r="E13" s="568">
        <v>0.09</v>
      </c>
      <c r="F13" s="568">
        <v>0.4</v>
      </c>
    </row>
    <row r="14" spans="1:11" s="564" customFormat="1">
      <c r="A14" s="567" t="s">
        <v>885</v>
      </c>
      <c r="B14" s="567"/>
      <c r="G14" s="568">
        <f>(E12*F12)+(E13*F13)</f>
        <v>8.8200000000000001E-2</v>
      </c>
    </row>
    <row r="15" spans="1:11" s="564" customFormat="1">
      <c r="A15" s="567"/>
      <c r="B15" s="567"/>
    </row>
    <row r="16" spans="1:11" s="564" customFormat="1"/>
    <row r="17" spans="1:11">
      <c r="A17" s="570"/>
      <c r="B17" s="571"/>
      <c r="C17" s="571"/>
      <c r="D17" s="571"/>
      <c r="E17" s="571"/>
      <c r="F17" s="571"/>
      <c r="G17" s="571"/>
      <c r="H17" s="571"/>
      <c r="I17" s="571"/>
      <c r="J17" s="571"/>
    </row>
    <row r="18" spans="1:11">
      <c r="A18" s="570"/>
      <c r="B18" s="572" t="s">
        <v>591</v>
      </c>
      <c r="C18" s="571"/>
      <c r="D18" s="571"/>
      <c r="E18" s="571"/>
      <c r="F18" s="571"/>
      <c r="G18" s="571"/>
      <c r="H18" s="571"/>
      <c r="I18" s="571"/>
      <c r="J18" s="571"/>
    </row>
    <row r="19" spans="1:11">
      <c r="A19" s="570"/>
      <c r="B19" s="573"/>
      <c r="C19" s="573"/>
      <c r="D19" s="573"/>
      <c r="E19" s="574" t="s">
        <v>585</v>
      </c>
      <c r="F19" s="574"/>
      <c r="G19" s="574" t="s">
        <v>580</v>
      </c>
      <c r="H19" s="574" t="s">
        <v>581</v>
      </c>
      <c r="I19" s="574" t="s">
        <v>583</v>
      </c>
      <c r="J19" s="574" t="s">
        <v>602</v>
      </c>
      <c r="K19" s="575" t="s">
        <v>588</v>
      </c>
    </row>
    <row r="20" spans="1:11">
      <c r="A20" s="576" t="s">
        <v>70</v>
      </c>
      <c r="B20" s="577" t="s">
        <v>333</v>
      </c>
      <c r="C20" s="578"/>
      <c r="D20" s="578"/>
      <c r="E20" s="579" t="s">
        <v>577</v>
      </c>
      <c r="F20" s="579" t="s">
        <v>578</v>
      </c>
      <c r="G20" s="579" t="s">
        <v>579</v>
      </c>
      <c r="H20" s="579" t="s">
        <v>582</v>
      </c>
      <c r="I20" s="579" t="s">
        <v>584</v>
      </c>
      <c r="J20" s="579" t="s">
        <v>584</v>
      </c>
      <c r="K20" s="579" t="s">
        <v>586</v>
      </c>
    </row>
    <row r="21" spans="1:11">
      <c r="A21" s="570"/>
      <c r="B21" s="575" t="s">
        <v>123</v>
      </c>
      <c r="E21" s="575" t="s">
        <v>281</v>
      </c>
      <c r="F21" s="575" t="s">
        <v>125</v>
      </c>
      <c r="G21" s="575" t="s">
        <v>282</v>
      </c>
      <c r="H21" s="575" t="s">
        <v>128</v>
      </c>
      <c r="I21" s="575" t="s">
        <v>129</v>
      </c>
      <c r="J21" s="575" t="s">
        <v>130</v>
      </c>
      <c r="K21" s="575" t="s">
        <v>131</v>
      </c>
    </row>
    <row r="23" spans="1:11">
      <c r="A23" s="580">
        <v>1</v>
      </c>
      <c r="B23" s="567" t="s">
        <v>598</v>
      </c>
      <c r="C23" s="567"/>
      <c r="D23" s="567"/>
      <c r="E23" s="581">
        <v>0.21</v>
      </c>
      <c r="F23" s="581">
        <v>0</v>
      </c>
      <c r="G23" s="581">
        <v>0</v>
      </c>
      <c r="H23" s="581">
        <v>0</v>
      </c>
      <c r="I23" s="581">
        <v>0</v>
      </c>
      <c r="J23" s="581">
        <v>0</v>
      </c>
      <c r="K23" s="567"/>
    </row>
    <row r="24" spans="1:11">
      <c r="A24" s="580">
        <v>2</v>
      </c>
      <c r="B24" s="567" t="s">
        <v>595</v>
      </c>
      <c r="C24" s="567"/>
      <c r="D24" s="567"/>
      <c r="E24" s="582">
        <v>1</v>
      </c>
      <c r="F24" s="582">
        <v>0</v>
      </c>
      <c r="G24" s="582">
        <v>0</v>
      </c>
      <c r="H24" s="582">
        <v>0</v>
      </c>
      <c r="I24" s="582">
        <v>0</v>
      </c>
      <c r="J24" s="582">
        <v>0</v>
      </c>
      <c r="K24" s="567"/>
    </row>
    <row r="25" spans="1:11">
      <c r="A25" s="580">
        <v>3</v>
      </c>
      <c r="B25" s="567" t="s">
        <v>590</v>
      </c>
      <c r="C25" s="567"/>
      <c r="D25" s="567"/>
      <c r="E25" s="583">
        <f>E23*E24</f>
        <v>0.21</v>
      </c>
      <c r="F25" s="583">
        <f t="shared" ref="F25:J25" si="0">F23*F24</f>
        <v>0</v>
      </c>
      <c r="G25" s="583">
        <f t="shared" si="0"/>
        <v>0</v>
      </c>
      <c r="H25" s="583">
        <f t="shared" si="0"/>
        <v>0</v>
      </c>
      <c r="I25" s="583">
        <f>I23*I24</f>
        <v>0</v>
      </c>
      <c r="J25" s="583">
        <f t="shared" si="0"/>
        <v>0</v>
      </c>
    </row>
    <row r="26" spans="1:11">
      <c r="A26" s="580">
        <v>4</v>
      </c>
      <c r="B26" s="567" t="s">
        <v>587</v>
      </c>
      <c r="C26" s="567"/>
      <c r="D26" s="567"/>
      <c r="E26" s="567"/>
      <c r="F26" s="583"/>
      <c r="G26" s="567"/>
      <c r="H26" s="567"/>
      <c r="I26" s="567"/>
      <c r="J26" s="567"/>
      <c r="K26" s="584">
        <f>SUM(E25:J25)</f>
        <v>0.21</v>
      </c>
    </row>
    <row r="27" spans="1:11">
      <c r="A27" s="580"/>
      <c r="B27" s="567"/>
      <c r="C27" s="567"/>
      <c r="D27" s="567"/>
      <c r="E27" s="567"/>
      <c r="F27" s="583"/>
      <c r="G27" s="567"/>
      <c r="H27" s="567"/>
      <c r="I27" s="567"/>
      <c r="J27" s="567"/>
      <c r="K27" s="567"/>
    </row>
    <row r="28" spans="1:11">
      <c r="A28" s="580">
        <v>5</v>
      </c>
      <c r="B28" s="567" t="s">
        <v>599</v>
      </c>
      <c r="C28" s="567"/>
      <c r="D28" s="567"/>
      <c r="E28" s="581">
        <v>8.8200000000000001E-2</v>
      </c>
      <c r="F28" s="581">
        <v>0</v>
      </c>
      <c r="G28" s="581">
        <v>0</v>
      </c>
      <c r="H28" s="581">
        <v>0</v>
      </c>
      <c r="I28" s="581">
        <v>0</v>
      </c>
      <c r="J28" s="581">
        <v>0</v>
      </c>
      <c r="K28" s="567"/>
    </row>
    <row r="29" spans="1:11">
      <c r="A29" s="580">
        <v>6</v>
      </c>
      <c r="B29" s="567" t="s">
        <v>595</v>
      </c>
      <c r="C29" s="567"/>
      <c r="D29" s="567"/>
      <c r="E29" s="582">
        <v>1</v>
      </c>
      <c r="F29" s="582">
        <v>0</v>
      </c>
      <c r="G29" s="582">
        <v>0</v>
      </c>
      <c r="H29" s="582">
        <v>0</v>
      </c>
      <c r="I29" s="582">
        <v>0</v>
      </c>
      <c r="J29" s="582">
        <v>0</v>
      </c>
      <c r="K29" s="567"/>
    </row>
    <row r="30" spans="1:11">
      <c r="A30" s="580">
        <v>7</v>
      </c>
      <c r="B30" s="567" t="s">
        <v>590</v>
      </c>
      <c r="C30" s="567"/>
      <c r="D30" s="567"/>
      <c r="E30" s="583">
        <f t="shared" ref="E30:J30" si="1">E28*E29</f>
        <v>8.8200000000000001E-2</v>
      </c>
      <c r="F30" s="583">
        <f t="shared" si="1"/>
        <v>0</v>
      </c>
      <c r="G30" s="583">
        <f t="shared" si="1"/>
        <v>0</v>
      </c>
      <c r="H30" s="583">
        <f t="shared" si="1"/>
        <v>0</v>
      </c>
      <c r="I30" s="583">
        <f t="shared" si="1"/>
        <v>0</v>
      </c>
      <c r="J30" s="583">
        <f t="shared" si="1"/>
        <v>0</v>
      </c>
    </row>
    <row r="31" spans="1:11">
      <c r="A31" s="580">
        <v>8</v>
      </c>
      <c r="B31" s="567" t="s">
        <v>596</v>
      </c>
      <c r="C31" s="567"/>
      <c r="D31" s="567"/>
      <c r="E31" s="583"/>
      <c r="F31" s="583"/>
      <c r="G31" s="583"/>
      <c r="H31" s="583"/>
      <c r="I31" s="583"/>
      <c r="J31" s="583"/>
      <c r="K31" s="584">
        <f>SUM(E30:J30)</f>
        <v>8.8200000000000001E-2</v>
      </c>
    </row>
    <row r="32" spans="1:11">
      <c r="A32" s="580"/>
      <c r="B32" s="567"/>
      <c r="C32" s="567"/>
      <c r="D32" s="567"/>
      <c r="E32" s="567"/>
      <c r="F32" s="567"/>
      <c r="G32" s="567"/>
      <c r="H32" s="567"/>
      <c r="I32" s="567"/>
      <c r="J32" s="567"/>
      <c r="K32" s="567"/>
    </row>
    <row r="33" spans="1:11">
      <c r="A33" s="580"/>
    </row>
    <row r="34" spans="1:11">
      <c r="A34" s="580"/>
    </row>
    <row r="35" spans="1:11">
      <c r="A35" s="580"/>
      <c r="B35" s="567"/>
      <c r="C35" s="516"/>
      <c r="D35" s="516"/>
      <c r="E35" s="516"/>
      <c r="F35" s="516"/>
      <c r="G35" s="516"/>
      <c r="H35" s="516"/>
    </row>
    <row r="36" spans="1:11">
      <c r="A36" s="580"/>
      <c r="B36" s="567"/>
      <c r="C36" s="516"/>
      <c r="D36" s="516"/>
      <c r="E36" s="516"/>
      <c r="F36" s="516"/>
      <c r="G36" s="516"/>
      <c r="H36" s="516"/>
    </row>
    <row r="37" spans="1:11">
      <c r="A37" s="580"/>
      <c r="B37" s="567"/>
      <c r="C37" s="567"/>
      <c r="D37" s="567"/>
      <c r="E37" s="567"/>
      <c r="F37" s="567"/>
      <c r="G37" s="567"/>
      <c r="H37" s="567"/>
      <c r="I37" s="567"/>
      <c r="J37" s="567"/>
      <c r="K37" s="567"/>
    </row>
    <row r="38" spans="1:11">
      <c r="A38" s="567"/>
      <c r="C38" s="567"/>
      <c r="D38" s="567"/>
      <c r="E38" s="567"/>
      <c r="F38" s="567"/>
      <c r="G38" s="567"/>
      <c r="H38" s="567"/>
      <c r="I38" s="567"/>
      <c r="J38" s="567"/>
      <c r="K38" s="567"/>
    </row>
    <row r="39" spans="1:11">
      <c r="A39" s="567"/>
      <c r="B39" s="567"/>
      <c r="C39" s="567"/>
      <c r="D39" s="567"/>
      <c r="E39" s="567"/>
      <c r="F39" s="567"/>
      <c r="G39" s="567"/>
      <c r="H39" s="567"/>
      <c r="I39" s="567"/>
      <c r="J39" s="567"/>
      <c r="K39" s="567"/>
    </row>
    <row r="40" spans="1:11">
      <c r="A40" s="567"/>
      <c r="B40" s="567"/>
      <c r="C40" s="567"/>
      <c r="D40" s="567"/>
      <c r="E40" s="567"/>
      <c r="F40" s="567"/>
      <c r="G40" s="567"/>
      <c r="H40" s="567"/>
      <c r="I40" s="567"/>
      <c r="J40" s="567"/>
      <c r="K40" s="567"/>
    </row>
    <row r="41" spans="1:11">
      <c r="A41" s="567"/>
      <c r="B41" s="653"/>
      <c r="C41" s="653"/>
      <c r="D41" s="653"/>
      <c r="E41" s="653"/>
      <c r="F41" s="653"/>
      <c r="G41" s="653"/>
      <c r="H41" s="653"/>
      <c r="I41" s="653"/>
      <c r="J41" s="653"/>
      <c r="K41" s="653"/>
    </row>
    <row r="42" spans="1:11">
      <c r="A42" s="567"/>
      <c r="B42" s="653"/>
      <c r="C42" s="653"/>
      <c r="D42" s="653"/>
      <c r="E42" s="653"/>
      <c r="F42" s="653"/>
      <c r="G42" s="653"/>
      <c r="H42" s="653"/>
      <c r="I42" s="653"/>
      <c r="J42" s="653"/>
      <c r="K42" s="653"/>
    </row>
    <row r="43" spans="1:11">
      <c r="A43" s="567"/>
      <c r="B43" s="653"/>
      <c r="C43" s="653"/>
      <c r="D43" s="653"/>
      <c r="E43" s="653"/>
      <c r="F43" s="653"/>
      <c r="G43" s="653"/>
      <c r="H43" s="653"/>
      <c r="I43" s="653"/>
      <c r="J43" s="653"/>
      <c r="K43" s="653"/>
    </row>
    <row r="44" spans="1:11">
      <c r="A44" s="567"/>
      <c r="B44" s="585"/>
      <c r="C44" s="567"/>
      <c r="D44" s="567"/>
      <c r="E44" s="567"/>
      <c r="F44" s="567"/>
      <c r="G44" s="567"/>
      <c r="H44" s="567"/>
      <c r="I44" s="567"/>
      <c r="J44" s="567"/>
      <c r="K44" s="567"/>
    </row>
    <row r="45" spans="1:11">
      <c r="A45" s="567"/>
      <c r="B45" s="585"/>
      <c r="C45" s="567"/>
      <c r="D45" s="567"/>
      <c r="E45" s="567"/>
      <c r="F45" s="567"/>
      <c r="G45" s="567"/>
      <c r="H45" s="567"/>
      <c r="I45" s="567"/>
      <c r="J45" s="567"/>
      <c r="K45" s="567"/>
    </row>
    <row r="46" spans="1:11">
      <c r="A46" s="567"/>
      <c r="B46" s="567"/>
      <c r="C46" s="567"/>
      <c r="D46" s="567"/>
      <c r="E46" s="567"/>
      <c r="F46" s="567"/>
      <c r="G46" s="567"/>
      <c r="H46" s="567"/>
      <c r="I46" s="567"/>
      <c r="J46" s="567"/>
      <c r="K46" s="567"/>
    </row>
    <row r="47" spans="1:11">
      <c r="A47" s="567"/>
      <c r="B47" s="567"/>
      <c r="C47" s="567"/>
      <c r="D47" s="567"/>
      <c r="E47" s="567"/>
      <c r="F47" s="567"/>
      <c r="G47" s="567"/>
      <c r="H47" s="567"/>
      <c r="I47" s="567"/>
      <c r="J47" s="567"/>
      <c r="K47" s="567"/>
    </row>
    <row r="48" spans="1:11">
      <c r="A48" s="567"/>
      <c r="B48" s="567"/>
      <c r="C48" s="567"/>
      <c r="D48" s="567"/>
      <c r="E48" s="567"/>
      <c r="F48" s="567"/>
      <c r="G48" s="567"/>
      <c r="H48" s="567"/>
      <c r="I48" s="567"/>
      <c r="J48" s="567"/>
      <c r="K48" s="567"/>
    </row>
    <row r="49" spans="1:11">
      <c r="A49" s="567"/>
      <c r="B49" s="567"/>
      <c r="C49" s="567"/>
      <c r="D49" s="567"/>
      <c r="E49" s="567"/>
      <c r="F49" s="567"/>
      <c r="G49" s="567"/>
      <c r="H49" s="567"/>
      <c r="I49" s="567"/>
      <c r="J49" s="567"/>
      <c r="K49" s="567"/>
    </row>
    <row r="50" spans="1:11">
      <c r="A50" s="567"/>
      <c r="B50" s="567"/>
      <c r="C50" s="567"/>
      <c r="D50" s="567"/>
      <c r="E50" s="567"/>
      <c r="F50" s="567"/>
      <c r="G50" s="567"/>
      <c r="H50" s="567"/>
      <c r="I50" s="567"/>
      <c r="J50" s="567"/>
      <c r="K50" s="567"/>
    </row>
    <row r="51" spans="1:11">
      <c r="A51" s="567"/>
      <c r="B51" s="567"/>
      <c r="C51" s="567"/>
      <c r="D51" s="567"/>
      <c r="E51" s="567"/>
      <c r="F51" s="567"/>
      <c r="G51" s="567"/>
      <c r="H51" s="567"/>
      <c r="I51" s="567"/>
      <c r="J51" s="567"/>
      <c r="K51" s="567"/>
    </row>
    <row r="52" spans="1:11">
      <c r="A52" s="567"/>
      <c r="B52" s="567"/>
      <c r="C52" s="567"/>
      <c r="D52" s="567"/>
      <c r="E52" s="567"/>
      <c r="F52" s="567"/>
      <c r="G52" s="567"/>
      <c r="H52" s="567"/>
      <c r="I52" s="567"/>
      <c r="J52" s="567"/>
      <c r="K52" s="567"/>
    </row>
    <row r="53" spans="1:11">
      <c r="A53" s="567"/>
      <c r="B53" s="567"/>
      <c r="C53" s="567"/>
      <c r="D53" s="567"/>
      <c r="E53" s="567"/>
      <c r="F53" s="567"/>
      <c r="G53" s="567"/>
      <c r="H53" s="567"/>
      <c r="I53" s="567"/>
      <c r="J53" s="567"/>
      <c r="K53" s="567"/>
    </row>
    <row r="54" spans="1:11">
      <c r="A54" s="567"/>
      <c r="B54" s="567"/>
      <c r="C54" s="567"/>
      <c r="D54" s="567"/>
      <c r="E54" s="567"/>
      <c r="F54" s="567"/>
      <c r="G54" s="567"/>
      <c r="H54" s="567"/>
      <c r="I54" s="567"/>
      <c r="J54" s="567"/>
      <c r="K54" s="567"/>
    </row>
    <row r="55" spans="1:11">
      <c r="A55" s="567"/>
      <c r="B55" s="567"/>
      <c r="C55" s="567"/>
      <c r="D55" s="567"/>
      <c r="E55" s="567"/>
      <c r="F55" s="567"/>
      <c r="G55" s="567"/>
      <c r="H55" s="567"/>
      <c r="I55" s="567"/>
      <c r="J55" s="567"/>
      <c r="K55" s="567"/>
    </row>
    <row r="56" spans="1:11">
      <c r="A56" s="567"/>
      <c r="B56" s="567"/>
      <c r="C56" s="567"/>
      <c r="D56" s="567"/>
      <c r="E56" s="567"/>
      <c r="F56" s="567"/>
      <c r="G56" s="567"/>
      <c r="H56" s="567"/>
      <c r="I56" s="567"/>
      <c r="J56" s="567"/>
      <c r="K56" s="567"/>
    </row>
    <row r="57" spans="1:11">
      <c r="A57" s="567"/>
      <c r="B57" s="567"/>
      <c r="C57" s="567"/>
      <c r="D57" s="567"/>
      <c r="E57" s="567"/>
      <c r="F57" s="567"/>
      <c r="G57" s="567"/>
      <c r="H57" s="567"/>
      <c r="I57" s="567"/>
      <c r="J57" s="567"/>
      <c r="K57" s="567"/>
    </row>
    <row r="58" spans="1:11">
      <c r="A58" s="567"/>
      <c r="B58" s="567"/>
      <c r="C58" s="567"/>
      <c r="D58" s="567"/>
      <c r="E58" s="567"/>
      <c r="F58" s="567"/>
      <c r="G58" s="567"/>
      <c r="H58" s="567"/>
      <c r="I58" s="567"/>
      <c r="J58" s="567"/>
      <c r="K58" s="567"/>
    </row>
    <row r="59" spans="1:11">
      <c r="A59" s="567"/>
      <c r="B59" s="567"/>
      <c r="C59" s="567"/>
      <c r="D59" s="567"/>
      <c r="E59" s="567"/>
      <c r="F59" s="567"/>
      <c r="G59" s="567"/>
      <c r="H59" s="567"/>
      <c r="I59" s="567"/>
      <c r="J59" s="567"/>
      <c r="K59" s="567"/>
    </row>
    <row r="60" spans="1:11">
      <c r="A60" s="567"/>
      <c r="B60" s="567"/>
      <c r="C60" s="567"/>
      <c r="D60" s="567"/>
      <c r="E60" s="567"/>
      <c r="F60" s="567"/>
      <c r="G60" s="567"/>
      <c r="H60" s="567"/>
      <c r="I60" s="567"/>
      <c r="J60" s="567"/>
      <c r="K60" s="567"/>
    </row>
    <row r="61" spans="1:11">
      <c r="A61" s="567"/>
      <c r="B61" s="567"/>
      <c r="C61" s="567"/>
      <c r="D61" s="567"/>
      <c r="E61" s="567"/>
      <c r="F61" s="567"/>
      <c r="G61" s="567"/>
      <c r="H61" s="567"/>
      <c r="I61" s="567"/>
      <c r="J61" s="567"/>
      <c r="K61" s="567"/>
    </row>
    <row r="62" spans="1:11">
      <c r="A62" s="567"/>
      <c r="B62" s="567"/>
      <c r="C62" s="567"/>
      <c r="D62" s="567"/>
      <c r="E62" s="567"/>
      <c r="F62" s="567"/>
      <c r="G62" s="567"/>
      <c r="H62" s="567"/>
      <c r="I62" s="567"/>
      <c r="J62" s="567"/>
      <c r="K62" s="567"/>
    </row>
    <row r="63" spans="1:11">
      <c r="A63" s="567"/>
      <c r="B63" s="567"/>
      <c r="C63" s="567"/>
      <c r="D63" s="567"/>
      <c r="E63" s="567"/>
      <c r="F63" s="567"/>
      <c r="G63" s="567"/>
      <c r="H63" s="567"/>
      <c r="I63" s="567"/>
      <c r="J63" s="567"/>
      <c r="K63" s="567"/>
    </row>
    <row r="64" spans="1:11">
      <c r="A64" s="567"/>
      <c r="B64" s="567"/>
      <c r="C64" s="567"/>
      <c r="D64" s="567"/>
      <c r="E64" s="567"/>
      <c r="F64" s="567"/>
      <c r="G64" s="567"/>
      <c r="H64" s="567"/>
      <c r="I64" s="567"/>
      <c r="J64" s="567"/>
      <c r="K64" s="567"/>
    </row>
    <row r="65" spans="1:11">
      <c r="A65" s="567"/>
      <c r="B65" s="567"/>
      <c r="C65" s="567"/>
      <c r="D65" s="567"/>
      <c r="E65" s="567"/>
      <c r="F65" s="567"/>
      <c r="G65" s="567"/>
      <c r="H65" s="567"/>
      <c r="I65" s="567"/>
      <c r="J65" s="567"/>
      <c r="K65" s="567"/>
    </row>
  </sheetData>
  <mergeCells count="4">
    <mergeCell ref="A2:K2"/>
    <mergeCell ref="A4:K4"/>
    <mergeCell ref="A7:K7"/>
    <mergeCell ref="B41:K43"/>
  </mergeCells>
  <pageMargins left="0.7" right="0.7" top="0.75" bottom="0.75" header="0.3" footer="0.3"/>
  <pageSetup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0"/>
  <sheetViews>
    <sheetView view="pageBreakPreview" zoomScaleNormal="90" zoomScaleSheetLayoutView="100" workbookViewId="0">
      <selection activeCell="A4" sqref="A4:K4"/>
    </sheetView>
  </sheetViews>
  <sheetFormatPr defaultColWidth="10.83203125" defaultRowHeight="12.75"/>
  <cols>
    <col min="1" max="4" width="10.83203125" style="564"/>
    <col min="5" max="5" width="10.83203125" style="564" customWidth="1"/>
    <col min="6" max="6" width="19.5" style="564" customWidth="1"/>
    <col min="7" max="7" width="10.83203125" style="564" customWidth="1"/>
    <col min="8" max="8" width="15.6640625" style="564" customWidth="1"/>
    <col min="9" max="16384" width="10.83203125" style="564"/>
  </cols>
  <sheetData>
    <row r="1" spans="1:11">
      <c r="A1" s="586" t="s">
        <v>743</v>
      </c>
    </row>
    <row r="2" spans="1:11">
      <c r="A2" s="645" t="s">
        <v>838</v>
      </c>
      <c r="B2" s="645"/>
      <c r="C2" s="645"/>
      <c r="D2" s="645"/>
      <c r="E2" s="645"/>
      <c r="F2" s="645"/>
      <c r="G2" s="645"/>
      <c r="H2" s="645"/>
      <c r="I2" s="645"/>
      <c r="J2" s="645"/>
      <c r="K2" s="645"/>
    </row>
    <row r="3" spans="1:11">
      <c r="A3" s="517" t="s">
        <v>886</v>
      </c>
      <c r="B3" s="517"/>
      <c r="C3" s="517"/>
      <c r="D3" s="517"/>
      <c r="E3" s="517"/>
      <c r="F3" s="517"/>
      <c r="G3" s="517"/>
      <c r="H3" s="517"/>
      <c r="I3" s="517"/>
      <c r="J3" s="517"/>
      <c r="K3" s="517"/>
    </row>
    <row r="4" spans="1:11">
      <c r="A4" s="645" t="s">
        <v>887</v>
      </c>
      <c r="B4" s="645"/>
      <c r="C4" s="645"/>
      <c r="D4" s="645"/>
      <c r="E4" s="645"/>
      <c r="F4" s="645"/>
      <c r="G4" s="645"/>
      <c r="H4" s="645"/>
      <c r="I4" s="645"/>
      <c r="J4" s="645"/>
      <c r="K4" s="645"/>
    </row>
    <row r="6" spans="1:11" ht="119.25" customHeight="1">
      <c r="A6" s="656" t="s">
        <v>888</v>
      </c>
      <c r="B6" s="656"/>
      <c r="C6" s="656"/>
      <c r="D6" s="656"/>
      <c r="E6" s="656"/>
      <c r="F6" s="656"/>
      <c r="G6" s="656"/>
      <c r="H6" s="656"/>
      <c r="I6" s="587"/>
    </row>
    <row r="7" spans="1:11">
      <c r="A7" s="587"/>
      <c r="B7" s="587"/>
      <c r="C7" s="587"/>
      <c r="D7" s="587"/>
      <c r="E7" s="587"/>
      <c r="F7" s="587"/>
      <c r="G7" s="587"/>
      <c r="H7" s="587"/>
      <c r="I7" s="587"/>
    </row>
    <row r="8" spans="1:11">
      <c r="G8" s="654"/>
      <c r="H8" s="655" t="s">
        <v>889</v>
      </c>
    </row>
    <row r="9" spans="1:11">
      <c r="G9" s="654"/>
      <c r="H9" s="655"/>
    </row>
    <row r="10" spans="1:11">
      <c r="A10" s="588" t="s">
        <v>890</v>
      </c>
      <c r="H10" s="655"/>
    </row>
    <row r="12" spans="1:11">
      <c r="A12" s="564" t="s">
        <v>891</v>
      </c>
      <c r="H12" s="589">
        <v>106752.61419558867</v>
      </c>
    </row>
    <row r="13" spans="1:11">
      <c r="A13" s="564" t="s">
        <v>892</v>
      </c>
      <c r="H13" s="589">
        <v>88272.660565219179</v>
      </c>
    </row>
    <row r="15" spans="1:11">
      <c r="A15" s="564" t="s">
        <v>893</v>
      </c>
      <c r="H15" s="590">
        <f>SUM(H12:H14)</f>
        <v>195025.27476080786</v>
      </c>
    </row>
    <row r="16" spans="1:11">
      <c r="H16" s="591"/>
    </row>
    <row r="17" spans="1:8">
      <c r="A17" s="564" t="s">
        <v>894</v>
      </c>
      <c r="H17" s="592">
        <v>0.27967799999999998</v>
      </c>
    </row>
    <row r="19" spans="1:8" ht="13.5" thickBot="1">
      <c r="A19" s="564" t="s">
        <v>895</v>
      </c>
      <c r="H19" s="593">
        <f>H15*H17</f>
        <v>54544.278794553218</v>
      </c>
    </row>
    <row r="20" spans="1:8" ht="13.5" thickTop="1"/>
  </sheetData>
  <mergeCells count="5">
    <mergeCell ref="A2:K2"/>
    <mergeCell ref="A4:K4"/>
    <mergeCell ref="G8:G9"/>
    <mergeCell ref="H8:H10"/>
    <mergeCell ref="A6:H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
  <sheetViews>
    <sheetView view="pageBreakPreview" zoomScaleNormal="100" zoomScaleSheetLayoutView="100" workbookViewId="0">
      <selection activeCell="C16" sqref="C16"/>
    </sheetView>
  </sheetViews>
  <sheetFormatPr defaultColWidth="8.1640625" defaultRowHeight="12.75"/>
  <cols>
    <col min="1" max="1" width="2.33203125" style="597" customWidth="1"/>
    <col min="2" max="2" width="16.6640625" style="597" customWidth="1"/>
    <col min="3" max="4" width="8.1640625" style="597"/>
    <col min="5" max="5" width="23" style="597" customWidth="1"/>
    <col min="6" max="6" width="16.6640625" style="597" customWidth="1"/>
    <col min="7" max="7" width="17.5" style="597" customWidth="1"/>
    <col min="8" max="16384" width="8.1640625" style="597"/>
  </cols>
  <sheetData>
    <row r="1" spans="1:11" s="564" customFormat="1">
      <c r="A1" s="594" t="s">
        <v>743</v>
      </c>
    </row>
    <row r="2" spans="1:11" s="564" customFormat="1">
      <c r="A2" s="658" t="s">
        <v>838</v>
      </c>
      <c r="B2" s="658"/>
      <c r="C2" s="658"/>
      <c r="D2" s="658"/>
      <c r="E2" s="658"/>
      <c r="F2" s="658"/>
      <c r="G2" s="658"/>
      <c r="H2" s="658"/>
      <c r="I2" s="658"/>
      <c r="J2" s="658"/>
      <c r="K2" s="658"/>
    </row>
    <row r="3" spans="1:11" s="564" customFormat="1">
      <c r="A3" s="595" t="s">
        <v>897</v>
      </c>
      <c r="B3" s="595"/>
      <c r="C3" s="595"/>
      <c r="D3" s="595"/>
      <c r="E3" s="595"/>
      <c r="F3" s="595"/>
      <c r="G3" s="595"/>
      <c r="H3" s="595"/>
      <c r="I3" s="595"/>
      <c r="J3" s="595"/>
      <c r="K3" s="595"/>
    </row>
    <row r="4" spans="1:11" s="564" customFormat="1">
      <c r="A4" s="658" t="s">
        <v>898</v>
      </c>
      <c r="B4" s="658"/>
      <c r="C4" s="658"/>
      <c r="D4" s="658"/>
      <c r="E4" s="658"/>
      <c r="F4" s="658"/>
      <c r="G4" s="658"/>
      <c r="H4" s="658"/>
      <c r="I4" s="658"/>
      <c r="J4" s="658"/>
      <c r="K4" s="658"/>
    </row>
    <row r="5" spans="1:11" s="596" customFormat="1"/>
    <row r="8" spans="1:11">
      <c r="A8" s="597">
        <v>1</v>
      </c>
      <c r="B8" s="657" t="s">
        <v>899</v>
      </c>
      <c r="C8" s="657"/>
      <c r="D8" s="657"/>
      <c r="E8" s="657"/>
      <c r="F8" s="657"/>
      <c r="G8" s="598">
        <f>146000000*811/712</f>
        <v>166300561.7977528</v>
      </c>
    </row>
    <row r="10" spans="1:11">
      <c r="A10" s="597">
        <v>2</v>
      </c>
      <c r="B10" s="657" t="s">
        <v>900</v>
      </c>
      <c r="C10" s="657"/>
      <c r="D10" s="657"/>
      <c r="E10" s="657"/>
      <c r="F10" s="657"/>
      <c r="G10" s="598">
        <v>148099072.30000001</v>
      </c>
    </row>
    <row r="11" spans="1:11">
      <c r="A11" s="597">
        <v>3</v>
      </c>
      <c r="B11" s="657" t="s">
        <v>901</v>
      </c>
      <c r="C11" s="657"/>
      <c r="D11" s="657"/>
      <c r="E11" s="657"/>
      <c r="F11" s="657"/>
      <c r="G11" s="598">
        <v>9601527.6999999993</v>
      </c>
    </row>
    <row r="12" spans="1:11">
      <c r="A12" s="597">
        <v>4</v>
      </c>
      <c r="B12" s="657" t="s">
        <v>902</v>
      </c>
      <c r="C12" s="657"/>
      <c r="D12" s="657"/>
      <c r="E12" s="657"/>
      <c r="F12" s="657"/>
      <c r="G12" s="599">
        <f>+SUM(G10:G11)</f>
        <v>157700600</v>
      </c>
    </row>
    <row r="13" spans="1:11">
      <c r="G13" s="600"/>
    </row>
    <row r="14" spans="1:11">
      <c r="A14" s="597">
        <v>5</v>
      </c>
      <c r="B14" s="597" t="s">
        <v>903</v>
      </c>
      <c r="G14" s="598">
        <v>1389133.52</v>
      </c>
    </row>
    <row r="15" spans="1:11">
      <c r="A15" s="597">
        <v>6</v>
      </c>
      <c r="B15" s="597" t="s">
        <v>910</v>
      </c>
      <c r="G15" s="601">
        <f>G14+G10</f>
        <v>149488205.82000002</v>
      </c>
    </row>
    <row r="17" spans="2:8">
      <c r="B17" s="602" t="s">
        <v>65</v>
      </c>
    </row>
    <row r="18" spans="2:8" ht="24.75" customHeight="1">
      <c r="B18" s="657" t="s">
        <v>904</v>
      </c>
      <c r="C18" s="657"/>
      <c r="D18" s="657"/>
      <c r="E18" s="657"/>
      <c r="F18" s="657"/>
      <c r="G18" s="657"/>
      <c r="H18" s="657"/>
    </row>
    <row r="19" spans="2:8" ht="13.5" customHeight="1">
      <c r="B19" s="597" t="s">
        <v>905</v>
      </c>
    </row>
  </sheetData>
  <mergeCells count="7">
    <mergeCell ref="B18:H18"/>
    <mergeCell ref="B12:F12"/>
    <mergeCell ref="A2:K2"/>
    <mergeCell ref="A4:K4"/>
    <mergeCell ref="B8:F8"/>
    <mergeCell ref="B10:F10"/>
    <mergeCell ref="B11:F11"/>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zoomScaleNormal="100" zoomScaleSheetLayoutView="100" workbookViewId="0">
      <selection activeCell="D18" sqref="D18"/>
    </sheetView>
  </sheetViews>
  <sheetFormatPr defaultColWidth="9.33203125" defaultRowHeight="12"/>
  <cols>
    <col min="1" max="1" width="6" style="129" customWidth="1"/>
    <col min="2" max="2" width="3.1640625" style="129" customWidth="1"/>
    <col min="3" max="3" width="20.83203125" style="1" customWidth="1"/>
    <col min="4" max="5" width="15.83203125" style="1" customWidth="1"/>
    <col min="6" max="6" width="24.83203125" style="1" customWidth="1"/>
    <col min="7" max="8" width="12.83203125" style="1" customWidth="1"/>
    <col min="9" max="9" width="16.1640625" style="1" bestFit="1" customWidth="1"/>
    <col min="10" max="10" width="12.83203125" style="1" customWidth="1"/>
    <col min="11" max="11" width="14.1640625" style="1" customWidth="1"/>
    <col min="12" max="16384" width="9.33203125" style="1"/>
  </cols>
  <sheetData>
    <row r="1" spans="1:11">
      <c r="K1" s="40" t="s">
        <v>508</v>
      </c>
    </row>
    <row r="2" spans="1:11">
      <c r="K2" s="128" t="s">
        <v>821</v>
      </c>
    </row>
    <row r="3" spans="1:11">
      <c r="A3" s="604" t="s">
        <v>510</v>
      </c>
      <c r="B3" s="604"/>
      <c r="C3" s="604"/>
      <c r="D3" s="604"/>
      <c r="E3" s="604"/>
      <c r="F3" s="604"/>
      <c r="G3" s="604"/>
      <c r="H3" s="604"/>
      <c r="I3" s="604"/>
      <c r="J3" s="604"/>
      <c r="K3" s="604"/>
    </row>
    <row r="4" spans="1:11">
      <c r="A4" s="604" t="s">
        <v>509</v>
      </c>
      <c r="B4" s="604"/>
      <c r="C4" s="604"/>
      <c r="D4" s="604"/>
      <c r="E4" s="604"/>
      <c r="F4" s="604"/>
      <c r="G4" s="604"/>
      <c r="H4" s="604"/>
      <c r="I4" s="604"/>
      <c r="J4" s="604"/>
      <c r="K4" s="604"/>
    </row>
    <row r="5" spans="1:11">
      <c r="A5" s="605" t="str">
        <f>+A46</f>
        <v>Silver Run Electric, LLC</v>
      </c>
      <c r="B5" s="606"/>
      <c r="C5" s="606"/>
      <c r="D5" s="606"/>
      <c r="E5" s="606"/>
      <c r="F5" s="606"/>
      <c r="G5" s="606"/>
      <c r="H5" s="606"/>
      <c r="I5" s="606"/>
      <c r="J5" s="606"/>
      <c r="K5" s="606"/>
    </row>
    <row r="7" spans="1:11">
      <c r="C7" s="20" t="s">
        <v>761</v>
      </c>
      <c r="D7" s="20"/>
      <c r="E7" s="20"/>
    </row>
    <row r="9" spans="1:11">
      <c r="A9" s="210" t="s">
        <v>70</v>
      </c>
      <c r="C9" s="619" t="s">
        <v>386</v>
      </c>
      <c r="D9" s="619"/>
      <c r="E9" s="9"/>
      <c r="F9" s="619" t="s">
        <v>387</v>
      </c>
      <c r="G9" s="619"/>
      <c r="I9" s="9" t="s">
        <v>388</v>
      </c>
      <c r="J9" s="9"/>
      <c r="K9" s="9" t="s">
        <v>389</v>
      </c>
    </row>
    <row r="10" spans="1:11">
      <c r="A10" s="211" t="s">
        <v>379</v>
      </c>
      <c r="B10" s="212"/>
      <c r="C10" s="213"/>
      <c r="D10" s="213"/>
      <c r="E10" s="213"/>
      <c r="F10" s="623" t="s">
        <v>442</v>
      </c>
      <c r="G10" s="623"/>
      <c r="I10" s="214" t="s">
        <v>406</v>
      </c>
      <c r="J10" s="213"/>
      <c r="K10" s="214" t="s">
        <v>392</v>
      </c>
    </row>
    <row r="11" spans="1:11">
      <c r="A11" s="215"/>
      <c r="B11" s="215"/>
      <c r="C11" s="9"/>
      <c r="D11" s="9"/>
      <c r="E11" s="9"/>
      <c r="F11" s="9"/>
      <c r="G11" s="9"/>
      <c r="H11" s="216"/>
      <c r="I11" s="217"/>
      <c r="J11" s="217"/>
      <c r="K11" s="40"/>
    </row>
    <row r="12" spans="1:11">
      <c r="A12" s="215">
        <v>1</v>
      </c>
      <c r="B12" s="215"/>
      <c r="C12" s="218" t="s">
        <v>512</v>
      </c>
      <c r="D12" s="9"/>
      <c r="E12" s="9"/>
      <c r="F12" s="219" t="s">
        <v>443</v>
      </c>
      <c r="G12" s="9"/>
      <c r="H12" s="220"/>
      <c r="I12" s="352">
        <f>'Attachment H-27A'!K43+'Attachment H-27A'!K69</f>
        <v>156327409.15384614</v>
      </c>
      <c r="J12" s="217"/>
      <c r="K12" s="40"/>
    </row>
    <row r="13" spans="1:11">
      <c r="A13" s="215">
        <v>2</v>
      </c>
      <c r="B13" s="215"/>
      <c r="C13" s="218" t="s">
        <v>513</v>
      </c>
      <c r="D13" s="9"/>
      <c r="E13" s="9"/>
      <c r="F13" s="222" t="s">
        <v>444</v>
      </c>
      <c r="G13" s="9"/>
      <c r="H13" s="220"/>
      <c r="I13" s="352">
        <f>'Attachment H-27A'!K57+'Attachment H-27A'!K69+'Attachment H-27A'!K71</f>
        <v>149518666.61538461</v>
      </c>
      <c r="J13" s="217"/>
      <c r="K13" s="40"/>
    </row>
    <row r="14" spans="1:11">
      <c r="A14" s="215"/>
      <c r="B14" s="215"/>
      <c r="C14" s="218"/>
      <c r="D14" s="9"/>
      <c r="E14" s="9"/>
      <c r="F14" s="219"/>
      <c r="G14" s="9"/>
      <c r="H14" s="223"/>
      <c r="I14" s="217"/>
      <c r="J14" s="217"/>
      <c r="K14" s="40"/>
    </row>
    <row r="15" spans="1:11">
      <c r="A15" s="215"/>
      <c r="B15" s="215"/>
      <c r="C15" s="218" t="s">
        <v>514</v>
      </c>
      <c r="D15" s="9"/>
      <c r="E15" s="9"/>
      <c r="F15" s="219"/>
      <c r="G15" s="9"/>
      <c r="H15" s="223"/>
      <c r="I15" s="217"/>
      <c r="J15" s="217"/>
      <c r="K15" s="40"/>
    </row>
    <row r="16" spans="1:11">
      <c r="A16" s="215">
        <v>3</v>
      </c>
      <c r="B16" s="215"/>
      <c r="C16" s="218" t="s">
        <v>515</v>
      </c>
      <c r="D16" s="9"/>
      <c r="E16" s="9"/>
      <c r="F16" s="222" t="s">
        <v>445</v>
      </c>
      <c r="G16" s="9"/>
      <c r="H16" s="220"/>
      <c r="I16" s="352">
        <f>'Attachment H-27A'!K110</f>
        <v>6348218.4300344232</v>
      </c>
      <c r="J16" s="217"/>
      <c r="K16" s="40"/>
    </row>
    <row r="17" spans="1:11">
      <c r="A17" s="215">
        <v>4</v>
      </c>
      <c r="B17" s="215"/>
      <c r="C17" s="218" t="s">
        <v>516</v>
      </c>
      <c r="D17" s="9"/>
      <c r="E17" s="9"/>
      <c r="F17" s="219" t="s">
        <v>252</v>
      </c>
      <c r="G17" s="9"/>
      <c r="H17" s="224"/>
      <c r="I17" s="225">
        <f>IF(I16=0,0,+I16/I12)</f>
        <v>4.0608479756655887E-2</v>
      </c>
      <c r="J17" s="224"/>
      <c r="K17" s="225">
        <f>I17</f>
        <v>4.0608479756655887E-2</v>
      </c>
    </row>
    <row r="18" spans="1:11">
      <c r="A18" s="215"/>
      <c r="B18" s="215"/>
      <c r="C18" s="218"/>
      <c r="D18" s="9"/>
      <c r="E18" s="9"/>
      <c r="F18" s="219"/>
      <c r="G18" s="9"/>
      <c r="H18" s="224"/>
      <c r="I18" s="217"/>
      <c r="J18" s="224"/>
      <c r="K18" s="40"/>
    </row>
    <row r="19" spans="1:11">
      <c r="A19" s="215"/>
      <c r="B19" s="215"/>
      <c r="C19" s="218" t="s">
        <v>381</v>
      </c>
      <c r="D19" s="9"/>
      <c r="E19" s="9"/>
      <c r="F19" s="219"/>
      <c r="G19" s="9"/>
      <c r="H19" s="224"/>
      <c r="I19" s="217"/>
      <c r="J19" s="224"/>
      <c r="K19" s="40"/>
    </row>
    <row r="20" spans="1:11">
      <c r="A20" s="215">
        <v>5</v>
      </c>
      <c r="B20" s="215"/>
      <c r="C20" s="218" t="s">
        <v>382</v>
      </c>
      <c r="D20" s="9"/>
      <c r="E20" s="9"/>
      <c r="F20" s="222" t="s">
        <v>446</v>
      </c>
      <c r="G20" s="9"/>
      <c r="H20" s="226"/>
      <c r="I20" s="352">
        <f>'Attachment H-27A'!K114</f>
        <v>138855</v>
      </c>
      <c r="J20" s="226"/>
      <c r="K20" s="40"/>
    </row>
    <row r="21" spans="1:11">
      <c r="A21" s="215">
        <v>6</v>
      </c>
      <c r="B21" s="215"/>
      <c r="C21" s="218" t="s">
        <v>383</v>
      </c>
      <c r="D21" s="9"/>
      <c r="E21" s="9"/>
      <c r="F21" s="219" t="s">
        <v>253</v>
      </c>
      <c r="G21" s="9"/>
      <c r="H21" s="224"/>
      <c r="I21" s="225">
        <f>IF(I20=0,0,I20/I12)</f>
        <v>8.8823195338284496E-4</v>
      </c>
      <c r="J21" s="224"/>
      <c r="K21" s="225">
        <f>I21</f>
        <v>8.8823195338284496E-4</v>
      </c>
    </row>
    <row r="22" spans="1:11">
      <c r="A22" s="215"/>
      <c r="B22" s="215"/>
      <c r="C22" s="218"/>
      <c r="D22" s="9"/>
      <c r="E22" s="9"/>
      <c r="F22" s="219"/>
      <c r="G22" s="9"/>
      <c r="H22" s="224"/>
      <c r="I22" s="225"/>
      <c r="J22" s="224"/>
      <c r="K22" s="40"/>
    </row>
    <row r="23" spans="1:11">
      <c r="A23" s="215"/>
      <c r="B23" s="215"/>
      <c r="C23" s="218" t="s">
        <v>518</v>
      </c>
      <c r="D23" s="9"/>
      <c r="E23" s="9"/>
      <c r="F23" s="219"/>
      <c r="G23" s="9"/>
      <c r="H23" s="224"/>
      <c r="I23" s="217"/>
      <c r="J23" s="224"/>
      <c r="K23" s="40"/>
    </row>
    <row r="24" spans="1:11">
      <c r="A24" s="215">
        <v>7</v>
      </c>
      <c r="B24" s="215"/>
      <c r="C24" s="218" t="s">
        <v>517</v>
      </c>
      <c r="D24" s="9"/>
      <c r="E24" s="9"/>
      <c r="F24" s="222" t="s">
        <v>447</v>
      </c>
      <c r="G24" s="9"/>
      <c r="H24" s="226"/>
      <c r="I24" s="352">
        <f>'Attachment H-27A'!K127</f>
        <v>1077052.2861917212</v>
      </c>
      <c r="J24" s="226"/>
      <c r="K24" s="40"/>
    </row>
    <row r="25" spans="1:11">
      <c r="A25" s="215">
        <v>8</v>
      </c>
      <c r="B25" s="215"/>
      <c r="C25" s="218" t="s">
        <v>519</v>
      </c>
      <c r="D25" s="9"/>
      <c r="E25" s="9"/>
      <c r="F25" s="219" t="s">
        <v>254</v>
      </c>
      <c r="G25" s="9"/>
      <c r="H25" s="224"/>
      <c r="I25" s="225">
        <f>IF(I24=0,0,I24/I12)</f>
        <v>6.8897213356345216E-3</v>
      </c>
      <c r="J25" s="224"/>
      <c r="K25" s="225">
        <f>I25</f>
        <v>6.8897213356345216E-3</v>
      </c>
    </row>
    <row r="26" spans="1:11">
      <c r="A26" s="215"/>
      <c r="B26" s="215"/>
      <c r="C26" s="218"/>
      <c r="D26" s="9"/>
      <c r="E26" s="9"/>
      <c r="F26" s="219"/>
      <c r="G26" s="9"/>
      <c r="H26" s="224"/>
      <c r="I26" s="217"/>
      <c r="J26" s="224"/>
      <c r="K26" s="40"/>
    </row>
    <row r="27" spans="1:11">
      <c r="A27" s="215">
        <v>9</v>
      </c>
      <c r="B27" s="215"/>
      <c r="C27" s="218" t="s">
        <v>520</v>
      </c>
      <c r="D27" s="9"/>
      <c r="E27" s="9"/>
      <c r="F27" s="222" t="s">
        <v>448</v>
      </c>
      <c r="G27" s="9"/>
      <c r="H27" s="226"/>
      <c r="I27" s="221">
        <f>'Attachment H-27A'!K18</f>
        <v>0</v>
      </c>
      <c r="J27" s="226"/>
      <c r="K27" s="40"/>
    </row>
    <row r="28" spans="1:11">
      <c r="A28" s="215">
        <v>10</v>
      </c>
      <c r="B28" s="215"/>
      <c r="C28" s="218" t="s">
        <v>521</v>
      </c>
      <c r="D28" s="9"/>
      <c r="E28" s="9"/>
      <c r="F28" s="219" t="s">
        <v>255</v>
      </c>
      <c r="G28" s="9"/>
      <c r="H28" s="224"/>
      <c r="I28" s="225">
        <f>IF(I27=0,0,I27/I12)</f>
        <v>0</v>
      </c>
      <c r="J28" s="224"/>
      <c r="K28" s="225">
        <f>I28</f>
        <v>0</v>
      </c>
    </row>
    <row r="29" spans="1:11">
      <c r="A29" s="215"/>
      <c r="B29" s="215"/>
      <c r="C29" s="218"/>
      <c r="D29" s="9"/>
      <c r="E29" s="9"/>
      <c r="F29" s="219"/>
      <c r="G29" s="9"/>
      <c r="H29" s="224"/>
      <c r="I29" s="217"/>
      <c r="J29" s="224"/>
      <c r="K29" s="40"/>
    </row>
    <row r="30" spans="1:11">
      <c r="A30" s="215">
        <v>11</v>
      </c>
      <c r="B30" s="215"/>
      <c r="C30" s="227" t="s">
        <v>522</v>
      </c>
      <c r="D30" s="9"/>
      <c r="E30" s="9"/>
      <c r="F30" s="228" t="s">
        <v>256</v>
      </c>
      <c r="G30" s="9"/>
      <c r="H30" s="224"/>
      <c r="I30" s="225"/>
      <c r="J30" s="224"/>
      <c r="K30" s="229">
        <f>K17+K21+K25+K28</f>
        <v>4.8386433045673256E-2</v>
      </c>
    </row>
    <row r="31" spans="1:11">
      <c r="A31" s="215"/>
      <c r="B31" s="215"/>
      <c r="C31" s="218"/>
      <c r="D31" s="9"/>
      <c r="E31" s="9"/>
      <c r="F31" s="219"/>
      <c r="G31" s="9"/>
      <c r="H31" s="224"/>
      <c r="I31" s="217"/>
      <c r="J31" s="224"/>
      <c r="K31" s="40"/>
    </row>
    <row r="32" spans="1:11">
      <c r="A32" s="215"/>
      <c r="B32" s="215"/>
      <c r="C32" s="218" t="s">
        <v>523</v>
      </c>
      <c r="D32" s="9"/>
      <c r="E32" s="9"/>
      <c r="F32" s="219"/>
      <c r="G32" s="9"/>
      <c r="H32" s="224"/>
      <c r="I32" s="217"/>
      <c r="J32" s="224"/>
      <c r="K32" s="40"/>
    </row>
    <row r="33" spans="1:11">
      <c r="A33" s="215">
        <v>12</v>
      </c>
      <c r="B33" s="215"/>
      <c r="C33" s="218" t="s">
        <v>524</v>
      </c>
      <c r="D33" s="9"/>
      <c r="E33" s="9"/>
      <c r="F33" s="222" t="s">
        <v>449</v>
      </c>
      <c r="G33" s="9"/>
      <c r="H33" s="226"/>
      <c r="I33" s="221">
        <f>'Attachment H-27A'!K142</f>
        <v>3193890.4942581188</v>
      </c>
      <c r="J33" s="226"/>
      <c r="K33" s="40"/>
    </row>
    <row r="34" spans="1:11">
      <c r="A34" s="215">
        <v>13</v>
      </c>
      <c r="B34" s="215"/>
      <c r="C34" s="218" t="s">
        <v>525</v>
      </c>
      <c r="D34" s="9"/>
      <c r="E34" s="9"/>
      <c r="F34" s="219" t="s">
        <v>257</v>
      </c>
      <c r="G34" s="9"/>
      <c r="H34" s="224"/>
      <c r="I34" s="225">
        <f>IF(I33=0,0,I33/I13)</f>
        <v>2.1361148855573636E-2</v>
      </c>
      <c r="J34" s="224"/>
      <c r="K34" s="225">
        <f>I34</f>
        <v>2.1361148855573636E-2</v>
      </c>
    </row>
    <row r="35" spans="1:11">
      <c r="A35" s="215"/>
      <c r="B35" s="215"/>
      <c r="C35" s="218"/>
      <c r="D35" s="9"/>
      <c r="E35" s="9"/>
      <c r="F35" s="219"/>
      <c r="G35" s="9"/>
      <c r="H35" s="224"/>
      <c r="I35" s="217"/>
      <c r="J35" s="224"/>
      <c r="K35" s="40"/>
    </row>
    <row r="36" spans="1:11">
      <c r="A36" s="215"/>
      <c r="B36" s="215"/>
      <c r="C36" s="218" t="s">
        <v>526</v>
      </c>
      <c r="D36" s="9"/>
      <c r="E36" s="9"/>
      <c r="F36" s="219"/>
      <c r="G36" s="9"/>
      <c r="H36" s="224"/>
      <c r="I36" s="217"/>
      <c r="J36" s="224"/>
      <c r="K36" s="40"/>
    </row>
    <row r="37" spans="1:11">
      <c r="A37" s="215">
        <v>14</v>
      </c>
      <c r="B37" s="215"/>
      <c r="C37" s="218" t="s">
        <v>527</v>
      </c>
      <c r="D37" s="9"/>
      <c r="E37" s="9"/>
      <c r="F37" s="222" t="s">
        <v>450</v>
      </c>
      <c r="G37" s="9"/>
      <c r="H37" s="224"/>
      <c r="I37" s="352">
        <f>'Attachment H-27A'!K145</f>
        <v>10046394.355002981</v>
      </c>
      <c r="J37" s="224"/>
      <c r="K37" s="40"/>
    </row>
    <row r="38" spans="1:11">
      <c r="A38" s="215">
        <v>15</v>
      </c>
      <c r="B38" s="215"/>
      <c r="C38" s="218" t="s">
        <v>528</v>
      </c>
      <c r="D38" s="9"/>
      <c r="E38" s="9"/>
      <c r="F38" s="219" t="s">
        <v>258</v>
      </c>
      <c r="G38" s="9"/>
      <c r="H38" s="224"/>
      <c r="I38" s="225">
        <f>IF(I37=0,0,I37/I13)</f>
        <v>6.7191572680659964E-2</v>
      </c>
      <c r="J38" s="224"/>
      <c r="K38" s="225">
        <f>I38</f>
        <v>6.7191572680659964E-2</v>
      </c>
    </row>
    <row r="39" spans="1:11">
      <c r="A39" s="215"/>
      <c r="B39" s="215"/>
      <c r="C39" s="218"/>
      <c r="D39" s="9"/>
      <c r="E39" s="9"/>
      <c r="F39" s="219"/>
      <c r="G39" s="9"/>
      <c r="H39" s="224"/>
      <c r="I39" s="217"/>
      <c r="J39" s="224"/>
      <c r="K39" s="40"/>
    </row>
    <row r="40" spans="1:11">
      <c r="A40" s="215">
        <v>16</v>
      </c>
      <c r="B40" s="215"/>
      <c r="C40" s="227" t="s">
        <v>529</v>
      </c>
      <c r="D40" s="9"/>
      <c r="E40" s="9"/>
      <c r="F40" s="228" t="s">
        <v>259</v>
      </c>
      <c r="G40" s="9"/>
      <c r="H40" s="224"/>
      <c r="I40" s="225"/>
      <c r="J40" s="224"/>
      <c r="K40" s="229">
        <f>K34+K38</f>
        <v>8.85527215362336E-2</v>
      </c>
    </row>
    <row r="41" spans="1:11">
      <c r="A41" s="215"/>
      <c r="B41" s="215"/>
      <c r="C41" s="9"/>
      <c r="D41" s="9"/>
      <c r="E41" s="9"/>
      <c r="F41" s="9"/>
      <c r="G41" s="9"/>
      <c r="H41" s="216"/>
      <c r="I41" s="9"/>
      <c r="J41" s="9"/>
    </row>
    <row r="42" spans="1:11">
      <c r="A42" s="215"/>
      <c r="B42" s="215"/>
      <c r="C42" s="129"/>
      <c r="K42" s="40" t="s">
        <v>6</v>
      </c>
    </row>
    <row r="43" spans="1:11">
      <c r="A43" s="215"/>
      <c r="B43" s="215"/>
      <c r="C43" s="129"/>
      <c r="K43" s="128" t="s">
        <v>821</v>
      </c>
    </row>
    <row r="44" spans="1:11">
      <c r="A44" s="604" t="s">
        <v>510</v>
      </c>
      <c r="B44" s="604"/>
      <c r="C44" s="604"/>
      <c r="D44" s="604"/>
      <c r="E44" s="604"/>
      <c r="F44" s="604"/>
      <c r="G44" s="604"/>
      <c r="H44" s="604"/>
      <c r="I44" s="604"/>
      <c r="J44" s="604"/>
      <c r="K44" s="604"/>
    </row>
    <row r="45" spans="1:11">
      <c r="A45" s="604" t="s">
        <v>509</v>
      </c>
      <c r="B45" s="604"/>
      <c r="C45" s="604"/>
      <c r="D45" s="604"/>
      <c r="E45" s="604"/>
      <c r="F45" s="604"/>
      <c r="G45" s="604"/>
      <c r="H45" s="604"/>
      <c r="I45" s="604"/>
      <c r="J45" s="604"/>
      <c r="K45" s="604"/>
    </row>
    <row r="46" spans="1:11">
      <c r="A46" s="605" t="str">
        <f>+A84</f>
        <v>Silver Run Electric, LLC</v>
      </c>
      <c r="B46" s="606"/>
      <c r="C46" s="606"/>
      <c r="D46" s="606"/>
      <c r="E46" s="606"/>
      <c r="F46" s="606"/>
      <c r="G46" s="606"/>
      <c r="H46" s="606"/>
      <c r="I46" s="606"/>
      <c r="J46" s="606"/>
      <c r="K46" s="606"/>
    </row>
    <row r="47" spans="1:11">
      <c r="A47" s="215"/>
      <c r="B47" s="215"/>
      <c r="C47" s="9"/>
      <c r="D47" s="9"/>
      <c r="E47" s="9"/>
      <c r="F47" s="9"/>
      <c r="G47" s="9"/>
      <c r="H47" s="9"/>
      <c r="I47" s="9"/>
      <c r="J47" s="9"/>
    </row>
    <row r="48" spans="1:11" ht="24.75" customHeight="1">
      <c r="A48" s="215"/>
      <c r="B48" s="215"/>
      <c r="C48" s="620" t="s">
        <v>451</v>
      </c>
      <c r="D48" s="620"/>
      <c r="E48" s="620"/>
      <c r="F48" s="620"/>
      <c r="G48" s="620"/>
      <c r="H48" s="620"/>
      <c r="I48" s="620"/>
      <c r="J48" s="620"/>
      <c r="K48" s="620"/>
    </row>
    <row r="49" spans="1:14" ht="29.25" customHeight="1">
      <c r="A49" s="215"/>
      <c r="B49" s="215"/>
      <c r="C49" s="622" t="s">
        <v>530</v>
      </c>
      <c r="D49" s="622"/>
      <c r="E49" s="622"/>
      <c r="F49" s="622"/>
      <c r="G49" s="622"/>
      <c r="H49" s="622"/>
      <c r="I49" s="622"/>
      <c r="J49" s="622"/>
      <c r="K49" s="622"/>
    </row>
    <row r="50" spans="1:14">
      <c r="A50" s="215"/>
      <c r="B50" s="215"/>
      <c r="C50" s="9"/>
      <c r="D50" s="9"/>
      <c r="E50" s="9"/>
      <c r="F50" s="9"/>
      <c r="G50" s="9"/>
      <c r="H50" s="9"/>
      <c r="I50" s="9"/>
      <c r="J50" s="9"/>
    </row>
    <row r="51" spans="1:14">
      <c r="A51" s="230"/>
      <c r="B51" s="230"/>
      <c r="C51" s="11" t="s">
        <v>386</v>
      </c>
      <c r="D51" s="11"/>
      <c r="E51" s="11" t="s">
        <v>387</v>
      </c>
      <c r="F51" s="11" t="s">
        <v>388</v>
      </c>
      <c r="G51" s="11" t="s">
        <v>389</v>
      </c>
      <c r="H51" s="11" t="s">
        <v>390</v>
      </c>
      <c r="I51" s="11" t="s">
        <v>531</v>
      </c>
      <c r="J51" s="11" t="s">
        <v>532</v>
      </c>
      <c r="K51" s="11" t="s">
        <v>533</v>
      </c>
      <c r="N51" s="20"/>
    </row>
    <row r="52" spans="1:14" s="235" customFormat="1" ht="48">
      <c r="A52" s="231" t="s">
        <v>511</v>
      </c>
      <c r="B52" s="232"/>
      <c r="C52" s="232" t="s">
        <v>534</v>
      </c>
      <c r="D52" s="232" t="s">
        <v>535</v>
      </c>
      <c r="E52" s="232" t="s">
        <v>51</v>
      </c>
      <c r="F52" s="232" t="s">
        <v>536</v>
      </c>
      <c r="G52" s="233" t="s">
        <v>522</v>
      </c>
      <c r="H52" s="234" t="s">
        <v>537</v>
      </c>
      <c r="I52" s="231" t="s">
        <v>538</v>
      </c>
      <c r="J52" s="233" t="s">
        <v>529</v>
      </c>
      <c r="K52" s="234" t="s">
        <v>539</v>
      </c>
    </row>
    <row r="53" spans="1:14" ht="24">
      <c r="A53" s="236"/>
      <c r="B53" s="212"/>
      <c r="C53" s="212"/>
      <c r="D53" s="212"/>
      <c r="E53" s="212"/>
      <c r="F53" s="212" t="s">
        <v>540</v>
      </c>
      <c r="G53" s="237" t="s">
        <v>260</v>
      </c>
      <c r="H53" s="238" t="s">
        <v>3</v>
      </c>
      <c r="I53" s="236" t="s">
        <v>4</v>
      </c>
      <c r="J53" s="237" t="s">
        <v>261</v>
      </c>
      <c r="K53" s="238" t="s">
        <v>5</v>
      </c>
    </row>
    <row r="54" spans="1:14">
      <c r="A54" s="239"/>
      <c r="B54" s="240"/>
      <c r="C54" s="201"/>
      <c r="D54" s="201"/>
      <c r="E54" s="201"/>
      <c r="F54" s="201"/>
      <c r="G54" s="241"/>
      <c r="H54" s="242"/>
      <c r="I54" s="242"/>
      <c r="J54" s="241"/>
      <c r="K54" s="242"/>
    </row>
    <row r="55" spans="1:14">
      <c r="A55" s="243" t="s">
        <v>7</v>
      </c>
      <c r="B55" s="215"/>
      <c r="C55" s="244" t="s">
        <v>835</v>
      </c>
      <c r="D55" s="197" t="s">
        <v>836</v>
      </c>
      <c r="E55" s="197" t="s">
        <v>837</v>
      </c>
      <c r="F55" s="461">
        <f>I12</f>
        <v>156327409.15384614</v>
      </c>
      <c r="G55" s="246">
        <f>K30</f>
        <v>4.8386433045673256E-2</v>
      </c>
      <c r="H55" s="463">
        <f>F55*G55</f>
        <v>7564125.7162261447</v>
      </c>
      <c r="I55" s="462">
        <f>I13</f>
        <v>149518666.61538461</v>
      </c>
      <c r="J55" s="249">
        <f>K40</f>
        <v>8.85527215362336E-2</v>
      </c>
      <c r="K55" s="463">
        <f>I55*J55</f>
        <v>13240284.849261101</v>
      </c>
    </row>
    <row r="56" spans="1:14">
      <c r="A56" s="250" t="s">
        <v>8</v>
      </c>
      <c r="B56" s="251"/>
      <c r="C56" s="199"/>
      <c r="D56" s="199"/>
      <c r="E56" s="199"/>
      <c r="F56" s="252">
        <v>0</v>
      </c>
      <c r="G56" s="249">
        <f>K30</f>
        <v>4.8386433045673256E-2</v>
      </c>
      <c r="H56" s="463">
        <f>F56*G56</f>
        <v>0</v>
      </c>
      <c r="I56" s="248">
        <v>0</v>
      </c>
      <c r="J56" s="249">
        <f>K40</f>
        <v>8.85527215362336E-2</v>
      </c>
      <c r="K56" s="247">
        <f>I56*J56</f>
        <v>0</v>
      </c>
    </row>
    <row r="57" spans="1:14">
      <c r="A57" s="243">
        <v>2</v>
      </c>
      <c r="B57" s="215"/>
      <c r="C57" s="1" t="s">
        <v>12</v>
      </c>
      <c r="F57" s="352">
        <f>SUM(F55:F56)</f>
        <v>156327409.15384614</v>
      </c>
      <c r="G57" s="253"/>
      <c r="H57" s="465">
        <f>SUM(H55:H56)</f>
        <v>7564125.7162261447</v>
      </c>
      <c r="I57" s="464">
        <f>SUM(I55:I56)</f>
        <v>149518666.61538461</v>
      </c>
      <c r="J57" s="254"/>
      <c r="K57" s="465">
        <f>SUM(K55:K56)</f>
        <v>13240284.849261101</v>
      </c>
    </row>
    <row r="58" spans="1:14">
      <c r="A58" s="243"/>
      <c r="B58" s="215"/>
      <c r="F58" s="221"/>
      <c r="G58" s="255"/>
      <c r="H58" s="247"/>
      <c r="I58" s="256"/>
      <c r="J58" s="257"/>
      <c r="K58" s="247"/>
    </row>
    <row r="59" spans="1:14">
      <c r="A59" s="243" t="s">
        <v>9</v>
      </c>
      <c r="B59" s="215"/>
      <c r="C59" s="197"/>
      <c r="D59" s="197"/>
      <c r="E59" s="197"/>
      <c r="F59" s="245">
        <v>0</v>
      </c>
      <c r="G59" s="246">
        <f>K30</f>
        <v>4.8386433045673256E-2</v>
      </c>
      <c r="H59" s="247">
        <f>F59*G59</f>
        <v>0</v>
      </c>
      <c r="I59" s="248">
        <v>0</v>
      </c>
      <c r="J59" s="249">
        <f>K40</f>
        <v>8.85527215362336E-2</v>
      </c>
      <c r="K59" s="247">
        <f>I59*J59</f>
        <v>0</v>
      </c>
    </row>
    <row r="60" spans="1:14">
      <c r="A60" s="243" t="s">
        <v>10</v>
      </c>
      <c r="B60" s="215"/>
      <c r="C60" s="197"/>
      <c r="D60" s="197"/>
      <c r="E60" s="197"/>
      <c r="F60" s="252">
        <v>0</v>
      </c>
      <c r="G60" s="258">
        <f>K30</f>
        <v>4.8386433045673256E-2</v>
      </c>
      <c r="H60" s="259">
        <f>F60*G60</f>
        <v>0</v>
      </c>
      <c r="I60" s="260">
        <v>0</v>
      </c>
      <c r="J60" s="249">
        <f>K40</f>
        <v>8.85527215362336E-2</v>
      </c>
      <c r="K60" s="259">
        <f>I60*J60</f>
        <v>0</v>
      </c>
    </row>
    <row r="61" spans="1:14">
      <c r="A61" s="261">
        <v>4</v>
      </c>
      <c r="B61" s="262"/>
      <c r="C61" s="201" t="s">
        <v>15</v>
      </c>
      <c r="D61" s="201"/>
      <c r="E61" s="201"/>
      <c r="F61" s="221">
        <f>SUM(F59:F60)</f>
        <v>0</v>
      </c>
      <c r="G61" s="241"/>
      <c r="H61" s="247">
        <f>SUM(H59:H60)</f>
        <v>0</v>
      </c>
      <c r="I61" s="256">
        <f>SUM(I59:I60)</f>
        <v>0</v>
      </c>
      <c r="J61" s="241"/>
      <c r="K61" s="247">
        <f>SUM(K59:K60)</f>
        <v>0</v>
      </c>
    </row>
    <row r="62" spans="1:14">
      <c r="A62" s="263"/>
      <c r="F62" s="221"/>
      <c r="G62" s="264"/>
      <c r="H62" s="247"/>
      <c r="I62" s="265"/>
      <c r="J62" s="264"/>
      <c r="K62" s="247"/>
    </row>
    <row r="63" spans="1:14">
      <c r="A63" s="263">
        <v>5</v>
      </c>
      <c r="C63" s="197"/>
      <c r="D63" s="197"/>
      <c r="E63" s="197"/>
      <c r="F63" s="245">
        <v>0</v>
      </c>
      <c r="G63" s="246">
        <f>K30</f>
        <v>4.8386433045673256E-2</v>
      </c>
      <c r="H63" s="247">
        <f>F63*G63</f>
        <v>0</v>
      </c>
      <c r="I63" s="266">
        <v>0</v>
      </c>
      <c r="J63" s="249">
        <f>K40</f>
        <v>8.85527215362336E-2</v>
      </c>
      <c r="K63" s="247">
        <f>I63*J63</f>
        <v>0</v>
      </c>
    </row>
    <row r="64" spans="1:14">
      <c r="A64" s="267"/>
      <c r="B64" s="268"/>
      <c r="C64" s="35"/>
      <c r="D64" s="35"/>
      <c r="E64" s="35"/>
      <c r="F64" s="35"/>
      <c r="G64" s="269"/>
      <c r="H64" s="247"/>
      <c r="I64" s="270"/>
      <c r="J64" s="269"/>
      <c r="K64" s="247"/>
    </row>
    <row r="65" spans="1:11">
      <c r="A65" s="267">
        <v>6</v>
      </c>
      <c r="B65" s="268"/>
      <c r="C65" s="35" t="s">
        <v>17</v>
      </c>
      <c r="D65" s="35"/>
      <c r="E65" s="35"/>
      <c r="F65" s="271">
        <f>F57+F61+F63</f>
        <v>156327409.15384614</v>
      </c>
      <c r="G65" s="269"/>
      <c r="H65" s="466">
        <f>SUM(H57+H61+H63)</f>
        <v>7564125.7162261447</v>
      </c>
      <c r="I65" s="467">
        <f>I57+I61+I63</f>
        <v>149518666.61538461</v>
      </c>
      <c r="J65" s="468"/>
      <c r="K65" s="466">
        <f>SUM(K57+K61+K63)</f>
        <v>13240284.849261101</v>
      </c>
    </row>
    <row r="80" spans="1:11">
      <c r="A80" s="215"/>
      <c r="B80" s="215"/>
      <c r="C80" s="129"/>
      <c r="K80" s="40" t="s">
        <v>26</v>
      </c>
    </row>
    <row r="81" spans="1:11">
      <c r="A81" s="215"/>
      <c r="B81" s="215"/>
      <c r="C81" s="129"/>
      <c r="K81" s="128" t="s">
        <v>821</v>
      </c>
    </row>
    <row r="82" spans="1:11">
      <c r="A82" s="604" t="s">
        <v>510</v>
      </c>
      <c r="B82" s="604"/>
      <c r="C82" s="604"/>
      <c r="D82" s="604"/>
      <c r="E82" s="604"/>
      <c r="F82" s="604"/>
      <c r="G82" s="604"/>
      <c r="H82" s="604"/>
      <c r="I82" s="604"/>
      <c r="J82" s="604"/>
      <c r="K82" s="604"/>
    </row>
    <row r="83" spans="1:11">
      <c r="A83" s="604" t="s">
        <v>509</v>
      </c>
      <c r="B83" s="604"/>
      <c r="C83" s="604"/>
      <c r="D83" s="604"/>
      <c r="E83" s="604"/>
      <c r="F83" s="604"/>
      <c r="G83" s="604"/>
      <c r="H83" s="604"/>
      <c r="I83" s="604"/>
      <c r="J83" s="604"/>
      <c r="K83" s="604"/>
    </row>
    <row r="84" spans="1:11">
      <c r="A84" s="605" t="s">
        <v>743</v>
      </c>
      <c r="B84" s="606"/>
      <c r="C84" s="606"/>
      <c r="D84" s="606"/>
      <c r="E84" s="606"/>
      <c r="F84" s="606"/>
      <c r="G84" s="606"/>
      <c r="H84" s="606"/>
      <c r="I84" s="606"/>
      <c r="J84" s="606"/>
      <c r="K84" s="606"/>
    </row>
    <row r="88" spans="1:11">
      <c r="A88" s="215"/>
      <c r="B88" s="215"/>
      <c r="C88" s="9" t="s">
        <v>35</v>
      </c>
      <c r="D88" s="9" t="s">
        <v>36</v>
      </c>
      <c r="E88" s="9" t="s">
        <v>37</v>
      </c>
      <c r="F88" s="9" t="s">
        <v>38</v>
      </c>
      <c r="G88" s="9" t="s">
        <v>43</v>
      </c>
      <c r="H88" s="9" t="s">
        <v>39</v>
      </c>
      <c r="I88" s="9" t="s">
        <v>40</v>
      </c>
      <c r="J88" s="9" t="s">
        <v>41</v>
      </c>
      <c r="K88" s="9" t="s">
        <v>42</v>
      </c>
    </row>
    <row r="89" spans="1:11" ht="36">
      <c r="A89" s="272" t="s">
        <v>511</v>
      </c>
      <c r="B89" s="273"/>
      <c r="C89" s="273" t="s">
        <v>27</v>
      </c>
      <c r="D89" s="273" t="s">
        <v>28</v>
      </c>
      <c r="E89" s="273" t="s">
        <v>29</v>
      </c>
      <c r="F89" s="232" t="s">
        <v>30</v>
      </c>
      <c r="G89" s="273" t="s">
        <v>31</v>
      </c>
      <c r="H89" s="273" t="s">
        <v>32</v>
      </c>
      <c r="I89" s="273" t="s">
        <v>49</v>
      </c>
      <c r="J89" s="273" t="s">
        <v>34</v>
      </c>
      <c r="K89" s="274" t="s">
        <v>33</v>
      </c>
    </row>
    <row r="90" spans="1:11" ht="36">
      <c r="A90" s="275"/>
      <c r="B90" s="276"/>
      <c r="C90" s="277" t="s">
        <v>44</v>
      </c>
      <c r="D90" s="278" t="s">
        <v>807</v>
      </c>
      <c r="E90" s="278" t="s">
        <v>45</v>
      </c>
      <c r="F90" s="275" t="s">
        <v>808</v>
      </c>
      <c r="G90" s="278" t="s">
        <v>46</v>
      </c>
      <c r="H90" s="278" t="s">
        <v>47</v>
      </c>
      <c r="I90" s="278" t="s">
        <v>48</v>
      </c>
      <c r="J90" s="278" t="s">
        <v>554</v>
      </c>
      <c r="K90" s="278" t="s">
        <v>555</v>
      </c>
    </row>
    <row r="91" spans="1:11">
      <c r="A91" s="239"/>
      <c r="B91" s="279"/>
      <c r="C91" s="241"/>
      <c r="D91" s="301"/>
      <c r="E91" s="302"/>
      <c r="F91" s="303"/>
      <c r="G91" s="242"/>
      <c r="H91" s="242"/>
      <c r="I91" s="242"/>
      <c r="J91" s="242"/>
      <c r="K91" s="242"/>
    </row>
    <row r="92" spans="1:11">
      <c r="A92" s="243" t="s">
        <v>7</v>
      </c>
      <c r="C92" s="469">
        <f>'Attachment H-27A'!K113</f>
        <v>3327216</v>
      </c>
      <c r="D92" s="470">
        <f>C92+H55+(I55*$K$40)</f>
        <v>24131626.565487247</v>
      </c>
      <c r="E92" s="469">
        <v>50</v>
      </c>
      <c r="F92" s="480">
        <f>+(E92/100)*'Attachment 2'!$J$40*'Attachment 1'!I55</f>
        <v>565946.05480203126</v>
      </c>
      <c r="G92" s="463">
        <f>D92+F92</f>
        <v>24697572.620289277</v>
      </c>
      <c r="H92" s="469">
        <v>0</v>
      </c>
      <c r="I92" s="463">
        <f>D92+F92-H92</f>
        <v>24697572.620289277</v>
      </c>
      <c r="J92" s="469">
        <f>'Attachment 3'!L18</f>
        <v>400974.02572426229</v>
      </c>
      <c r="K92" s="463">
        <f>I92+J92</f>
        <v>25098546.646013539</v>
      </c>
    </row>
    <row r="93" spans="1:11">
      <c r="A93" s="243" t="s">
        <v>8</v>
      </c>
      <c r="C93" s="469">
        <v>0</v>
      </c>
      <c r="D93" s="470">
        <f>C93+H56+(I56*$K$40)</f>
        <v>0</v>
      </c>
      <c r="E93" s="469">
        <v>0</v>
      </c>
      <c r="F93" s="480">
        <f>+(E93/100)*'Attachment 2'!$J$40*'Attachment 1'!I56</f>
        <v>0</v>
      </c>
      <c r="G93" s="463">
        <f>D93+F93</f>
        <v>0</v>
      </c>
      <c r="H93" s="469">
        <v>0</v>
      </c>
      <c r="I93" s="463">
        <f>D93+F93-H93</f>
        <v>0</v>
      </c>
      <c r="J93" s="469">
        <v>0</v>
      </c>
      <c r="K93" s="463">
        <f>I93+J93</f>
        <v>0</v>
      </c>
    </row>
    <row r="94" spans="1:11">
      <c r="A94" s="239">
        <v>2</v>
      </c>
      <c r="B94" s="262"/>
      <c r="C94" s="465">
        <f>SUM(C92:C93)</f>
        <v>3327216</v>
      </c>
      <c r="D94" s="471">
        <f>SUM(D92:D93)</f>
        <v>24131626.565487247</v>
      </c>
      <c r="E94" s="465"/>
      <c r="F94" s="481">
        <f>SUM(F92:F93)</f>
        <v>565946.05480203126</v>
      </c>
      <c r="G94" s="465">
        <f>SUM(G92:G93)</f>
        <v>24697572.620289277</v>
      </c>
      <c r="H94" s="465">
        <f t="shared" ref="H94:J94" si="0">SUM(H92:H93)</f>
        <v>0</v>
      </c>
      <c r="I94" s="465">
        <f>SUM(I92:I93)</f>
        <v>24697572.620289277</v>
      </c>
      <c r="J94" s="465">
        <f t="shared" si="0"/>
        <v>400974.02572426229</v>
      </c>
      <c r="K94" s="465">
        <f>SUM(K92:K93)</f>
        <v>25098546.646013539</v>
      </c>
    </row>
    <row r="95" spans="1:11">
      <c r="A95" s="243"/>
      <c r="C95" s="463"/>
      <c r="D95" s="470"/>
      <c r="E95" s="463"/>
      <c r="F95" s="482"/>
      <c r="G95" s="463"/>
      <c r="H95" s="463"/>
      <c r="I95" s="463"/>
      <c r="J95" s="463"/>
      <c r="K95" s="463"/>
    </row>
    <row r="96" spans="1:11">
      <c r="A96" s="243" t="s">
        <v>9</v>
      </c>
      <c r="C96" s="469">
        <v>0</v>
      </c>
      <c r="D96" s="470">
        <f>C96+H59+(I59*$K$40)</f>
        <v>0</v>
      </c>
      <c r="E96" s="469">
        <v>0</v>
      </c>
      <c r="F96" s="480">
        <f>+(E96/100)*'Attachment 2'!$J$40*'Attachment 1'!I59</f>
        <v>0</v>
      </c>
      <c r="G96" s="463">
        <f>D96+F96</f>
        <v>0</v>
      </c>
      <c r="H96" s="469">
        <v>0</v>
      </c>
      <c r="I96" s="463">
        <f>D96+F96-H96</f>
        <v>0</v>
      </c>
      <c r="J96" s="469">
        <v>0</v>
      </c>
      <c r="K96" s="463">
        <f>I96+J96</f>
        <v>0</v>
      </c>
    </row>
    <row r="97" spans="1:11">
      <c r="A97" s="250" t="s">
        <v>10</v>
      </c>
      <c r="B97" s="268"/>
      <c r="C97" s="472">
        <v>0</v>
      </c>
      <c r="D97" s="470">
        <f>C97+H60+(I60*$K$40)</f>
        <v>0</v>
      </c>
      <c r="E97" s="472">
        <v>0</v>
      </c>
      <c r="F97" s="480">
        <f>+(E97/100)*'Attachment 2'!$J$40*'Attachment 1'!I60</f>
        <v>0</v>
      </c>
      <c r="G97" s="467">
        <f>D97+F97</f>
        <v>0</v>
      </c>
      <c r="H97" s="472">
        <v>0</v>
      </c>
      <c r="I97" s="467">
        <f>D97+F97-H97</f>
        <v>0</v>
      </c>
      <c r="J97" s="472">
        <v>0</v>
      </c>
      <c r="K97" s="467">
        <f>I97+J97</f>
        <v>0</v>
      </c>
    </row>
    <row r="98" spans="1:11">
      <c r="A98" s="261">
        <v>4</v>
      </c>
      <c r="B98" s="262"/>
      <c r="C98" s="473">
        <f>SUM(C96:C97)</f>
        <v>0</v>
      </c>
      <c r="D98" s="471">
        <f>SUM(D96:D97)</f>
        <v>0</v>
      </c>
      <c r="E98" s="352"/>
      <c r="F98" s="481">
        <f>SUM(F96:F97)</f>
        <v>0</v>
      </c>
      <c r="G98" s="477">
        <f>SUM(G96:G97)</f>
        <v>0</v>
      </c>
      <c r="H98" s="463">
        <f t="shared" ref="H98:J98" si="1">SUM(H96:H97)</f>
        <v>0</v>
      </c>
      <c r="I98" s="463">
        <f>SUM(I96:I97)</f>
        <v>0</v>
      </c>
      <c r="J98" s="463">
        <f t="shared" si="1"/>
        <v>0</v>
      </c>
      <c r="K98" s="463">
        <f>SUM(K96:K97)</f>
        <v>0</v>
      </c>
    </row>
    <row r="99" spans="1:11">
      <c r="A99" s="263"/>
      <c r="C99" s="473"/>
      <c r="D99" s="470"/>
      <c r="E99" s="352"/>
      <c r="F99" s="482"/>
      <c r="G99" s="477"/>
      <c r="H99" s="463"/>
      <c r="I99" s="463"/>
      <c r="J99" s="463"/>
      <c r="K99" s="463"/>
    </row>
    <row r="100" spans="1:11">
      <c r="A100" s="263">
        <v>5</v>
      </c>
      <c r="C100" s="474">
        <v>0</v>
      </c>
      <c r="D100" s="470">
        <f>C100+H63+(I63*$K$40)</f>
        <v>0</v>
      </c>
      <c r="E100" s="461">
        <v>0</v>
      </c>
      <c r="F100" s="482">
        <f>+(E100/100)*'Attachment 2'!$J$40*'Attachment 1'!I63</f>
        <v>0</v>
      </c>
      <c r="G100" s="477">
        <f>D100+F100</f>
        <v>0</v>
      </c>
      <c r="H100" s="469">
        <v>0</v>
      </c>
      <c r="I100" s="463">
        <f>D100+F100-H100</f>
        <v>0</v>
      </c>
      <c r="J100" s="469">
        <v>0</v>
      </c>
      <c r="K100" s="463">
        <f>I100+J100</f>
        <v>0</v>
      </c>
    </row>
    <row r="101" spans="1:11">
      <c r="A101" s="267"/>
      <c r="B101" s="268"/>
      <c r="C101" s="473"/>
      <c r="D101" s="475"/>
      <c r="E101" s="352"/>
      <c r="F101" s="483"/>
      <c r="G101" s="477"/>
      <c r="H101" s="463"/>
      <c r="I101" s="463"/>
      <c r="J101" s="463"/>
      <c r="K101" s="463"/>
    </row>
    <row r="102" spans="1:11">
      <c r="A102" s="267">
        <v>6</v>
      </c>
      <c r="B102" s="268"/>
      <c r="C102" s="466">
        <f>C94+C98+C100</f>
        <v>3327216</v>
      </c>
      <c r="D102" s="475">
        <f>SUM(D94+D98+D100)</f>
        <v>24131626.565487247</v>
      </c>
      <c r="E102" s="476"/>
      <c r="F102" s="484">
        <f>+F94+F98+F100</f>
        <v>565946.05480203126</v>
      </c>
      <c r="G102" s="478">
        <f>SUM(G94+G98+G100)</f>
        <v>24697572.620289277</v>
      </c>
      <c r="H102" s="479">
        <f>SUM(H94+H98+H100)</f>
        <v>0</v>
      </c>
      <c r="I102" s="466">
        <f>SUM(I94+I98+I100)</f>
        <v>24697572.620289277</v>
      </c>
      <c r="J102" s="466">
        <f>J94+J98+J100</f>
        <v>400974.02572426229</v>
      </c>
      <c r="K102" s="466">
        <f>K94+K98+K100</f>
        <v>25098546.646013539</v>
      </c>
    </row>
    <row r="105" spans="1:11">
      <c r="A105" s="268" t="s">
        <v>21</v>
      </c>
    </row>
    <row r="106" spans="1:11" ht="26.25" customHeight="1">
      <c r="A106" s="23" t="s">
        <v>424</v>
      </c>
      <c r="C106" s="618" t="s">
        <v>452</v>
      </c>
      <c r="D106" s="618"/>
      <c r="E106" s="618"/>
      <c r="F106" s="618"/>
      <c r="G106" s="618"/>
      <c r="H106" s="618"/>
      <c r="I106" s="618"/>
      <c r="J106" s="618"/>
      <c r="K106" s="618"/>
    </row>
    <row r="107" spans="1:11" ht="28.5" customHeight="1">
      <c r="A107" s="23" t="s">
        <v>436</v>
      </c>
      <c r="C107" s="621" t="s">
        <v>453</v>
      </c>
      <c r="D107" s="621"/>
      <c r="E107" s="621"/>
      <c r="F107" s="621"/>
      <c r="G107" s="621"/>
      <c r="H107" s="621"/>
      <c r="I107" s="621"/>
      <c r="J107" s="621"/>
      <c r="K107" s="621"/>
    </row>
    <row r="108" spans="1:11">
      <c r="A108" s="23" t="s">
        <v>439</v>
      </c>
      <c r="C108" s="618" t="s">
        <v>22</v>
      </c>
      <c r="D108" s="618"/>
      <c r="E108" s="618"/>
      <c r="F108" s="618"/>
      <c r="G108" s="618"/>
      <c r="H108" s="618"/>
      <c r="I108" s="618"/>
      <c r="J108" s="618"/>
      <c r="K108" s="618"/>
    </row>
    <row r="109" spans="1:11" ht="30.75" customHeight="1">
      <c r="A109" s="23" t="s">
        <v>440</v>
      </c>
      <c r="C109" s="618" t="s">
        <v>23</v>
      </c>
      <c r="D109" s="618"/>
      <c r="E109" s="618"/>
      <c r="F109" s="618"/>
      <c r="G109" s="618"/>
      <c r="H109" s="618"/>
      <c r="I109" s="618"/>
      <c r="J109" s="618"/>
      <c r="K109" s="618"/>
    </row>
    <row r="110" spans="1:11" ht="25.5" customHeight="1">
      <c r="A110" s="23" t="s">
        <v>484</v>
      </c>
      <c r="C110" s="618" t="s">
        <v>24</v>
      </c>
      <c r="D110" s="618"/>
      <c r="E110" s="618"/>
      <c r="F110" s="618"/>
      <c r="G110" s="618"/>
      <c r="H110" s="618"/>
      <c r="I110" s="618"/>
      <c r="J110" s="618"/>
      <c r="K110" s="618"/>
    </row>
    <row r="111" spans="1:11" ht="25.5" customHeight="1">
      <c r="A111" s="23" t="s">
        <v>485</v>
      </c>
      <c r="C111" s="621" t="s">
        <v>454</v>
      </c>
      <c r="D111" s="621"/>
      <c r="E111" s="621"/>
      <c r="F111" s="621"/>
      <c r="G111" s="621"/>
      <c r="H111" s="621"/>
      <c r="I111" s="621"/>
      <c r="J111" s="621"/>
      <c r="K111" s="621"/>
    </row>
    <row r="112" spans="1:11" ht="26.25" customHeight="1">
      <c r="A112" s="23" t="s">
        <v>486</v>
      </c>
      <c r="C112" s="618" t="s">
        <v>770</v>
      </c>
      <c r="D112" s="618"/>
      <c r="E112" s="618"/>
      <c r="F112" s="618"/>
      <c r="G112" s="618"/>
      <c r="H112" s="618"/>
      <c r="I112" s="618"/>
      <c r="J112" s="618"/>
      <c r="K112" s="618"/>
    </row>
    <row r="113" spans="1:11" ht="24.75" customHeight="1">
      <c r="A113" s="23" t="s">
        <v>487</v>
      </c>
      <c r="C113" s="617" t="s">
        <v>50</v>
      </c>
      <c r="D113" s="617"/>
      <c r="E113" s="617"/>
      <c r="F113" s="617"/>
      <c r="G113" s="617"/>
      <c r="H113" s="617"/>
      <c r="I113" s="617"/>
      <c r="J113" s="617"/>
      <c r="K113" s="617"/>
    </row>
    <row r="114" spans="1:11" ht="14.25" customHeight="1">
      <c r="A114" s="23" t="s">
        <v>488</v>
      </c>
      <c r="C114" s="618" t="s">
        <v>25</v>
      </c>
      <c r="D114" s="618"/>
      <c r="E114" s="618"/>
      <c r="F114" s="618"/>
      <c r="G114" s="618"/>
      <c r="H114" s="618"/>
      <c r="I114" s="618"/>
      <c r="J114" s="618"/>
      <c r="K114" s="618"/>
    </row>
    <row r="115" spans="1:11" ht="43.5" customHeight="1">
      <c r="A115" s="23" t="s">
        <v>489</v>
      </c>
      <c r="C115" s="618" t="s">
        <v>346</v>
      </c>
      <c r="D115" s="618"/>
      <c r="E115" s="618"/>
      <c r="F115" s="618"/>
      <c r="G115" s="618"/>
      <c r="H115" s="618"/>
      <c r="I115" s="618"/>
      <c r="J115" s="618"/>
      <c r="K115" s="618"/>
    </row>
  </sheetData>
  <mergeCells count="24">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 ref="C113:K113"/>
    <mergeCell ref="C114:K114"/>
    <mergeCell ref="A84:K84"/>
    <mergeCell ref="A83:K83"/>
    <mergeCell ref="A4:K4"/>
    <mergeCell ref="C9:D9"/>
    <mergeCell ref="A82:K82"/>
    <mergeCell ref="C106:K106"/>
  </mergeCells>
  <phoneticPr fontId="0" type="noConversion"/>
  <pageMargins left="0.5" right="0.5" top="0.75" bottom="0.75" header="0.3" footer="0.3"/>
  <pageSetup scale="81" orientation="landscape" verticalDpi="1200" r:id="rId1"/>
  <rowBreaks count="2" manualBreakCount="2">
    <brk id="41" max="10" man="1"/>
    <brk id="79" max="10" man="1"/>
  </rowBreaks>
  <colBreaks count="1" manualBreakCount="1">
    <brk id="11" max="1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Normal="110" zoomScaleSheetLayoutView="100" workbookViewId="0">
      <selection activeCell="B34" sqref="B34"/>
    </sheetView>
  </sheetViews>
  <sheetFormatPr defaultRowHeight="12"/>
  <cols>
    <col min="1" max="1" width="6.83203125" style="126" customWidth="1"/>
    <col min="2" max="2" width="34.83203125" style="126" customWidth="1"/>
    <col min="3" max="3" width="35.5" style="126" customWidth="1"/>
    <col min="4" max="4" width="30.33203125" style="126" customWidth="1"/>
    <col min="5" max="5" width="12.33203125" style="126" customWidth="1"/>
    <col min="6" max="6" width="7.83203125" style="126" customWidth="1"/>
    <col min="7" max="7" width="4.83203125" style="126" customWidth="1"/>
    <col min="8" max="8" width="9.33203125" style="126"/>
    <col min="9" max="9" width="13" style="126" bestFit="1" customWidth="1"/>
    <col min="10" max="10" width="12.6640625" style="126" customWidth="1"/>
    <col min="11" max="16384" width="9.33203125" style="126"/>
  </cols>
  <sheetData>
    <row r="1" spans="1:15">
      <c r="A1" s="125"/>
      <c r="B1" s="125"/>
      <c r="J1" s="40" t="s">
        <v>67</v>
      </c>
      <c r="O1" s="127"/>
    </row>
    <row r="2" spans="1:15">
      <c r="A2" s="125"/>
      <c r="B2" s="125"/>
      <c r="J2" s="128" t="s">
        <v>821</v>
      </c>
      <c r="O2" s="127"/>
    </row>
    <row r="3" spans="1:15">
      <c r="A3" s="604" t="s">
        <v>66</v>
      </c>
      <c r="B3" s="604"/>
      <c r="C3" s="604"/>
      <c r="D3" s="604"/>
      <c r="E3" s="604"/>
      <c r="F3" s="604"/>
      <c r="G3" s="604"/>
      <c r="H3" s="604"/>
      <c r="I3" s="604"/>
      <c r="J3" s="604"/>
    </row>
    <row r="4" spans="1:15">
      <c r="A4" s="604" t="s">
        <v>30</v>
      </c>
      <c r="B4" s="604"/>
      <c r="C4" s="604"/>
      <c r="D4" s="604"/>
      <c r="E4" s="604"/>
      <c r="F4" s="604"/>
      <c r="G4" s="604"/>
      <c r="H4" s="604"/>
      <c r="I4" s="604"/>
      <c r="J4" s="604"/>
    </row>
    <row r="5" spans="1:15">
      <c r="A5" s="605" t="s">
        <v>743</v>
      </c>
      <c r="B5" s="606"/>
      <c r="C5" s="606"/>
      <c r="D5" s="606"/>
      <c r="E5" s="606"/>
      <c r="F5" s="606"/>
      <c r="G5" s="606"/>
      <c r="H5" s="606"/>
      <c r="I5" s="606"/>
      <c r="J5" s="606"/>
    </row>
    <row r="6" spans="1:15">
      <c r="A6" s="132" t="s">
        <v>70</v>
      </c>
      <c r="B6" s="321"/>
      <c r="C6" s="321"/>
      <c r="D6" s="321"/>
      <c r="E6" s="321"/>
      <c r="F6" s="321"/>
      <c r="G6" s="321"/>
      <c r="H6" s="321"/>
      <c r="I6" s="321"/>
      <c r="J6" s="321"/>
    </row>
    <row r="7" spans="1:15">
      <c r="A7" s="314">
        <v>1</v>
      </c>
      <c r="B7" s="321" t="s">
        <v>52</v>
      </c>
      <c r="D7" s="20" t="s">
        <v>455</v>
      </c>
      <c r="E7" s="321"/>
      <c r="F7" s="321"/>
      <c r="G7" s="321"/>
      <c r="H7" s="321"/>
      <c r="I7" s="321"/>
      <c r="J7" s="487">
        <f>'Attachment H-27A'!K82</f>
        <v>148918274.53265473</v>
      </c>
    </row>
    <row r="8" spans="1:15">
      <c r="A8" s="314"/>
      <c r="B8" s="321"/>
      <c r="C8" s="321"/>
      <c r="D8" s="321"/>
      <c r="E8" s="321"/>
      <c r="F8" s="321"/>
      <c r="G8" s="321"/>
      <c r="H8" s="321"/>
      <c r="I8" s="321"/>
      <c r="J8" s="356"/>
    </row>
    <row r="9" spans="1:15" ht="12.75" thickBot="1">
      <c r="A9" s="314">
        <v>2</v>
      </c>
      <c r="B9" s="321" t="s">
        <v>53</v>
      </c>
      <c r="C9" s="321"/>
      <c r="D9" s="321"/>
      <c r="E9" s="321"/>
      <c r="F9" s="321"/>
      <c r="G9" s="321"/>
      <c r="H9" s="321"/>
      <c r="I9" s="324" t="s">
        <v>423</v>
      </c>
      <c r="J9" s="356"/>
    </row>
    <row r="10" spans="1:15">
      <c r="A10" s="314"/>
      <c r="B10" s="321"/>
      <c r="C10" s="321"/>
      <c r="D10" s="321"/>
      <c r="E10" s="321"/>
      <c r="F10" s="321"/>
      <c r="G10" s="321"/>
      <c r="H10" s="314" t="s">
        <v>434</v>
      </c>
      <c r="I10" s="314"/>
      <c r="J10" s="356"/>
    </row>
    <row r="11" spans="1:15" ht="12.75" thickBot="1">
      <c r="A11" s="314"/>
      <c r="B11" s="321"/>
      <c r="C11" s="321"/>
      <c r="D11" s="321"/>
      <c r="E11" s="314" t="s">
        <v>423</v>
      </c>
      <c r="F11" s="324" t="s">
        <v>431</v>
      </c>
      <c r="G11" s="321"/>
      <c r="H11" s="324"/>
      <c r="I11" s="324" t="s">
        <v>430</v>
      </c>
      <c r="J11" s="356"/>
    </row>
    <row r="12" spans="1:15">
      <c r="A12" s="314">
        <v>3</v>
      </c>
      <c r="B12" s="321" t="s">
        <v>54</v>
      </c>
      <c r="C12" s="321" t="s">
        <v>456</v>
      </c>
      <c r="D12" s="321"/>
      <c r="E12" s="485">
        <f>'Attachment H-27A'!F183</f>
        <v>68080769.230769232</v>
      </c>
      <c r="F12" s="225">
        <f>'Attachment H-27A'!H183</f>
        <v>0.45250051363210347</v>
      </c>
      <c r="G12" s="321"/>
      <c r="H12" s="325">
        <f>'Attachment H-27A'!I183</f>
        <v>2.9908847285464099E-2</v>
      </c>
      <c r="I12" s="326">
        <f>F12*H12</f>
        <v>1.3533768758816648E-2</v>
      </c>
      <c r="J12" s="356"/>
    </row>
    <row r="13" spans="1:15">
      <c r="A13" s="314">
        <v>4</v>
      </c>
      <c r="B13" s="321" t="s">
        <v>55</v>
      </c>
      <c r="C13" s="321" t="s">
        <v>456</v>
      </c>
      <c r="D13" s="321"/>
      <c r="E13" s="486">
        <f>'Attachment H-27A'!F184</f>
        <v>0</v>
      </c>
      <c r="F13" s="225">
        <f>'Attachment H-27A'!H184</f>
        <v>0</v>
      </c>
      <c r="G13" s="321"/>
      <c r="H13" s="328">
        <f>'Attachment H-27A'!I184</f>
        <v>0</v>
      </c>
      <c r="I13" s="326">
        <f>F13*H13</f>
        <v>0</v>
      </c>
      <c r="J13" s="356"/>
    </row>
    <row r="14" spans="1:15" ht="24.75" thickBot="1">
      <c r="A14" s="182">
        <v>5</v>
      </c>
      <c r="B14" s="321" t="s">
        <v>56</v>
      </c>
      <c r="C14" s="321" t="s">
        <v>457</v>
      </c>
      <c r="D14" s="329" t="s">
        <v>462</v>
      </c>
      <c r="E14" s="486">
        <f>'Attachment H-27A'!F185</f>
        <v>82373798.620000005</v>
      </c>
      <c r="F14" s="225">
        <f>'Attachment H-27A'!H185</f>
        <v>0.54749948636789669</v>
      </c>
      <c r="G14" s="321"/>
      <c r="H14" s="325">
        <f>'Attachment H-27A'!I185+0.01</f>
        <v>0.1085</v>
      </c>
      <c r="I14" s="330">
        <f>F14*H14</f>
        <v>5.9403694270916789E-2</v>
      </c>
      <c r="J14" s="488"/>
    </row>
    <row r="15" spans="1:15">
      <c r="A15" s="314">
        <v>6</v>
      </c>
      <c r="B15" s="321" t="s">
        <v>57</v>
      </c>
      <c r="C15" s="321"/>
      <c r="D15" s="331"/>
      <c r="E15" s="486">
        <f>SUM(E12:E14)</f>
        <v>150454567.85076922</v>
      </c>
      <c r="F15" s="40"/>
      <c r="G15" s="321"/>
      <c r="H15" s="332"/>
      <c r="I15" s="333">
        <f>SUM(I12:I14)</f>
        <v>7.2937463029733432E-2</v>
      </c>
      <c r="J15" s="356"/>
    </row>
    <row r="16" spans="1:15">
      <c r="A16" s="314">
        <v>7</v>
      </c>
      <c r="B16" s="321" t="s">
        <v>58</v>
      </c>
      <c r="C16" s="321"/>
      <c r="D16" s="321"/>
      <c r="E16" s="321"/>
      <c r="F16" s="321"/>
      <c r="G16" s="321"/>
      <c r="H16" s="321"/>
      <c r="I16" s="321"/>
      <c r="J16" s="487">
        <f>J7*I15</f>
        <v>10861721.143177198</v>
      </c>
    </row>
    <row r="17" spans="1:10">
      <c r="A17" s="314"/>
      <c r="B17" s="321"/>
      <c r="C17" s="321"/>
      <c r="D17" s="321"/>
      <c r="E17" s="321"/>
      <c r="F17" s="321"/>
      <c r="G17" s="321"/>
      <c r="H17" s="321"/>
      <c r="I17" s="321"/>
      <c r="J17" s="356"/>
    </row>
    <row r="18" spans="1:10">
      <c r="A18" s="314">
        <v>8</v>
      </c>
      <c r="B18" s="321" t="s">
        <v>59</v>
      </c>
      <c r="C18" s="321"/>
      <c r="D18" s="321"/>
      <c r="E18" s="321"/>
      <c r="F18" s="321"/>
      <c r="G18" s="321"/>
      <c r="H18" s="321"/>
      <c r="I18" s="321"/>
      <c r="J18" s="356"/>
    </row>
    <row r="19" spans="1:10">
      <c r="A19" s="314">
        <v>9</v>
      </c>
      <c r="B19" s="20" t="s">
        <v>603</v>
      </c>
      <c r="C19" s="20"/>
      <c r="D19" s="321"/>
      <c r="E19" s="334">
        <f>(1-(((1-'Attachment H-27A'!F220)*(1-'Attachment H-27A'!F219))/(1-'Attachment H-27A'!F220*'Attachment H-27A'!F219*'Attachment H-27A'!F221)))</f>
        <v>0.27967799999999998</v>
      </c>
      <c r="F19" s="321"/>
      <c r="G19" s="321"/>
      <c r="H19" s="321"/>
      <c r="I19" s="321"/>
      <c r="J19" s="356"/>
    </row>
    <row r="20" spans="1:10">
      <c r="A20" s="314">
        <v>10</v>
      </c>
      <c r="B20" s="321" t="s">
        <v>60</v>
      </c>
      <c r="C20" s="321"/>
      <c r="D20" s="321"/>
      <c r="E20" s="326">
        <f>(E19/(1-E19))*(1-(E21/I15))</f>
        <v>0.31622370821693901</v>
      </c>
      <c r="F20" s="321"/>
      <c r="G20" s="321"/>
      <c r="H20" s="321"/>
      <c r="I20" s="321"/>
      <c r="J20" s="356"/>
    </row>
    <row r="21" spans="1:10">
      <c r="A21" s="314">
        <v>11</v>
      </c>
      <c r="B21" s="321" t="s">
        <v>432</v>
      </c>
      <c r="C21" s="321"/>
      <c r="D21" s="321" t="s">
        <v>267</v>
      </c>
      <c r="E21" s="334">
        <f>I12</f>
        <v>1.3533768758816648E-2</v>
      </c>
      <c r="F21" s="321"/>
      <c r="G21" s="321"/>
      <c r="H21" s="321"/>
      <c r="I21" s="321"/>
      <c r="J21" s="356"/>
    </row>
    <row r="22" spans="1:10">
      <c r="A22" s="314">
        <v>12</v>
      </c>
      <c r="B22" s="20" t="s">
        <v>458</v>
      </c>
      <c r="C22" s="321"/>
      <c r="D22" s="321"/>
      <c r="E22" s="335"/>
      <c r="F22" s="321"/>
      <c r="G22" s="321"/>
      <c r="H22" s="321"/>
      <c r="I22" s="321"/>
      <c r="J22" s="356"/>
    </row>
    <row r="23" spans="1:10">
      <c r="A23" s="314">
        <v>13</v>
      </c>
      <c r="B23" s="321" t="s">
        <v>262</v>
      </c>
      <c r="C23" s="321"/>
      <c r="D23" s="321" t="s">
        <v>402</v>
      </c>
      <c r="E23" s="83">
        <f>1/(1-E19)</f>
        <v>1.3882680245778971</v>
      </c>
      <c r="F23" s="321"/>
      <c r="G23" s="321"/>
      <c r="H23" s="321"/>
      <c r="I23" s="321"/>
      <c r="J23" s="356"/>
    </row>
    <row r="24" spans="1:10">
      <c r="A24" s="314">
        <v>14</v>
      </c>
      <c r="B24" s="317" t="s">
        <v>801</v>
      </c>
      <c r="C24" s="321"/>
      <c r="D24" s="321" t="s">
        <v>459</v>
      </c>
      <c r="E24" s="327">
        <f>'Attachment H-27A'!F135</f>
        <v>0</v>
      </c>
      <c r="F24" s="321"/>
      <c r="G24" s="321"/>
      <c r="H24" s="321"/>
      <c r="I24" s="321"/>
      <c r="J24" s="356"/>
    </row>
    <row r="25" spans="1:10">
      <c r="A25" s="314">
        <v>15</v>
      </c>
      <c r="B25" s="317" t="s">
        <v>801</v>
      </c>
      <c r="C25" s="321"/>
      <c r="D25" s="321" t="s">
        <v>460</v>
      </c>
      <c r="E25" s="327">
        <f>'Attachment H-27A'!F136</f>
        <v>0</v>
      </c>
      <c r="F25" s="321"/>
      <c r="G25" s="321"/>
      <c r="H25" s="321"/>
      <c r="I25" s="321"/>
      <c r="J25" s="356"/>
    </row>
    <row r="26" spans="1:10">
      <c r="A26" s="314">
        <v>16</v>
      </c>
      <c r="B26" s="317" t="s">
        <v>801</v>
      </c>
      <c r="C26" s="321"/>
      <c r="D26" s="20" t="s">
        <v>461</v>
      </c>
      <c r="E26" s="327">
        <f>'Attachment H-27A'!F137</f>
        <v>0</v>
      </c>
      <c r="F26" s="321"/>
      <c r="G26" s="321"/>
      <c r="H26" s="321"/>
      <c r="I26" s="321"/>
      <c r="J26" s="356"/>
    </row>
    <row r="27" spans="1:10">
      <c r="A27" s="314">
        <v>17</v>
      </c>
      <c r="B27" s="37" t="s">
        <v>264</v>
      </c>
      <c r="C27" s="321"/>
      <c r="D27" s="321" t="s">
        <v>263</v>
      </c>
      <c r="E27" s="327"/>
      <c r="F27" s="321"/>
      <c r="G27" s="321"/>
      <c r="H27" s="321"/>
      <c r="I27" s="510">
        <f>J16*E20</f>
        <v>3434733.7375138234</v>
      </c>
      <c r="J27" s="356"/>
    </row>
    <row r="28" spans="1:10">
      <c r="A28" s="314">
        <v>18</v>
      </c>
      <c r="B28" s="2" t="s">
        <v>809</v>
      </c>
      <c r="C28" s="321"/>
      <c r="D28" s="317" t="s">
        <v>810</v>
      </c>
      <c r="E28" s="327">
        <f>+'Attachment H-27A'!F139</f>
        <v>0</v>
      </c>
      <c r="F28" s="321"/>
      <c r="G28" s="40" t="s">
        <v>411</v>
      </c>
      <c r="H28" s="336">
        <f>+'Attachment H-27A'!I60</f>
        <v>1</v>
      </c>
      <c r="I28" s="486">
        <f>E28*H28</f>
        <v>0</v>
      </c>
      <c r="J28" s="356"/>
    </row>
    <row r="29" spans="1:10">
      <c r="A29" s="314">
        <v>19</v>
      </c>
      <c r="B29" s="208" t="s">
        <v>820</v>
      </c>
      <c r="C29" s="321"/>
      <c r="D29" s="317" t="s">
        <v>811</v>
      </c>
      <c r="E29" s="327">
        <f>+'Attachment H-27A'!F140</f>
        <v>0</v>
      </c>
      <c r="F29" s="321"/>
      <c r="G29" s="40" t="s">
        <v>411</v>
      </c>
      <c r="H29" s="336">
        <f>+H28</f>
        <v>1</v>
      </c>
      <c r="I29" s="486">
        <f>E29*H29</f>
        <v>0</v>
      </c>
      <c r="J29" s="356"/>
    </row>
    <row r="30" spans="1:10">
      <c r="A30" s="314">
        <v>20</v>
      </c>
      <c r="B30" s="37" t="s">
        <v>265</v>
      </c>
      <c r="C30" s="321"/>
      <c r="D30" s="317" t="s">
        <v>812</v>
      </c>
      <c r="E30" s="337">
        <f>+'Attachment H-27A'!F141</f>
        <v>75722.078174140479</v>
      </c>
      <c r="F30" s="321"/>
      <c r="G30" s="40" t="s">
        <v>411</v>
      </c>
      <c r="H30" s="336">
        <f>+H29</f>
        <v>1</v>
      </c>
      <c r="I30" s="486">
        <f>E30*H30</f>
        <v>75722.078174140479</v>
      </c>
      <c r="J30" s="356"/>
    </row>
    <row r="31" spans="1:10">
      <c r="A31" s="314">
        <v>21</v>
      </c>
      <c r="B31" s="37" t="s">
        <v>524</v>
      </c>
      <c r="C31" s="321"/>
      <c r="D31" s="321" t="s">
        <v>266</v>
      </c>
      <c r="E31" s="321"/>
      <c r="F31" s="321"/>
      <c r="G31" s="321"/>
      <c r="H31" s="321"/>
      <c r="I31" s="513">
        <f>SUM(I27:I30)</f>
        <v>3510455.8156879637</v>
      </c>
      <c r="J31" s="487">
        <f>I31</f>
        <v>3510455.8156879637</v>
      </c>
    </row>
    <row r="32" spans="1:10">
      <c r="A32" s="314"/>
      <c r="B32" s="321"/>
      <c r="C32" s="321"/>
      <c r="D32" s="321"/>
      <c r="E32" s="321"/>
      <c r="F32" s="321"/>
      <c r="G32" s="321"/>
      <c r="H32" s="321"/>
      <c r="I32" s="321"/>
      <c r="J32" s="356"/>
    </row>
    <row r="33" spans="1:10">
      <c r="A33" s="314">
        <v>22</v>
      </c>
      <c r="B33" s="321" t="s">
        <v>61</v>
      </c>
      <c r="C33" s="321"/>
      <c r="D33" s="321"/>
      <c r="E33" s="321"/>
      <c r="F33" s="321"/>
      <c r="G33" s="321"/>
      <c r="H33" s="321"/>
      <c r="I33" s="321"/>
      <c r="J33" s="352">
        <f>J16+J31</f>
        <v>14372176.958865162</v>
      </c>
    </row>
    <row r="34" spans="1:10">
      <c r="A34" s="314"/>
      <c r="B34" s="321"/>
      <c r="C34" s="321"/>
      <c r="D34" s="321"/>
      <c r="E34" s="321"/>
      <c r="F34" s="321"/>
      <c r="G34" s="321"/>
      <c r="H34" s="321"/>
      <c r="I34" s="321"/>
      <c r="J34" s="356"/>
    </row>
    <row r="35" spans="1:10">
      <c r="A35" s="314">
        <v>23</v>
      </c>
      <c r="B35" s="321" t="s">
        <v>268</v>
      </c>
      <c r="C35" s="321"/>
      <c r="D35" s="321" t="s">
        <v>556</v>
      </c>
      <c r="E35" s="321"/>
      <c r="F35" s="321"/>
      <c r="G35" s="321"/>
      <c r="H35" s="321"/>
      <c r="I35" s="321"/>
      <c r="J35" s="487">
        <f>'Attachment H-27A'!K145</f>
        <v>10046394.355002981</v>
      </c>
    </row>
    <row r="36" spans="1:10">
      <c r="A36" s="314">
        <v>24</v>
      </c>
      <c r="B36" s="321" t="s">
        <v>269</v>
      </c>
      <c r="C36" s="321"/>
      <c r="D36" s="20" t="s">
        <v>557</v>
      </c>
      <c r="E36" s="321"/>
      <c r="F36" s="321"/>
      <c r="G36" s="321"/>
      <c r="H36" s="321"/>
      <c r="I36" s="321"/>
      <c r="J36" s="487">
        <f>'Attachment H-27A'!K142</f>
        <v>3193890.4942581188</v>
      </c>
    </row>
    <row r="37" spans="1:10">
      <c r="A37" s="314">
        <v>25</v>
      </c>
      <c r="B37" s="321" t="s">
        <v>62</v>
      </c>
      <c r="C37" s="321"/>
      <c r="D37" s="321" t="s">
        <v>558</v>
      </c>
      <c r="E37" s="321"/>
      <c r="F37" s="321"/>
      <c r="G37" s="321"/>
      <c r="H37" s="321"/>
      <c r="I37" s="321"/>
      <c r="J37" s="354">
        <f>J35+J36</f>
        <v>13240284.849261099</v>
      </c>
    </row>
    <row r="38" spans="1:10">
      <c r="A38" s="314">
        <v>26</v>
      </c>
      <c r="B38" s="321" t="s">
        <v>63</v>
      </c>
      <c r="C38" s="321"/>
      <c r="D38" s="321" t="s">
        <v>559</v>
      </c>
      <c r="E38" s="321"/>
      <c r="F38" s="321"/>
      <c r="G38" s="321"/>
      <c r="H38" s="321"/>
      <c r="I38" s="321"/>
      <c r="J38" s="338">
        <f>J33-J37</f>
        <v>1131892.1096040625</v>
      </c>
    </row>
    <row r="39" spans="1:10">
      <c r="A39" s="314">
        <v>27</v>
      </c>
      <c r="B39" s="37" t="s">
        <v>813</v>
      </c>
      <c r="C39" s="321"/>
      <c r="D39" s="37" t="s">
        <v>814</v>
      </c>
      <c r="E39" s="321"/>
      <c r="F39" s="321"/>
      <c r="G39" s="321"/>
      <c r="H39" s="321"/>
      <c r="I39" s="321"/>
      <c r="J39" s="356">
        <f>+'Attachment H-27A'!K57</f>
        <v>149518666.61538461</v>
      </c>
    </row>
    <row r="40" spans="1:10">
      <c r="A40" s="314">
        <v>28</v>
      </c>
      <c r="B40" s="321" t="s">
        <v>64</v>
      </c>
      <c r="C40" s="321"/>
      <c r="D40" s="321" t="s">
        <v>560</v>
      </c>
      <c r="E40" s="321"/>
      <c r="F40" s="321"/>
      <c r="G40" s="321"/>
      <c r="H40" s="321"/>
      <c r="I40" s="321"/>
      <c r="J40" s="224">
        <f>IF(ISERROR(J38/J39),0,J38/J39)</f>
        <v>7.5702394572290639E-3</v>
      </c>
    </row>
    <row r="41" spans="1:10" ht="9.9499999999999993" customHeight="1">
      <c r="A41" s="314"/>
      <c r="B41" s="321"/>
      <c r="C41" s="321"/>
      <c r="D41" s="321"/>
      <c r="E41" s="321"/>
      <c r="F41" s="321"/>
      <c r="G41" s="321"/>
      <c r="H41" s="321"/>
      <c r="I41" s="321"/>
      <c r="J41" s="40"/>
    </row>
    <row r="42" spans="1:10">
      <c r="A42" s="88" t="s">
        <v>21</v>
      </c>
      <c r="B42" s="321"/>
      <c r="C42" s="321"/>
      <c r="D42" s="321"/>
      <c r="E42" s="321"/>
      <c r="F42" s="321"/>
      <c r="G42" s="321"/>
      <c r="H42" s="321"/>
      <c r="I42" s="321"/>
      <c r="J42" s="321"/>
    </row>
    <row r="43" spans="1:10" ht="54" customHeight="1">
      <c r="A43" s="314" t="s">
        <v>424</v>
      </c>
      <c r="B43" s="618" t="s">
        <v>771</v>
      </c>
      <c r="C43" s="618"/>
      <c r="D43" s="618"/>
      <c r="E43" s="618"/>
      <c r="F43" s="618"/>
      <c r="G43" s="618"/>
      <c r="H43" s="618"/>
      <c r="I43" s="618"/>
      <c r="J43" s="618"/>
    </row>
    <row r="44" spans="1:10" ht="27" customHeight="1">
      <c r="A44" s="314" t="s">
        <v>436</v>
      </c>
      <c r="B44" s="621" t="s">
        <v>463</v>
      </c>
      <c r="C44" s="621"/>
      <c r="D44" s="621"/>
      <c r="E44" s="621"/>
      <c r="F44" s="621"/>
      <c r="G44" s="621"/>
      <c r="H44" s="621"/>
      <c r="I44" s="621"/>
      <c r="J44" s="621"/>
    </row>
    <row r="45" spans="1:10" ht="9.75" customHeight="1">
      <c r="A45" s="314"/>
      <c r="B45" s="321"/>
      <c r="C45" s="321"/>
      <c r="D45" s="321"/>
      <c r="E45" s="321"/>
      <c r="F45" s="321"/>
      <c r="G45" s="321"/>
      <c r="H45" s="321"/>
      <c r="I45" s="321"/>
      <c r="J45" s="321"/>
    </row>
    <row r="46" spans="1:10" ht="9.75" customHeight="1">
      <c r="A46" s="321"/>
      <c r="B46" s="321"/>
      <c r="C46" s="321"/>
      <c r="D46" s="321"/>
      <c r="E46" s="321"/>
      <c r="F46" s="321"/>
      <c r="G46" s="321"/>
      <c r="H46" s="321"/>
      <c r="I46" s="321"/>
      <c r="J46" s="321"/>
    </row>
    <row r="47" spans="1:10" ht="9.75" customHeight="1">
      <c r="A47" s="321"/>
      <c r="B47" s="321"/>
      <c r="C47" s="321"/>
      <c r="D47" s="321"/>
      <c r="E47" s="321"/>
      <c r="F47" s="321"/>
      <c r="G47" s="321"/>
      <c r="H47" s="321"/>
      <c r="I47" s="321"/>
      <c r="J47" s="321"/>
    </row>
    <row r="48" spans="1:10" ht="9.75" customHeight="1">
      <c r="A48" s="321"/>
      <c r="B48" s="321"/>
      <c r="C48" s="321"/>
      <c r="D48" s="321"/>
      <c r="E48" s="321"/>
      <c r="F48" s="321"/>
      <c r="G48" s="321"/>
      <c r="H48" s="321"/>
      <c r="I48" s="321"/>
      <c r="J48" s="321"/>
    </row>
    <row r="49" spans="1:10" ht="9.75" customHeight="1">
      <c r="A49" s="321"/>
      <c r="B49" s="321"/>
      <c r="C49" s="321"/>
      <c r="D49" s="321"/>
      <c r="E49" s="321"/>
      <c r="F49" s="321"/>
      <c r="G49" s="321"/>
      <c r="H49" s="321"/>
      <c r="I49" s="321"/>
      <c r="J49" s="321"/>
    </row>
    <row r="50" spans="1:10" ht="9.75" customHeight="1">
      <c r="A50" s="321"/>
      <c r="B50" s="321"/>
      <c r="C50" s="321"/>
      <c r="D50" s="321"/>
      <c r="E50" s="321"/>
      <c r="F50" s="321"/>
      <c r="G50" s="321"/>
      <c r="H50" s="321"/>
      <c r="I50" s="321"/>
      <c r="J50" s="321"/>
    </row>
    <row r="51" spans="1:10" ht="9.75" customHeight="1">
      <c r="A51" s="321"/>
      <c r="B51" s="321"/>
      <c r="C51" s="321"/>
      <c r="D51" s="321"/>
      <c r="E51" s="321"/>
      <c r="F51" s="321"/>
      <c r="G51" s="321"/>
      <c r="H51" s="321"/>
      <c r="I51" s="321"/>
      <c r="J51" s="321"/>
    </row>
    <row r="52" spans="1:10" ht="9.75" customHeight="1">
      <c r="A52" s="321"/>
      <c r="B52" s="321"/>
      <c r="C52" s="321"/>
      <c r="D52" s="321"/>
      <c r="E52" s="321"/>
      <c r="F52" s="321"/>
      <c r="G52" s="321"/>
      <c r="H52" s="321"/>
      <c r="I52" s="321"/>
      <c r="J52" s="321"/>
    </row>
    <row r="53" spans="1:10" ht="9.75" customHeight="1">
      <c r="A53" s="321"/>
      <c r="B53" s="321"/>
      <c r="C53" s="321"/>
      <c r="D53" s="321"/>
      <c r="E53" s="321"/>
      <c r="F53" s="321"/>
      <c r="G53" s="321"/>
      <c r="H53" s="321"/>
      <c r="I53" s="321"/>
      <c r="J53" s="321"/>
    </row>
    <row r="54" spans="1:10" ht="9.75" customHeight="1">
      <c r="A54" s="321"/>
      <c r="B54" s="321"/>
      <c r="C54" s="321"/>
      <c r="D54" s="321"/>
      <c r="E54" s="321"/>
      <c r="F54" s="321"/>
      <c r="G54" s="321"/>
      <c r="H54" s="321"/>
      <c r="I54" s="321"/>
      <c r="J54" s="321"/>
    </row>
    <row r="55" spans="1:10" ht="9.75" customHeight="1">
      <c r="A55" s="321"/>
      <c r="B55" s="321"/>
      <c r="C55" s="321"/>
      <c r="D55" s="321"/>
      <c r="E55" s="321"/>
      <c r="F55" s="321"/>
      <c r="G55" s="321"/>
      <c r="H55" s="321"/>
      <c r="I55" s="321"/>
      <c r="J55" s="321"/>
    </row>
    <row r="56" spans="1:10" ht="9.75" customHeight="1"/>
  </sheetData>
  <mergeCells count="5">
    <mergeCell ref="B44:J44"/>
    <mergeCell ref="A3:J3"/>
    <mergeCell ref="A4:J4"/>
    <mergeCell ref="A5:J5"/>
    <mergeCell ref="B43:J43"/>
  </mergeCells>
  <phoneticPr fontId="0" type="noConversion"/>
  <pageMargins left="0.5" right="0.5" top="0.75" bottom="0.75" header="0.3" footer="0.3"/>
  <pageSetup scale="84"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Normal="100" zoomScaleSheetLayoutView="100" workbookViewId="0">
      <selection activeCell="B9" sqref="B9"/>
    </sheetView>
  </sheetViews>
  <sheetFormatPr defaultRowHeight="12"/>
  <cols>
    <col min="1" max="1" width="6.83203125" style="126" customWidth="1"/>
    <col min="2" max="2" width="28.1640625" style="126" customWidth="1"/>
    <col min="3" max="3" width="11" style="126" customWidth="1"/>
    <col min="4" max="4" width="10.5" style="126" customWidth="1"/>
    <col min="5" max="5" width="15.83203125" style="126" customWidth="1"/>
    <col min="6" max="6" width="12" style="126" customWidth="1"/>
    <col min="7" max="7" width="15.83203125" style="126" bestFit="1" customWidth="1"/>
    <col min="8" max="8" width="16.83203125" style="126" customWidth="1"/>
    <col min="9" max="9" width="16.6640625" style="126" bestFit="1" customWidth="1"/>
    <col min="10" max="12" width="15.83203125" style="126" customWidth="1"/>
    <col min="13" max="16384" width="9.33203125" style="126"/>
  </cols>
  <sheetData>
    <row r="1" spans="1:14">
      <c r="A1" s="125"/>
      <c r="B1" s="125"/>
      <c r="K1" s="8"/>
      <c r="L1" s="40" t="s">
        <v>67</v>
      </c>
      <c r="M1" s="8"/>
      <c r="N1" s="127"/>
    </row>
    <row r="2" spans="1:14">
      <c r="A2" s="125"/>
      <c r="B2" s="125"/>
      <c r="K2" s="8"/>
      <c r="L2" s="128" t="s">
        <v>821</v>
      </c>
      <c r="M2" s="8"/>
      <c r="N2" s="127"/>
    </row>
    <row r="3" spans="1:14">
      <c r="A3" s="604" t="s">
        <v>68</v>
      </c>
      <c r="B3" s="604"/>
      <c r="C3" s="604"/>
      <c r="D3" s="604"/>
      <c r="E3" s="604"/>
      <c r="F3" s="604"/>
      <c r="G3" s="604"/>
      <c r="H3" s="604"/>
      <c r="I3" s="604"/>
      <c r="J3" s="604"/>
      <c r="K3" s="604"/>
      <c r="L3" s="604"/>
      <c r="M3" s="23"/>
      <c r="N3" s="127"/>
    </row>
    <row r="4" spans="1:14">
      <c r="A4" s="604" t="s">
        <v>69</v>
      </c>
      <c r="B4" s="604"/>
      <c r="C4" s="604"/>
      <c r="D4" s="604"/>
      <c r="E4" s="604"/>
      <c r="F4" s="604"/>
      <c r="G4" s="604"/>
      <c r="H4" s="604"/>
      <c r="I4" s="604"/>
      <c r="J4" s="604"/>
      <c r="K4" s="604"/>
      <c r="L4" s="604"/>
      <c r="M4" s="23"/>
      <c r="N4" s="127"/>
    </row>
    <row r="5" spans="1:14">
      <c r="A5" s="605" t="s">
        <v>743</v>
      </c>
      <c r="B5" s="606"/>
      <c r="C5" s="606"/>
      <c r="D5" s="606"/>
      <c r="E5" s="606"/>
      <c r="F5" s="606"/>
      <c r="G5" s="606"/>
      <c r="H5" s="606"/>
      <c r="I5" s="606"/>
      <c r="J5" s="606"/>
      <c r="K5" s="606"/>
      <c r="L5" s="606"/>
    </row>
    <row r="6" spans="1:14">
      <c r="A6" s="129"/>
      <c r="B6" s="129"/>
      <c r="C6" s="1"/>
      <c r="D6" s="1"/>
      <c r="E6" s="1"/>
      <c r="F6" s="1"/>
      <c r="G6" s="1"/>
      <c r="H6" s="1"/>
      <c r="I6" s="1"/>
    </row>
    <row r="7" spans="1:14" ht="63.75" customHeight="1">
      <c r="A7" s="129"/>
      <c r="B7" s="626" t="s">
        <v>106</v>
      </c>
      <c r="C7" s="626"/>
      <c r="D7" s="626"/>
      <c r="E7" s="626"/>
      <c r="F7" s="626"/>
      <c r="G7" s="626"/>
      <c r="H7" s="626"/>
      <c r="I7" s="626"/>
      <c r="J7" s="626"/>
      <c r="K7" s="626"/>
      <c r="L7" s="626"/>
    </row>
    <row r="8" spans="1:14" ht="33" customHeight="1">
      <c r="A8" s="129"/>
      <c r="B8" s="618" t="s">
        <v>530</v>
      </c>
      <c r="C8" s="618"/>
      <c r="D8" s="618"/>
      <c r="E8" s="618"/>
      <c r="F8" s="618"/>
      <c r="G8" s="618"/>
      <c r="H8" s="618"/>
      <c r="I8" s="618"/>
      <c r="J8" s="618"/>
      <c r="K8" s="618"/>
      <c r="L8" s="618"/>
    </row>
    <row r="9" spans="1:14">
      <c r="A9" s="129"/>
      <c r="B9" s="130"/>
      <c r="C9" s="130"/>
      <c r="D9" s="130"/>
      <c r="E9" s="130"/>
      <c r="F9" s="130"/>
      <c r="G9" s="130"/>
      <c r="H9" s="130"/>
      <c r="I9" s="130"/>
      <c r="J9" s="130"/>
      <c r="K9" s="130"/>
      <c r="L9" s="130"/>
    </row>
    <row r="10" spans="1:14">
      <c r="A10" s="9"/>
      <c r="B10" s="131"/>
      <c r="C10" s="131"/>
      <c r="D10" s="131"/>
      <c r="E10" s="624" t="s">
        <v>73</v>
      </c>
      <c r="F10" s="624"/>
      <c r="G10" s="624" t="s">
        <v>755</v>
      </c>
      <c r="H10" s="624" t="s">
        <v>74</v>
      </c>
      <c r="I10" s="625" t="s">
        <v>75</v>
      </c>
      <c r="J10" s="625"/>
      <c r="K10" s="625"/>
      <c r="L10" s="625"/>
      <c r="M10" s="9"/>
    </row>
    <row r="11" spans="1:14">
      <c r="A11" s="132" t="s">
        <v>70</v>
      </c>
      <c r="B11" s="131"/>
      <c r="C11" s="131"/>
      <c r="D11" s="131"/>
      <c r="E11" s="624"/>
      <c r="F11" s="624"/>
      <c r="G11" s="624"/>
      <c r="H11" s="624"/>
      <c r="I11" s="625"/>
      <c r="J11" s="625"/>
      <c r="K11" s="625"/>
      <c r="L11" s="625"/>
      <c r="M11" s="133"/>
    </row>
    <row r="12" spans="1:14">
      <c r="A12" s="134">
        <v>1</v>
      </c>
      <c r="B12" s="135" t="s">
        <v>71</v>
      </c>
      <c r="C12" s="131"/>
      <c r="D12" s="131"/>
      <c r="E12" s="624"/>
      <c r="F12" s="624"/>
      <c r="G12" s="624"/>
      <c r="H12" s="624"/>
      <c r="I12" s="625"/>
      <c r="J12" s="625"/>
      <c r="K12" s="625"/>
      <c r="L12" s="625"/>
    </row>
    <row r="13" spans="1:14">
      <c r="A13" s="134">
        <v>2</v>
      </c>
      <c r="B13" s="136" t="s">
        <v>896</v>
      </c>
      <c r="C13" s="61"/>
      <c r="D13" s="9"/>
      <c r="E13" s="627" t="s">
        <v>439</v>
      </c>
      <c r="F13" s="627" t="s">
        <v>440</v>
      </c>
      <c r="G13" s="492">
        <v>13704562.92</v>
      </c>
      <c r="H13" s="627" t="s">
        <v>485</v>
      </c>
      <c r="I13" s="627" t="s">
        <v>486</v>
      </c>
      <c r="J13" s="627" t="s">
        <v>487</v>
      </c>
      <c r="K13" s="627" t="s">
        <v>488</v>
      </c>
      <c r="L13" s="627" t="s">
        <v>489</v>
      </c>
    </row>
    <row r="14" spans="1:14">
      <c r="A14" s="134"/>
      <c r="B14" s="137" t="s">
        <v>424</v>
      </c>
      <c r="C14" s="137"/>
      <c r="D14" s="138" t="s">
        <v>436</v>
      </c>
      <c r="E14" s="627"/>
      <c r="F14" s="627"/>
      <c r="G14" s="493" t="s">
        <v>484</v>
      </c>
      <c r="H14" s="627"/>
      <c r="I14" s="627"/>
      <c r="J14" s="627"/>
      <c r="K14" s="627"/>
      <c r="L14" s="627"/>
    </row>
    <row r="15" spans="1:14" s="142" customFormat="1" ht="49.5">
      <c r="A15" s="140"/>
      <c r="B15" s="141" t="s">
        <v>534</v>
      </c>
      <c r="C15" s="141" t="s">
        <v>535</v>
      </c>
      <c r="D15" s="141" t="s">
        <v>72</v>
      </c>
      <c r="E15" s="141" t="s">
        <v>756</v>
      </c>
      <c r="F15" s="170" t="s">
        <v>76</v>
      </c>
      <c r="G15" s="494" t="s">
        <v>377</v>
      </c>
      <c r="H15" s="141" t="s">
        <v>757</v>
      </c>
      <c r="I15" s="141" t="s">
        <v>107</v>
      </c>
      <c r="J15" s="141" t="s">
        <v>758</v>
      </c>
      <c r="K15" s="141" t="s">
        <v>759</v>
      </c>
      <c r="L15" s="141" t="s">
        <v>376</v>
      </c>
    </row>
    <row r="16" spans="1:14">
      <c r="A16" s="134">
        <v>3</v>
      </c>
      <c r="B16" s="143" t="s">
        <v>464</v>
      </c>
      <c r="C16" s="280">
        <v>0</v>
      </c>
      <c r="D16" s="144"/>
      <c r="E16" s="172">
        <v>0</v>
      </c>
      <c r="F16" s="174">
        <f>IF($E$28=0,0,E16/E$28)</f>
        <v>0</v>
      </c>
      <c r="G16" s="495">
        <f>$G$13*F16</f>
        <v>0</v>
      </c>
      <c r="H16" s="150">
        <v>0</v>
      </c>
      <c r="I16" s="177">
        <f>H16-G16</f>
        <v>0</v>
      </c>
      <c r="J16" s="145">
        <f>$J$31*F16</f>
        <v>0</v>
      </c>
      <c r="K16" s="151">
        <v>0</v>
      </c>
      <c r="L16" s="145">
        <f>I16+J16+K16</f>
        <v>0</v>
      </c>
    </row>
    <row r="17" spans="1:12">
      <c r="A17" s="134"/>
      <c r="B17" s="146"/>
      <c r="C17" s="146"/>
      <c r="D17" s="146"/>
      <c r="E17" s="173"/>
      <c r="F17" s="175"/>
      <c r="G17" s="496"/>
      <c r="H17" s="149"/>
      <c r="I17" s="148"/>
      <c r="J17" s="148"/>
      <c r="K17" s="148"/>
      <c r="L17" s="148"/>
    </row>
    <row r="18" spans="1:12">
      <c r="A18" s="134" t="s">
        <v>77</v>
      </c>
      <c r="B18" s="144" t="s">
        <v>835</v>
      </c>
      <c r="C18" s="280" t="s">
        <v>836</v>
      </c>
      <c r="D18" s="144" t="s">
        <v>837</v>
      </c>
      <c r="E18" s="500">
        <v>13704563.281605177</v>
      </c>
      <c r="F18" s="176">
        <f>IF($E$28=0,0,E18/E$28)</f>
        <v>1</v>
      </c>
      <c r="G18" s="496">
        <f>$G$13*F18</f>
        <v>13704562.92</v>
      </c>
      <c r="H18" s="150">
        <v>14074982.492501186</v>
      </c>
      <c r="I18" s="505">
        <f>H18-G18</f>
        <v>370419.57250118628</v>
      </c>
      <c r="J18" s="148">
        <f>$J$31*F18</f>
        <v>30554.453223076009</v>
      </c>
      <c r="K18" s="151">
        <v>0</v>
      </c>
      <c r="L18" s="505">
        <f>I18+J18+K18</f>
        <v>400974.02572426229</v>
      </c>
    </row>
    <row r="19" spans="1:12">
      <c r="A19" s="134" t="s">
        <v>78</v>
      </c>
      <c r="B19" s="144" t="s">
        <v>11</v>
      </c>
      <c r="C19" s="280">
        <v>0</v>
      </c>
      <c r="D19" s="144" t="s">
        <v>20</v>
      </c>
      <c r="E19" s="500">
        <v>0</v>
      </c>
      <c r="F19" s="176">
        <f>IF($E$28=0,0,E19/E$28)</f>
        <v>0</v>
      </c>
      <c r="G19" s="496">
        <f>$G$13*F19</f>
        <v>0</v>
      </c>
      <c r="H19" s="150">
        <v>0</v>
      </c>
      <c r="I19" s="505">
        <f>H19-G19</f>
        <v>0</v>
      </c>
      <c r="J19" s="148">
        <f>$J$31*F19</f>
        <v>0</v>
      </c>
      <c r="K19" s="151">
        <v>0</v>
      </c>
      <c r="L19" s="505">
        <f>I19+J19+K19</f>
        <v>0</v>
      </c>
    </row>
    <row r="20" spans="1:12">
      <c r="A20" s="134">
        <v>5</v>
      </c>
      <c r="B20" s="152" t="s">
        <v>12</v>
      </c>
      <c r="C20" s="281"/>
      <c r="D20" s="152"/>
      <c r="E20" s="501">
        <f>SUM(E18:E19)</f>
        <v>13704563.281605177</v>
      </c>
      <c r="F20" s="154"/>
      <c r="G20" s="495">
        <f>SUM(G18:G19)</f>
        <v>13704562.92</v>
      </c>
      <c r="H20" s="153"/>
      <c r="I20" s="506">
        <f>SUM(I18:I19)</f>
        <v>370419.57250118628</v>
      </c>
      <c r="J20" s="145">
        <f>SUM(J18:J19)</f>
        <v>30554.453223076009</v>
      </c>
      <c r="K20" s="145">
        <f t="shared" ref="K20" si="0">SUM(K18:K19)</f>
        <v>0</v>
      </c>
      <c r="L20" s="506">
        <f>SUM(L18:L19)</f>
        <v>400974.02572426229</v>
      </c>
    </row>
    <row r="21" spans="1:12">
      <c r="A21" s="134"/>
      <c r="B21" s="146"/>
      <c r="C21" s="282"/>
      <c r="D21" s="146"/>
      <c r="E21" s="502"/>
      <c r="F21" s="147"/>
      <c r="G21" s="496"/>
      <c r="H21" s="149"/>
      <c r="I21" s="505"/>
      <c r="J21" s="148"/>
      <c r="K21" s="148"/>
      <c r="L21" s="505"/>
    </row>
    <row r="22" spans="1:12">
      <c r="A22" s="134" t="s">
        <v>79</v>
      </c>
      <c r="B22" s="144" t="s">
        <v>14</v>
      </c>
      <c r="C22" s="280">
        <v>0</v>
      </c>
      <c r="D22" s="144" t="s">
        <v>19</v>
      </c>
      <c r="E22" s="500">
        <v>0</v>
      </c>
      <c r="F22" s="176">
        <f>IF($E$28=0,0,E22/E$28)</f>
        <v>0</v>
      </c>
      <c r="G22" s="496">
        <f>$G$13*F22</f>
        <v>0</v>
      </c>
      <c r="H22" s="150">
        <v>0</v>
      </c>
      <c r="I22" s="505">
        <f>H22-G22</f>
        <v>0</v>
      </c>
      <c r="J22" s="148">
        <f>$J$31*F22</f>
        <v>0</v>
      </c>
      <c r="K22" s="151">
        <v>0</v>
      </c>
      <c r="L22" s="505">
        <f>I22+J22+K22</f>
        <v>0</v>
      </c>
    </row>
    <row r="23" spans="1:12">
      <c r="A23" s="134" t="s">
        <v>80</v>
      </c>
      <c r="B23" s="155" t="s">
        <v>13</v>
      </c>
      <c r="C23" s="283">
        <v>0</v>
      </c>
      <c r="D23" s="155" t="s">
        <v>18</v>
      </c>
      <c r="E23" s="503">
        <v>0</v>
      </c>
      <c r="F23" s="176">
        <f>IF($E$28=0,0,E23/E$28)</f>
        <v>0</v>
      </c>
      <c r="G23" s="497">
        <f>$G$13*F23</f>
        <v>0</v>
      </c>
      <c r="H23" s="156">
        <v>0</v>
      </c>
      <c r="I23" s="507">
        <f>H23-G23</f>
        <v>0</v>
      </c>
      <c r="J23" s="158">
        <f>$J$31*F23</f>
        <v>0</v>
      </c>
      <c r="K23" s="159">
        <v>0</v>
      </c>
      <c r="L23" s="507">
        <f>I23+J23+K23</f>
        <v>0</v>
      </c>
    </row>
    <row r="24" spans="1:12">
      <c r="A24" s="134">
        <v>7</v>
      </c>
      <c r="B24" s="146" t="s">
        <v>15</v>
      </c>
      <c r="C24" s="282"/>
      <c r="D24" s="146"/>
      <c r="E24" s="502">
        <f>SUM(E22:E23)</f>
        <v>0</v>
      </c>
      <c r="F24" s="154"/>
      <c r="G24" s="496">
        <f>SUM(G22:G23)</f>
        <v>0</v>
      </c>
      <c r="H24" s="149"/>
      <c r="I24" s="505">
        <f>SUM(I22:I23)</f>
        <v>0</v>
      </c>
      <c r="J24" s="148">
        <f>SUM(J22:J23)</f>
        <v>0</v>
      </c>
      <c r="K24" s="148">
        <f t="shared" ref="K24" si="1">SUM(K22:K23)</f>
        <v>0</v>
      </c>
      <c r="L24" s="505">
        <f>SUM(L22:L23)</f>
        <v>0</v>
      </c>
    </row>
    <row r="25" spans="1:12">
      <c r="A25" s="134"/>
      <c r="B25" s="146"/>
      <c r="C25" s="282"/>
      <c r="D25" s="146"/>
      <c r="E25" s="502"/>
      <c r="F25" s="147"/>
      <c r="G25" s="496"/>
      <c r="H25" s="149"/>
      <c r="I25" s="505"/>
      <c r="J25" s="148"/>
      <c r="K25" s="148"/>
      <c r="L25" s="505"/>
    </row>
    <row r="26" spans="1:12">
      <c r="A26" s="134">
        <v>8</v>
      </c>
      <c r="B26" s="144" t="s">
        <v>16</v>
      </c>
      <c r="C26" s="280">
        <v>0</v>
      </c>
      <c r="D26" s="144"/>
      <c r="E26" s="500">
        <v>0</v>
      </c>
      <c r="F26" s="176">
        <f>IF($E$28=0,0,E26/E$28)</f>
        <v>0</v>
      </c>
      <c r="G26" s="496">
        <f>$G$13*F26</f>
        <v>0</v>
      </c>
      <c r="H26" s="150">
        <v>0</v>
      </c>
      <c r="I26" s="505">
        <f>H26-G26</f>
        <v>0</v>
      </c>
      <c r="J26" s="148">
        <f>$J$31*F26</f>
        <v>0</v>
      </c>
      <c r="K26" s="151">
        <v>0</v>
      </c>
      <c r="L26" s="505">
        <f>I26+J26+K26</f>
        <v>0</v>
      </c>
    </row>
    <row r="27" spans="1:12">
      <c r="A27" s="134"/>
      <c r="B27" s="160"/>
      <c r="C27" s="160"/>
      <c r="D27" s="160"/>
      <c r="E27" s="504"/>
      <c r="F27" s="161"/>
      <c r="G27" s="497"/>
      <c r="H27" s="157"/>
      <c r="I27" s="507"/>
      <c r="J27" s="158"/>
      <c r="K27" s="158"/>
      <c r="L27" s="507"/>
    </row>
    <row r="28" spans="1:12" s="166" customFormat="1" ht="24">
      <c r="A28" s="162">
        <v>9</v>
      </c>
      <c r="B28" s="163" t="s">
        <v>374</v>
      </c>
      <c r="C28" s="163"/>
      <c r="D28" s="163"/>
      <c r="E28" s="498">
        <f>E16+E20+E24+E26</f>
        <v>13704563.281605177</v>
      </c>
      <c r="F28" s="165">
        <f>SUM(F16:F27)</f>
        <v>1</v>
      </c>
      <c r="G28" s="498">
        <f t="shared" ref="G28:L28" si="2">G16+G20+G24+G26</f>
        <v>13704562.92</v>
      </c>
      <c r="H28" s="164">
        <f t="shared" si="2"/>
        <v>0</v>
      </c>
      <c r="I28" s="498">
        <f t="shared" si="2"/>
        <v>370419.57250118628</v>
      </c>
      <c r="J28" s="164">
        <f t="shared" si="2"/>
        <v>30554.453223076009</v>
      </c>
      <c r="K28" s="284">
        <f t="shared" si="2"/>
        <v>0</v>
      </c>
      <c r="L28" s="498">
        <f t="shared" si="2"/>
        <v>400974.02572426229</v>
      </c>
    </row>
    <row r="29" spans="1:12">
      <c r="A29" s="134"/>
      <c r="B29" s="9"/>
      <c r="C29" s="9"/>
      <c r="D29" s="9"/>
      <c r="E29" s="499"/>
      <c r="F29" s="9"/>
      <c r="G29" s="499"/>
      <c r="H29" s="9"/>
      <c r="I29" s="9"/>
      <c r="J29" s="9"/>
      <c r="K29" s="9"/>
      <c r="L29" s="9"/>
    </row>
    <row r="30" spans="1:12">
      <c r="A30" s="134"/>
      <c r="B30" s="9"/>
      <c r="C30" s="9"/>
      <c r="D30" s="9"/>
      <c r="E30" s="9"/>
      <c r="F30" s="9"/>
      <c r="G30" s="9"/>
      <c r="H30" s="9"/>
      <c r="I30" s="9"/>
      <c r="J30" s="9"/>
      <c r="K30" s="9"/>
      <c r="L30" s="9"/>
    </row>
    <row r="31" spans="1:12">
      <c r="A31" s="134">
        <v>10</v>
      </c>
      <c r="B31" s="9"/>
      <c r="C31" s="9"/>
      <c r="D31" s="9"/>
      <c r="E31" s="9"/>
      <c r="F31" s="9"/>
      <c r="G31" s="9"/>
      <c r="H31" s="622" t="s">
        <v>601</v>
      </c>
      <c r="I31" s="622"/>
      <c r="J31" s="167">
        <f>+'Attachment 6'!H57</f>
        <v>30554.453223076009</v>
      </c>
      <c r="K31" s="9"/>
      <c r="L31" s="9"/>
    </row>
    <row r="32" spans="1:12">
      <c r="A32" s="134"/>
      <c r="B32" s="9"/>
      <c r="C32" s="9"/>
      <c r="D32" s="9"/>
      <c r="E32" s="9"/>
      <c r="F32" s="9"/>
      <c r="G32" s="9"/>
      <c r="H32" s="9"/>
      <c r="I32" s="9"/>
      <c r="J32" s="9"/>
      <c r="K32" s="9"/>
      <c r="L32" s="9"/>
    </row>
    <row r="33" spans="1:12">
      <c r="A33" s="134"/>
      <c r="B33" s="9"/>
      <c r="C33" s="9"/>
      <c r="D33" s="9"/>
      <c r="E33" s="9"/>
      <c r="F33" s="9"/>
      <c r="G33" s="9"/>
      <c r="H33" s="9"/>
      <c r="I33" s="9"/>
      <c r="J33" s="9"/>
      <c r="K33" s="9"/>
      <c r="L33" s="9"/>
    </row>
    <row r="34" spans="1:12">
      <c r="A34" s="168" t="s">
        <v>81</v>
      </c>
      <c r="B34" s="9"/>
      <c r="C34" s="9"/>
      <c r="D34" s="9"/>
      <c r="E34" s="9"/>
      <c r="F34" s="9"/>
      <c r="G34" s="9"/>
      <c r="H34" s="9"/>
      <c r="I34" s="9"/>
      <c r="J34" s="9"/>
      <c r="K34" s="9"/>
      <c r="L34" s="9"/>
    </row>
    <row r="35" spans="1:12">
      <c r="A35" s="134"/>
      <c r="B35" s="137" t="s">
        <v>424</v>
      </c>
      <c r="C35" s="137"/>
      <c r="D35" s="137" t="s">
        <v>436</v>
      </c>
      <c r="E35" s="9"/>
      <c r="F35" s="9"/>
      <c r="G35" s="9"/>
      <c r="H35" s="9"/>
      <c r="I35" s="9"/>
      <c r="J35" s="9"/>
      <c r="K35" s="9"/>
      <c r="L35" s="9"/>
    </row>
    <row r="36" spans="1:12" ht="24">
      <c r="A36" s="134"/>
      <c r="B36" s="141" t="s">
        <v>83</v>
      </c>
      <c r="C36" s="139" t="s">
        <v>385</v>
      </c>
      <c r="D36" s="141" t="s">
        <v>82</v>
      </c>
      <c r="E36" s="9"/>
      <c r="F36" s="9"/>
      <c r="G36" s="9"/>
      <c r="H36" s="9"/>
      <c r="I36" s="9"/>
      <c r="J36" s="9"/>
      <c r="K36" s="9"/>
      <c r="L36" s="9"/>
    </row>
    <row r="37" spans="1:12" ht="24">
      <c r="A37" s="140">
        <v>11</v>
      </c>
      <c r="B37" s="169" t="s">
        <v>84</v>
      </c>
      <c r="C37" s="170" t="s">
        <v>85</v>
      </c>
      <c r="D37" s="145">
        <f>'Attachment 11'!F30</f>
        <v>0</v>
      </c>
      <c r="E37" s="9"/>
      <c r="F37" s="9"/>
      <c r="G37" s="9"/>
      <c r="H37" s="9"/>
      <c r="I37" s="9"/>
      <c r="J37" s="9"/>
      <c r="K37" s="9"/>
      <c r="L37" s="9"/>
    </row>
    <row r="38" spans="1:12">
      <c r="A38" s="134"/>
      <c r="B38" s="171"/>
      <c r="C38" s="160"/>
      <c r="D38" s="160"/>
      <c r="E38" s="9"/>
      <c r="F38" s="9"/>
      <c r="G38" s="9"/>
      <c r="H38" s="9"/>
      <c r="I38" s="9"/>
      <c r="J38" s="9"/>
      <c r="K38" s="9"/>
      <c r="L38" s="9"/>
    </row>
    <row r="39" spans="1:12">
      <c r="A39" s="134"/>
      <c r="B39" s="9"/>
      <c r="C39" s="9"/>
      <c r="D39" s="9"/>
      <c r="E39" s="9"/>
      <c r="F39" s="9"/>
      <c r="G39" s="9"/>
      <c r="H39" s="9"/>
      <c r="I39" s="9"/>
      <c r="J39" s="9"/>
      <c r="K39" s="9"/>
      <c r="L39" s="9"/>
    </row>
    <row r="40" spans="1:12">
      <c r="A40" s="132" t="s">
        <v>21</v>
      </c>
      <c r="B40" s="9"/>
      <c r="C40" s="9"/>
      <c r="D40" s="9"/>
      <c r="E40" s="9"/>
      <c r="F40" s="9"/>
      <c r="G40" s="9"/>
      <c r="H40" s="9"/>
      <c r="I40" s="9"/>
      <c r="J40" s="9"/>
      <c r="K40" s="9"/>
      <c r="L40" s="9"/>
    </row>
    <row r="41" spans="1:12">
      <c r="A41" s="134" t="s">
        <v>86</v>
      </c>
      <c r="B41" s="622" t="s">
        <v>91</v>
      </c>
      <c r="C41" s="622"/>
      <c r="D41" s="622"/>
      <c r="E41" s="622"/>
      <c r="F41" s="622"/>
      <c r="G41" s="622"/>
      <c r="H41" s="622"/>
      <c r="I41" s="622"/>
      <c r="J41" s="622"/>
      <c r="K41" s="622"/>
      <c r="L41" s="622"/>
    </row>
    <row r="42" spans="1:12">
      <c r="A42" s="134" t="s">
        <v>87</v>
      </c>
      <c r="B42" s="622" t="s">
        <v>561</v>
      </c>
      <c r="C42" s="622"/>
      <c r="D42" s="622"/>
      <c r="E42" s="622"/>
      <c r="F42" s="622"/>
      <c r="G42" s="622"/>
      <c r="H42" s="622"/>
      <c r="I42" s="622"/>
      <c r="J42" s="622"/>
      <c r="K42" s="622"/>
      <c r="L42" s="622"/>
    </row>
    <row r="43" spans="1:12">
      <c r="A43" s="9" t="s">
        <v>88</v>
      </c>
      <c r="B43" s="622" t="s">
        <v>562</v>
      </c>
      <c r="C43" s="622"/>
      <c r="D43" s="622"/>
      <c r="E43" s="622"/>
      <c r="F43" s="622"/>
      <c r="G43" s="622"/>
      <c r="H43" s="622"/>
      <c r="I43" s="622"/>
      <c r="J43" s="622"/>
      <c r="K43" s="622"/>
      <c r="L43" s="622"/>
    </row>
    <row r="44" spans="1:12" ht="23.25" customHeight="1">
      <c r="A44" s="9" t="s">
        <v>89</v>
      </c>
      <c r="B44" s="628" t="s">
        <v>92</v>
      </c>
      <c r="C44" s="628"/>
      <c r="D44" s="628"/>
      <c r="E44" s="628"/>
      <c r="F44" s="628"/>
      <c r="G44" s="628"/>
      <c r="H44" s="628"/>
      <c r="I44" s="628"/>
      <c r="J44" s="628"/>
      <c r="K44" s="628"/>
      <c r="L44" s="628"/>
    </row>
    <row r="45" spans="1:12">
      <c r="A45" s="9" t="s">
        <v>90</v>
      </c>
      <c r="B45" s="622" t="s">
        <v>93</v>
      </c>
      <c r="C45" s="622"/>
      <c r="D45" s="622"/>
      <c r="E45" s="622"/>
      <c r="F45" s="622"/>
      <c r="G45" s="622"/>
      <c r="H45" s="622"/>
      <c r="I45" s="622"/>
      <c r="J45" s="622"/>
      <c r="K45" s="622"/>
      <c r="L45" s="622"/>
    </row>
    <row r="46" spans="1:12">
      <c r="A46" s="9"/>
      <c r="B46" s="9"/>
      <c r="C46" s="9"/>
      <c r="D46" s="9"/>
      <c r="E46" s="9"/>
      <c r="F46" s="9"/>
      <c r="G46" s="9"/>
      <c r="H46" s="9"/>
      <c r="I46" s="9"/>
      <c r="J46" s="9"/>
      <c r="K46" s="9"/>
      <c r="L46" s="9"/>
    </row>
    <row r="47" spans="1:12">
      <c r="A47" s="9"/>
      <c r="B47" s="9"/>
      <c r="C47" s="9"/>
      <c r="D47" s="9"/>
      <c r="E47" s="9"/>
      <c r="F47" s="9"/>
      <c r="G47" s="9"/>
      <c r="H47" s="9"/>
      <c r="I47" s="9"/>
      <c r="J47" s="9"/>
      <c r="K47" s="9"/>
      <c r="L47" s="9"/>
    </row>
    <row r="48" spans="1:12">
      <c r="A48" s="9"/>
      <c r="B48" s="9"/>
      <c r="C48" s="9"/>
      <c r="D48" s="9"/>
      <c r="E48" s="9"/>
      <c r="F48" s="9"/>
      <c r="G48" s="9"/>
      <c r="H48" s="9"/>
      <c r="I48" s="9"/>
      <c r="J48" s="9"/>
      <c r="K48" s="9"/>
      <c r="L48" s="9"/>
    </row>
  </sheetData>
  <mergeCells count="22">
    <mergeCell ref="E13:E14"/>
    <mergeCell ref="B45:L45"/>
    <mergeCell ref="B41:L41"/>
    <mergeCell ref="B42:L42"/>
    <mergeCell ref="B43:L43"/>
    <mergeCell ref="B44:L44"/>
    <mergeCell ref="H31:I31"/>
    <mergeCell ref="J13:J14"/>
    <mergeCell ref="K13:K14"/>
    <mergeCell ref="L13:L14"/>
    <mergeCell ref="F13:F14"/>
    <mergeCell ref="H13:H14"/>
    <mergeCell ref="I13:I14"/>
    <mergeCell ref="E10:F12"/>
    <mergeCell ref="G10:G12"/>
    <mergeCell ref="H10:H12"/>
    <mergeCell ref="I10:L12"/>
    <mergeCell ref="A3:L3"/>
    <mergeCell ref="A5:L5"/>
    <mergeCell ref="B7:L7"/>
    <mergeCell ref="B8:L8"/>
    <mergeCell ref="A4:L4"/>
  </mergeCells>
  <phoneticPr fontId="0" type="noConversion"/>
  <pageMargins left="0.5" right="0.5" top="0.75" bottom="0.75" header="0.3" footer="0.3"/>
  <pageSetup scale="72" orientation="landscape" verticalDpi="1200" r:id="rId1"/>
  <rowBreaks count="1" manualBreakCount="1">
    <brk id="45"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view="pageBreakPreview" topLeftCell="A10" zoomScaleNormal="100" zoomScaleSheetLayoutView="100" workbookViewId="0">
      <selection activeCell="F51" sqref="F51"/>
    </sheetView>
  </sheetViews>
  <sheetFormatPr defaultRowHeight="12"/>
  <cols>
    <col min="1" max="1" width="5.83203125" style="126" customWidth="1"/>
    <col min="2" max="2" width="15.33203125" style="126" customWidth="1"/>
    <col min="3" max="3" width="10.83203125" style="126" customWidth="1"/>
    <col min="4" max="4" width="13.83203125" style="126" customWidth="1"/>
    <col min="5" max="5" width="15" style="126" customWidth="1"/>
    <col min="6" max="6" width="15.83203125" style="126" customWidth="1"/>
    <col min="7" max="8" width="18" style="126" customWidth="1"/>
    <col min="9" max="9" width="17.83203125" style="126" customWidth="1"/>
    <col min="10" max="10" width="16.83203125" style="126" customWidth="1"/>
    <col min="11" max="11" width="17" style="126" customWidth="1"/>
    <col min="12" max="16384" width="9.33203125" style="126"/>
  </cols>
  <sheetData>
    <row r="1" spans="1:103">
      <c r="A1" s="129"/>
      <c r="B1" s="129"/>
      <c r="C1" s="129"/>
      <c r="D1" s="1"/>
      <c r="E1" s="1"/>
      <c r="F1" s="1"/>
      <c r="G1" s="1"/>
      <c r="H1" s="1"/>
      <c r="I1" s="1"/>
      <c r="J1" s="1"/>
      <c r="K1" s="40" t="s">
        <v>108</v>
      </c>
      <c r="L1" s="8"/>
    </row>
    <row r="2" spans="1:103">
      <c r="A2" s="129"/>
      <c r="B2" s="129"/>
      <c r="C2" s="129"/>
      <c r="D2" s="1"/>
      <c r="E2" s="1"/>
      <c r="F2" s="1"/>
      <c r="G2" s="1"/>
      <c r="H2" s="1"/>
      <c r="I2" s="1"/>
      <c r="J2" s="1"/>
      <c r="K2" s="128" t="s">
        <v>821</v>
      </c>
      <c r="L2" s="8"/>
    </row>
    <row r="3" spans="1:103">
      <c r="A3" s="604" t="s">
        <v>110</v>
      </c>
      <c r="B3" s="604"/>
      <c r="C3" s="604"/>
      <c r="D3" s="604"/>
      <c r="E3" s="604"/>
      <c r="F3" s="604"/>
      <c r="G3" s="604"/>
      <c r="H3" s="604"/>
      <c r="I3" s="604"/>
      <c r="J3" s="604"/>
      <c r="K3" s="604"/>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row>
    <row r="4" spans="1:103">
      <c r="A4" s="604" t="s">
        <v>109</v>
      </c>
      <c r="B4" s="604"/>
      <c r="C4" s="604"/>
      <c r="D4" s="604"/>
      <c r="E4" s="604"/>
      <c r="F4" s="604"/>
      <c r="G4" s="604"/>
      <c r="H4" s="604"/>
      <c r="I4" s="604"/>
      <c r="J4" s="604"/>
      <c r="K4" s="604"/>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row>
    <row r="5" spans="1:103">
      <c r="A5" s="605" t="s">
        <v>743</v>
      </c>
      <c r="B5" s="606"/>
      <c r="C5" s="606"/>
      <c r="D5" s="606"/>
      <c r="E5" s="606"/>
      <c r="F5" s="606"/>
      <c r="G5" s="606"/>
      <c r="H5" s="606"/>
      <c r="I5" s="606"/>
      <c r="J5" s="606"/>
      <c r="K5" s="606"/>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row>
    <row r="6" spans="1:103">
      <c r="A6" s="29"/>
      <c r="B6" s="29"/>
      <c r="C6" s="29"/>
      <c r="D6" s="29"/>
      <c r="E6" s="29"/>
      <c r="F6" s="29"/>
      <c r="G6" s="29"/>
      <c r="H6" s="29"/>
      <c r="I6" s="29"/>
      <c r="J6" s="29"/>
      <c r="K6" s="29"/>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row>
    <row r="7" spans="1:103">
      <c r="A7" s="178"/>
      <c r="B7" s="178"/>
      <c r="C7" s="178"/>
      <c r="D7" s="631" t="s">
        <v>118</v>
      </c>
      <c r="E7" s="631"/>
      <c r="F7" s="178" t="s">
        <v>119</v>
      </c>
      <c r="G7" s="178" t="s">
        <v>120</v>
      </c>
      <c r="H7" s="631" t="s">
        <v>121</v>
      </c>
      <c r="I7" s="631"/>
      <c r="J7" s="631" t="s">
        <v>122</v>
      </c>
      <c r="K7" s="631"/>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row>
    <row r="8" spans="1:103" ht="24">
      <c r="A8" s="179" t="s">
        <v>111</v>
      </c>
      <c r="B8" s="180" t="s">
        <v>112</v>
      </c>
      <c r="C8" s="180"/>
      <c r="D8" s="180" t="s">
        <v>406</v>
      </c>
      <c r="E8" s="180" t="s">
        <v>113</v>
      </c>
      <c r="F8" s="180" t="s">
        <v>114</v>
      </c>
      <c r="G8" s="180" t="s">
        <v>115</v>
      </c>
      <c r="H8" s="180" t="s">
        <v>116</v>
      </c>
      <c r="I8" s="180" t="s">
        <v>117</v>
      </c>
      <c r="J8" s="180" t="s">
        <v>406</v>
      </c>
      <c r="K8" s="180" t="s">
        <v>113</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row>
    <row r="9" spans="1:103">
      <c r="A9" s="1"/>
      <c r="B9" s="25" t="s">
        <v>123</v>
      </c>
      <c r="C9" s="25"/>
      <c r="D9" s="25" t="s">
        <v>124</v>
      </c>
      <c r="E9" s="181" t="s">
        <v>126</v>
      </c>
      <c r="F9" s="25" t="s">
        <v>125</v>
      </c>
      <c r="G9" s="25" t="s">
        <v>127</v>
      </c>
      <c r="H9" s="25" t="s">
        <v>128</v>
      </c>
      <c r="I9" s="25" t="s">
        <v>129</v>
      </c>
      <c r="J9" s="25" t="s">
        <v>130</v>
      </c>
      <c r="K9" s="25" t="s">
        <v>131</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row>
    <row r="10" spans="1:103" ht="48">
      <c r="A10" s="1"/>
      <c r="B10" s="182" t="s">
        <v>138</v>
      </c>
      <c r="C10" s="182"/>
      <c r="D10" s="183" t="s">
        <v>132</v>
      </c>
      <c r="E10" s="183" t="s">
        <v>133</v>
      </c>
      <c r="F10" s="183" t="s">
        <v>185</v>
      </c>
      <c r="G10" s="184" t="s">
        <v>567</v>
      </c>
      <c r="H10" s="183" t="s">
        <v>134</v>
      </c>
      <c r="I10" s="183" t="s">
        <v>135</v>
      </c>
      <c r="J10" s="184" t="s">
        <v>136</v>
      </c>
      <c r="K10" s="183" t="s">
        <v>137</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row>
    <row r="11" spans="1:103">
      <c r="A11" s="182">
        <v>1</v>
      </c>
      <c r="B11" s="1" t="s">
        <v>151</v>
      </c>
      <c r="C11" s="128">
        <v>2021</v>
      </c>
      <c r="D11" s="388">
        <v>156223563</v>
      </c>
      <c r="E11" s="388">
        <v>1277037</v>
      </c>
      <c r="F11" s="185">
        <f>F54</f>
        <v>0</v>
      </c>
      <c r="G11" s="185">
        <v>0</v>
      </c>
      <c r="H11" s="388">
        <v>717708</v>
      </c>
      <c r="I11" s="388">
        <v>699154</v>
      </c>
      <c r="J11" s="388">
        <v>5146233</v>
      </c>
      <c r="K11" s="388">
        <v>167927</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row>
    <row r="12" spans="1:103">
      <c r="A12" s="182">
        <v>2</v>
      </c>
      <c r="B12" s="1" t="s">
        <v>140</v>
      </c>
      <c r="C12" s="128">
        <v>2022</v>
      </c>
      <c r="D12" s="388">
        <v>156223563</v>
      </c>
      <c r="E12" s="388">
        <v>1277037</v>
      </c>
      <c r="F12" s="185">
        <f t="shared" ref="F12:F23" si="0">F55</f>
        <v>0</v>
      </c>
      <c r="G12" s="185">
        <v>0</v>
      </c>
      <c r="H12" s="388">
        <v>717708</v>
      </c>
      <c r="I12" s="388">
        <v>589607</v>
      </c>
      <c r="J12" s="388">
        <v>5422906</v>
      </c>
      <c r="K12" s="388">
        <v>179151</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row>
    <row r="13" spans="1:103">
      <c r="A13" s="182">
        <v>3</v>
      </c>
      <c r="B13" s="1" t="s">
        <v>141</v>
      </c>
      <c r="C13" s="128">
        <v>2022</v>
      </c>
      <c r="D13" s="388">
        <v>156223563</v>
      </c>
      <c r="E13" s="388">
        <v>1277037</v>
      </c>
      <c r="F13" s="185">
        <f t="shared" si="0"/>
        <v>0</v>
      </c>
      <c r="G13" s="185">
        <v>0</v>
      </c>
      <c r="H13" s="388">
        <v>717708</v>
      </c>
      <c r="I13" s="388">
        <v>480059</v>
      </c>
      <c r="J13" s="388">
        <v>5699579</v>
      </c>
      <c r="K13" s="388">
        <v>190375</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row>
    <row r="14" spans="1:103">
      <c r="A14" s="182">
        <v>4</v>
      </c>
      <c r="B14" s="1" t="s">
        <v>142</v>
      </c>
      <c r="C14" s="128">
        <v>2022</v>
      </c>
      <c r="D14" s="388">
        <v>156223563</v>
      </c>
      <c r="E14" s="388">
        <v>1277037</v>
      </c>
      <c r="F14" s="185">
        <f t="shared" si="0"/>
        <v>0</v>
      </c>
      <c r="G14" s="185">
        <v>0</v>
      </c>
      <c r="H14" s="388">
        <v>717708</v>
      </c>
      <c r="I14" s="388">
        <v>429579</v>
      </c>
      <c r="J14" s="388">
        <v>5976252</v>
      </c>
      <c r="K14" s="388">
        <v>201599</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row>
    <row r="15" spans="1:103">
      <c r="A15" s="182">
        <v>5</v>
      </c>
      <c r="B15" s="1" t="s">
        <v>143</v>
      </c>
      <c r="C15" s="128">
        <v>2022</v>
      </c>
      <c r="D15" s="388">
        <v>156373563</v>
      </c>
      <c r="E15" s="388">
        <v>1327037</v>
      </c>
      <c r="F15" s="185">
        <f t="shared" si="0"/>
        <v>0</v>
      </c>
      <c r="G15" s="185">
        <v>0</v>
      </c>
      <c r="H15" s="388">
        <v>717708</v>
      </c>
      <c r="I15" s="388">
        <v>497385</v>
      </c>
      <c r="J15" s="388">
        <v>6252925</v>
      </c>
      <c r="K15" s="388">
        <v>212823</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c r="A16" s="182">
        <v>6</v>
      </c>
      <c r="B16" s="1" t="s">
        <v>144</v>
      </c>
      <c r="C16" s="128">
        <v>2022</v>
      </c>
      <c r="D16" s="388">
        <v>156373563</v>
      </c>
      <c r="E16" s="388">
        <v>1327037</v>
      </c>
      <c r="F16" s="185">
        <f t="shared" si="0"/>
        <v>0</v>
      </c>
      <c r="G16" s="185">
        <v>0</v>
      </c>
      <c r="H16" s="388">
        <v>717708</v>
      </c>
      <c r="I16" s="388">
        <v>387741</v>
      </c>
      <c r="J16" s="388">
        <v>6530490</v>
      </c>
      <c r="K16" s="388">
        <v>224568</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c r="A17" s="182">
        <v>7</v>
      </c>
      <c r="B17" s="1" t="s">
        <v>145</v>
      </c>
      <c r="C17" s="128">
        <v>2022</v>
      </c>
      <c r="D17" s="388">
        <v>156373563</v>
      </c>
      <c r="E17" s="388">
        <v>1327037</v>
      </c>
      <c r="F17" s="185">
        <f t="shared" si="0"/>
        <v>0</v>
      </c>
      <c r="G17" s="185">
        <v>0</v>
      </c>
      <c r="H17" s="388">
        <v>717708</v>
      </c>
      <c r="I17" s="388">
        <v>368080</v>
      </c>
      <c r="J17" s="388">
        <v>6808056</v>
      </c>
      <c r="K17" s="388">
        <v>236313</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row>
    <row r="18" spans="1:103">
      <c r="A18" s="182">
        <v>8</v>
      </c>
      <c r="B18" s="1" t="s">
        <v>146</v>
      </c>
      <c r="C18" s="128">
        <v>2022</v>
      </c>
      <c r="D18" s="388">
        <v>156373563</v>
      </c>
      <c r="E18" s="388">
        <v>1327037</v>
      </c>
      <c r="F18" s="185">
        <f t="shared" si="0"/>
        <v>0</v>
      </c>
      <c r="G18" s="185">
        <v>0</v>
      </c>
      <c r="H18" s="388">
        <v>717708</v>
      </c>
      <c r="I18" s="388">
        <v>404206</v>
      </c>
      <c r="J18" s="388">
        <v>7085621</v>
      </c>
      <c r="K18" s="388">
        <v>248058</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row>
    <row r="19" spans="1:103">
      <c r="A19" s="182">
        <v>9</v>
      </c>
      <c r="B19" s="1" t="s">
        <v>147</v>
      </c>
      <c r="C19" s="128">
        <v>2022</v>
      </c>
      <c r="D19" s="388">
        <v>156373563</v>
      </c>
      <c r="E19" s="388">
        <v>1327037</v>
      </c>
      <c r="F19" s="185">
        <f t="shared" si="0"/>
        <v>0</v>
      </c>
      <c r="G19" s="185">
        <v>0</v>
      </c>
      <c r="H19" s="388">
        <v>717708</v>
      </c>
      <c r="I19" s="388">
        <v>966150</v>
      </c>
      <c r="J19" s="388">
        <v>7363187</v>
      </c>
      <c r="K19" s="388">
        <v>259802</v>
      </c>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row>
    <row r="20" spans="1:103">
      <c r="A20" s="182">
        <v>10</v>
      </c>
      <c r="B20" s="1" t="s">
        <v>148</v>
      </c>
      <c r="C20" s="128">
        <v>2022</v>
      </c>
      <c r="D20" s="388">
        <v>156373563</v>
      </c>
      <c r="E20" s="388">
        <v>1327037</v>
      </c>
      <c r="F20" s="185">
        <f t="shared" si="0"/>
        <v>0</v>
      </c>
      <c r="G20" s="185">
        <v>0</v>
      </c>
      <c r="H20" s="388">
        <v>717708</v>
      </c>
      <c r="I20" s="388">
        <v>856368</v>
      </c>
      <c r="J20" s="388">
        <v>7640753</v>
      </c>
      <c r="K20" s="388">
        <v>271547</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row>
    <row r="21" spans="1:103">
      <c r="A21" s="182">
        <v>11</v>
      </c>
      <c r="B21" s="1" t="s">
        <v>149</v>
      </c>
      <c r="C21" s="128">
        <v>2022</v>
      </c>
      <c r="D21" s="388">
        <v>156373563</v>
      </c>
      <c r="E21" s="388">
        <v>1327037</v>
      </c>
      <c r="F21" s="185">
        <f t="shared" si="0"/>
        <v>0</v>
      </c>
      <c r="G21" s="185">
        <v>0</v>
      </c>
      <c r="H21" s="388">
        <v>717708</v>
      </c>
      <c r="I21" s="388">
        <v>766952</v>
      </c>
      <c r="J21" s="388">
        <v>7918318</v>
      </c>
      <c r="K21" s="388">
        <v>283292</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1:103">
      <c r="A22" s="182">
        <v>12</v>
      </c>
      <c r="B22" s="1" t="s">
        <v>150</v>
      </c>
      <c r="C22" s="128">
        <v>2022</v>
      </c>
      <c r="D22" s="388">
        <v>156373563</v>
      </c>
      <c r="E22" s="388">
        <v>1327037</v>
      </c>
      <c r="F22" s="185">
        <f t="shared" si="0"/>
        <v>0</v>
      </c>
      <c r="G22" s="185">
        <v>0</v>
      </c>
      <c r="H22" s="388">
        <v>717708</v>
      </c>
      <c r="I22" s="388">
        <v>657136</v>
      </c>
      <c r="J22" s="388">
        <v>8195884</v>
      </c>
      <c r="K22" s="388">
        <v>295037</v>
      </c>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row>
    <row r="23" spans="1:103">
      <c r="A23" s="182">
        <v>13</v>
      </c>
      <c r="B23" s="1" t="s">
        <v>151</v>
      </c>
      <c r="C23" s="128">
        <v>2022</v>
      </c>
      <c r="D23" s="388">
        <v>156373563</v>
      </c>
      <c r="E23" s="388">
        <v>1327037</v>
      </c>
      <c r="F23" s="185">
        <f t="shared" si="0"/>
        <v>0</v>
      </c>
      <c r="G23" s="185">
        <v>0</v>
      </c>
      <c r="H23" s="388">
        <v>717708</v>
      </c>
      <c r="I23" s="388">
        <v>686154</v>
      </c>
      <c r="J23" s="388">
        <v>8473449</v>
      </c>
      <c r="K23" s="388">
        <v>306782</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row>
    <row r="24" spans="1:103" ht="36.75" thickBot="1">
      <c r="A24" s="182">
        <v>14</v>
      </c>
      <c r="B24" s="186" t="s">
        <v>152</v>
      </c>
      <c r="C24" s="186"/>
      <c r="D24" s="429">
        <f>AVERAGE(D11:D23)</f>
        <v>156327409.15384614</v>
      </c>
      <c r="E24" s="429">
        <f t="shared" ref="E24:K24" si="1">AVERAGE(E11:E23)</f>
        <v>1311652.3846153845</v>
      </c>
      <c r="F24" s="187">
        <f t="shared" si="1"/>
        <v>0</v>
      </c>
      <c r="G24" s="187">
        <f t="shared" si="1"/>
        <v>0</v>
      </c>
      <c r="H24" s="429">
        <f>AVERAGE(H11:H23)</f>
        <v>717708</v>
      </c>
      <c r="I24" s="429">
        <f t="shared" si="1"/>
        <v>599120.84615384613</v>
      </c>
      <c r="J24" s="429">
        <f t="shared" si="1"/>
        <v>6808742.538461538</v>
      </c>
      <c r="K24" s="429">
        <f t="shared" si="1"/>
        <v>236713.38461538462</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row>
    <row r="25" spans="1:103" ht="12.75" thickTop="1">
      <c r="A25" s="1"/>
      <c r="B25" s="1"/>
      <c r="C25" s="1"/>
      <c r="D25" s="1"/>
      <c r="E25" s="1"/>
      <c r="F25" s="1"/>
      <c r="G25" s="1"/>
      <c r="H25" s="1"/>
      <c r="I25" s="1"/>
      <c r="J25" s="1"/>
      <c r="K25" s="1"/>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row>
    <row r="26" spans="1:103">
      <c r="A26" s="629" t="s">
        <v>153</v>
      </c>
      <c r="B26" s="629"/>
      <c r="C26" s="629"/>
      <c r="D26" s="629"/>
      <c r="E26" s="629"/>
      <c r="F26" s="629"/>
      <c r="G26" s="629"/>
      <c r="H26" s="629"/>
      <c r="I26" s="629"/>
      <c r="J26" s="629"/>
      <c r="K26" s="629"/>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row>
    <row r="27" spans="1:103" ht="36">
      <c r="A27" s="1"/>
      <c r="B27" s="180" t="s">
        <v>112</v>
      </c>
      <c r="C27" s="180"/>
      <c r="D27" s="180" t="s">
        <v>154</v>
      </c>
      <c r="E27" s="180" t="s">
        <v>155</v>
      </c>
      <c r="F27" s="1"/>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row>
    <row r="28" spans="1:103">
      <c r="A28" s="1"/>
      <c r="B28" s="178" t="s">
        <v>123</v>
      </c>
      <c r="C28" s="178"/>
      <c r="D28" s="178" t="s">
        <v>124</v>
      </c>
      <c r="E28" s="188" t="s">
        <v>126</v>
      </c>
      <c r="F28" s="1"/>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row>
    <row r="29" spans="1:103">
      <c r="A29" s="1"/>
      <c r="B29" s="182" t="s">
        <v>138</v>
      </c>
      <c r="C29" s="182"/>
      <c r="D29" s="180" t="s">
        <v>156</v>
      </c>
      <c r="E29" s="180" t="s">
        <v>157</v>
      </c>
      <c r="F29" s="1"/>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row>
    <row r="30" spans="1:103">
      <c r="A30" s="23">
        <v>15</v>
      </c>
      <c r="B30" s="1" t="s">
        <v>151</v>
      </c>
      <c r="C30" s="128">
        <v>2021</v>
      </c>
      <c r="D30" s="388">
        <v>2006526.08</v>
      </c>
      <c r="E30" s="185">
        <v>0</v>
      </c>
      <c r="F30" s="1"/>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row>
    <row r="31" spans="1:103">
      <c r="A31" s="23">
        <v>16</v>
      </c>
      <c r="B31" s="1" t="s">
        <v>140</v>
      </c>
      <c r="C31" s="128">
        <v>2022</v>
      </c>
      <c r="D31" s="388">
        <v>1955076.7</v>
      </c>
      <c r="E31" s="185">
        <v>0</v>
      </c>
      <c r="F31" s="1"/>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row>
    <row r="32" spans="1:103">
      <c r="A32" s="23">
        <v>17</v>
      </c>
      <c r="B32" s="1" t="s">
        <v>141</v>
      </c>
      <c r="C32" s="128">
        <v>2022</v>
      </c>
      <c r="D32" s="388">
        <v>1903627.32</v>
      </c>
      <c r="E32" s="185">
        <v>0</v>
      </c>
      <c r="F32" s="1"/>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row>
    <row r="33" spans="1:103">
      <c r="A33" s="23">
        <v>18</v>
      </c>
      <c r="B33" s="1" t="s">
        <v>142</v>
      </c>
      <c r="C33" s="128">
        <v>2022</v>
      </c>
      <c r="D33" s="388">
        <v>1852177.94</v>
      </c>
      <c r="E33" s="185">
        <v>0</v>
      </c>
      <c r="F33" s="1"/>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row>
    <row r="34" spans="1:103">
      <c r="A34" s="23">
        <v>19</v>
      </c>
      <c r="B34" s="1" t="s">
        <v>143</v>
      </c>
      <c r="C34" s="128">
        <v>2022</v>
      </c>
      <c r="D34" s="388">
        <v>1800728.56</v>
      </c>
      <c r="E34" s="185">
        <v>0</v>
      </c>
      <c r="F34" s="1"/>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row>
    <row r="35" spans="1:103">
      <c r="A35" s="23">
        <v>20</v>
      </c>
      <c r="B35" s="1" t="s">
        <v>144</v>
      </c>
      <c r="C35" s="128">
        <v>2022</v>
      </c>
      <c r="D35" s="388">
        <v>1749279.18</v>
      </c>
      <c r="E35" s="185">
        <v>0</v>
      </c>
      <c r="F35" s="1"/>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row>
    <row r="36" spans="1:103">
      <c r="A36" s="23">
        <v>21</v>
      </c>
      <c r="B36" s="1" t="s">
        <v>145</v>
      </c>
      <c r="C36" s="128">
        <v>2022</v>
      </c>
      <c r="D36" s="388">
        <v>1697829.8</v>
      </c>
      <c r="E36" s="185">
        <v>0</v>
      </c>
      <c r="F36" s="1"/>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row>
    <row r="37" spans="1:103">
      <c r="A37" s="23">
        <v>22</v>
      </c>
      <c r="B37" s="1" t="s">
        <v>146</v>
      </c>
      <c r="C37" s="128">
        <v>2022</v>
      </c>
      <c r="D37" s="388">
        <v>1646380.42</v>
      </c>
      <c r="E37" s="185">
        <v>0</v>
      </c>
      <c r="F37" s="1"/>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row>
    <row r="38" spans="1:103">
      <c r="A38" s="23">
        <v>23</v>
      </c>
      <c r="B38" s="1" t="s">
        <v>147</v>
      </c>
      <c r="C38" s="128">
        <v>2022</v>
      </c>
      <c r="D38" s="388">
        <v>1594931.04</v>
      </c>
      <c r="E38" s="185">
        <v>0</v>
      </c>
      <c r="F38" s="1"/>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row>
    <row r="39" spans="1:103">
      <c r="A39" s="23">
        <v>24</v>
      </c>
      <c r="B39" s="1" t="s">
        <v>148</v>
      </c>
      <c r="C39" s="128">
        <v>2022</v>
      </c>
      <c r="D39" s="388">
        <v>1543481.66</v>
      </c>
      <c r="E39" s="185">
        <v>0</v>
      </c>
      <c r="F39" s="1"/>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row>
    <row r="40" spans="1:103">
      <c r="A40" s="23">
        <v>25</v>
      </c>
      <c r="B40" s="1" t="s">
        <v>149</v>
      </c>
      <c r="C40" s="128">
        <v>2022</v>
      </c>
      <c r="D40" s="388">
        <v>1492032.28</v>
      </c>
      <c r="E40" s="185">
        <v>0</v>
      </c>
      <c r="F40" s="1"/>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row>
    <row r="41" spans="1:103">
      <c r="A41" s="23">
        <v>26</v>
      </c>
      <c r="B41" s="1" t="s">
        <v>150</v>
      </c>
      <c r="C41" s="128">
        <v>2022</v>
      </c>
      <c r="D41" s="388">
        <v>1440582.9</v>
      </c>
      <c r="E41" s="185">
        <v>0</v>
      </c>
      <c r="F41" s="1"/>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row>
    <row r="42" spans="1:103">
      <c r="A42" s="23">
        <v>27</v>
      </c>
      <c r="B42" s="1" t="s">
        <v>151</v>
      </c>
      <c r="C42" s="128">
        <v>2022</v>
      </c>
      <c r="D42" s="388">
        <v>1389133.52</v>
      </c>
      <c r="E42" s="185">
        <v>0</v>
      </c>
      <c r="F42" s="1"/>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row>
    <row r="43" spans="1:103" ht="36.75" thickBot="1">
      <c r="A43" s="23">
        <v>28</v>
      </c>
      <c r="B43" s="186" t="s">
        <v>152</v>
      </c>
      <c r="C43" s="186"/>
      <c r="D43" s="430">
        <f>AVERAGE(D30:D42)</f>
        <v>1697829.8000000003</v>
      </c>
      <c r="E43" s="189">
        <f>AVERAGE(E30:E42)</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row>
    <row r="44" spans="1:103" ht="12.75" thickTop="1">
      <c r="A44" s="23"/>
      <c r="B44" s="186"/>
      <c r="C44" s="186"/>
      <c r="D44" s="167"/>
      <c r="E44" s="167"/>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row>
    <row r="45" spans="1:103">
      <c r="A45" s="129"/>
      <c r="B45" s="129"/>
      <c r="C45" s="129"/>
      <c r="D45" s="1"/>
      <c r="E45" s="1"/>
      <c r="G45" s="8"/>
      <c r="H45" s="8"/>
      <c r="J45" s="8"/>
      <c r="K45" s="40" t="s">
        <v>180</v>
      </c>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row>
    <row r="46" spans="1:103">
      <c r="A46" s="129"/>
      <c r="B46" s="129"/>
      <c r="C46" s="129"/>
      <c r="D46" s="1"/>
      <c r="E46" s="1"/>
      <c r="F46" s="1"/>
      <c r="G46" s="1"/>
      <c r="H46" s="1"/>
      <c r="I46" s="1"/>
      <c r="J46" s="1"/>
      <c r="K46" s="128" t="s">
        <v>821</v>
      </c>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row>
    <row r="47" spans="1:103">
      <c r="A47" s="604" t="s">
        <v>110</v>
      </c>
      <c r="B47" s="604"/>
      <c r="C47" s="604"/>
      <c r="D47" s="604"/>
      <c r="E47" s="604"/>
      <c r="F47" s="604"/>
      <c r="G47" s="604"/>
      <c r="H47" s="604"/>
      <c r="I47" s="604"/>
      <c r="J47" s="604"/>
      <c r="K47" s="604"/>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row>
    <row r="48" spans="1:103">
      <c r="A48" s="604" t="s">
        <v>109</v>
      </c>
      <c r="B48" s="604"/>
      <c r="C48" s="604"/>
      <c r="D48" s="604"/>
      <c r="E48" s="604"/>
      <c r="F48" s="604"/>
      <c r="G48" s="604"/>
      <c r="H48" s="604"/>
      <c r="I48" s="604"/>
      <c r="J48" s="604"/>
      <c r="K48" s="604"/>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row>
    <row r="49" spans="1:103">
      <c r="A49" s="605" t="s">
        <v>743</v>
      </c>
      <c r="B49" s="606"/>
      <c r="C49" s="606"/>
      <c r="D49" s="606"/>
      <c r="E49" s="606"/>
      <c r="F49" s="606"/>
      <c r="G49" s="606"/>
      <c r="H49" s="606"/>
      <c r="I49" s="606"/>
      <c r="J49" s="606"/>
      <c r="K49" s="606"/>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row>
    <row r="50" spans="1:103">
      <c r="A50" s="190"/>
      <c r="B50" s="191" t="s">
        <v>158</v>
      </c>
      <c r="C50" s="191"/>
      <c r="D50" s="191"/>
      <c r="E50" s="191"/>
      <c r="F50" s="1"/>
      <c r="G50" s="1"/>
      <c r="H50" s="1"/>
      <c r="I50" s="1"/>
      <c r="J50" s="1"/>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row>
    <row r="51" spans="1:103" ht="48">
      <c r="A51" s="23"/>
      <c r="B51" s="1"/>
      <c r="C51" s="1"/>
      <c r="D51" s="180" t="s">
        <v>159</v>
      </c>
      <c r="E51" s="180" t="s">
        <v>160</v>
      </c>
      <c r="F51" s="180" t="s">
        <v>161</v>
      </c>
      <c r="G51" s="1"/>
      <c r="H51" s="1"/>
      <c r="I51" s="1"/>
      <c r="J51" s="1"/>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row>
    <row r="52" spans="1:103">
      <c r="A52" s="23"/>
      <c r="B52" s="1"/>
      <c r="C52" s="1"/>
      <c r="D52" s="178" t="s">
        <v>123</v>
      </c>
      <c r="E52" s="178" t="s">
        <v>124</v>
      </c>
      <c r="F52" s="188" t="s">
        <v>162</v>
      </c>
      <c r="G52" s="1"/>
      <c r="H52" s="1"/>
      <c r="I52" s="1"/>
      <c r="J52" s="1"/>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row>
    <row r="53" spans="1:103" ht="48">
      <c r="A53" s="23"/>
      <c r="B53" s="1"/>
      <c r="C53" s="1"/>
      <c r="D53" s="183" t="s">
        <v>163</v>
      </c>
      <c r="E53" s="183" t="s">
        <v>164</v>
      </c>
      <c r="F53" s="1"/>
      <c r="G53" s="1"/>
      <c r="H53" s="1"/>
      <c r="I53" s="1"/>
      <c r="J53" s="1"/>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row>
    <row r="54" spans="1:103">
      <c r="A54" s="23">
        <v>29</v>
      </c>
      <c r="B54" s="1" t="s">
        <v>151</v>
      </c>
      <c r="C54" s="128">
        <v>2021</v>
      </c>
      <c r="D54" s="185">
        <v>0</v>
      </c>
      <c r="E54" s="185">
        <v>0</v>
      </c>
      <c r="F54" s="167">
        <f>D54-E54</f>
        <v>0</v>
      </c>
      <c r="G54" s="1"/>
      <c r="H54" s="1"/>
      <c r="I54" s="1"/>
      <c r="J54" s="1"/>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row>
    <row r="55" spans="1:103">
      <c r="A55" s="23">
        <v>30</v>
      </c>
      <c r="B55" s="1" t="s">
        <v>140</v>
      </c>
      <c r="C55" s="128">
        <v>2022</v>
      </c>
      <c r="D55" s="185">
        <v>0</v>
      </c>
      <c r="E55" s="185">
        <v>0</v>
      </c>
      <c r="F55" s="167">
        <f t="shared" ref="F55:F66" si="2">D55-E55</f>
        <v>0</v>
      </c>
      <c r="G55" s="1"/>
      <c r="H55" s="1"/>
      <c r="I55" s="1"/>
      <c r="J55" s="1"/>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row>
    <row r="56" spans="1:103">
      <c r="A56" s="23">
        <v>31</v>
      </c>
      <c r="B56" s="1" t="s">
        <v>141</v>
      </c>
      <c r="C56" s="128">
        <v>2022</v>
      </c>
      <c r="D56" s="185">
        <v>0</v>
      </c>
      <c r="E56" s="192">
        <v>0</v>
      </c>
      <c r="F56" s="167">
        <f t="shared" si="2"/>
        <v>0</v>
      </c>
      <c r="G56" s="1"/>
      <c r="H56" s="1"/>
      <c r="I56" s="1"/>
      <c r="J56" s="1"/>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row>
    <row r="57" spans="1:103">
      <c r="A57" s="23">
        <v>32</v>
      </c>
      <c r="B57" s="1" t="s">
        <v>142</v>
      </c>
      <c r="C57" s="128">
        <v>2022</v>
      </c>
      <c r="D57" s="185">
        <v>0</v>
      </c>
      <c r="E57" s="185">
        <v>0</v>
      </c>
      <c r="F57" s="167">
        <f t="shared" si="2"/>
        <v>0</v>
      </c>
      <c r="G57" s="1"/>
      <c r="H57" s="1"/>
      <c r="I57" s="1"/>
      <c r="J57" s="1"/>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row>
    <row r="58" spans="1:103">
      <c r="A58" s="23">
        <v>33</v>
      </c>
      <c r="B58" s="1" t="s">
        <v>143</v>
      </c>
      <c r="C58" s="128">
        <v>2022</v>
      </c>
      <c r="D58" s="185">
        <v>0</v>
      </c>
      <c r="E58" s="185">
        <v>0</v>
      </c>
      <c r="F58" s="167">
        <f t="shared" si="2"/>
        <v>0</v>
      </c>
      <c r="G58" s="1"/>
      <c r="H58" s="1"/>
      <c r="I58" s="1"/>
      <c r="J58" s="1"/>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row>
    <row r="59" spans="1:103">
      <c r="A59" s="23">
        <v>34</v>
      </c>
      <c r="B59" s="1" t="s">
        <v>144</v>
      </c>
      <c r="C59" s="128">
        <v>2022</v>
      </c>
      <c r="D59" s="185">
        <v>0</v>
      </c>
      <c r="E59" s="185">
        <v>0</v>
      </c>
      <c r="F59" s="167">
        <f t="shared" si="2"/>
        <v>0</v>
      </c>
      <c r="G59" s="1"/>
      <c r="H59" s="1"/>
      <c r="I59" s="1"/>
      <c r="J59" s="1"/>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row>
    <row r="60" spans="1:103">
      <c r="A60" s="23">
        <v>35</v>
      </c>
      <c r="B60" s="1" t="s">
        <v>145</v>
      </c>
      <c r="C60" s="128">
        <v>2022</v>
      </c>
      <c r="D60" s="185">
        <v>0</v>
      </c>
      <c r="E60" s="185">
        <v>0</v>
      </c>
      <c r="F60" s="167">
        <f t="shared" si="2"/>
        <v>0</v>
      </c>
      <c r="G60" s="1"/>
      <c r="H60" s="1"/>
      <c r="I60" s="1"/>
      <c r="J60" s="1"/>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row>
    <row r="61" spans="1:103">
      <c r="A61" s="23">
        <v>36</v>
      </c>
      <c r="B61" s="1" t="s">
        <v>146</v>
      </c>
      <c r="C61" s="128">
        <v>2022</v>
      </c>
      <c r="D61" s="185">
        <v>0</v>
      </c>
      <c r="E61" s="185">
        <v>0</v>
      </c>
      <c r="F61" s="167">
        <f t="shared" si="2"/>
        <v>0</v>
      </c>
      <c r="G61" s="1"/>
      <c r="H61" s="1"/>
      <c r="I61" s="1"/>
      <c r="J61" s="1"/>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row>
    <row r="62" spans="1:103">
      <c r="A62" s="23">
        <v>37</v>
      </c>
      <c r="B62" s="1" t="s">
        <v>147</v>
      </c>
      <c r="C62" s="128">
        <v>2022</v>
      </c>
      <c r="D62" s="185">
        <v>0</v>
      </c>
      <c r="E62" s="185">
        <v>0</v>
      </c>
      <c r="F62" s="167">
        <f t="shared" si="2"/>
        <v>0</v>
      </c>
      <c r="G62" s="1"/>
      <c r="H62" s="1"/>
      <c r="I62" s="1"/>
      <c r="J62" s="1"/>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c r="A63" s="23">
        <v>38</v>
      </c>
      <c r="B63" s="1" t="s">
        <v>148</v>
      </c>
      <c r="C63" s="128">
        <v>2022</v>
      </c>
      <c r="D63" s="185">
        <v>0</v>
      </c>
      <c r="E63" s="185">
        <v>0</v>
      </c>
      <c r="F63" s="167">
        <f t="shared" si="2"/>
        <v>0</v>
      </c>
      <c r="G63" s="1"/>
      <c r="H63" s="1"/>
      <c r="I63" s="1"/>
      <c r="J63" s="1"/>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row>
    <row r="64" spans="1:103">
      <c r="A64" s="23">
        <v>39</v>
      </c>
      <c r="B64" s="1" t="s">
        <v>149</v>
      </c>
      <c r="C64" s="128">
        <v>2022</v>
      </c>
      <c r="D64" s="185">
        <v>0</v>
      </c>
      <c r="E64" s="185">
        <v>0</v>
      </c>
      <c r="F64" s="167">
        <f t="shared" si="2"/>
        <v>0</v>
      </c>
      <c r="G64" s="1"/>
      <c r="H64" s="1"/>
      <c r="I64" s="1"/>
      <c r="J64" s="1"/>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row>
    <row r="65" spans="1:103">
      <c r="A65" s="23">
        <v>40</v>
      </c>
      <c r="B65" s="1" t="s">
        <v>150</v>
      </c>
      <c r="C65" s="128">
        <v>2022</v>
      </c>
      <c r="D65" s="185">
        <v>0</v>
      </c>
      <c r="E65" s="185">
        <v>0</v>
      </c>
      <c r="F65" s="167">
        <f t="shared" si="2"/>
        <v>0</v>
      </c>
      <c r="G65" s="1"/>
      <c r="H65" s="1"/>
      <c r="I65" s="1"/>
      <c r="J65" s="1"/>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row>
    <row r="66" spans="1:103">
      <c r="A66" s="23">
        <v>41</v>
      </c>
      <c r="B66" s="1" t="s">
        <v>151</v>
      </c>
      <c r="C66" s="128">
        <v>2022</v>
      </c>
      <c r="D66" s="185">
        <v>0</v>
      </c>
      <c r="E66" s="185">
        <v>0</v>
      </c>
      <c r="F66" s="167">
        <f t="shared" si="2"/>
        <v>0</v>
      </c>
      <c r="G66" s="1"/>
      <c r="H66" s="1"/>
      <c r="I66" s="1"/>
      <c r="J66" s="1"/>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row>
    <row r="67" spans="1:103" ht="36.75" thickBot="1">
      <c r="A67" s="23"/>
      <c r="B67" s="204" t="s">
        <v>152</v>
      </c>
      <c r="C67" s="204"/>
      <c r="D67" s="205">
        <f>AVERAGE(D54:D66)</f>
        <v>0</v>
      </c>
      <c r="E67" s="205">
        <f>AVERAGE(E54:E66)</f>
        <v>0</v>
      </c>
      <c r="F67" s="205">
        <f>D67-E67</f>
        <v>0</v>
      </c>
      <c r="G67" s="124"/>
      <c r="H67" s="1"/>
      <c r="I67" s="1"/>
      <c r="J67" s="1"/>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row>
    <row r="68" spans="1:103" ht="12.75" thickTop="1">
      <c r="A68" s="23"/>
      <c r="B68" s="1"/>
      <c r="C68" s="1"/>
      <c r="D68" s="1"/>
      <c r="E68" s="1"/>
      <c r="F68" s="1"/>
      <c r="G68" s="1"/>
      <c r="H68" s="1"/>
      <c r="I68" s="1"/>
      <c r="J68" s="1"/>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row>
    <row r="69" spans="1:103">
      <c r="A69" s="23"/>
      <c r="B69" s="193" t="s">
        <v>165</v>
      </c>
      <c r="C69" s="193"/>
      <c r="D69" s="1"/>
      <c r="E69" s="1"/>
      <c r="F69" s="1"/>
      <c r="G69" s="1"/>
      <c r="H69" s="1"/>
      <c r="I69" s="1"/>
      <c r="J69" s="1"/>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row>
    <row r="70" spans="1:103">
      <c r="A70" s="23"/>
      <c r="B70" s="182" t="s">
        <v>123</v>
      </c>
      <c r="C70" s="182" t="s">
        <v>124</v>
      </c>
      <c r="D70" s="182" t="s">
        <v>572</v>
      </c>
      <c r="E70" s="182" t="s">
        <v>573</v>
      </c>
      <c r="F70" s="194" t="s">
        <v>126</v>
      </c>
      <c r="G70" s="182" t="s">
        <v>125</v>
      </c>
      <c r="H70" s="182" t="s">
        <v>127</v>
      </c>
      <c r="I70" s="182" t="s">
        <v>128</v>
      </c>
      <c r="J70" s="182" t="s">
        <v>129</v>
      </c>
      <c r="K70" s="182" t="s">
        <v>130</v>
      </c>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row>
    <row r="71" spans="1:103" ht="96">
      <c r="A71" s="23"/>
      <c r="B71" s="195" t="s">
        <v>170</v>
      </c>
      <c r="C71" s="196"/>
      <c r="D71" s="179" t="s">
        <v>574</v>
      </c>
      <c r="E71" s="179" t="s">
        <v>575</v>
      </c>
      <c r="F71" s="196" t="s">
        <v>171</v>
      </c>
      <c r="G71" s="179" t="s">
        <v>166</v>
      </c>
      <c r="H71" s="179" t="s">
        <v>167</v>
      </c>
      <c r="I71" s="179" t="s">
        <v>168</v>
      </c>
      <c r="J71" s="179" t="s">
        <v>169</v>
      </c>
      <c r="K71" s="179" t="s">
        <v>186</v>
      </c>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row>
    <row r="72" spans="1:103">
      <c r="A72" s="23" t="s">
        <v>174</v>
      </c>
      <c r="B72" s="1"/>
      <c r="C72" s="197" t="s">
        <v>172</v>
      </c>
      <c r="D72" s="198">
        <v>0</v>
      </c>
      <c r="E72" s="198">
        <v>0</v>
      </c>
      <c r="F72" s="185">
        <v>0</v>
      </c>
      <c r="G72" s="198">
        <v>0</v>
      </c>
      <c r="H72" s="198">
        <v>0</v>
      </c>
      <c r="I72" s="198">
        <v>0</v>
      </c>
      <c r="J72" s="185">
        <v>0</v>
      </c>
      <c r="K72" s="167">
        <f>F72*G72*H72*I72*J72</f>
        <v>0</v>
      </c>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row>
    <row r="73" spans="1:103">
      <c r="A73" s="23" t="s">
        <v>175</v>
      </c>
      <c r="B73" s="1"/>
      <c r="C73" s="199" t="s">
        <v>173</v>
      </c>
      <c r="D73" s="200">
        <v>0</v>
      </c>
      <c r="E73" s="200">
        <v>0</v>
      </c>
      <c r="F73" s="185">
        <v>0</v>
      </c>
      <c r="G73" s="200">
        <v>0</v>
      </c>
      <c r="H73" s="200">
        <v>0</v>
      </c>
      <c r="I73" s="200">
        <v>0</v>
      </c>
      <c r="J73" s="185">
        <v>0</v>
      </c>
      <c r="K73" s="167">
        <f>F73*G73*H73*I73*J73</f>
        <v>0</v>
      </c>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row>
    <row r="74" spans="1:103">
      <c r="A74" s="23">
        <v>43</v>
      </c>
      <c r="B74" s="1"/>
      <c r="C74" s="1" t="s">
        <v>391</v>
      </c>
      <c r="D74" s="201"/>
      <c r="E74" s="201"/>
      <c r="F74" s="202">
        <f>SUM(F72:F73)</f>
        <v>0</v>
      </c>
      <c r="G74" s="201"/>
      <c r="H74" s="201"/>
      <c r="I74" s="201"/>
      <c r="J74" s="202"/>
      <c r="K74" s="202">
        <f>SUM(K72:K73)</f>
        <v>0</v>
      </c>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row>
    <row r="75" spans="1:103">
      <c r="A75" s="23"/>
      <c r="B75" s="1"/>
      <c r="C75" s="1"/>
      <c r="D75" s="1"/>
      <c r="E75" s="1"/>
      <c r="F75" s="1"/>
      <c r="G75" s="1"/>
      <c r="H75" s="1"/>
      <c r="I75" s="1"/>
      <c r="J75" s="1"/>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row>
    <row r="76" spans="1:103">
      <c r="A76" s="88" t="s">
        <v>65</v>
      </c>
      <c r="B76" s="1"/>
      <c r="C76" s="1"/>
      <c r="D76" s="1"/>
      <c r="E76" s="1"/>
      <c r="F76" s="1"/>
      <c r="G76" s="1"/>
      <c r="H76" s="1"/>
      <c r="I76" s="1"/>
      <c r="J76" s="1"/>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row>
    <row r="77" spans="1:103" s="203" customFormat="1">
      <c r="A77" s="29" t="s">
        <v>424</v>
      </c>
      <c r="B77" s="612" t="s">
        <v>815</v>
      </c>
      <c r="C77" s="612"/>
      <c r="D77" s="612"/>
      <c r="E77" s="612"/>
      <c r="F77" s="612"/>
      <c r="G77" s="612"/>
      <c r="H77" s="612"/>
      <c r="I77" s="612"/>
      <c r="J77" s="612"/>
      <c r="K77" s="612"/>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row>
    <row r="78" spans="1:103" s="203" customFormat="1" ht="37.5" customHeight="1">
      <c r="A78" s="29" t="s">
        <v>436</v>
      </c>
      <c r="B78" s="630" t="s">
        <v>181</v>
      </c>
      <c r="C78" s="630"/>
      <c r="D78" s="630"/>
      <c r="E78" s="630"/>
      <c r="F78" s="630"/>
      <c r="G78" s="630"/>
      <c r="H78" s="630"/>
      <c r="I78" s="630"/>
      <c r="J78" s="630"/>
      <c r="K78" s="630"/>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row>
    <row r="79" spans="1:103" s="203" customFormat="1" ht="25.5" customHeight="1">
      <c r="A79" s="29" t="s">
        <v>439</v>
      </c>
      <c r="B79" s="630" t="s">
        <v>183</v>
      </c>
      <c r="C79" s="630"/>
      <c r="D79" s="630"/>
      <c r="E79" s="630"/>
      <c r="F79" s="630"/>
      <c r="G79" s="630"/>
      <c r="H79" s="630"/>
      <c r="I79" s="630"/>
      <c r="J79" s="630"/>
      <c r="K79" s="630"/>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row>
    <row r="80" spans="1:103" s="203" customFormat="1">
      <c r="A80" s="29" t="s">
        <v>440</v>
      </c>
      <c r="B80" s="612" t="s">
        <v>176</v>
      </c>
      <c r="C80" s="612"/>
      <c r="D80" s="612"/>
      <c r="E80" s="612"/>
      <c r="F80" s="612"/>
      <c r="G80" s="612"/>
      <c r="H80" s="612"/>
      <c r="I80" s="612"/>
      <c r="J80" s="612"/>
      <c r="K80" s="612"/>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row>
    <row r="81" spans="1:103" s="203" customFormat="1">
      <c r="A81" s="29" t="s">
        <v>484</v>
      </c>
      <c r="B81" s="608" t="s">
        <v>816</v>
      </c>
      <c r="C81" s="608"/>
      <c r="D81" s="608"/>
      <c r="E81" s="608"/>
      <c r="F81" s="608"/>
      <c r="G81" s="608"/>
      <c r="H81" s="608"/>
      <c r="I81" s="608"/>
      <c r="J81" s="608"/>
      <c r="K81" s="608"/>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row>
    <row r="82" spans="1:103" ht="62.25" customHeight="1">
      <c r="A82" s="23" t="s">
        <v>485</v>
      </c>
      <c r="B82" s="618" t="s">
        <v>178</v>
      </c>
      <c r="C82" s="618"/>
      <c r="D82" s="618"/>
      <c r="E82" s="618"/>
      <c r="F82" s="618"/>
      <c r="G82" s="618"/>
      <c r="H82" s="618"/>
      <c r="I82" s="618"/>
      <c r="J82" s="618"/>
      <c r="K82" s="61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row>
    <row r="83" spans="1:103" ht="25.5" customHeight="1">
      <c r="A83" s="23" t="s">
        <v>486</v>
      </c>
      <c r="B83" s="618" t="s">
        <v>184</v>
      </c>
      <c r="C83" s="618"/>
      <c r="D83" s="618"/>
      <c r="E83" s="618"/>
      <c r="F83" s="618"/>
      <c r="G83" s="618"/>
      <c r="H83" s="618"/>
      <c r="I83" s="618"/>
      <c r="J83" s="618"/>
      <c r="K83" s="61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row>
    <row r="84" spans="1:103" ht="25.5" customHeight="1">
      <c r="A84" s="23" t="s">
        <v>487</v>
      </c>
      <c r="B84" s="618" t="s">
        <v>179</v>
      </c>
      <c r="C84" s="618"/>
      <c r="D84" s="618"/>
      <c r="E84" s="618"/>
      <c r="F84" s="618"/>
      <c r="G84" s="618"/>
      <c r="H84" s="618"/>
      <c r="I84" s="618"/>
      <c r="J84" s="618"/>
      <c r="K84" s="61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row>
    <row r="85" spans="1:103">
      <c r="A85" s="23" t="s">
        <v>488</v>
      </c>
      <c r="B85" s="613" t="s">
        <v>568</v>
      </c>
      <c r="C85" s="613"/>
      <c r="D85" s="613"/>
      <c r="E85" s="613"/>
      <c r="F85" s="613"/>
      <c r="G85" s="613"/>
      <c r="H85" s="613"/>
      <c r="I85" s="613"/>
      <c r="J85" s="613"/>
      <c r="K85" s="613"/>
      <c r="L85" s="613"/>
      <c r="M85" s="613"/>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row>
    <row r="86" spans="1:103">
      <c r="A86" s="23"/>
      <c r="B86" s="1"/>
      <c r="C86" s="1"/>
      <c r="D86" s="1"/>
      <c r="E86" s="1"/>
      <c r="F86" s="1"/>
      <c r="G86" s="1"/>
      <c r="H86" s="1"/>
      <c r="I86" s="1"/>
      <c r="J86" s="1"/>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row>
    <row r="87" spans="1:103">
      <c r="A87" s="23"/>
      <c r="B87" s="1"/>
      <c r="C87" s="1"/>
      <c r="D87" s="1"/>
      <c r="E87" s="1"/>
      <c r="F87" s="1"/>
      <c r="G87" s="1"/>
      <c r="H87" s="1"/>
      <c r="I87" s="1"/>
      <c r="J87" s="1"/>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row>
    <row r="88" spans="1:103">
      <c r="A88" s="23"/>
      <c r="B88" s="1"/>
      <c r="C88" s="1"/>
      <c r="D88" s="1"/>
      <c r="E88" s="1"/>
      <c r="F88" s="1"/>
      <c r="G88" s="1"/>
      <c r="H88" s="1"/>
      <c r="I88" s="1"/>
      <c r="J88" s="1"/>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row>
    <row r="89" spans="1:103">
      <c r="A89" s="127"/>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row>
    <row r="90" spans="1:103">
      <c r="A90" s="127"/>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row>
    <row r="91" spans="1:103">
      <c r="A91" s="127"/>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row>
    <row r="92" spans="1:103">
      <c r="A92" s="127"/>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row>
    <row r="93" spans="1:103">
      <c r="A93" s="127"/>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row>
    <row r="94" spans="1:103">
      <c r="A94" s="127"/>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row>
    <row r="95" spans="1:103">
      <c r="A95" s="127"/>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row>
    <row r="96" spans="1:103">
      <c r="A96" s="127"/>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row>
    <row r="97" spans="1:103">
      <c r="A97" s="127"/>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row>
    <row r="98" spans="1:103">
      <c r="A98" s="127"/>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row>
    <row r="99" spans="1:103">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row>
    <row r="100" spans="1:103">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row>
    <row r="101" spans="1:103">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row>
    <row r="102" spans="1:103">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row>
    <row r="103" spans="1:103">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row>
    <row r="104" spans="1:103">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row>
    <row r="105" spans="1:103">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row>
    <row r="106" spans="1:103">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row>
    <row r="107" spans="1:103">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row>
  </sheetData>
  <mergeCells count="19">
    <mergeCell ref="A3:K3"/>
    <mergeCell ref="A4:K4"/>
    <mergeCell ref="A5:K5"/>
    <mergeCell ref="H7:I7"/>
    <mergeCell ref="J7:K7"/>
    <mergeCell ref="D7:E7"/>
    <mergeCell ref="B85:M85"/>
    <mergeCell ref="A26:K26"/>
    <mergeCell ref="B79:K79"/>
    <mergeCell ref="B80:K80"/>
    <mergeCell ref="B81:K81"/>
    <mergeCell ref="A47:K47"/>
    <mergeCell ref="A48:K48"/>
    <mergeCell ref="A49:K49"/>
    <mergeCell ref="B77:K77"/>
    <mergeCell ref="B78:K78"/>
    <mergeCell ref="B84:K84"/>
    <mergeCell ref="B83:K83"/>
    <mergeCell ref="B82:K82"/>
  </mergeCells>
  <phoneticPr fontId="0" type="noConversion"/>
  <pageMargins left="0.5" right="0.5" top="0.75" bottom="0.75" header="0.3" footer="0.3"/>
  <pageSetup scale="63" orientation="landscape" horizontalDpi="1200" verticalDpi="1200" r:id="rId1"/>
  <rowBreaks count="1" manualBreakCount="1">
    <brk id="44" max="10" man="1"/>
  </rowBreaks>
  <colBreaks count="1" manualBreakCount="1">
    <brk id="11" max="8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Normal="110" zoomScaleSheetLayoutView="100" workbookViewId="0">
      <selection activeCell="O35" sqref="O35"/>
    </sheetView>
  </sheetViews>
  <sheetFormatPr defaultRowHeight="12"/>
  <cols>
    <col min="1" max="1" width="6.83203125" style="126" customWidth="1"/>
    <col min="2" max="2" width="29.1640625" style="126" customWidth="1"/>
    <col min="3" max="3" width="16" style="126" customWidth="1"/>
    <col min="4" max="4" width="15.83203125" style="126" customWidth="1"/>
    <col min="5" max="5" width="13.83203125" style="126" customWidth="1"/>
    <col min="6" max="6" width="16.6640625" style="126" bestFit="1" customWidth="1"/>
    <col min="7" max="7" width="15.5" style="126" bestFit="1" customWidth="1"/>
    <col min="8" max="9" width="7.5" style="126" customWidth="1"/>
    <col min="10" max="10" width="9.1640625" style="126" customWidth="1"/>
    <col min="11" max="16384" width="9.33203125" style="126"/>
  </cols>
  <sheetData>
    <row r="1" spans="1:10">
      <c r="A1" s="129"/>
      <c r="B1" s="129"/>
      <c r="C1" s="321"/>
      <c r="D1" s="321"/>
      <c r="E1" s="321"/>
      <c r="F1" s="321"/>
      <c r="G1" s="321"/>
      <c r="H1" s="321"/>
      <c r="I1" s="632" t="s">
        <v>67</v>
      </c>
      <c r="J1" s="632"/>
    </row>
    <row r="2" spans="1:10">
      <c r="A2" s="129"/>
      <c r="B2" s="129"/>
      <c r="C2" s="321"/>
      <c r="D2" s="321"/>
      <c r="E2" s="321"/>
      <c r="F2" s="321"/>
      <c r="G2" s="321"/>
      <c r="H2" s="321"/>
      <c r="I2" s="40"/>
      <c r="J2" s="128" t="s">
        <v>821</v>
      </c>
    </row>
    <row r="3" spans="1:10">
      <c r="A3" s="604" t="s">
        <v>187</v>
      </c>
      <c r="B3" s="604"/>
      <c r="C3" s="604"/>
      <c r="D3" s="604"/>
      <c r="E3" s="604"/>
      <c r="F3" s="604"/>
      <c r="G3" s="604"/>
      <c r="H3" s="604"/>
      <c r="I3" s="604"/>
      <c r="J3" s="604"/>
    </row>
    <row r="4" spans="1:10">
      <c r="A4" s="604" t="s">
        <v>188</v>
      </c>
      <c r="B4" s="604"/>
      <c r="C4" s="604"/>
      <c r="D4" s="604"/>
      <c r="E4" s="604"/>
      <c r="F4" s="604"/>
      <c r="G4" s="604"/>
      <c r="H4" s="604"/>
      <c r="I4" s="604"/>
      <c r="J4" s="604"/>
    </row>
    <row r="5" spans="1:10">
      <c r="A5" s="605" t="s">
        <v>743</v>
      </c>
      <c r="B5" s="606"/>
      <c r="C5" s="606"/>
      <c r="D5" s="606"/>
      <c r="E5" s="606"/>
      <c r="F5" s="606"/>
      <c r="G5" s="606"/>
      <c r="H5" s="606"/>
      <c r="I5" s="606"/>
      <c r="J5" s="606"/>
    </row>
    <row r="6" spans="1:10">
      <c r="A6" s="321"/>
      <c r="B6" s="321"/>
      <c r="C6" s="321"/>
      <c r="D6" s="321"/>
      <c r="E6" s="321"/>
      <c r="F6" s="321"/>
      <c r="G6" s="321"/>
      <c r="H6" s="321"/>
      <c r="I6" s="321"/>
      <c r="J6" s="321"/>
    </row>
    <row r="7" spans="1:10">
      <c r="A7" s="321"/>
      <c r="B7" s="321" t="s">
        <v>189</v>
      </c>
      <c r="C7" s="321"/>
      <c r="D7" s="321"/>
      <c r="E7" s="321"/>
      <c r="F7" s="321"/>
      <c r="G7" s="321"/>
      <c r="H7" s="321"/>
      <c r="I7" s="321"/>
      <c r="J7" s="321"/>
    </row>
    <row r="8" spans="1:10">
      <c r="A8" s="314"/>
      <c r="B8" s="321"/>
      <c r="C8" s="321"/>
      <c r="D8" s="321"/>
      <c r="E8" s="321"/>
      <c r="F8" s="314" t="s">
        <v>423</v>
      </c>
      <c r="G8" s="321"/>
      <c r="H8" s="321"/>
      <c r="I8" s="321"/>
      <c r="J8" s="321"/>
    </row>
    <row r="9" spans="1:10">
      <c r="A9" s="314">
        <v>1</v>
      </c>
      <c r="B9" s="20" t="s">
        <v>564</v>
      </c>
      <c r="C9" s="20"/>
      <c r="D9" s="321"/>
      <c r="E9" s="321"/>
      <c r="F9" s="431">
        <v>2036217.33</v>
      </c>
      <c r="G9" s="321"/>
      <c r="H9" s="321"/>
      <c r="I9" s="321"/>
      <c r="J9" s="321"/>
    </row>
    <row r="10" spans="1:10">
      <c r="A10" s="314"/>
      <c r="B10" s="321"/>
      <c r="C10" s="321"/>
      <c r="D10" s="321"/>
      <c r="E10" s="321"/>
      <c r="F10" s="321"/>
      <c r="G10" s="321"/>
      <c r="H10" s="321"/>
      <c r="I10" s="321"/>
      <c r="J10" s="321"/>
    </row>
    <row r="11" spans="1:10">
      <c r="A11" s="314">
        <v>2</v>
      </c>
      <c r="B11" s="321" t="s">
        <v>190</v>
      </c>
      <c r="C11" s="321"/>
      <c r="D11" s="321"/>
      <c r="E11" s="321"/>
      <c r="F11" s="185">
        <v>0</v>
      </c>
      <c r="G11" s="321"/>
      <c r="H11" s="321"/>
      <c r="I11" s="321"/>
      <c r="J11" s="321"/>
    </row>
    <row r="12" spans="1:10">
      <c r="A12" s="314"/>
      <c r="B12" s="321"/>
      <c r="C12" s="321"/>
      <c r="D12" s="321"/>
      <c r="E12" s="321"/>
      <c r="F12" s="321"/>
      <c r="G12" s="321"/>
      <c r="H12" s="321"/>
      <c r="I12" s="321"/>
      <c r="J12" s="321"/>
    </row>
    <row r="13" spans="1:10">
      <c r="A13" s="314">
        <v>3</v>
      </c>
      <c r="B13" s="321" t="s">
        <v>273</v>
      </c>
      <c r="C13" s="321"/>
      <c r="D13" s="321"/>
      <c r="E13" s="321"/>
      <c r="F13" s="389">
        <f>E41</f>
        <v>82373798.620000005</v>
      </c>
      <c r="G13" s="321"/>
      <c r="H13" s="321"/>
      <c r="I13" s="321"/>
      <c r="J13" s="321"/>
    </row>
    <row r="14" spans="1:10">
      <c r="A14" s="314">
        <v>4</v>
      </c>
      <c r="B14" s="321" t="s">
        <v>549</v>
      </c>
      <c r="C14" s="321"/>
      <c r="D14" s="321"/>
      <c r="E14" s="321"/>
      <c r="F14" s="389">
        <f>-F22</f>
        <v>0</v>
      </c>
      <c r="G14" s="321"/>
      <c r="H14" s="321"/>
      <c r="I14" s="321"/>
      <c r="J14" s="321"/>
    </row>
    <row r="15" spans="1:10">
      <c r="A15" s="314">
        <v>5</v>
      </c>
      <c r="B15" s="321" t="s">
        <v>271</v>
      </c>
      <c r="C15" s="321"/>
      <c r="D15" s="321"/>
      <c r="E15" s="321"/>
      <c r="F15" s="389">
        <f>-F41</f>
        <v>0</v>
      </c>
      <c r="G15" s="321"/>
      <c r="H15" s="321"/>
      <c r="I15" s="321"/>
      <c r="J15" s="321"/>
    </row>
    <row r="16" spans="1:10">
      <c r="A16" s="314">
        <v>6</v>
      </c>
      <c r="B16" s="321" t="s">
        <v>272</v>
      </c>
      <c r="C16" s="321"/>
      <c r="D16" s="321"/>
      <c r="E16" s="321"/>
      <c r="F16" s="432">
        <f>-G41</f>
        <v>0</v>
      </c>
      <c r="G16" s="321"/>
      <c r="H16" s="321"/>
      <c r="I16" s="321"/>
      <c r="J16" s="321"/>
    </row>
    <row r="17" spans="1:10">
      <c r="A17" s="314">
        <v>7</v>
      </c>
      <c r="B17" s="321" t="s">
        <v>56</v>
      </c>
      <c r="C17" s="321" t="s">
        <v>191</v>
      </c>
      <c r="D17" s="321"/>
      <c r="E17" s="321"/>
      <c r="F17" s="390">
        <f>SUM(F13:F16)</f>
        <v>82373798.620000005</v>
      </c>
      <c r="G17" s="321"/>
      <c r="H17" s="321"/>
      <c r="I17" s="321"/>
      <c r="J17" s="321"/>
    </row>
    <row r="18" spans="1:10" ht="9.9499999999999993" customHeight="1">
      <c r="A18" s="314"/>
      <c r="B18" s="321"/>
      <c r="C18" s="321"/>
      <c r="D18" s="321"/>
      <c r="E18" s="321"/>
      <c r="F18" s="358"/>
      <c r="G18" s="321"/>
      <c r="H18" s="321"/>
      <c r="I18" s="321"/>
      <c r="J18" s="321"/>
    </row>
    <row r="19" spans="1:10" ht="9.9499999999999993" customHeight="1">
      <c r="A19" s="314"/>
      <c r="B19" s="321"/>
      <c r="C19" s="321"/>
      <c r="D19" s="321"/>
      <c r="E19" s="321"/>
      <c r="F19" s="321"/>
      <c r="G19" s="321"/>
      <c r="H19" s="321"/>
      <c r="I19" s="321"/>
      <c r="J19" s="321"/>
    </row>
    <row r="20" spans="1:10" ht="9.9499999999999993" customHeight="1" thickBot="1">
      <c r="A20" s="314"/>
      <c r="B20" s="321"/>
      <c r="C20" s="321"/>
      <c r="D20" s="321"/>
      <c r="E20" s="321"/>
      <c r="F20" s="324" t="s">
        <v>423</v>
      </c>
      <c r="G20" s="324" t="s">
        <v>431</v>
      </c>
      <c r="H20" s="324" t="s">
        <v>434</v>
      </c>
      <c r="I20" s="324" t="s">
        <v>430</v>
      </c>
      <c r="J20" s="314"/>
    </row>
    <row r="21" spans="1:10" ht="10.5" customHeight="1">
      <c r="A21" s="314">
        <v>8</v>
      </c>
      <c r="B21" s="321" t="s">
        <v>54</v>
      </c>
      <c r="C21" s="321" t="s">
        <v>465</v>
      </c>
      <c r="D21" s="321"/>
      <c r="E21" s="321"/>
      <c r="F21" s="389">
        <f>C41</f>
        <v>68080769.230769232</v>
      </c>
      <c r="G21" s="433">
        <f>IF((F21/F24)&lt;0.4525,0.4525,(F21/F24))</f>
        <v>0.45250051363210347</v>
      </c>
      <c r="H21" s="340">
        <f>IFERROR(F9/F21,0)</f>
        <v>2.9908847285464099E-2</v>
      </c>
      <c r="I21" s="326">
        <f>G21*H21</f>
        <v>1.3533768758816648E-2</v>
      </c>
      <c r="J21" s="341" t="s">
        <v>205</v>
      </c>
    </row>
    <row r="22" spans="1:10" ht="10.5" customHeight="1">
      <c r="A22" s="314">
        <v>9</v>
      </c>
      <c r="B22" s="321" t="s">
        <v>55</v>
      </c>
      <c r="C22" s="321" t="s">
        <v>466</v>
      </c>
      <c r="D22" s="321"/>
      <c r="E22" s="321"/>
      <c r="F22" s="389">
        <f>D41</f>
        <v>0</v>
      </c>
      <c r="G22" s="342">
        <v>0</v>
      </c>
      <c r="H22" s="342">
        <v>0</v>
      </c>
      <c r="I22" s="326">
        <f>G22*H22</f>
        <v>0</v>
      </c>
      <c r="J22" s="321"/>
    </row>
    <row r="23" spans="1:10" ht="10.5" customHeight="1">
      <c r="A23" s="314">
        <v>10</v>
      </c>
      <c r="B23" s="321" t="s">
        <v>56</v>
      </c>
      <c r="C23" s="321" t="s">
        <v>550</v>
      </c>
      <c r="D23" s="321"/>
      <c r="E23" s="321"/>
      <c r="F23" s="389">
        <f>F17</f>
        <v>82373798.620000005</v>
      </c>
      <c r="G23" s="434">
        <f>IF((F23/F24)&gt;0.5475,0.5475,(F23/F24))</f>
        <v>0.54749948636789669</v>
      </c>
      <c r="H23" s="343">
        <v>9.8500000000000004E-2</v>
      </c>
      <c r="I23" s="344">
        <f>G23*H23</f>
        <v>5.3928699407237823E-2</v>
      </c>
      <c r="J23" s="321"/>
    </row>
    <row r="24" spans="1:10" ht="10.5" customHeight="1">
      <c r="A24" s="314">
        <v>11</v>
      </c>
      <c r="B24" s="321" t="s">
        <v>391</v>
      </c>
      <c r="C24" s="321" t="s">
        <v>192</v>
      </c>
      <c r="D24" s="321"/>
      <c r="E24" s="321"/>
      <c r="F24" s="390">
        <f>SUM(F21:F23)</f>
        <v>150454567.85076922</v>
      </c>
      <c r="G24" s="321"/>
      <c r="H24" s="321"/>
      <c r="I24" s="326">
        <f>SUM(I21:I23)</f>
        <v>6.7462468166054473E-2</v>
      </c>
      <c r="J24" s="341" t="s">
        <v>206</v>
      </c>
    </row>
    <row r="25" spans="1:10" ht="10.5" customHeight="1">
      <c r="A25" s="314"/>
      <c r="B25" s="321"/>
      <c r="C25" s="321"/>
      <c r="D25" s="321"/>
      <c r="E25" s="321"/>
      <c r="F25" s="321"/>
      <c r="G25" s="321"/>
      <c r="H25" s="321"/>
      <c r="I25" s="321"/>
      <c r="J25" s="321"/>
    </row>
    <row r="26" spans="1:10" ht="10.5" customHeight="1">
      <c r="A26" s="314"/>
      <c r="B26" s="321"/>
      <c r="C26" s="314" t="s">
        <v>123</v>
      </c>
      <c r="D26" s="314" t="s">
        <v>124</v>
      </c>
      <c r="E26" s="314" t="s">
        <v>193</v>
      </c>
      <c r="F26" s="314" t="s">
        <v>194</v>
      </c>
      <c r="G26" s="314" t="s">
        <v>195</v>
      </c>
      <c r="H26" s="321"/>
      <c r="I26" s="321"/>
      <c r="J26" s="321"/>
    </row>
    <row r="27" spans="1:10" ht="10.5" customHeight="1">
      <c r="A27" s="321"/>
      <c r="B27" s="183" t="s">
        <v>196</v>
      </c>
      <c r="C27" s="183" t="s">
        <v>197</v>
      </c>
      <c r="D27" s="183" t="s">
        <v>198</v>
      </c>
      <c r="E27" s="183" t="s">
        <v>207</v>
      </c>
      <c r="F27" s="345" t="s">
        <v>199</v>
      </c>
      <c r="G27" s="183" t="s">
        <v>200</v>
      </c>
      <c r="H27" s="321"/>
      <c r="I27" s="321"/>
      <c r="J27" s="321"/>
    </row>
    <row r="28" spans="1:10" ht="10.5" customHeight="1">
      <c r="A28" s="129">
        <v>12</v>
      </c>
      <c r="B28" s="321" t="s">
        <v>201</v>
      </c>
      <c r="C28" s="388">
        <v>68850000</v>
      </c>
      <c r="D28" s="185">
        <v>0</v>
      </c>
      <c r="E28" s="388">
        <v>85803398.620000005</v>
      </c>
      <c r="F28" s="185">
        <v>0</v>
      </c>
      <c r="G28" s="185">
        <v>0</v>
      </c>
      <c r="H28" s="321"/>
      <c r="I28" s="321"/>
      <c r="J28" s="321"/>
    </row>
    <row r="29" spans="1:10" ht="10.5" customHeight="1">
      <c r="A29" s="129">
        <v>13</v>
      </c>
      <c r="B29" s="321" t="s">
        <v>140</v>
      </c>
      <c r="C29" s="388">
        <v>68850000</v>
      </c>
      <c r="D29" s="185">
        <v>0</v>
      </c>
      <c r="E29" s="388">
        <v>86540498.620000005</v>
      </c>
      <c r="F29" s="185">
        <v>0</v>
      </c>
      <c r="G29" s="185">
        <v>0</v>
      </c>
      <c r="H29" s="321"/>
      <c r="I29" s="321"/>
      <c r="J29" s="321"/>
    </row>
    <row r="30" spans="1:10" ht="10.5" customHeight="1">
      <c r="A30" s="129">
        <v>14</v>
      </c>
      <c r="B30" s="321" t="s">
        <v>141</v>
      </c>
      <c r="C30" s="388">
        <v>68850000</v>
      </c>
      <c r="D30" s="185">
        <v>0</v>
      </c>
      <c r="E30" s="388">
        <v>87277598.620000005</v>
      </c>
      <c r="F30" s="185">
        <v>0</v>
      </c>
      <c r="G30" s="185">
        <v>0</v>
      </c>
      <c r="H30" s="321"/>
      <c r="I30" s="321"/>
      <c r="J30" s="321"/>
    </row>
    <row r="31" spans="1:10" ht="10.5" customHeight="1">
      <c r="A31" s="129">
        <v>15</v>
      </c>
      <c r="B31" s="321" t="s">
        <v>142</v>
      </c>
      <c r="C31" s="388">
        <v>68850000</v>
      </c>
      <c r="D31" s="185">
        <v>0</v>
      </c>
      <c r="E31" s="388">
        <v>83658398.620000005</v>
      </c>
      <c r="F31" s="185">
        <v>0</v>
      </c>
      <c r="G31" s="185">
        <v>0</v>
      </c>
      <c r="H31" s="321"/>
      <c r="I31" s="321"/>
      <c r="J31" s="321"/>
    </row>
    <row r="32" spans="1:10" ht="10.5" customHeight="1">
      <c r="A32" s="129">
        <v>16</v>
      </c>
      <c r="B32" s="321" t="s">
        <v>143</v>
      </c>
      <c r="C32" s="388">
        <v>68850000</v>
      </c>
      <c r="D32" s="185">
        <v>0</v>
      </c>
      <c r="E32" s="388">
        <v>84395498.620000005</v>
      </c>
      <c r="F32" s="185">
        <v>0</v>
      </c>
      <c r="G32" s="185">
        <v>0</v>
      </c>
      <c r="H32" s="321"/>
      <c r="I32" s="321"/>
      <c r="J32" s="321"/>
    </row>
    <row r="33" spans="1:12" ht="10.5" customHeight="1">
      <c r="A33" s="129">
        <v>17</v>
      </c>
      <c r="B33" s="321" t="s">
        <v>144</v>
      </c>
      <c r="C33" s="388">
        <v>68850000</v>
      </c>
      <c r="D33" s="185">
        <v>0</v>
      </c>
      <c r="E33" s="388">
        <v>85132598.620000005</v>
      </c>
      <c r="F33" s="185">
        <v>0</v>
      </c>
      <c r="G33" s="185">
        <v>0</v>
      </c>
      <c r="H33" s="321"/>
      <c r="I33" s="321"/>
      <c r="J33" s="321"/>
    </row>
    <row r="34" spans="1:12" ht="10.5" customHeight="1">
      <c r="A34" s="129">
        <v>18</v>
      </c>
      <c r="B34" s="321" t="s">
        <v>145</v>
      </c>
      <c r="C34" s="388">
        <v>67600000</v>
      </c>
      <c r="D34" s="185">
        <v>0</v>
      </c>
      <c r="E34" s="388">
        <v>80733398.620000005</v>
      </c>
      <c r="F34" s="185">
        <v>0</v>
      </c>
      <c r="G34" s="185">
        <v>0</v>
      </c>
      <c r="H34" s="321"/>
      <c r="I34" s="321"/>
      <c r="J34" s="321"/>
    </row>
    <row r="35" spans="1:12" ht="10.5" customHeight="1">
      <c r="A35" s="129">
        <v>19</v>
      </c>
      <c r="B35" s="321" t="s">
        <v>146</v>
      </c>
      <c r="C35" s="388">
        <v>67600000</v>
      </c>
      <c r="D35" s="185">
        <v>0</v>
      </c>
      <c r="E35" s="388">
        <v>81470498.620000005</v>
      </c>
      <c r="F35" s="185">
        <v>0</v>
      </c>
      <c r="G35" s="185">
        <v>0</v>
      </c>
      <c r="H35" s="321"/>
      <c r="I35" s="321"/>
      <c r="J35" s="321"/>
    </row>
    <row r="36" spans="1:12" ht="10.5" customHeight="1">
      <c r="A36" s="129">
        <v>20</v>
      </c>
      <c r="B36" s="321" t="s">
        <v>147</v>
      </c>
      <c r="C36" s="388">
        <v>67600000</v>
      </c>
      <c r="D36" s="185">
        <v>0</v>
      </c>
      <c r="E36" s="388">
        <v>82207598.620000005</v>
      </c>
      <c r="F36" s="185">
        <v>0</v>
      </c>
      <c r="G36" s="185">
        <v>0</v>
      </c>
      <c r="H36" s="321"/>
      <c r="I36" s="321"/>
      <c r="J36" s="321"/>
    </row>
    <row r="37" spans="1:12" ht="10.5" customHeight="1">
      <c r="A37" s="129">
        <v>21</v>
      </c>
      <c r="B37" s="321" t="s">
        <v>148</v>
      </c>
      <c r="C37" s="388">
        <v>67600000</v>
      </c>
      <c r="D37" s="185">
        <v>0</v>
      </c>
      <c r="E37" s="388">
        <v>78588398.620000005</v>
      </c>
      <c r="F37" s="185">
        <v>0</v>
      </c>
      <c r="G37" s="185">
        <v>0</v>
      </c>
      <c r="H37" s="321"/>
      <c r="I37" s="321"/>
      <c r="J37" s="321"/>
    </row>
    <row r="38" spans="1:12" ht="10.5" customHeight="1">
      <c r="A38" s="129">
        <v>22</v>
      </c>
      <c r="B38" s="321" t="s">
        <v>149</v>
      </c>
      <c r="C38" s="388">
        <v>67600000</v>
      </c>
      <c r="D38" s="185">
        <v>0</v>
      </c>
      <c r="E38" s="388">
        <v>79325498.620000005</v>
      </c>
      <c r="F38" s="185">
        <v>0</v>
      </c>
      <c r="G38" s="185">
        <v>0</v>
      </c>
      <c r="H38" s="321"/>
      <c r="I38" s="321"/>
      <c r="J38" s="321"/>
    </row>
    <row r="39" spans="1:12" ht="10.5" customHeight="1">
      <c r="A39" s="129">
        <v>23</v>
      </c>
      <c r="B39" s="321" t="s">
        <v>150</v>
      </c>
      <c r="C39" s="388">
        <v>67600000</v>
      </c>
      <c r="D39" s="185">
        <v>0</v>
      </c>
      <c r="E39" s="388">
        <v>80062598.620000005</v>
      </c>
      <c r="F39" s="185">
        <v>0</v>
      </c>
      <c r="G39" s="185">
        <v>0</v>
      </c>
      <c r="H39" s="321"/>
      <c r="I39" s="321"/>
      <c r="J39" s="321"/>
    </row>
    <row r="40" spans="1:12" ht="10.5" customHeight="1">
      <c r="A40" s="129">
        <v>24</v>
      </c>
      <c r="B40" s="20" t="s">
        <v>151</v>
      </c>
      <c r="C40" s="388">
        <v>66350000</v>
      </c>
      <c r="D40" s="185">
        <v>0</v>
      </c>
      <c r="E40" s="388">
        <v>75663398.620000005</v>
      </c>
      <c r="F40" s="185">
        <v>0</v>
      </c>
      <c r="G40" s="185">
        <v>0</v>
      </c>
      <c r="H40" s="321"/>
      <c r="I40" s="321"/>
      <c r="J40" s="321"/>
    </row>
    <row r="41" spans="1:12" ht="10.5" customHeight="1">
      <c r="A41" s="129">
        <v>25</v>
      </c>
      <c r="B41" s="318" t="s">
        <v>270</v>
      </c>
      <c r="C41" s="390">
        <f>AVERAGE(C28:C40)</f>
        <v>68080769.230769232</v>
      </c>
      <c r="D41" s="202">
        <f>AVERAGE(D28:D40)</f>
        <v>0</v>
      </c>
      <c r="E41" s="390">
        <f>AVERAGE(E28:E40)</f>
        <v>82373798.620000005</v>
      </c>
      <c r="F41" s="202">
        <f>AVERAGE(F28:F40)</f>
        <v>0</v>
      </c>
      <c r="G41" s="202">
        <f>AVERAGE(G28:G40)</f>
        <v>0</v>
      </c>
      <c r="H41" s="321"/>
      <c r="I41" s="321"/>
      <c r="J41" s="321"/>
    </row>
    <row r="42" spans="1:12" ht="9.9499999999999993" customHeight="1">
      <c r="A42" s="314"/>
      <c r="B42" s="321"/>
      <c r="C42" s="321"/>
      <c r="D42" s="321"/>
      <c r="E42" s="321"/>
      <c r="F42" s="321"/>
      <c r="G42" s="321"/>
      <c r="H42" s="321"/>
      <c r="I42" s="321"/>
      <c r="J42" s="321"/>
    </row>
    <row r="43" spans="1:12" ht="9.9499999999999993" customHeight="1">
      <c r="A43" s="88" t="s">
        <v>21</v>
      </c>
      <c r="B43" s="321"/>
      <c r="C43" s="321"/>
      <c r="D43" s="321"/>
      <c r="E43" s="321"/>
      <c r="F43" s="321"/>
      <c r="G43" s="321"/>
      <c r="H43" s="321"/>
      <c r="I43" s="321"/>
      <c r="J43" s="321"/>
    </row>
    <row r="44" spans="1:12" ht="25.5" customHeight="1">
      <c r="A44" s="314" t="s">
        <v>424</v>
      </c>
      <c r="B44" s="621" t="s">
        <v>202</v>
      </c>
      <c r="C44" s="621"/>
      <c r="D44" s="621"/>
      <c r="E44" s="621"/>
      <c r="F44" s="621"/>
      <c r="G44" s="621"/>
      <c r="H44" s="621"/>
      <c r="I44" s="621"/>
      <c r="J44" s="621"/>
      <c r="K44" s="321"/>
    </row>
    <row r="45" spans="1:12">
      <c r="A45" s="314" t="s">
        <v>436</v>
      </c>
      <c r="B45" s="321" t="s">
        <v>203</v>
      </c>
      <c r="C45" s="321"/>
      <c r="D45" s="321"/>
      <c r="E45" s="321"/>
      <c r="F45" s="321"/>
      <c r="G45" s="321"/>
      <c r="H45" s="321"/>
      <c r="I45" s="321"/>
      <c r="J45" s="321"/>
      <c r="K45" s="321"/>
    </row>
    <row r="46" spans="1:12" ht="24.75" customHeight="1">
      <c r="A46" s="314" t="s">
        <v>439</v>
      </c>
      <c r="B46" s="618" t="s">
        <v>204</v>
      </c>
      <c r="C46" s="618"/>
      <c r="D46" s="618"/>
      <c r="E46" s="618"/>
      <c r="F46" s="618"/>
      <c r="G46" s="618"/>
      <c r="H46" s="618"/>
      <c r="I46" s="618"/>
      <c r="J46" s="618"/>
      <c r="K46" s="321"/>
    </row>
    <row r="47" spans="1:12">
      <c r="A47" s="314" t="s">
        <v>440</v>
      </c>
      <c r="B47" s="633" t="s">
        <v>563</v>
      </c>
      <c r="C47" s="633"/>
      <c r="D47" s="633"/>
      <c r="E47" s="633"/>
      <c r="F47" s="633"/>
      <c r="G47" s="633"/>
      <c r="H47" s="633"/>
      <c r="I47" s="633"/>
      <c r="J47" s="633"/>
      <c r="K47" s="321"/>
      <c r="L47" s="321"/>
    </row>
    <row r="48" spans="1:12" ht="9.75" customHeight="1">
      <c r="A48" s="314"/>
      <c r="B48" s="321"/>
      <c r="C48" s="321"/>
      <c r="D48" s="321"/>
      <c r="E48" s="321"/>
      <c r="F48" s="321"/>
      <c r="G48" s="321"/>
      <c r="H48" s="321"/>
      <c r="I48" s="321"/>
      <c r="J48" s="321"/>
      <c r="K48" s="321"/>
      <c r="L48" s="321"/>
    </row>
    <row r="49" spans="1:1" ht="9.75" customHeight="1">
      <c r="A49" s="127"/>
    </row>
    <row r="50" spans="1:1" ht="9.75" customHeight="1">
      <c r="A50" s="127"/>
    </row>
    <row r="51" spans="1:1" ht="9.75" customHeight="1"/>
  </sheetData>
  <mergeCells count="7">
    <mergeCell ref="I1:J1"/>
    <mergeCell ref="B44:J44"/>
    <mergeCell ref="B47:J47"/>
    <mergeCell ref="A3:J3"/>
    <mergeCell ref="A4:J4"/>
    <mergeCell ref="A5:J5"/>
    <mergeCell ref="B46:J46"/>
  </mergeCells>
  <phoneticPr fontId="0" type="noConversion"/>
  <printOptions horizontalCentered="1"/>
  <pageMargins left="0.5" right="0.5" top="0.75" bottom="0.75" header="0.3" footer="0.3"/>
  <pageSetup scale="9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zoomScaleNormal="110" zoomScaleSheetLayoutView="100" workbookViewId="0">
      <selection activeCell="G10" sqref="G10"/>
    </sheetView>
  </sheetViews>
  <sheetFormatPr defaultRowHeight="12"/>
  <cols>
    <col min="1" max="1" width="6.83203125" style="126" customWidth="1"/>
    <col min="2" max="2" width="42.5" style="126" customWidth="1"/>
    <col min="3" max="3" width="9.33203125" style="126"/>
    <col min="4" max="5" width="17" style="126" customWidth="1"/>
    <col min="6" max="6" width="14.5" style="126" customWidth="1"/>
    <col min="7" max="7" width="14.33203125" style="126" customWidth="1"/>
    <col min="8" max="9" width="15.83203125" style="126" customWidth="1"/>
    <col min="10" max="16384" width="9.33203125" style="126"/>
  </cols>
  <sheetData>
    <row r="1" spans="1:11">
      <c r="B1" s="129"/>
      <c r="C1" s="129"/>
      <c r="D1" s="321"/>
      <c r="E1" s="321"/>
      <c r="F1" s="321"/>
      <c r="G1" s="321"/>
      <c r="H1" s="8"/>
      <c r="I1" s="40" t="s">
        <v>67</v>
      </c>
      <c r="K1" s="127"/>
    </row>
    <row r="2" spans="1:11">
      <c r="B2" s="129"/>
      <c r="C2" s="129"/>
      <c r="D2" s="321"/>
      <c r="E2" s="321"/>
      <c r="F2" s="321"/>
      <c r="G2" s="321"/>
      <c r="H2" s="8"/>
      <c r="I2" s="128" t="s">
        <v>821</v>
      </c>
      <c r="K2" s="127"/>
    </row>
    <row r="3" spans="1:11">
      <c r="B3" s="604" t="s">
        <v>208</v>
      </c>
      <c r="C3" s="604"/>
      <c r="D3" s="604"/>
      <c r="E3" s="604"/>
      <c r="F3" s="604"/>
      <c r="G3" s="604"/>
      <c r="H3" s="604"/>
      <c r="I3" s="604"/>
    </row>
    <row r="4" spans="1:11">
      <c r="B4" s="604" t="s">
        <v>209</v>
      </c>
      <c r="C4" s="604"/>
      <c r="D4" s="604"/>
      <c r="E4" s="604"/>
      <c r="F4" s="604"/>
      <c r="G4" s="604"/>
      <c r="H4" s="604"/>
      <c r="I4" s="604"/>
    </row>
    <row r="5" spans="1:11">
      <c r="B5" s="605" t="s">
        <v>743</v>
      </c>
      <c r="C5" s="606"/>
      <c r="D5" s="606"/>
      <c r="E5" s="606"/>
      <c r="F5" s="606"/>
      <c r="G5" s="606"/>
      <c r="H5" s="606"/>
      <c r="I5" s="606"/>
    </row>
    <row r="6" spans="1:11">
      <c r="B6" s="321"/>
      <c r="C6" s="321"/>
      <c r="D6" s="321"/>
      <c r="E6" s="321"/>
      <c r="F6" s="321"/>
      <c r="G6" s="321"/>
      <c r="H6" s="321"/>
    </row>
    <row r="7" spans="1:11">
      <c r="A7" s="315" t="s">
        <v>70</v>
      </c>
      <c r="B7" s="346">
        <v>2020</v>
      </c>
      <c r="C7" s="321"/>
      <c r="D7" s="346">
        <v>2020</v>
      </c>
      <c r="E7" s="321"/>
      <c r="F7" s="321"/>
      <c r="G7" s="321"/>
      <c r="H7" s="321"/>
    </row>
    <row r="8" spans="1:11">
      <c r="B8" s="634" t="s">
        <v>210</v>
      </c>
      <c r="C8" s="321"/>
      <c r="D8" s="636" t="s">
        <v>212</v>
      </c>
      <c r="E8" s="321"/>
      <c r="F8" s="636" t="s">
        <v>214</v>
      </c>
      <c r="G8" s="321"/>
      <c r="H8" s="321"/>
    </row>
    <row r="9" spans="1:11">
      <c r="B9" s="635"/>
      <c r="C9" s="321"/>
      <c r="D9" s="637"/>
      <c r="E9" s="321"/>
      <c r="F9" s="637"/>
      <c r="G9" s="321"/>
      <c r="H9" s="321"/>
    </row>
    <row r="10" spans="1:11">
      <c r="B10" s="635"/>
      <c r="C10" s="321"/>
      <c r="D10" s="265"/>
      <c r="E10" s="321"/>
      <c r="F10" s="265"/>
      <c r="G10" s="321"/>
      <c r="H10" s="321"/>
    </row>
    <row r="11" spans="1:11">
      <c r="A11" s="314">
        <v>1</v>
      </c>
      <c r="B11" s="508">
        <v>13704562.919999998</v>
      </c>
      <c r="C11" s="319" t="s">
        <v>211</v>
      </c>
      <c r="D11" s="509">
        <v>14074982.492501186</v>
      </c>
      <c r="E11" s="319" t="s">
        <v>213</v>
      </c>
      <c r="F11" s="511">
        <f>B11-D11</f>
        <v>-370419.57250118814</v>
      </c>
      <c r="G11" s="321"/>
      <c r="H11" s="321"/>
    </row>
    <row r="12" spans="1:11">
      <c r="A12" s="314"/>
      <c r="B12" s="321"/>
      <c r="C12" s="321"/>
      <c r="D12" s="321"/>
      <c r="E12" s="321"/>
      <c r="F12" s="321"/>
      <c r="G12" s="321"/>
      <c r="H12" s="321"/>
    </row>
    <row r="13" spans="1:11">
      <c r="A13" s="314"/>
      <c r="B13" s="321" t="s">
        <v>468</v>
      </c>
      <c r="C13" s="321"/>
      <c r="D13" s="321"/>
      <c r="E13" s="321"/>
      <c r="F13" s="321"/>
      <c r="G13" s="321"/>
      <c r="H13" s="321"/>
    </row>
    <row r="14" spans="1:11">
      <c r="A14" s="314"/>
      <c r="B14" s="321" t="s">
        <v>467</v>
      </c>
      <c r="C14" s="321"/>
      <c r="D14" s="321"/>
      <c r="E14" s="321"/>
      <c r="F14" s="321"/>
      <c r="G14" s="321"/>
      <c r="H14" s="321"/>
    </row>
    <row r="15" spans="1:11">
      <c r="A15" s="314"/>
      <c r="B15" s="35"/>
      <c r="C15" s="35"/>
      <c r="D15" s="35"/>
      <c r="E15" s="35"/>
      <c r="F15" s="35"/>
      <c r="G15" s="35"/>
      <c r="H15" s="35"/>
    </row>
    <row r="16" spans="1:11" ht="36">
      <c r="A16" s="314"/>
      <c r="B16" s="347" t="s">
        <v>215</v>
      </c>
      <c r="C16" s="180"/>
      <c r="D16" s="180" t="s">
        <v>216</v>
      </c>
      <c r="E16" s="180" t="s">
        <v>217</v>
      </c>
      <c r="F16" s="180" t="s">
        <v>218</v>
      </c>
      <c r="G16" s="180" t="s">
        <v>219</v>
      </c>
      <c r="H16" s="180" t="s">
        <v>229</v>
      </c>
      <c r="I16" s="348" t="s">
        <v>220</v>
      </c>
    </row>
    <row r="17" spans="1:9">
      <c r="A17" s="314">
        <v>2</v>
      </c>
      <c r="B17" s="321"/>
      <c r="C17" s="321"/>
      <c r="D17" s="321"/>
      <c r="E17" s="349">
        <f>'Attachment 6a'!F30</f>
        <v>3.2117647058823532E-3</v>
      </c>
      <c r="F17" s="321"/>
      <c r="G17" s="321"/>
      <c r="H17" s="321"/>
    </row>
    <row r="18" spans="1:9">
      <c r="A18" s="314"/>
      <c r="B18" s="321"/>
      <c r="C18" s="321"/>
      <c r="D18" s="321"/>
      <c r="E18" s="321"/>
      <c r="F18" s="321"/>
      <c r="G18" s="321"/>
      <c r="H18" s="321"/>
    </row>
    <row r="19" spans="1:9">
      <c r="A19" s="314"/>
      <c r="B19" s="350" t="s">
        <v>544</v>
      </c>
      <c r="C19" s="321"/>
      <c r="D19" s="321"/>
      <c r="E19" s="321"/>
      <c r="F19" s="321"/>
      <c r="G19" s="321"/>
      <c r="H19" s="321"/>
    </row>
    <row r="20" spans="1:9">
      <c r="A20" s="314"/>
      <c r="B20" s="321"/>
      <c r="C20" s="321"/>
      <c r="D20" s="321"/>
      <c r="E20" s="321"/>
      <c r="F20" s="321"/>
      <c r="G20" s="321"/>
      <c r="H20" s="321"/>
    </row>
    <row r="21" spans="1:9">
      <c r="A21" s="314"/>
      <c r="B21" s="321"/>
      <c r="C21" s="321"/>
      <c r="D21" s="321"/>
      <c r="E21" s="321"/>
      <c r="F21" s="321"/>
      <c r="G21" s="321"/>
      <c r="H21" s="321"/>
    </row>
    <row r="22" spans="1:9">
      <c r="A22" s="314"/>
      <c r="B22" s="351" t="s">
        <v>221</v>
      </c>
      <c r="C22" s="321"/>
      <c r="D22" s="321"/>
      <c r="E22" s="124"/>
      <c r="F22" s="321"/>
      <c r="G22" s="319" t="s">
        <v>222</v>
      </c>
      <c r="H22" s="321"/>
    </row>
    <row r="23" spans="1:9">
      <c r="A23" s="314">
        <v>3</v>
      </c>
      <c r="B23" s="321" t="s">
        <v>140</v>
      </c>
      <c r="C23" s="197">
        <v>2020</v>
      </c>
      <c r="D23" s="352">
        <f>$F$11/12</f>
        <v>-30868.297708432347</v>
      </c>
      <c r="E23" s="353">
        <f>$E$17</f>
        <v>3.2117647058823532E-3</v>
      </c>
      <c r="F23" s="314">
        <v>12</v>
      </c>
      <c r="G23" s="352">
        <f>D23*E23*F23*-1</f>
        <v>1189.7005093273456</v>
      </c>
      <c r="H23" s="167"/>
      <c r="I23" s="352">
        <f>(-G23+D23)*-1</f>
        <v>32057.99821775969</v>
      </c>
    </row>
    <row r="24" spans="1:9">
      <c r="A24" s="314">
        <v>4</v>
      </c>
      <c r="B24" s="321" t="s">
        <v>141</v>
      </c>
      <c r="C24" s="197">
        <v>2020</v>
      </c>
      <c r="D24" s="352">
        <f t="shared" ref="D24:D34" si="0">$F$11/12</f>
        <v>-30868.297708432347</v>
      </c>
      <c r="E24" s="353">
        <f t="shared" ref="E24:E52" si="1">$E$17</f>
        <v>3.2117647058823532E-3</v>
      </c>
      <c r="F24" s="314">
        <v>11</v>
      </c>
      <c r="G24" s="352">
        <f t="shared" ref="G24:G34" si="2">D24*E24*F24*-1</f>
        <v>1090.5588002167333</v>
      </c>
      <c r="H24" s="167"/>
      <c r="I24" s="352">
        <f t="shared" ref="I24:I34" si="3">(-G24+D24)*-1</f>
        <v>31958.856508649078</v>
      </c>
    </row>
    <row r="25" spans="1:9">
      <c r="A25" s="314">
        <v>5</v>
      </c>
      <c r="B25" s="321" t="s">
        <v>142</v>
      </c>
      <c r="C25" s="197">
        <v>2020</v>
      </c>
      <c r="D25" s="352">
        <f t="shared" si="0"/>
        <v>-30868.297708432347</v>
      </c>
      <c r="E25" s="353">
        <f t="shared" si="1"/>
        <v>3.2117647058823532E-3</v>
      </c>
      <c r="F25" s="314">
        <v>10</v>
      </c>
      <c r="G25" s="352">
        <f t="shared" si="2"/>
        <v>991.41709110612123</v>
      </c>
      <c r="H25" s="167"/>
      <c r="I25" s="352">
        <f t="shared" si="3"/>
        <v>31859.714799538469</v>
      </c>
    </row>
    <row r="26" spans="1:9">
      <c r="A26" s="314">
        <v>6</v>
      </c>
      <c r="B26" s="321" t="s">
        <v>143</v>
      </c>
      <c r="C26" s="197">
        <v>2020</v>
      </c>
      <c r="D26" s="352">
        <f t="shared" si="0"/>
        <v>-30868.297708432347</v>
      </c>
      <c r="E26" s="353">
        <f t="shared" si="1"/>
        <v>3.2117647058823532E-3</v>
      </c>
      <c r="F26" s="314">
        <v>9</v>
      </c>
      <c r="G26" s="352">
        <f t="shared" si="2"/>
        <v>892.27538199550918</v>
      </c>
      <c r="H26" s="167"/>
      <c r="I26" s="352">
        <f t="shared" si="3"/>
        <v>31760.573090427857</v>
      </c>
    </row>
    <row r="27" spans="1:9">
      <c r="A27" s="314">
        <v>7</v>
      </c>
      <c r="B27" s="321" t="s">
        <v>144</v>
      </c>
      <c r="C27" s="197">
        <v>2020</v>
      </c>
      <c r="D27" s="352">
        <f t="shared" si="0"/>
        <v>-30868.297708432347</v>
      </c>
      <c r="E27" s="353">
        <f t="shared" si="1"/>
        <v>3.2117647058823532E-3</v>
      </c>
      <c r="F27" s="314">
        <v>8</v>
      </c>
      <c r="G27" s="352">
        <f t="shared" si="2"/>
        <v>793.13367288489701</v>
      </c>
      <c r="H27" s="167"/>
      <c r="I27" s="352">
        <f t="shared" si="3"/>
        <v>31661.431381317245</v>
      </c>
    </row>
    <row r="28" spans="1:9">
      <c r="A28" s="314">
        <v>8</v>
      </c>
      <c r="B28" s="321" t="s">
        <v>145</v>
      </c>
      <c r="C28" s="197">
        <v>2020</v>
      </c>
      <c r="D28" s="352">
        <f t="shared" si="0"/>
        <v>-30868.297708432347</v>
      </c>
      <c r="E28" s="353">
        <f t="shared" si="1"/>
        <v>3.2117647058823532E-3</v>
      </c>
      <c r="F28" s="314">
        <v>7</v>
      </c>
      <c r="G28" s="352">
        <f t="shared" si="2"/>
        <v>693.99196377428484</v>
      </c>
      <c r="H28" s="167"/>
      <c r="I28" s="352">
        <f t="shared" si="3"/>
        <v>31562.289672206633</v>
      </c>
    </row>
    <row r="29" spans="1:9">
      <c r="A29" s="314">
        <v>9</v>
      </c>
      <c r="B29" s="321" t="s">
        <v>146</v>
      </c>
      <c r="C29" s="197">
        <v>2020</v>
      </c>
      <c r="D29" s="352">
        <f t="shared" si="0"/>
        <v>-30868.297708432347</v>
      </c>
      <c r="E29" s="353">
        <f t="shared" si="1"/>
        <v>3.2117647058823532E-3</v>
      </c>
      <c r="F29" s="314">
        <v>6</v>
      </c>
      <c r="G29" s="352">
        <f t="shared" si="2"/>
        <v>594.85025466367279</v>
      </c>
      <c r="H29" s="167"/>
      <c r="I29" s="352">
        <f t="shared" si="3"/>
        <v>31463.14796309602</v>
      </c>
    </row>
    <row r="30" spans="1:9">
      <c r="A30" s="314">
        <v>10</v>
      </c>
      <c r="B30" s="321" t="s">
        <v>147</v>
      </c>
      <c r="C30" s="197">
        <v>2020</v>
      </c>
      <c r="D30" s="352">
        <f t="shared" si="0"/>
        <v>-30868.297708432347</v>
      </c>
      <c r="E30" s="353">
        <f t="shared" si="1"/>
        <v>3.2117647058823532E-3</v>
      </c>
      <c r="F30" s="314">
        <v>5</v>
      </c>
      <c r="G30" s="352">
        <f t="shared" si="2"/>
        <v>495.70854555306062</v>
      </c>
      <c r="H30" s="167"/>
      <c r="I30" s="352">
        <f t="shared" si="3"/>
        <v>31364.006253985408</v>
      </c>
    </row>
    <row r="31" spans="1:9">
      <c r="A31" s="314">
        <v>11</v>
      </c>
      <c r="B31" s="321" t="s">
        <v>148</v>
      </c>
      <c r="C31" s="197">
        <v>2020</v>
      </c>
      <c r="D31" s="352">
        <f t="shared" si="0"/>
        <v>-30868.297708432347</v>
      </c>
      <c r="E31" s="353">
        <f t="shared" si="1"/>
        <v>3.2117647058823532E-3</v>
      </c>
      <c r="F31" s="314">
        <v>4</v>
      </c>
      <c r="G31" s="352">
        <f t="shared" si="2"/>
        <v>396.5668364424485</v>
      </c>
      <c r="H31" s="167"/>
      <c r="I31" s="352">
        <f t="shared" si="3"/>
        <v>31264.864544874796</v>
      </c>
    </row>
    <row r="32" spans="1:9">
      <c r="A32" s="314">
        <v>12</v>
      </c>
      <c r="B32" s="321" t="s">
        <v>149</v>
      </c>
      <c r="C32" s="197">
        <v>2020</v>
      </c>
      <c r="D32" s="352">
        <f t="shared" si="0"/>
        <v>-30868.297708432347</v>
      </c>
      <c r="E32" s="353">
        <f t="shared" si="1"/>
        <v>3.2117647058823532E-3</v>
      </c>
      <c r="F32" s="314">
        <v>3</v>
      </c>
      <c r="G32" s="352">
        <f t="shared" si="2"/>
        <v>297.42512733183639</v>
      </c>
      <c r="H32" s="167"/>
      <c r="I32" s="352">
        <f t="shared" si="3"/>
        <v>31165.722835764183</v>
      </c>
    </row>
    <row r="33" spans="1:9">
      <c r="A33" s="314">
        <v>13</v>
      </c>
      <c r="B33" s="321" t="s">
        <v>150</v>
      </c>
      <c r="C33" s="197">
        <v>2020</v>
      </c>
      <c r="D33" s="352">
        <f t="shared" si="0"/>
        <v>-30868.297708432347</v>
      </c>
      <c r="E33" s="353">
        <f t="shared" si="1"/>
        <v>3.2117647058823532E-3</v>
      </c>
      <c r="F33" s="314">
        <v>2</v>
      </c>
      <c r="G33" s="352">
        <f t="shared" si="2"/>
        <v>198.28341822122425</v>
      </c>
      <c r="H33" s="167"/>
      <c r="I33" s="352">
        <f t="shared" si="3"/>
        <v>31066.581126653571</v>
      </c>
    </row>
    <row r="34" spans="1:9">
      <c r="A34" s="314">
        <v>14</v>
      </c>
      <c r="B34" s="321" t="s">
        <v>151</v>
      </c>
      <c r="C34" s="197">
        <v>2020</v>
      </c>
      <c r="D34" s="352">
        <f t="shared" si="0"/>
        <v>-30868.297708432347</v>
      </c>
      <c r="E34" s="353">
        <f t="shared" si="1"/>
        <v>3.2117647058823532E-3</v>
      </c>
      <c r="F34" s="314">
        <v>1</v>
      </c>
      <c r="G34" s="354">
        <f t="shared" si="2"/>
        <v>99.141709110612126</v>
      </c>
      <c r="H34" s="167"/>
      <c r="I34" s="354">
        <f t="shared" si="3"/>
        <v>30967.439417542959</v>
      </c>
    </row>
    <row r="35" spans="1:9">
      <c r="A35" s="314">
        <v>15</v>
      </c>
      <c r="B35" s="321"/>
      <c r="C35" s="321"/>
      <c r="D35" s="321"/>
      <c r="E35" s="355"/>
      <c r="F35" s="314"/>
      <c r="G35" s="356">
        <f>SUM(G23:G34)</f>
        <v>7733.0533106277453</v>
      </c>
      <c r="H35" s="167"/>
      <c r="I35" s="357">
        <f>SUM(I23:I34)</f>
        <v>378152.6258118159</v>
      </c>
    </row>
    <row r="36" spans="1:9">
      <c r="A36" s="314"/>
      <c r="B36" s="321"/>
      <c r="C36" s="321"/>
      <c r="D36" s="321"/>
      <c r="E36" s="355"/>
      <c r="F36" s="314"/>
      <c r="G36" s="321"/>
      <c r="H36" s="167"/>
      <c r="I36" s="221"/>
    </row>
    <row r="37" spans="1:9">
      <c r="A37" s="314"/>
      <c r="B37" s="321"/>
      <c r="C37" s="321"/>
      <c r="D37" s="321"/>
      <c r="E37" s="355"/>
      <c r="F37" s="314"/>
      <c r="G37" s="319" t="s">
        <v>224</v>
      </c>
      <c r="H37" s="167"/>
      <c r="I37" s="221"/>
    </row>
    <row r="38" spans="1:9">
      <c r="A38" s="314">
        <v>16</v>
      </c>
      <c r="B38" s="321" t="s">
        <v>223</v>
      </c>
      <c r="C38" s="197">
        <v>2021</v>
      </c>
      <c r="D38" s="358">
        <f>I35</f>
        <v>378152.6258118159</v>
      </c>
      <c r="E38" s="353">
        <f>$E$17</f>
        <v>3.2117647058823532E-3</v>
      </c>
      <c r="F38" s="314">
        <v>12</v>
      </c>
      <c r="G38" s="352">
        <f>D38*E38*F38</f>
        <v>14574.447084229516</v>
      </c>
      <c r="H38" s="167"/>
      <c r="I38" s="352">
        <f>G38+D38</f>
        <v>392727.0728960454</v>
      </c>
    </row>
    <row r="39" spans="1:9">
      <c r="A39" s="314"/>
      <c r="B39" s="321"/>
      <c r="C39" s="321"/>
      <c r="D39" s="321"/>
      <c r="E39" s="355"/>
      <c r="F39" s="314"/>
      <c r="G39" s="321"/>
      <c r="H39" s="167"/>
      <c r="I39" s="221"/>
    </row>
    <row r="40" spans="1:9">
      <c r="A40" s="314"/>
      <c r="B40" s="36" t="s">
        <v>225</v>
      </c>
      <c r="C40" s="321"/>
      <c r="D40" s="321"/>
      <c r="E40" s="355"/>
      <c r="F40" s="314"/>
      <c r="G40" s="319" t="s">
        <v>222</v>
      </c>
      <c r="H40" s="167"/>
      <c r="I40" s="221"/>
    </row>
    <row r="41" spans="1:9">
      <c r="A41" s="314">
        <v>17</v>
      </c>
      <c r="B41" s="321" t="s">
        <v>140</v>
      </c>
      <c r="C41" s="197">
        <v>2022</v>
      </c>
      <c r="D41" s="352">
        <f>-I38</f>
        <v>-392727.0728960454</v>
      </c>
      <c r="E41" s="353">
        <f t="shared" si="1"/>
        <v>3.2117647058823532E-3</v>
      </c>
      <c r="F41" s="314"/>
      <c r="G41" s="352">
        <f>D41*E41*-1</f>
        <v>1261.3469517720048</v>
      </c>
      <c r="H41" s="352">
        <f>PMT(E41,12,I38)</f>
        <v>-33414.502143688682</v>
      </c>
      <c r="I41" s="352">
        <f>(D41+D41*E41-H41)*-1</f>
        <v>360573.91770412872</v>
      </c>
    </row>
    <row r="42" spans="1:9">
      <c r="A42" s="314">
        <v>18</v>
      </c>
      <c r="B42" s="321" t="s">
        <v>141</v>
      </c>
      <c r="C42" s="197">
        <v>2022</v>
      </c>
      <c r="D42" s="352">
        <f>-I41</f>
        <v>-360573.91770412872</v>
      </c>
      <c r="E42" s="353">
        <f t="shared" si="1"/>
        <v>3.2117647058823532E-3</v>
      </c>
      <c r="F42" s="314"/>
      <c r="G42" s="352">
        <f t="shared" ref="G42:G52" si="4">D42*E42*-1</f>
        <v>1158.0785827438488</v>
      </c>
      <c r="H42" s="352">
        <f>$H$41</f>
        <v>-33414.502143688682</v>
      </c>
      <c r="I42" s="352">
        <f t="shared" ref="I42:I52" si="5">(D42+D42*E42-H42)*-1</f>
        <v>328317.49414318387</v>
      </c>
    </row>
    <row r="43" spans="1:9">
      <c r="A43" s="314">
        <v>19</v>
      </c>
      <c r="B43" s="321" t="s">
        <v>142</v>
      </c>
      <c r="C43" s="197">
        <v>2022</v>
      </c>
      <c r="D43" s="352">
        <f t="shared" ref="D43:D52" si="6">-I42</f>
        <v>-328317.49414318387</v>
      </c>
      <c r="E43" s="353">
        <f t="shared" si="1"/>
        <v>3.2117647058823532E-3</v>
      </c>
      <c r="F43" s="314"/>
      <c r="G43" s="352">
        <f t="shared" si="4"/>
        <v>1054.4785400128142</v>
      </c>
      <c r="H43" s="352">
        <f t="shared" ref="H43:H52" si="7">$H$41</f>
        <v>-33414.502143688682</v>
      </c>
      <c r="I43" s="352">
        <f t="shared" si="5"/>
        <v>295957.47053950798</v>
      </c>
    </row>
    <row r="44" spans="1:9">
      <c r="A44" s="314">
        <v>20</v>
      </c>
      <c r="B44" s="321" t="s">
        <v>143</v>
      </c>
      <c r="C44" s="197">
        <v>2022</v>
      </c>
      <c r="D44" s="352">
        <f t="shared" si="6"/>
        <v>-295957.47053950798</v>
      </c>
      <c r="E44" s="353">
        <f t="shared" si="1"/>
        <v>3.2117647058823532E-3</v>
      </c>
      <c r="F44" s="314"/>
      <c r="G44" s="352">
        <f t="shared" si="4"/>
        <v>950.54575832100807</v>
      </c>
      <c r="H44" s="352">
        <f t="shared" si="7"/>
        <v>-33414.502143688682</v>
      </c>
      <c r="I44" s="352">
        <f t="shared" si="5"/>
        <v>263493.51415414031</v>
      </c>
    </row>
    <row r="45" spans="1:9">
      <c r="A45" s="314">
        <v>21</v>
      </c>
      <c r="B45" s="321" t="s">
        <v>144</v>
      </c>
      <c r="C45" s="197">
        <v>2022</v>
      </c>
      <c r="D45" s="352">
        <f t="shared" si="6"/>
        <v>-263493.51415414031</v>
      </c>
      <c r="E45" s="353">
        <f t="shared" si="1"/>
        <v>3.2117647058823532E-3</v>
      </c>
      <c r="F45" s="314"/>
      <c r="G45" s="352">
        <f t="shared" si="4"/>
        <v>846.27916898918011</v>
      </c>
      <c r="H45" s="352">
        <f t="shared" si="7"/>
        <v>-33414.502143688682</v>
      </c>
      <c r="I45" s="352">
        <f t="shared" si="5"/>
        <v>230925.2911794408</v>
      </c>
    </row>
    <row r="46" spans="1:9">
      <c r="A46" s="314">
        <v>22</v>
      </c>
      <c r="B46" s="321" t="s">
        <v>145</v>
      </c>
      <c r="C46" s="197">
        <v>2022</v>
      </c>
      <c r="D46" s="352">
        <f t="shared" si="6"/>
        <v>-230925.2911794408</v>
      </c>
      <c r="E46" s="353">
        <f t="shared" si="1"/>
        <v>3.2117647058823532E-3</v>
      </c>
      <c r="F46" s="314"/>
      <c r="G46" s="352">
        <f t="shared" si="4"/>
        <v>741.67769990573345</v>
      </c>
      <c r="H46" s="352">
        <f t="shared" si="7"/>
        <v>-33414.502143688682</v>
      </c>
      <c r="I46" s="352">
        <f t="shared" si="5"/>
        <v>198252.46673565786</v>
      </c>
    </row>
    <row r="47" spans="1:9">
      <c r="A47" s="314">
        <v>23</v>
      </c>
      <c r="B47" s="321" t="s">
        <v>146</v>
      </c>
      <c r="C47" s="197">
        <v>2022</v>
      </c>
      <c r="D47" s="352">
        <f t="shared" si="6"/>
        <v>-198252.46673565786</v>
      </c>
      <c r="E47" s="353">
        <f t="shared" si="1"/>
        <v>3.2117647058823532E-3</v>
      </c>
      <c r="F47" s="314"/>
      <c r="G47" s="352">
        <f t="shared" si="4"/>
        <v>636.74027551570111</v>
      </c>
      <c r="H47" s="352">
        <f t="shared" si="7"/>
        <v>-33414.502143688682</v>
      </c>
      <c r="I47" s="352">
        <f t="shared" si="5"/>
        <v>165474.70486748489</v>
      </c>
    </row>
    <row r="48" spans="1:9">
      <c r="A48" s="314">
        <v>24</v>
      </c>
      <c r="B48" s="321" t="s">
        <v>147</v>
      </c>
      <c r="C48" s="197">
        <v>2022</v>
      </c>
      <c r="D48" s="352">
        <f t="shared" si="6"/>
        <v>-165474.70486748489</v>
      </c>
      <c r="E48" s="353">
        <f t="shared" si="1"/>
        <v>3.2117647058823532E-3</v>
      </c>
      <c r="F48" s="314"/>
      <c r="G48" s="352">
        <f t="shared" si="4"/>
        <v>531.46581680968677</v>
      </c>
      <c r="H48" s="352">
        <f t="shared" si="7"/>
        <v>-33414.502143688682</v>
      </c>
      <c r="I48" s="352">
        <f t="shared" si="5"/>
        <v>132591.6685406059</v>
      </c>
    </row>
    <row r="49" spans="1:9">
      <c r="A49" s="314">
        <v>25</v>
      </c>
      <c r="B49" s="321" t="s">
        <v>148</v>
      </c>
      <c r="C49" s="197">
        <v>2022</v>
      </c>
      <c r="D49" s="352">
        <f t="shared" si="6"/>
        <v>-132591.6685406059</v>
      </c>
      <c r="E49" s="353">
        <f t="shared" si="1"/>
        <v>3.2117647058823532E-3</v>
      </c>
      <c r="F49" s="314"/>
      <c r="G49" s="352">
        <f t="shared" si="4"/>
        <v>425.85324131276957</v>
      </c>
      <c r="H49" s="352">
        <f t="shared" si="7"/>
        <v>-33414.502143688682</v>
      </c>
      <c r="I49" s="352">
        <f t="shared" si="5"/>
        <v>99603.019638230006</v>
      </c>
    </row>
    <row r="50" spans="1:9">
      <c r="A50" s="314">
        <v>26</v>
      </c>
      <c r="B50" s="321" t="s">
        <v>149</v>
      </c>
      <c r="C50" s="197">
        <v>2022</v>
      </c>
      <c r="D50" s="352">
        <f t="shared" si="6"/>
        <v>-99603.019638230006</v>
      </c>
      <c r="E50" s="353">
        <f t="shared" si="1"/>
        <v>3.2117647058823532E-3</v>
      </c>
      <c r="F50" s="314"/>
      <c r="G50" s="352">
        <f t="shared" si="4"/>
        <v>319.90146307337403</v>
      </c>
      <c r="H50" s="352">
        <f t="shared" si="7"/>
        <v>-33414.502143688682</v>
      </c>
      <c r="I50" s="352">
        <f t="shared" si="5"/>
        <v>66508.418957614689</v>
      </c>
    </row>
    <row r="51" spans="1:9">
      <c r="A51" s="314">
        <v>27</v>
      </c>
      <c r="B51" s="321" t="s">
        <v>150</v>
      </c>
      <c r="C51" s="197">
        <v>2022</v>
      </c>
      <c r="D51" s="352">
        <f t="shared" si="6"/>
        <v>-66508.418957614689</v>
      </c>
      <c r="E51" s="353">
        <f t="shared" si="1"/>
        <v>3.2117647058823532E-3</v>
      </c>
      <c r="F51" s="314"/>
      <c r="G51" s="352">
        <f t="shared" si="4"/>
        <v>213.60939265210368</v>
      </c>
      <c r="H51" s="352">
        <f t="shared" si="7"/>
        <v>-33414.502143688682</v>
      </c>
      <c r="I51" s="352">
        <f t="shared" si="5"/>
        <v>33307.526206578106</v>
      </c>
    </row>
    <row r="52" spans="1:9">
      <c r="A52" s="314">
        <v>28</v>
      </c>
      <c r="B52" s="321" t="s">
        <v>151</v>
      </c>
      <c r="C52" s="197">
        <v>2022</v>
      </c>
      <c r="D52" s="352">
        <f t="shared" si="6"/>
        <v>-33307.526206578106</v>
      </c>
      <c r="E52" s="353">
        <f t="shared" si="1"/>
        <v>3.2117647058823532E-3</v>
      </c>
      <c r="F52" s="314"/>
      <c r="G52" s="352">
        <f t="shared" si="4"/>
        <v>106.97593711053911</v>
      </c>
      <c r="H52" s="352">
        <f t="shared" si="7"/>
        <v>-33414.502143688682</v>
      </c>
      <c r="I52" s="354">
        <f t="shared" si="5"/>
        <v>-3.637978807091713E-11</v>
      </c>
    </row>
    <row r="53" spans="1:9">
      <c r="A53" s="314">
        <v>29</v>
      </c>
      <c r="B53" s="321"/>
      <c r="C53" s="321"/>
      <c r="D53" s="321"/>
      <c r="E53" s="124"/>
      <c r="F53" s="321"/>
      <c r="G53" s="359">
        <f>SUM(G41:G52)</f>
        <v>8246.9528282187621</v>
      </c>
      <c r="H53" s="167"/>
      <c r="I53" s="360"/>
    </row>
    <row r="54" spans="1:9">
      <c r="A54" s="314"/>
      <c r="B54" s="321"/>
      <c r="C54" s="321"/>
      <c r="D54" s="321"/>
      <c r="E54" s="321"/>
      <c r="F54" s="321"/>
      <c r="G54" s="321"/>
      <c r="H54" s="167"/>
      <c r="I54" s="167"/>
    </row>
    <row r="55" spans="1:9">
      <c r="A55" s="314">
        <v>30</v>
      </c>
      <c r="B55" s="321" t="s">
        <v>226</v>
      </c>
      <c r="C55" s="321"/>
      <c r="D55" s="167"/>
      <c r="E55" s="321"/>
      <c r="F55" s="321"/>
      <c r="G55" s="167"/>
      <c r="H55" s="352">
        <f>SUM(H41:H52)*-1</f>
        <v>400974.02572426415</v>
      </c>
      <c r="I55" s="167"/>
    </row>
    <row r="56" spans="1:9">
      <c r="A56" s="314">
        <v>31</v>
      </c>
      <c r="B56" s="321" t="s">
        <v>227</v>
      </c>
      <c r="C56" s="321"/>
      <c r="D56" s="167"/>
      <c r="E56" s="321"/>
      <c r="F56" s="321"/>
      <c r="G56" s="167"/>
      <c r="H56" s="352">
        <f>F11</f>
        <v>-370419.57250118814</v>
      </c>
      <c r="I56" s="167"/>
    </row>
    <row r="57" spans="1:9">
      <c r="A57" s="314">
        <v>32</v>
      </c>
      <c r="B57" s="321" t="s">
        <v>228</v>
      </c>
      <c r="C57" s="321"/>
      <c r="D57" s="167"/>
      <c r="E57" s="321"/>
      <c r="F57" s="321"/>
      <c r="G57" s="167"/>
      <c r="H57" s="352">
        <f>H55+H56</f>
        <v>30554.453223076009</v>
      </c>
      <c r="I57" s="167"/>
    </row>
    <row r="58" spans="1:9">
      <c r="A58" s="314"/>
      <c r="B58" s="321"/>
      <c r="C58" s="321"/>
      <c r="D58" s="321"/>
      <c r="E58" s="321"/>
      <c r="F58" s="321"/>
      <c r="G58" s="321"/>
      <c r="H58" s="321"/>
    </row>
    <row r="59" spans="1:9" ht="9.75" customHeight="1">
      <c r="B59" s="321"/>
      <c r="C59" s="321"/>
      <c r="D59" s="321"/>
      <c r="E59" s="321"/>
      <c r="F59" s="321"/>
      <c r="G59" s="321"/>
      <c r="H59" s="321"/>
    </row>
    <row r="60" spans="1:9" ht="9.75" customHeight="1">
      <c r="B60" s="321"/>
      <c r="C60" s="321"/>
      <c r="D60" s="321"/>
      <c r="E60" s="321"/>
      <c r="F60" s="321"/>
      <c r="G60" s="321"/>
      <c r="H60" s="321"/>
    </row>
    <row r="61" spans="1:9" ht="9.75" customHeight="1">
      <c r="B61" s="321"/>
      <c r="C61" s="321"/>
      <c r="D61" s="321"/>
      <c r="E61" s="321"/>
      <c r="F61" s="321"/>
      <c r="G61" s="321"/>
      <c r="H61" s="321"/>
    </row>
    <row r="62" spans="1:9" ht="8.1" customHeight="1"/>
    <row r="63" spans="1:9" ht="6.95" customHeight="1"/>
    <row r="64" spans="1:9" ht="15" customHeight="1"/>
    <row r="65" ht="12" customHeight="1"/>
    <row r="66" ht="9.9499999999999993" customHeight="1"/>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7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100" zoomScaleSheetLayoutView="100" workbookViewId="0">
      <selection activeCell="I32" sqref="I32"/>
    </sheetView>
  </sheetViews>
  <sheetFormatPr defaultColWidth="9.33203125" defaultRowHeight="12"/>
  <cols>
    <col min="1" max="1" width="13.1640625" style="1" customWidth="1"/>
    <col min="2" max="2" width="17.83203125" style="1" customWidth="1"/>
    <col min="3" max="3" width="24.33203125" style="1" customWidth="1"/>
    <col min="4" max="4" width="12.5" style="1" customWidth="1"/>
    <col min="5" max="5" width="12.6640625" style="1" customWidth="1"/>
    <col min="6" max="6" width="18" style="1" customWidth="1"/>
    <col min="7" max="7" width="9.33203125" style="1"/>
    <col min="8" max="8" width="13.33203125" style="1" customWidth="1"/>
    <col min="9" max="9" width="12.33203125" style="1" customWidth="1"/>
    <col min="10" max="16384" width="9.33203125" style="1"/>
  </cols>
  <sheetData>
    <row r="1" spans="1:10">
      <c r="A1" s="129"/>
      <c r="B1" s="129"/>
      <c r="J1" s="40" t="s">
        <v>67</v>
      </c>
    </row>
    <row r="2" spans="1:10">
      <c r="A2" s="129"/>
      <c r="B2" s="129"/>
      <c r="J2" s="128" t="s">
        <v>821</v>
      </c>
    </row>
    <row r="3" spans="1:10">
      <c r="A3" s="604" t="s">
        <v>239</v>
      </c>
      <c r="B3" s="604"/>
      <c r="C3" s="604"/>
      <c r="D3" s="604"/>
      <c r="E3" s="604"/>
      <c r="F3" s="604"/>
      <c r="G3" s="604"/>
      <c r="H3" s="604"/>
      <c r="I3" s="604"/>
      <c r="J3" s="604"/>
    </row>
    <row r="4" spans="1:10">
      <c r="A4" s="604" t="s">
        <v>240</v>
      </c>
      <c r="B4" s="604"/>
      <c r="C4" s="604"/>
      <c r="D4" s="604"/>
      <c r="E4" s="604"/>
      <c r="F4" s="604"/>
      <c r="G4" s="604"/>
      <c r="H4" s="604"/>
      <c r="I4" s="604"/>
      <c r="J4" s="604"/>
    </row>
    <row r="5" spans="1:10">
      <c r="A5" s="605" t="s">
        <v>743</v>
      </c>
      <c r="B5" s="606"/>
      <c r="C5" s="606"/>
      <c r="D5" s="606"/>
      <c r="E5" s="606"/>
      <c r="F5" s="606"/>
      <c r="G5" s="606"/>
      <c r="H5" s="606"/>
      <c r="I5" s="606"/>
      <c r="J5" s="606"/>
    </row>
    <row r="8" spans="1:10">
      <c r="A8" s="1" t="s">
        <v>230</v>
      </c>
    </row>
    <row r="10" spans="1:10">
      <c r="B10" s="1" t="s">
        <v>241</v>
      </c>
    </row>
    <row r="11" spans="1:10">
      <c r="A11" s="23">
        <v>1</v>
      </c>
      <c r="B11" s="285"/>
      <c r="C11" s="285" t="s">
        <v>772</v>
      </c>
      <c r="D11" s="285"/>
      <c r="E11" s="285"/>
      <c r="F11" s="304">
        <v>5.04E-2</v>
      </c>
      <c r="H11" s="285"/>
      <c r="I11" s="285"/>
      <c r="J11" s="285"/>
    </row>
    <row r="12" spans="1:10">
      <c r="A12" s="23">
        <v>2</v>
      </c>
      <c r="B12" s="285"/>
      <c r="C12" s="285" t="s">
        <v>773</v>
      </c>
      <c r="D12" s="285"/>
      <c r="E12" s="285"/>
      <c r="F12" s="286">
        <v>4.6799999999999994E-2</v>
      </c>
      <c r="H12" s="285"/>
      <c r="I12" s="285"/>
      <c r="J12" s="285"/>
    </row>
    <row r="13" spans="1:10">
      <c r="A13" s="23">
        <v>3</v>
      </c>
      <c r="B13" s="285"/>
      <c r="C13" s="285" t="s">
        <v>774</v>
      </c>
      <c r="D13" s="285"/>
      <c r="E13" s="285"/>
      <c r="F13" s="286">
        <v>5.04E-2</v>
      </c>
      <c r="H13" s="285"/>
      <c r="I13" s="285"/>
      <c r="J13" s="285"/>
    </row>
    <row r="14" spans="1:10">
      <c r="A14" s="23">
        <v>4</v>
      </c>
      <c r="B14" s="285"/>
      <c r="C14" s="285" t="s">
        <v>775</v>
      </c>
      <c r="D14" s="285"/>
      <c r="E14" s="285"/>
      <c r="F14" s="286">
        <v>4.6799999999999994E-2</v>
      </c>
      <c r="H14" s="285"/>
      <c r="I14" s="285"/>
      <c r="J14" s="285"/>
    </row>
    <row r="15" spans="1:10">
      <c r="A15" s="23">
        <v>5</v>
      </c>
      <c r="B15" s="285"/>
      <c r="C15" s="285" t="s">
        <v>776</v>
      </c>
      <c r="D15" s="285"/>
      <c r="E15" s="285"/>
      <c r="F15" s="286">
        <v>4.8000000000000001E-2</v>
      </c>
      <c r="H15" s="285"/>
      <c r="I15" s="285"/>
      <c r="J15" s="285"/>
    </row>
    <row r="16" spans="1:10">
      <c r="A16" s="23">
        <v>6</v>
      </c>
      <c r="B16" s="285"/>
      <c r="C16" s="285" t="s">
        <v>777</v>
      </c>
      <c r="D16" s="285"/>
      <c r="E16" s="285"/>
      <c r="F16" s="286">
        <v>4.6799999999999994E-2</v>
      </c>
      <c r="H16" s="285"/>
      <c r="I16" s="285"/>
      <c r="J16" s="285"/>
    </row>
    <row r="17" spans="1:10">
      <c r="A17" s="23">
        <v>7</v>
      </c>
      <c r="B17" s="285"/>
      <c r="C17" s="285" t="s">
        <v>778</v>
      </c>
      <c r="D17" s="285"/>
      <c r="E17" s="285"/>
      <c r="F17" s="286">
        <v>3.4799999999999998E-2</v>
      </c>
      <c r="H17" s="285"/>
      <c r="I17" s="285"/>
      <c r="J17" s="285"/>
    </row>
    <row r="18" spans="1:10">
      <c r="A18" s="23">
        <v>8</v>
      </c>
      <c r="B18" s="285"/>
      <c r="C18" s="285" t="s">
        <v>779</v>
      </c>
      <c r="D18" s="285"/>
      <c r="E18" s="285"/>
      <c r="F18" s="286">
        <v>3.4799999999999998E-2</v>
      </c>
      <c r="H18" s="285"/>
      <c r="I18" s="285"/>
      <c r="J18" s="285"/>
    </row>
    <row r="19" spans="1:10">
      <c r="A19" s="23">
        <v>9</v>
      </c>
      <c r="B19" s="285"/>
      <c r="C19" s="285" t="s">
        <v>780</v>
      </c>
      <c r="D19" s="285"/>
      <c r="E19" s="285"/>
      <c r="F19" s="286">
        <v>3.3599999999999998E-2</v>
      </c>
      <c r="H19" s="285"/>
      <c r="I19" s="285"/>
      <c r="J19" s="285"/>
    </row>
    <row r="20" spans="1:10">
      <c r="A20" s="23">
        <v>10</v>
      </c>
      <c r="B20" s="285"/>
      <c r="C20" s="285" t="s">
        <v>781</v>
      </c>
      <c r="D20" s="285"/>
      <c r="E20" s="285"/>
      <c r="F20" s="286">
        <v>3.3599999999999998E-2</v>
      </c>
      <c r="H20" s="285"/>
      <c r="I20" s="285"/>
      <c r="J20" s="285"/>
    </row>
    <row r="21" spans="1:10">
      <c r="A21" s="23">
        <v>11</v>
      </c>
      <c r="B21" s="285"/>
      <c r="C21" s="285" t="s">
        <v>782</v>
      </c>
      <c r="D21" s="285"/>
      <c r="E21" s="285"/>
      <c r="F21" s="286">
        <v>3.2399999999999998E-2</v>
      </c>
      <c r="H21" s="285"/>
      <c r="I21" s="285"/>
      <c r="J21" s="285"/>
    </row>
    <row r="22" spans="1:10">
      <c r="A22" s="23">
        <v>12</v>
      </c>
      <c r="B22" s="285"/>
      <c r="C22" s="285" t="s">
        <v>783</v>
      </c>
      <c r="D22" s="285"/>
      <c r="E22" s="285"/>
      <c r="F22" s="286">
        <v>3.3599999999999998E-2</v>
      </c>
      <c r="H22" s="285"/>
      <c r="I22" s="285"/>
      <c r="J22" s="285"/>
    </row>
    <row r="23" spans="1:10">
      <c r="A23" s="23">
        <v>13</v>
      </c>
      <c r="B23" s="85"/>
      <c r="C23" s="85" t="s">
        <v>231</v>
      </c>
      <c r="D23" s="285"/>
      <c r="E23" s="285"/>
      <c r="F23" s="286">
        <v>3.3599999999999998E-2</v>
      </c>
      <c r="H23" s="285"/>
      <c r="I23" s="285"/>
      <c r="J23" s="285"/>
    </row>
    <row r="24" spans="1:10">
      <c r="A24" s="23">
        <v>14</v>
      </c>
      <c r="B24" s="85"/>
      <c r="C24" s="85" t="s">
        <v>232</v>
      </c>
      <c r="D24" s="285"/>
      <c r="E24" s="285"/>
      <c r="F24" s="286">
        <v>0.03</v>
      </c>
      <c r="H24" s="285"/>
      <c r="I24" s="285"/>
      <c r="J24" s="285"/>
    </row>
    <row r="25" spans="1:10">
      <c r="A25" s="23">
        <v>15</v>
      </c>
      <c r="B25" s="85"/>
      <c r="C25" s="85" t="s">
        <v>233</v>
      </c>
      <c r="D25" s="285"/>
      <c r="E25" s="285"/>
      <c r="F25" s="286">
        <v>3.3599999999999998E-2</v>
      </c>
      <c r="H25" s="285"/>
      <c r="I25" s="285"/>
      <c r="J25" s="285"/>
    </row>
    <row r="26" spans="1:10">
      <c r="A26" s="23">
        <v>16</v>
      </c>
      <c r="B26" s="85"/>
      <c r="C26" s="85" t="s">
        <v>234</v>
      </c>
      <c r="D26" s="285"/>
      <c r="E26" s="285"/>
      <c r="F26" s="286">
        <v>3.2399999999999998E-2</v>
      </c>
      <c r="H26" s="285"/>
      <c r="I26" s="285"/>
      <c r="J26" s="285"/>
    </row>
    <row r="27" spans="1:10">
      <c r="A27" s="23">
        <v>17</v>
      </c>
      <c r="B27" s="85"/>
      <c r="C27" s="85" t="s">
        <v>235</v>
      </c>
      <c r="D27" s="285"/>
      <c r="E27" s="285"/>
      <c r="F27" s="286">
        <v>3.3599999999999998E-2</v>
      </c>
      <c r="H27" s="285"/>
      <c r="I27" s="285"/>
      <c r="J27" s="285"/>
    </row>
    <row r="28" spans="1:10">
      <c r="A28" s="23"/>
      <c r="B28" s="285"/>
      <c r="C28" s="285"/>
      <c r="D28" s="285"/>
      <c r="E28" s="285"/>
      <c r="F28" s="285"/>
      <c r="H28" s="285"/>
      <c r="I28" s="285"/>
      <c r="J28" s="285"/>
    </row>
    <row r="29" spans="1:10">
      <c r="A29" s="23">
        <v>18</v>
      </c>
      <c r="B29" s="1" t="s">
        <v>236</v>
      </c>
      <c r="F29" s="287">
        <f>AVERAGE(F11:F27)</f>
        <v>3.8541176470588238E-2</v>
      </c>
    </row>
    <row r="30" spans="1:10">
      <c r="A30" s="23">
        <v>19</v>
      </c>
      <c r="B30" s="1" t="s">
        <v>237</v>
      </c>
      <c r="F30" s="287">
        <f>F29/12</f>
        <v>3.2117647058823532E-3</v>
      </c>
    </row>
    <row r="32" spans="1:10">
      <c r="A32" s="1" t="s">
        <v>238</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view="pageBreakPreview" zoomScaleNormal="100" zoomScaleSheetLayoutView="100" workbookViewId="0">
      <selection activeCell="F34" sqref="F34"/>
    </sheetView>
  </sheetViews>
  <sheetFormatPr defaultRowHeight="12"/>
  <cols>
    <col min="1" max="1" width="6.83203125" style="361" customWidth="1"/>
    <col min="2" max="2" width="30.83203125" style="361" customWidth="1"/>
    <col min="3" max="3" width="3.83203125" style="361" customWidth="1"/>
    <col min="4" max="4" width="15.83203125" style="361" customWidth="1"/>
    <col min="5" max="5" width="3.83203125" style="361" customWidth="1"/>
    <col min="6" max="12" width="15.83203125" style="361" customWidth="1"/>
    <col min="13" max="16384" width="9.33203125" style="361"/>
  </cols>
  <sheetData>
    <row r="1" spans="1:12">
      <c r="L1" s="362" t="s">
        <v>67</v>
      </c>
    </row>
    <row r="2" spans="1:12">
      <c r="L2" s="363" t="s">
        <v>821</v>
      </c>
    </row>
    <row r="3" spans="1:12">
      <c r="A3" s="638" t="s">
        <v>182</v>
      </c>
      <c r="B3" s="638"/>
      <c r="C3" s="638"/>
      <c r="D3" s="638"/>
      <c r="E3" s="638"/>
      <c r="F3" s="638"/>
      <c r="G3" s="638"/>
      <c r="H3" s="638"/>
      <c r="I3" s="638"/>
      <c r="J3" s="638"/>
      <c r="K3" s="638"/>
      <c r="L3" s="638"/>
    </row>
    <row r="4" spans="1:12">
      <c r="A4" s="638" t="s">
        <v>597</v>
      </c>
      <c r="B4" s="638"/>
      <c r="C4" s="638"/>
      <c r="D4" s="638"/>
      <c r="E4" s="638"/>
      <c r="F4" s="638"/>
      <c r="G4" s="638"/>
      <c r="H4" s="638"/>
      <c r="I4" s="638"/>
      <c r="J4" s="638"/>
      <c r="K4" s="638"/>
      <c r="L4" s="638"/>
    </row>
    <row r="5" spans="1:12">
      <c r="A5" s="639" t="s">
        <v>743</v>
      </c>
      <c r="B5" s="639"/>
      <c r="C5" s="639"/>
      <c r="D5" s="639"/>
      <c r="E5" s="639"/>
      <c r="F5" s="639"/>
      <c r="G5" s="639"/>
      <c r="H5" s="639"/>
      <c r="I5" s="639"/>
      <c r="J5" s="639"/>
      <c r="K5" s="639"/>
      <c r="L5" s="639"/>
    </row>
    <row r="6" spans="1:12">
      <c r="A6" s="364"/>
      <c r="B6" s="640"/>
      <c r="C6" s="640"/>
      <c r="D6" s="640"/>
      <c r="E6" s="640"/>
      <c r="F6" s="640"/>
      <c r="G6" s="640"/>
      <c r="H6" s="640"/>
      <c r="I6" s="640"/>
      <c r="J6" s="640"/>
      <c r="K6" s="640"/>
    </row>
    <row r="7" spans="1:12">
      <c r="A7" s="365"/>
      <c r="B7" s="640"/>
      <c r="C7" s="640"/>
      <c r="D7" s="640"/>
      <c r="E7" s="640"/>
      <c r="F7" s="640"/>
      <c r="G7" s="640"/>
      <c r="H7" s="640"/>
      <c r="I7" s="640"/>
      <c r="J7" s="640"/>
      <c r="K7" s="640"/>
    </row>
    <row r="8" spans="1:12">
      <c r="A8" s="365"/>
      <c r="B8" s="366" t="s">
        <v>591</v>
      </c>
      <c r="C8" s="320"/>
      <c r="D8" s="320"/>
      <c r="E8" s="320"/>
      <c r="F8" s="320"/>
      <c r="G8" s="320"/>
      <c r="H8" s="320"/>
      <c r="I8" s="320"/>
      <c r="J8" s="320"/>
      <c r="K8" s="320"/>
    </row>
    <row r="9" spans="1:12">
      <c r="A9" s="365"/>
      <c r="B9" s="367"/>
      <c r="C9" s="367"/>
      <c r="D9" s="367"/>
      <c r="E9" s="367"/>
      <c r="F9" s="368" t="s">
        <v>585</v>
      </c>
      <c r="G9" s="368"/>
      <c r="H9" s="368" t="s">
        <v>580</v>
      </c>
      <c r="I9" s="368" t="s">
        <v>581</v>
      </c>
      <c r="J9" s="368" t="s">
        <v>583</v>
      </c>
      <c r="K9" s="368" t="s">
        <v>602</v>
      </c>
      <c r="L9" s="369" t="s">
        <v>588</v>
      </c>
    </row>
    <row r="10" spans="1:12">
      <c r="A10" s="370" t="s">
        <v>70</v>
      </c>
      <c r="B10" s="371" t="s">
        <v>333</v>
      </c>
      <c r="C10" s="372"/>
      <c r="D10" s="373" t="s">
        <v>385</v>
      </c>
      <c r="E10" s="372"/>
      <c r="F10" s="373" t="s">
        <v>577</v>
      </c>
      <c r="G10" s="373" t="s">
        <v>578</v>
      </c>
      <c r="H10" s="373" t="s">
        <v>579</v>
      </c>
      <c r="I10" s="373" t="s">
        <v>582</v>
      </c>
      <c r="J10" s="373" t="s">
        <v>584</v>
      </c>
      <c r="K10" s="373" t="s">
        <v>584</v>
      </c>
      <c r="L10" s="373" t="s">
        <v>586</v>
      </c>
    </row>
    <row r="11" spans="1:12">
      <c r="A11" s="365"/>
      <c r="B11" s="369" t="s">
        <v>123</v>
      </c>
      <c r="D11" s="369" t="s">
        <v>124</v>
      </c>
      <c r="F11" s="369" t="s">
        <v>281</v>
      </c>
      <c r="G11" s="369" t="s">
        <v>125</v>
      </c>
      <c r="H11" s="369" t="s">
        <v>282</v>
      </c>
      <c r="I11" s="369" t="s">
        <v>128</v>
      </c>
      <c r="J11" s="369" t="s">
        <v>129</v>
      </c>
      <c r="K11" s="369" t="s">
        <v>130</v>
      </c>
      <c r="L11" s="369" t="s">
        <v>131</v>
      </c>
    </row>
    <row r="13" spans="1:12">
      <c r="A13" s="374">
        <v>1</v>
      </c>
      <c r="B13" s="375" t="s">
        <v>598</v>
      </c>
      <c r="C13" s="375"/>
      <c r="D13" s="374" t="s">
        <v>351</v>
      </c>
      <c r="E13" s="375"/>
      <c r="F13" s="376">
        <f>'WP2 - Tax Rates'!E23</f>
        <v>0.21</v>
      </c>
      <c r="G13" s="376">
        <v>0</v>
      </c>
      <c r="H13" s="376">
        <f>G13</f>
        <v>0</v>
      </c>
      <c r="I13" s="376">
        <f>G13</f>
        <v>0</v>
      </c>
      <c r="J13" s="376">
        <f>F13</f>
        <v>0.21</v>
      </c>
      <c r="K13" s="376">
        <v>0</v>
      </c>
      <c r="L13" s="375"/>
    </row>
    <row r="14" spans="1:12">
      <c r="A14" s="374">
        <v>2</v>
      </c>
      <c r="B14" s="375" t="s">
        <v>595</v>
      </c>
      <c r="C14" s="375"/>
      <c r="D14" s="374" t="s">
        <v>352</v>
      </c>
      <c r="E14" s="375"/>
      <c r="F14" s="376">
        <f>'WP2 - Tax Rates'!E24</f>
        <v>1</v>
      </c>
      <c r="G14" s="377">
        <v>0</v>
      </c>
      <c r="H14" s="377">
        <v>0</v>
      </c>
      <c r="I14" s="377">
        <v>0</v>
      </c>
      <c r="J14" s="377">
        <v>0</v>
      </c>
      <c r="K14" s="377">
        <v>0</v>
      </c>
      <c r="L14" s="375"/>
    </row>
    <row r="15" spans="1:12">
      <c r="A15" s="374">
        <v>3</v>
      </c>
      <c r="B15" s="375" t="s">
        <v>590</v>
      </c>
      <c r="C15" s="375"/>
      <c r="D15" s="374" t="s">
        <v>589</v>
      </c>
      <c r="E15" s="375"/>
      <c r="F15" s="378">
        <f t="shared" ref="F15:K15" si="0">F13*F14</f>
        <v>0.21</v>
      </c>
      <c r="G15" s="378">
        <f t="shared" si="0"/>
        <v>0</v>
      </c>
      <c r="H15" s="378">
        <f t="shared" si="0"/>
        <v>0</v>
      </c>
      <c r="I15" s="378">
        <f t="shared" si="0"/>
        <v>0</v>
      </c>
      <c r="J15" s="378">
        <f t="shared" si="0"/>
        <v>0</v>
      </c>
      <c r="K15" s="378">
        <f t="shared" si="0"/>
        <v>0</v>
      </c>
    </row>
    <row r="16" spans="1:12">
      <c r="A16" s="374">
        <v>4</v>
      </c>
      <c r="B16" s="375" t="s">
        <v>587</v>
      </c>
      <c r="C16" s="375"/>
      <c r="D16" s="374" t="s">
        <v>592</v>
      </c>
      <c r="E16" s="375"/>
      <c r="F16" s="375"/>
      <c r="G16" s="378"/>
      <c r="H16" s="375"/>
      <c r="I16" s="375"/>
      <c r="J16" s="375"/>
      <c r="K16" s="375"/>
      <c r="L16" s="379">
        <f>SUM(F15:K15)</f>
        <v>0.21</v>
      </c>
    </row>
    <row r="17" spans="1:12">
      <c r="A17" s="374"/>
      <c r="B17" s="375"/>
      <c r="C17" s="375"/>
      <c r="D17" s="375"/>
      <c r="E17" s="375"/>
      <c r="F17" s="375"/>
      <c r="G17" s="378"/>
      <c r="H17" s="375"/>
      <c r="I17" s="375"/>
      <c r="J17" s="375"/>
      <c r="K17" s="375"/>
      <c r="L17" s="375"/>
    </row>
    <row r="18" spans="1:12">
      <c r="A18" s="374">
        <v>5</v>
      </c>
      <c r="B18" s="375" t="s">
        <v>599</v>
      </c>
      <c r="C18" s="375"/>
      <c r="D18" s="374" t="s">
        <v>156</v>
      </c>
      <c r="E18" s="375"/>
      <c r="F18" s="376">
        <f>'WP2 - Tax Rates'!E28</f>
        <v>8.8200000000000001E-2</v>
      </c>
      <c r="G18" s="376">
        <v>0</v>
      </c>
      <c r="H18" s="376">
        <v>0</v>
      </c>
      <c r="I18" s="376">
        <v>0</v>
      </c>
      <c r="J18" s="376">
        <v>0</v>
      </c>
      <c r="K18" s="376">
        <v>0</v>
      </c>
      <c r="L18" s="375"/>
    </row>
    <row r="19" spans="1:12">
      <c r="A19" s="374">
        <v>6</v>
      </c>
      <c r="B19" s="375" t="s">
        <v>595</v>
      </c>
      <c r="C19" s="375"/>
      <c r="D19" s="374" t="s">
        <v>352</v>
      </c>
      <c r="E19" s="375"/>
      <c r="F19" s="376">
        <f>'WP2 - Tax Rates'!E29</f>
        <v>1</v>
      </c>
      <c r="G19" s="377">
        <v>0</v>
      </c>
      <c r="H19" s="377">
        <v>0</v>
      </c>
      <c r="I19" s="377">
        <v>0</v>
      </c>
      <c r="J19" s="377">
        <v>0</v>
      </c>
      <c r="K19" s="377">
        <v>0</v>
      </c>
      <c r="L19" s="375"/>
    </row>
    <row r="20" spans="1:12">
      <c r="A20" s="374">
        <v>7</v>
      </c>
      <c r="B20" s="375" t="s">
        <v>590</v>
      </c>
      <c r="C20" s="375"/>
      <c r="D20" s="374" t="s">
        <v>593</v>
      </c>
      <c r="E20" s="375"/>
      <c r="F20" s="378">
        <f>F18*F19</f>
        <v>8.8200000000000001E-2</v>
      </c>
      <c r="G20" s="378">
        <f>G18*G19</f>
        <v>0</v>
      </c>
      <c r="H20" s="378">
        <f t="shared" ref="H20:K20" si="1">H18*H19</f>
        <v>0</v>
      </c>
      <c r="I20" s="378">
        <f t="shared" si="1"/>
        <v>0</v>
      </c>
      <c r="J20" s="378">
        <f t="shared" si="1"/>
        <v>0</v>
      </c>
      <c r="K20" s="378">
        <f t="shared" si="1"/>
        <v>0</v>
      </c>
    </row>
    <row r="21" spans="1:12">
      <c r="A21" s="374">
        <v>8</v>
      </c>
      <c r="B21" s="375" t="s">
        <v>596</v>
      </c>
      <c r="C21" s="375"/>
      <c r="D21" s="374" t="s">
        <v>594</v>
      </c>
      <c r="E21" s="375"/>
      <c r="F21" s="378"/>
      <c r="G21" s="378"/>
      <c r="H21" s="378"/>
      <c r="I21" s="378"/>
      <c r="J21" s="378"/>
      <c r="K21" s="378"/>
      <c r="L21" s="379">
        <f>SUM(F20:K20)</f>
        <v>8.8200000000000001E-2</v>
      </c>
    </row>
    <row r="22" spans="1:12">
      <c r="A22" s="374"/>
      <c r="B22" s="375"/>
      <c r="C22" s="375"/>
      <c r="D22" s="375"/>
      <c r="E22" s="375"/>
      <c r="F22" s="375"/>
      <c r="G22" s="375"/>
      <c r="H22" s="375"/>
      <c r="I22" s="375"/>
      <c r="J22" s="375"/>
      <c r="K22" s="375"/>
      <c r="L22" s="375"/>
    </row>
    <row r="23" spans="1:12">
      <c r="A23" s="374"/>
    </row>
    <row r="24" spans="1:12">
      <c r="A24" s="374"/>
    </row>
    <row r="25" spans="1:12">
      <c r="A25" s="374" t="s">
        <v>424</v>
      </c>
      <c r="B25" s="375" t="s">
        <v>762</v>
      </c>
      <c r="C25" s="380"/>
      <c r="D25" s="380"/>
      <c r="E25" s="380"/>
      <c r="F25" s="380"/>
      <c r="G25" s="380"/>
      <c r="H25" s="380"/>
      <c r="I25" s="380"/>
    </row>
    <row r="26" spans="1:12">
      <c r="A26" s="374" t="s">
        <v>436</v>
      </c>
      <c r="B26" s="375" t="s">
        <v>605</v>
      </c>
      <c r="C26" s="380"/>
      <c r="D26" s="380"/>
      <c r="E26" s="380"/>
      <c r="F26" s="380"/>
      <c r="G26" s="380"/>
      <c r="H26" s="380"/>
      <c r="I26" s="380"/>
    </row>
    <row r="27" spans="1:12">
      <c r="A27" s="374" t="s">
        <v>439</v>
      </c>
      <c r="B27" s="375" t="s">
        <v>763</v>
      </c>
      <c r="C27" s="375"/>
      <c r="D27" s="375"/>
      <c r="E27" s="375"/>
      <c r="F27" s="375"/>
      <c r="G27" s="375"/>
      <c r="H27" s="375"/>
      <c r="I27" s="375"/>
      <c r="J27" s="375"/>
      <c r="K27" s="375"/>
      <c r="L27" s="375"/>
    </row>
    <row r="28" spans="1:12">
      <c r="A28" s="375"/>
      <c r="C28" s="375"/>
      <c r="D28" s="375"/>
      <c r="E28" s="375"/>
      <c r="F28" s="375"/>
      <c r="G28" s="375"/>
      <c r="H28" s="375"/>
      <c r="I28" s="375"/>
      <c r="J28" s="375"/>
      <c r="K28" s="375"/>
      <c r="L28" s="375"/>
    </row>
    <row r="29" spans="1:12">
      <c r="A29" s="375"/>
      <c r="B29" s="375"/>
      <c r="C29" s="375"/>
      <c r="D29" s="375"/>
      <c r="E29" s="375"/>
      <c r="F29" s="375"/>
      <c r="G29" s="375"/>
      <c r="H29" s="375"/>
      <c r="I29" s="375"/>
      <c r="J29" s="375"/>
      <c r="K29" s="375"/>
      <c r="L29" s="375"/>
    </row>
    <row r="30" spans="1:12">
      <c r="A30" s="375"/>
      <c r="B30" s="375"/>
      <c r="C30" s="375"/>
      <c r="D30" s="375"/>
      <c r="E30" s="375"/>
      <c r="F30" s="375"/>
      <c r="G30" s="375"/>
      <c r="H30" s="375"/>
      <c r="I30" s="375"/>
      <c r="J30" s="375"/>
      <c r="K30" s="375"/>
      <c r="L30" s="375"/>
    </row>
    <row r="31" spans="1:12" ht="19.5" customHeight="1">
      <c r="A31" s="375"/>
      <c r="B31" s="640"/>
      <c r="C31" s="640"/>
      <c r="D31" s="640"/>
      <c r="E31" s="640"/>
      <c r="F31" s="640"/>
      <c r="G31" s="640"/>
      <c r="H31" s="640"/>
      <c r="I31" s="640"/>
      <c r="J31" s="640"/>
      <c r="K31" s="640"/>
      <c r="L31" s="640"/>
    </row>
    <row r="32" spans="1:12">
      <c r="A32" s="375"/>
      <c r="B32" s="640"/>
      <c r="C32" s="640"/>
      <c r="D32" s="640"/>
      <c r="E32" s="640"/>
      <c r="F32" s="640"/>
      <c r="G32" s="640"/>
      <c r="H32" s="640"/>
      <c r="I32" s="640"/>
      <c r="J32" s="640"/>
      <c r="K32" s="640"/>
      <c r="L32" s="640"/>
    </row>
    <row r="33" spans="1:12">
      <c r="A33" s="375"/>
      <c r="B33" s="640"/>
      <c r="C33" s="640"/>
      <c r="D33" s="640"/>
      <c r="E33" s="640"/>
      <c r="F33" s="640"/>
      <c r="G33" s="640"/>
      <c r="H33" s="640"/>
      <c r="I33" s="640"/>
      <c r="J33" s="640"/>
      <c r="K33" s="640"/>
      <c r="L33" s="640"/>
    </row>
    <row r="34" spans="1:12">
      <c r="A34" s="375"/>
      <c r="B34" s="381"/>
      <c r="C34" s="375"/>
      <c r="D34" s="375"/>
      <c r="E34" s="375"/>
      <c r="F34" s="375"/>
      <c r="G34" s="375"/>
      <c r="H34" s="375"/>
      <c r="I34" s="375"/>
      <c r="J34" s="375"/>
      <c r="K34" s="375"/>
      <c r="L34" s="375"/>
    </row>
    <row r="35" spans="1:12">
      <c r="A35" s="375"/>
      <c r="B35" s="381"/>
      <c r="C35" s="375"/>
      <c r="D35" s="375"/>
      <c r="E35" s="375"/>
      <c r="F35" s="375"/>
      <c r="G35" s="375"/>
      <c r="H35" s="375"/>
      <c r="I35" s="375"/>
      <c r="J35" s="375"/>
      <c r="K35" s="375"/>
      <c r="L35" s="375"/>
    </row>
    <row r="36" spans="1:12">
      <c r="A36" s="375"/>
      <c r="B36" s="375"/>
      <c r="C36" s="375"/>
      <c r="D36" s="375"/>
      <c r="E36" s="375"/>
      <c r="F36" s="375"/>
      <c r="G36" s="375"/>
      <c r="H36" s="375"/>
      <c r="I36" s="375"/>
      <c r="J36" s="375"/>
      <c r="K36" s="375"/>
      <c r="L36" s="375"/>
    </row>
    <row r="37" spans="1:12">
      <c r="A37" s="375"/>
      <c r="B37" s="375"/>
      <c r="C37" s="375"/>
      <c r="D37" s="375"/>
      <c r="E37" s="375"/>
      <c r="F37" s="375"/>
      <c r="G37" s="375"/>
      <c r="H37" s="375"/>
      <c r="I37" s="375"/>
      <c r="J37" s="375"/>
      <c r="K37" s="375"/>
      <c r="L37" s="375"/>
    </row>
    <row r="38" spans="1:12">
      <c r="A38" s="375"/>
      <c r="B38" s="375"/>
      <c r="C38" s="375"/>
      <c r="D38" s="375"/>
      <c r="E38" s="375"/>
      <c r="F38" s="375"/>
      <c r="G38" s="375"/>
      <c r="H38" s="375"/>
      <c r="I38" s="375"/>
      <c r="J38" s="375"/>
      <c r="K38" s="375"/>
      <c r="L38" s="375"/>
    </row>
    <row r="39" spans="1:12">
      <c r="A39" s="375"/>
      <c r="B39" s="375"/>
      <c r="C39" s="375"/>
      <c r="D39" s="375"/>
      <c r="E39" s="375"/>
      <c r="F39" s="375"/>
      <c r="G39" s="375"/>
      <c r="H39" s="375"/>
      <c r="I39" s="375"/>
      <c r="J39" s="375"/>
      <c r="K39" s="375"/>
      <c r="L39" s="375"/>
    </row>
    <row r="40" spans="1:12">
      <c r="A40" s="375"/>
      <c r="B40" s="375"/>
      <c r="C40" s="375"/>
      <c r="D40" s="375"/>
      <c r="E40" s="375"/>
      <c r="F40" s="375"/>
      <c r="G40" s="375"/>
      <c r="H40" s="375"/>
      <c r="I40" s="375"/>
      <c r="J40" s="375"/>
      <c r="K40" s="375"/>
      <c r="L40" s="375"/>
    </row>
    <row r="41" spans="1:12">
      <c r="A41" s="375"/>
      <c r="B41" s="375"/>
      <c r="C41" s="375"/>
      <c r="D41" s="375"/>
      <c r="E41" s="375"/>
      <c r="F41" s="375"/>
      <c r="G41" s="375"/>
      <c r="H41" s="375"/>
      <c r="I41" s="375"/>
      <c r="J41" s="375"/>
      <c r="K41" s="375"/>
      <c r="L41" s="375"/>
    </row>
    <row r="42" spans="1:12">
      <c r="A42" s="375"/>
      <c r="B42" s="375"/>
      <c r="C42" s="375"/>
      <c r="D42" s="375"/>
      <c r="E42" s="375"/>
      <c r="F42" s="375"/>
      <c r="G42" s="375"/>
      <c r="H42" s="375"/>
      <c r="I42" s="375"/>
      <c r="J42" s="375"/>
      <c r="K42" s="375"/>
      <c r="L42" s="375"/>
    </row>
    <row r="43" spans="1:12">
      <c r="A43" s="375"/>
      <c r="B43" s="375"/>
      <c r="C43" s="375"/>
      <c r="D43" s="375"/>
      <c r="E43" s="375"/>
      <c r="F43" s="375"/>
      <c r="G43" s="375"/>
      <c r="H43" s="375"/>
      <c r="I43" s="375"/>
      <c r="J43" s="375"/>
      <c r="K43" s="375"/>
      <c r="L43" s="375"/>
    </row>
    <row r="44" spans="1:12">
      <c r="A44" s="375"/>
      <c r="B44" s="375"/>
      <c r="C44" s="375"/>
      <c r="D44" s="375"/>
      <c r="E44" s="375"/>
      <c r="F44" s="375"/>
      <c r="G44" s="375"/>
      <c r="H44" s="375"/>
      <c r="I44" s="375"/>
      <c r="J44" s="375"/>
      <c r="K44" s="375"/>
      <c r="L44" s="375"/>
    </row>
    <row r="45" spans="1:12">
      <c r="A45" s="375"/>
      <c r="B45" s="375"/>
      <c r="C45" s="375"/>
      <c r="D45" s="375"/>
      <c r="E45" s="375"/>
      <c r="F45" s="375"/>
      <c r="G45" s="375"/>
      <c r="H45" s="375"/>
      <c r="I45" s="375"/>
      <c r="J45" s="375"/>
      <c r="K45" s="375"/>
      <c r="L45" s="375"/>
    </row>
    <row r="46" spans="1:12">
      <c r="A46" s="375"/>
      <c r="B46" s="375"/>
      <c r="C46" s="375"/>
      <c r="D46" s="375"/>
      <c r="E46" s="375"/>
      <c r="F46" s="375"/>
      <c r="G46" s="375"/>
      <c r="H46" s="375"/>
      <c r="I46" s="375"/>
      <c r="J46" s="375"/>
      <c r="K46" s="375"/>
      <c r="L46" s="375"/>
    </row>
    <row r="47" spans="1:12">
      <c r="A47" s="375"/>
      <c r="B47" s="375"/>
      <c r="C47" s="375"/>
      <c r="D47" s="375"/>
      <c r="E47" s="375"/>
      <c r="F47" s="375"/>
      <c r="G47" s="375"/>
      <c r="H47" s="375"/>
      <c r="I47" s="375"/>
      <c r="J47" s="375"/>
      <c r="K47" s="375"/>
      <c r="L47" s="375"/>
    </row>
    <row r="48" spans="1:12">
      <c r="A48" s="375"/>
      <c r="B48" s="375"/>
      <c r="C48" s="375"/>
      <c r="D48" s="375"/>
      <c r="E48" s="375"/>
      <c r="F48" s="375"/>
      <c r="G48" s="375"/>
      <c r="H48" s="375"/>
      <c r="I48" s="375"/>
      <c r="J48" s="375"/>
      <c r="K48" s="375"/>
      <c r="L48" s="375"/>
    </row>
    <row r="49" spans="1:12">
      <c r="A49" s="375"/>
      <c r="B49" s="375"/>
      <c r="C49" s="375"/>
      <c r="D49" s="375"/>
      <c r="E49" s="375"/>
      <c r="F49" s="375"/>
      <c r="G49" s="375"/>
      <c r="H49" s="375"/>
      <c r="I49" s="375"/>
      <c r="J49" s="375"/>
      <c r="K49" s="375"/>
      <c r="L49" s="375"/>
    </row>
    <row r="50" spans="1:12">
      <c r="A50" s="375"/>
      <c r="B50" s="375"/>
      <c r="C50" s="375"/>
      <c r="D50" s="375"/>
      <c r="E50" s="375"/>
      <c r="F50" s="375"/>
      <c r="G50" s="375"/>
      <c r="H50" s="375"/>
      <c r="I50" s="375"/>
      <c r="J50" s="375"/>
      <c r="K50" s="375"/>
      <c r="L50" s="375"/>
    </row>
    <row r="51" spans="1:12">
      <c r="A51" s="375"/>
      <c r="B51" s="375"/>
      <c r="C51" s="375"/>
      <c r="D51" s="375"/>
      <c r="E51" s="375"/>
      <c r="F51" s="375"/>
      <c r="G51" s="375"/>
      <c r="H51" s="375"/>
      <c r="I51" s="375"/>
      <c r="J51" s="375"/>
      <c r="K51" s="375"/>
      <c r="L51" s="375"/>
    </row>
    <row r="52" spans="1:12">
      <c r="A52" s="375"/>
      <c r="B52" s="375"/>
      <c r="C52" s="375"/>
      <c r="D52" s="375"/>
      <c r="E52" s="375"/>
      <c r="F52" s="375"/>
      <c r="G52" s="375"/>
      <c r="H52" s="375"/>
      <c r="I52" s="375"/>
      <c r="J52" s="375"/>
      <c r="K52" s="375"/>
      <c r="L52" s="375"/>
    </row>
    <row r="53" spans="1:12">
      <c r="A53" s="375"/>
      <c r="B53" s="375"/>
      <c r="C53" s="375"/>
      <c r="D53" s="375"/>
      <c r="E53" s="375"/>
      <c r="F53" s="375"/>
      <c r="G53" s="375"/>
      <c r="H53" s="375"/>
      <c r="I53" s="375"/>
      <c r="J53" s="375"/>
      <c r="K53" s="375"/>
      <c r="L53" s="375"/>
    </row>
    <row r="54" spans="1:12">
      <c r="A54" s="375"/>
      <c r="B54" s="375"/>
      <c r="C54" s="375"/>
      <c r="D54" s="375"/>
      <c r="E54" s="375"/>
      <c r="F54" s="375"/>
      <c r="G54" s="375"/>
      <c r="H54" s="375"/>
      <c r="I54" s="375"/>
      <c r="J54" s="375"/>
      <c r="K54" s="375"/>
      <c r="L54" s="375"/>
    </row>
    <row r="55" spans="1:12">
      <c r="A55" s="375"/>
      <c r="B55" s="375"/>
      <c r="C55" s="375"/>
      <c r="D55" s="375"/>
      <c r="E55" s="375"/>
      <c r="F55" s="375"/>
      <c r="G55" s="375"/>
      <c r="H55" s="375"/>
      <c r="I55" s="375"/>
      <c r="J55" s="375"/>
      <c r="K55" s="375"/>
      <c r="L55" s="375"/>
    </row>
  </sheetData>
  <mergeCells count="5">
    <mergeCell ref="A3:L3"/>
    <mergeCell ref="A4:L4"/>
    <mergeCell ref="A5:L5"/>
    <mergeCell ref="B6:K7"/>
    <mergeCell ref="B31:L33"/>
  </mergeCells>
  <printOptions horizontalCentered="1"/>
  <pageMargins left="0.5" right="0.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Attachment H-27A</vt:lpstr>
      <vt:lpstr>Attachment 1</vt:lpstr>
      <vt:lpstr>Attachment 2</vt:lpstr>
      <vt:lpstr>Attachment 3</vt:lpstr>
      <vt:lpstr>Attachment 4</vt:lpstr>
      <vt:lpstr>Attachment 5</vt:lpstr>
      <vt:lpstr>Attachment 6</vt:lpstr>
      <vt:lpstr>Attachment 6a</vt:lpstr>
      <vt:lpstr>Attachment 7</vt:lpstr>
      <vt:lpstr>Attachment 8</vt:lpstr>
      <vt:lpstr>Attachment 9</vt:lpstr>
      <vt:lpstr>Attachment 10</vt:lpstr>
      <vt:lpstr>Attachment 11</vt:lpstr>
      <vt:lpstr>Attachment 12</vt:lpstr>
      <vt:lpstr>WP1 - ADIT</vt:lpstr>
      <vt:lpstr>WP2 - Tax Rates</vt:lpstr>
      <vt:lpstr>WP3 - Perm Tax</vt:lpstr>
      <vt:lpstr>WP4 - Cost Commitment</vt:lpstr>
      <vt:lpstr>'Attachment 1'!Print_Area</vt:lpstr>
      <vt:lpstr>'Attachment 10'!Print_Area</vt:lpstr>
      <vt:lpstr>'Attachment 11'!Print_Area</vt:lpstr>
      <vt:lpstr>'Attachment 12'!Print_Area</vt:lpstr>
      <vt:lpstr>'Attachment 2'!Print_Area</vt:lpstr>
      <vt:lpstr>'Attachment 3'!Print_Area</vt:lpstr>
      <vt:lpstr>'Attachment 4'!Print_Area</vt:lpstr>
      <vt:lpstr>'Attachment 5'!Print_Area</vt:lpstr>
      <vt:lpstr>'Attachment 6'!Print_Area</vt:lpstr>
      <vt:lpstr>'Attachment 6a'!Print_Area</vt:lpstr>
      <vt:lpstr>'Attachment 7'!Print_Area</vt:lpstr>
      <vt:lpstr>'Attachment 8'!Print_Area</vt:lpstr>
      <vt:lpstr>'Attachment 9'!Print_Area</vt:lpstr>
      <vt:lpstr>'Attachment H-27A'!Print_Area</vt:lpstr>
      <vt:lpstr>'WP1 - ADIT'!Print_Area</vt:lpstr>
      <vt:lpstr>'WP2 - Tax Rates'!Print_Area</vt:lpstr>
      <vt:lpstr>'WP3 - Perm Tax'!Print_Area</vt:lpstr>
      <vt:lpstr>'WP4 - Cost Commitment'!Print_Area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2021-09-29T20:20:58Z</dcterms:modified>
</cp:coreProperties>
</file>