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New Entry Capacity Resources" sheetId="10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'New Entry Capacity Resources'!$U$3:$AR$30</definedName>
  </definedNames>
  <calcPr calcId="162913"/>
</workbook>
</file>

<file path=xl/calcChain.xml><?xml version="1.0" encoding="utf-8"?>
<calcChain xmlns="http://schemas.openxmlformats.org/spreadsheetml/2006/main">
  <c r="D10" i="10" l="1"/>
  <c r="C10" i="10"/>
  <c r="AR8" i="10"/>
  <c r="D5" i="10"/>
  <c r="I5" i="10"/>
  <c r="AR7" i="10"/>
  <c r="AM7" i="10"/>
  <c r="AH7" i="10"/>
  <c r="AC7" i="10"/>
  <c r="X7" i="10"/>
  <c r="S7" i="10"/>
  <c r="N7" i="10"/>
  <c r="I7" i="10"/>
  <c r="D7" i="10"/>
  <c r="I6" i="10" l="1"/>
  <c r="AR5" i="10" l="1"/>
  <c r="AM5" i="10"/>
  <c r="AH5" i="10"/>
  <c r="AC5" i="10"/>
  <c r="X5" i="10"/>
  <c r="S5" i="10"/>
  <c r="N5" i="10"/>
  <c r="AR6" i="10" l="1"/>
  <c r="AQ10" i="10" s="1"/>
  <c r="AR10" i="10" s="1"/>
  <c r="AM6" i="10"/>
  <c r="AH6" i="10"/>
  <c r="AC6" i="10"/>
  <c r="S6" i="10"/>
  <c r="N6" i="10"/>
  <c r="X6" i="10"/>
  <c r="D6" i="10" l="1"/>
  <c r="AR34" i="10" l="1"/>
  <c r="AG10" i="10" l="1"/>
  <c r="R30" i="10" l="1"/>
  <c r="R10" i="10"/>
  <c r="S10" i="10" s="1"/>
  <c r="W10" i="10"/>
  <c r="X10" i="10" s="1"/>
  <c r="M10" i="10"/>
  <c r="N10" i="10" s="1"/>
  <c r="H10" i="10"/>
  <c r="I10" i="10" s="1"/>
  <c r="AQ24" i="10" l="1"/>
  <c r="AR24" i="10" s="1"/>
  <c r="AL24" i="10"/>
  <c r="AM24" i="10" s="1"/>
  <c r="AG24" i="10"/>
  <c r="AH24" i="10" s="1"/>
  <c r="AB24" i="10"/>
  <c r="AC24" i="10" s="1"/>
  <c r="W24" i="10"/>
  <c r="X24" i="10" s="1"/>
  <c r="R24" i="10"/>
  <c r="S24" i="10" s="1"/>
  <c r="M24" i="10"/>
  <c r="N24" i="10" s="1"/>
  <c r="H24" i="10"/>
  <c r="I24" i="10" s="1"/>
  <c r="C24" i="10"/>
  <c r="D24" i="10" s="1"/>
  <c r="AQ31" i="10" l="1"/>
  <c r="AR31" i="10" s="1"/>
  <c r="AL31" i="10"/>
  <c r="AM31" i="10" s="1"/>
  <c r="AG31" i="10"/>
  <c r="AH31" i="10" s="1"/>
  <c r="AB31" i="10"/>
  <c r="AC31" i="10" s="1"/>
  <c r="W31" i="10"/>
  <c r="X31" i="10" s="1"/>
  <c r="R31" i="10"/>
  <c r="S31" i="10" s="1"/>
  <c r="M31" i="10"/>
  <c r="N31" i="10" s="1"/>
  <c r="H31" i="10"/>
  <c r="I31" i="10" s="1"/>
  <c r="C31" i="10"/>
  <c r="D31" i="10" s="1"/>
  <c r="AQ30" i="10" l="1"/>
  <c r="AR30" i="10" s="1"/>
  <c r="AQ29" i="10"/>
  <c r="AR29" i="10" s="1"/>
  <c r="AQ23" i="10"/>
  <c r="AR23" i="10" s="1"/>
  <c r="AQ28" i="10"/>
  <c r="AR28" i="10" s="1"/>
  <c r="AQ27" i="10"/>
  <c r="AR27" i="10" s="1"/>
  <c r="AQ26" i="10"/>
  <c r="AR26" i="10" s="1"/>
  <c r="AQ25" i="10"/>
  <c r="AR25" i="10" s="1"/>
  <c r="AQ22" i="10"/>
  <c r="AR22" i="10" s="1"/>
  <c r="AQ21" i="10"/>
  <c r="AR21" i="10" s="1"/>
  <c r="AQ20" i="10"/>
  <c r="AR20" i="10" s="1"/>
  <c r="AQ19" i="10"/>
  <c r="AR19" i="10" s="1"/>
  <c r="AQ18" i="10"/>
  <c r="AR18" i="10" s="1"/>
  <c r="AQ17" i="10"/>
  <c r="AR17" i="10" s="1"/>
  <c r="AQ16" i="10"/>
  <c r="AR16" i="10" s="1"/>
  <c r="AQ15" i="10"/>
  <c r="AR15" i="10" s="1"/>
  <c r="AQ14" i="10"/>
  <c r="AR14" i="10" s="1"/>
  <c r="AQ13" i="10"/>
  <c r="AR13" i="10" s="1"/>
  <c r="AQ12" i="10"/>
  <c r="AR12" i="10" s="1"/>
  <c r="AQ11" i="10"/>
  <c r="AR11" i="10" s="1"/>
  <c r="AL11" i="10"/>
  <c r="AM11" i="10" s="1"/>
  <c r="AL10" i="10"/>
  <c r="AM10" i="10" s="1"/>
  <c r="AL30" i="10"/>
  <c r="AM30" i="10" s="1"/>
  <c r="AL29" i="10"/>
  <c r="AM29" i="10" s="1"/>
  <c r="AL28" i="10"/>
  <c r="AM28" i="10" s="1"/>
  <c r="AL27" i="10"/>
  <c r="AM27" i="10" s="1"/>
  <c r="AL26" i="10"/>
  <c r="AM26" i="10" s="1"/>
  <c r="AL25" i="10"/>
  <c r="AM25" i="10" s="1"/>
  <c r="AL23" i="10"/>
  <c r="AM23" i="10" s="1"/>
  <c r="AL22" i="10"/>
  <c r="AM22" i="10" s="1"/>
  <c r="AL21" i="10"/>
  <c r="AM21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2" i="10"/>
  <c r="AM12" i="10" s="1"/>
  <c r="AG30" i="10"/>
  <c r="AH30" i="10" s="1"/>
  <c r="AG29" i="10"/>
  <c r="AH29" i="10" s="1"/>
  <c r="AG28" i="10"/>
  <c r="AH28" i="10" s="1"/>
  <c r="AG27" i="10"/>
  <c r="AH27" i="10" s="1"/>
  <c r="AG26" i="10"/>
  <c r="AH26" i="10" s="1"/>
  <c r="AG25" i="10"/>
  <c r="AH25" i="10" s="1"/>
  <c r="AG23" i="10"/>
  <c r="AH23" i="10" s="1"/>
  <c r="AG22" i="10"/>
  <c r="AH22" i="10" s="1"/>
  <c r="AG21" i="10"/>
  <c r="AH21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2" i="10"/>
  <c r="AH12" i="10" s="1"/>
  <c r="AG11" i="10"/>
  <c r="AH11" i="10" s="1"/>
  <c r="AH10" i="10"/>
  <c r="AB10" i="10"/>
  <c r="AB30" i="10"/>
  <c r="AC30" i="10" s="1"/>
  <c r="AB29" i="10"/>
  <c r="AC29" i="10" s="1"/>
  <c r="AB28" i="10"/>
  <c r="AC28" i="10" s="1"/>
  <c r="AB27" i="10"/>
  <c r="AC27" i="10" s="1"/>
  <c r="AB26" i="10"/>
  <c r="AC26" i="10" s="1"/>
  <c r="AB25" i="10"/>
  <c r="AC25" i="10" s="1"/>
  <c r="AB23" i="10"/>
  <c r="AC23" i="10" s="1"/>
  <c r="AB22" i="10"/>
  <c r="AC22" i="10" s="1"/>
  <c r="AB21" i="10"/>
  <c r="AC21" i="10" s="1"/>
  <c r="AB20" i="10"/>
  <c r="AC20" i="10" s="1"/>
  <c r="AB19" i="10"/>
  <c r="AC19" i="10" s="1"/>
  <c r="AB18" i="10"/>
  <c r="AC18" i="10" s="1"/>
  <c r="AB17" i="10"/>
  <c r="AC17" i="10" s="1"/>
  <c r="AB16" i="10"/>
  <c r="AC16" i="10" s="1"/>
  <c r="AB15" i="10"/>
  <c r="AC15" i="10" s="1"/>
  <c r="AB14" i="10"/>
  <c r="AC14" i="10" s="1"/>
  <c r="AB13" i="10"/>
  <c r="AC13" i="10" s="1"/>
  <c r="AB12" i="10"/>
  <c r="AC12" i="10" s="1"/>
  <c r="AB11" i="10"/>
  <c r="AC11" i="10" s="1"/>
  <c r="W11" i="10"/>
  <c r="X11" i="10" s="1"/>
  <c r="W30" i="10"/>
  <c r="X30" i="10" s="1"/>
  <c r="W29" i="10"/>
  <c r="X29" i="10" s="1"/>
  <c r="W28" i="10"/>
  <c r="X28" i="10" s="1"/>
  <c r="W27" i="10"/>
  <c r="X27" i="10" s="1"/>
  <c r="W26" i="10"/>
  <c r="X26" i="10" s="1"/>
  <c r="W25" i="10"/>
  <c r="X25" i="10" s="1"/>
  <c r="W23" i="10"/>
  <c r="X23" i="10" s="1"/>
  <c r="W22" i="10"/>
  <c r="X22" i="10" s="1"/>
  <c r="W21" i="10"/>
  <c r="X21" i="10" s="1"/>
  <c r="W20" i="10"/>
  <c r="X20" i="10" s="1"/>
  <c r="W19" i="10"/>
  <c r="X19" i="10" s="1"/>
  <c r="W18" i="10"/>
  <c r="X18" i="10" s="1"/>
  <c r="W17" i="10"/>
  <c r="X17" i="10" s="1"/>
  <c r="W16" i="10"/>
  <c r="X16" i="10" s="1"/>
  <c r="W15" i="10"/>
  <c r="X15" i="10" s="1"/>
  <c r="W14" i="10"/>
  <c r="X14" i="10" s="1"/>
  <c r="W13" i="10"/>
  <c r="X13" i="10" s="1"/>
  <c r="W12" i="10"/>
  <c r="X12" i="10" s="1"/>
  <c r="M14" i="10"/>
  <c r="N14" i="10" s="1"/>
  <c r="S30" i="10"/>
  <c r="R29" i="10"/>
  <c r="S29" i="10" s="1"/>
  <c r="R28" i="10"/>
  <c r="S28" i="10" s="1"/>
  <c r="R27" i="10"/>
  <c r="S27" i="10" s="1"/>
  <c r="R26" i="10"/>
  <c r="S26" i="10" s="1"/>
  <c r="R25" i="10"/>
  <c r="S25" i="10" s="1"/>
  <c r="R23" i="10"/>
  <c r="S23" i="10" s="1"/>
  <c r="R22" i="10"/>
  <c r="S22" i="10" s="1"/>
  <c r="R21" i="10"/>
  <c r="S21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3" i="10"/>
  <c r="N13" i="10" s="1"/>
  <c r="M12" i="10"/>
  <c r="N12" i="10" s="1"/>
  <c r="M11" i="10"/>
  <c r="N1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AC10" i="10" l="1"/>
</calcChain>
</file>

<file path=xl/sharedStrings.xml><?xml version="1.0" encoding="utf-8"?>
<sst xmlns="http://schemas.openxmlformats.org/spreadsheetml/2006/main" count="297" uniqueCount="49">
  <si>
    <t xml:space="preserve"> </t>
  </si>
  <si>
    <t>Nuclear</t>
  </si>
  <si>
    <t>Coal</t>
  </si>
  <si>
    <t>Combined Cycle</t>
  </si>
  <si>
    <t>Combustion Turbine</t>
  </si>
  <si>
    <t>Onshore Wind</t>
  </si>
  <si>
    <t>Offshore Wind</t>
  </si>
  <si>
    <t>Solar PV (Tracking)</t>
  </si>
  <si>
    <t>Solar PV (Fixed)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</si>
  <si>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</si>
  <si>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</si>
  <si>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</si>
  <si>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</si>
  <si>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</si>
  <si>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</si>
  <si>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</si>
  <si>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</si>
  <si>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</si>
  <si>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</si>
  <si>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</si>
  <si>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</si>
  <si>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</si>
  <si>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</si>
  <si>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</si>
  <si>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</si>
  <si>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</si>
  <si>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</si>
  <si>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</si>
  <si>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</si>
  <si>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CONE</t>
  </si>
  <si>
    <t>DAYTON</t>
  </si>
  <si>
    <t>All other quantities are in $/MW-Day (Nameplate)</t>
  </si>
  <si>
    <t>Class Average EFORd %</t>
  </si>
  <si>
    <t>Default MOPR Price ($/UCAP MW-Day)</t>
  </si>
  <si>
    <t>Net EAS Revenue Offset</t>
  </si>
  <si>
    <t>Class Average EFORd =</t>
  </si>
  <si>
    <t>RTO</t>
  </si>
  <si>
    <t>Net Reactive Service Revenue Offset</t>
  </si>
  <si>
    <t>OVEC</t>
  </si>
  <si>
    <t>BLS Escalation</t>
  </si>
  <si>
    <t>2023/2024 Gross CONE, $/ICAP-MW-Day</t>
  </si>
  <si>
    <t xml:space="preserve">BLS Escalation and Annual Depreciation </t>
  </si>
  <si>
    <t>ELCC</t>
  </si>
  <si>
    <t>ELCC &amp; EFORd Adjustment *</t>
  </si>
  <si>
    <t>ELCC =</t>
  </si>
  <si>
    <t>ELCC &amp; EFORd Adjustment =</t>
  </si>
  <si>
    <t>Battery Energy Storage (10 hours)</t>
  </si>
  <si>
    <t>2024/2025 Gross CONE, $/ICAP-MW-Day</t>
  </si>
  <si>
    <t>2024-2025 BRA Default MOPR Floor Offer Prices for New Entry Capacity Resources with State Subsidy, $/MW-Day (UCAP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</si>
</sst>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0.000%"/>
    <numFmt numFmtId="171" formatCode="0.000000000"/>
  </numFmts>
  <fonts count="39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39">
    <xf numFmtId="0" fontId="0" fillId="0" borderId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0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6" fontId="32" fillId="0" borderId="9" xfId="0" applyNumberFormat="1" applyFont="1" applyBorder="1" applyAlignment="1">
      <alignment horizontal="center" vertical="center"/>
    </xf>
    <xf numFmtId="0" fontId="35" fillId="0" borderId="0" xfId="0" applyFont="1"/>
    <xf numFmtId="0" fontId="30" fillId="0" borderId="0" xfId="0" applyFont="1" applyBorder="1" applyAlignment="1">
      <alignment horizontal="center" vertical="center"/>
    </xf>
    <xf numFmtId="6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/>
    <xf numFmtId="0" fontId="36" fillId="0" borderId="9" xfId="0" applyFont="1" applyBorder="1" applyAlignment="1">
      <alignment horizontal="center" vertical="center"/>
    </xf>
    <xf numFmtId="166" fontId="32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70" fontId="32" fillId="0" borderId="9" xfId="0" applyNumberFormat="1" applyFont="1" applyBorder="1" applyAlignment="1">
      <alignment horizontal="center" vertical="center"/>
    </xf>
    <xf numFmtId="0" fontId="37" fillId="0" borderId="0" xfId="0" applyFont="1"/>
    <xf numFmtId="14" fontId="34" fillId="0" borderId="0" xfId="0" applyNumberFormat="1" applyFont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6" fontId="36" fillId="0" borderId="9" xfId="0" applyNumberFormat="1" applyFont="1" applyFill="1" applyBorder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6" fontId="32" fillId="0" borderId="9" xfId="0" applyNumberFormat="1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70" fontId="32" fillId="0" borderId="9" xfId="0" applyNumberFormat="1" applyFont="1" applyFill="1" applyBorder="1" applyAlignment="1">
      <alignment horizontal="center" vertical="center"/>
    </xf>
    <xf numFmtId="9" fontId="32" fillId="0" borderId="0" xfId="0" applyNumberFormat="1" applyFont="1" applyAlignment="1">
      <alignment vertical="center"/>
    </xf>
    <xf numFmtId="171" fontId="32" fillId="0" borderId="9" xfId="0" applyNumberFormat="1" applyFont="1" applyBorder="1" applyAlignment="1">
      <alignment horizontal="center" vertical="center"/>
    </xf>
    <xf numFmtId="9" fontId="32" fillId="0" borderId="0" xfId="0" applyNumberFormat="1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8" fontId="32" fillId="0" borderId="9" xfId="0" applyNumberFormat="1" applyFont="1" applyBorder="1" applyAlignment="1">
      <alignment horizontal="center" vertical="center"/>
    </xf>
    <xf numFmtId="8" fontId="32" fillId="0" borderId="9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9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</cellXfs>
  <cellStyles count="32539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0" xfId="20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zoomScale="80" zoomScaleNormal="80" workbookViewId="0">
      <selection activeCell="N2" sqref="N2"/>
    </sheetView>
  </sheetViews>
  <sheetFormatPr defaultRowHeight="12.5"/>
  <cols>
    <col min="1" max="4" width="15.6328125" customWidth="1"/>
    <col min="5" max="5" width="3.6328125" customWidth="1"/>
    <col min="6" max="9" width="15.6328125" customWidth="1"/>
    <col min="10" max="10" width="3.6328125" customWidth="1"/>
    <col min="11" max="14" width="15.6328125" customWidth="1"/>
    <col min="15" max="15" width="3.6328125" customWidth="1"/>
    <col min="16" max="19" width="15.6328125" customWidth="1"/>
    <col min="20" max="20" width="3.6328125" customWidth="1"/>
    <col min="21" max="24" width="15.6328125" customWidth="1"/>
    <col min="25" max="25" width="3.6328125" customWidth="1"/>
    <col min="26" max="29" width="15.6328125" customWidth="1"/>
    <col min="30" max="30" width="3.6328125" customWidth="1"/>
    <col min="31" max="34" width="15.6328125" customWidth="1"/>
    <col min="35" max="35" width="3.6328125" customWidth="1"/>
    <col min="36" max="39" width="15.6328125" customWidth="1"/>
    <col min="40" max="40" width="5.6328125" customWidth="1"/>
    <col min="41" max="44" width="15.6328125" customWidth="1"/>
  </cols>
  <sheetData>
    <row r="1" spans="1:44" ht="24.9" customHeight="1">
      <c r="A1" s="6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19" t="s">
        <v>0</v>
      </c>
      <c r="N1" s="20">
        <v>44748</v>
      </c>
      <c r="O1" s="10"/>
      <c r="P1" s="26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24.9" customHeight="1">
      <c r="A2" s="17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24.9" customHeight="1">
      <c r="A3" s="39" t="s">
        <v>1</v>
      </c>
      <c r="B3" s="39"/>
      <c r="C3" s="39"/>
      <c r="D3" s="39"/>
      <c r="E3" s="7"/>
      <c r="F3" s="39" t="s">
        <v>2</v>
      </c>
      <c r="G3" s="39"/>
      <c r="H3" s="39"/>
      <c r="I3" s="39"/>
      <c r="J3" s="7"/>
      <c r="K3" s="39" t="s">
        <v>3</v>
      </c>
      <c r="L3" s="39"/>
      <c r="M3" s="39"/>
      <c r="N3" s="39"/>
      <c r="O3" s="7"/>
      <c r="P3" s="39" t="s">
        <v>4</v>
      </c>
      <c r="Q3" s="39"/>
      <c r="R3" s="39"/>
      <c r="S3" s="39"/>
      <c r="T3" s="7"/>
      <c r="U3" s="39" t="s">
        <v>7</v>
      </c>
      <c r="V3" s="39"/>
      <c r="W3" s="39"/>
      <c r="X3" s="39"/>
      <c r="Y3" s="3"/>
      <c r="Z3" s="39" t="s">
        <v>8</v>
      </c>
      <c r="AA3" s="39"/>
      <c r="AB3" s="39"/>
      <c r="AC3" s="39"/>
      <c r="AD3" s="3"/>
      <c r="AE3" s="39" t="s">
        <v>5</v>
      </c>
      <c r="AF3" s="39"/>
      <c r="AG3" s="39"/>
      <c r="AH3" s="39"/>
      <c r="AI3" s="7"/>
      <c r="AJ3" s="39" t="s">
        <v>6</v>
      </c>
      <c r="AK3" s="39"/>
      <c r="AL3" s="39"/>
      <c r="AM3" s="39"/>
      <c r="AN3" s="3"/>
      <c r="AO3" s="39" t="s">
        <v>46</v>
      </c>
      <c r="AP3" s="39"/>
      <c r="AQ3" s="39"/>
      <c r="AR3" s="39"/>
    </row>
    <row r="4" spans="1:44" ht="20.149999999999999" customHeight="1">
      <c r="A4" s="40" t="s">
        <v>40</v>
      </c>
      <c r="B4" s="41"/>
      <c r="C4" s="42"/>
      <c r="D4" s="12">
        <v>2117.681697773834</v>
      </c>
      <c r="E4" s="13"/>
      <c r="F4" s="40" t="s">
        <v>40</v>
      </c>
      <c r="G4" s="41"/>
      <c r="H4" s="42"/>
      <c r="I4" s="12">
        <v>1130.8420266112273</v>
      </c>
      <c r="J4" s="13"/>
      <c r="K4" s="40" t="s">
        <v>40</v>
      </c>
      <c r="L4" s="41"/>
      <c r="M4" s="42"/>
      <c r="N4" s="12">
        <v>339.95504400015102</v>
      </c>
      <c r="O4" s="14"/>
      <c r="P4" s="40" t="s">
        <v>40</v>
      </c>
      <c r="Q4" s="41"/>
      <c r="R4" s="42"/>
      <c r="S4" s="12">
        <v>312.33369667513875</v>
      </c>
      <c r="T4" s="14"/>
      <c r="U4" s="40" t="s">
        <v>40</v>
      </c>
      <c r="V4" s="41"/>
      <c r="W4" s="42"/>
      <c r="X4" s="12">
        <v>303.45839984244418</v>
      </c>
      <c r="Y4" s="3"/>
      <c r="Z4" s="40" t="s">
        <v>40</v>
      </c>
      <c r="AA4" s="41"/>
      <c r="AB4" s="42"/>
      <c r="AC4" s="12">
        <v>283.57664261138751</v>
      </c>
      <c r="AD4" s="3"/>
      <c r="AE4" s="40" t="s">
        <v>40</v>
      </c>
      <c r="AF4" s="41"/>
      <c r="AG4" s="42"/>
      <c r="AH4" s="12">
        <v>439.4914756338847</v>
      </c>
      <c r="AI4" s="14"/>
      <c r="AJ4" s="40" t="s">
        <v>40</v>
      </c>
      <c r="AK4" s="41"/>
      <c r="AL4" s="42"/>
      <c r="AM4" s="12">
        <v>1208.601557993183</v>
      </c>
      <c r="AN4" s="3"/>
      <c r="AO4" s="40" t="s">
        <v>40</v>
      </c>
      <c r="AP4" s="41"/>
      <c r="AQ4" s="42"/>
      <c r="AR4" s="12">
        <v>556.68920246958726</v>
      </c>
    </row>
    <row r="5" spans="1:44" ht="20.149999999999999" customHeight="1">
      <c r="A5" s="40" t="s">
        <v>41</v>
      </c>
      <c r="B5" s="41"/>
      <c r="C5" s="42"/>
      <c r="D5" s="32">
        <f>1.03604779734532*1.022</f>
        <v>1.058840848886917</v>
      </c>
      <c r="E5" s="13"/>
      <c r="F5" s="40" t="s">
        <v>41</v>
      </c>
      <c r="G5" s="41"/>
      <c r="H5" s="42"/>
      <c r="I5" s="32">
        <f>1.03604779734532*1.022</f>
        <v>1.058840848886917</v>
      </c>
      <c r="J5" s="13"/>
      <c r="K5" s="40" t="s">
        <v>41</v>
      </c>
      <c r="L5" s="41"/>
      <c r="M5" s="42"/>
      <c r="N5" s="32">
        <f>1.03949071673236*1.022</f>
        <v>1.0623595125004719</v>
      </c>
      <c r="O5" s="14"/>
      <c r="P5" s="40" t="s">
        <v>41</v>
      </c>
      <c r="Q5" s="41"/>
      <c r="R5" s="42"/>
      <c r="S5" s="32">
        <f>1.03949071673236*1.022</f>
        <v>1.0623595125004719</v>
      </c>
      <c r="T5" s="14"/>
      <c r="U5" s="40" t="s">
        <v>41</v>
      </c>
      <c r="V5" s="41"/>
      <c r="W5" s="42"/>
      <c r="X5" s="32">
        <f>1.03604779734532*1.01</f>
        <v>1.0464082753187731</v>
      </c>
      <c r="Y5" s="3"/>
      <c r="Z5" s="40" t="s">
        <v>41</v>
      </c>
      <c r="AA5" s="41"/>
      <c r="AB5" s="42"/>
      <c r="AC5" s="32">
        <f>1.03604779734532*1.01</f>
        <v>1.0464082753187731</v>
      </c>
      <c r="AD5" s="3"/>
      <c r="AE5" s="40" t="s">
        <v>41</v>
      </c>
      <c r="AF5" s="41"/>
      <c r="AG5" s="42"/>
      <c r="AH5" s="32">
        <f>1.03604779734532*1.01</f>
        <v>1.0464082753187731</v>
      </c>
      <c r="AI5" s="14"/>
      <c r="AJ5" s="40" t="s">
        <v>39</v>
      </c>
      <c r="AK5" s="41"/>
      <c r="AL5" s="42"/>
      <c r="AM5" s="32">
        <f>1.03604779734532*1.01</f>
        <v>1.0464082753187731</v>
      </c>
      <c r="AN5" s="3"/>
      <c r="AO5" s="40" t="s">
        <v>41</v>
      </c>
      <c r="AP5" s="41"/>
      <c r="AQ5" s="42"/>
      <c r="AR5" s="32">
        <f>1.03604779734532*1.01</f>
        <v>1.0464082753187731</v>
      </c>
    </row>
    <row r="6" spans="1:44" ht="20.149999999999999" customHeight="1">
      <c r="A6" s="40" t="s">
        <v>47</v>
      </c>
      <c r="B6" s="41"/>
      <c r="C6" s="42"/>
      <c r="D6" s="12">
        <f>D4*D5</f>
        <v>2242.2878865431339</v>
      </c>
      <c r="E6" s="13"/>
      <c r="F6" s="40" t="s">
        <v>47</v>
      </c>
      <c r="G6" s="41"/>
      <c r="H6" s="42"/>
      <c r="I6" s="12">
        <f>I4*I5</f>
        <v>1197.3817314140335</v>
      </c>
      <c r="J6" s="13"/>
      <c r="K6" s="40" t="s">
        <v>47</v>
      </c>
      <c r="L6" s="41"/>
      <c r="M6" s="42"/>
      <c r="N6" s="12">
        <f>N4*N5</f>
        <v>361.15447481607691</v>
      </c>
      <c r="O6" s="14"/>
      <c r="P6" s="40" t="s">
        <v>47</v>
      </c>
      <c r="Q6" s="41"/>
      <c r="R6" s="42"/>
      <c r="S6" s="12">
        <f>S4*S5</f>
        <v>331.81067373727069</v>
      </c>
      <c r="T6" s="14"/>
      <c r="U6" s="40" t="s">
        <v>47</v>
      </c>
      <c r="V6" s="41"/>
      <c r="W6" s="42"/>
      <c r="X6" s="12">
        <f>X4*X5</f>
        <v>317.54138081012667</v>
      </c>
      <c r="Y6" s="3"/>
      <c r="Z6" s="40" t="s">
        <v>47</v>
      </c>
      <c r="AA6" s="41"/>
      <c r="AB6" s="42"/>
      <c r="AC6" s="12">
        <f>AC4*AC5</f>
        <v>296.73694551567013</v>
      </c>
      <c r="AD6" s="3"/>
      <c r="AE6" s="40" t="s">
        <v>47</v>
      </c>
      <c r="AF6" s="41"/>
      <c r="AG6" s="42"/>
      <c r="AH6" s="12">
        <f>AH4*AH5</f>
        <v>459.88751703535587</v>
      </c>
      <c r="AI6" s="14"/>
      <c r="AJ6" s="40" t="s">
        <v>47</v>
      </c>
      <c r="AK6" s="41"/>
      <c r="AL6" s="42"/>
      <c r="AM6" s="12">
        <f>AM4*AM5</f>
        <v>1264.6906718472287</v>
      </c>
      <c r="AN6" s="3"/>
      <c r="AO6" s="40" t="s">
        <v>47</v>
      </c>
      <c r="AP6" s="41"/>
      <c r="AQ6" s="42"/>
      <c r="AR6" s="12">
        <f>AR4*AR5</f>
        <v>582.52418824478411</v>
      </c>
    </row>
    <row r="7" spans="1:44" ht="20.149999999999999" customHeight="1">
      <c r="A7" s="43" t="s">
        <v>37</v>
      </c>
      <c r="B7" s="43"/>
      <c r="C7" s="43"/>
      <c r="D7" s="24">
        <f>3350/(DATE(LEFT($A$1,4)*1+1,5,31)-(DATE(LEFT($A$1,4)*1,6,1))+1)</f>
        <v>9.1780821917808222</v>
      </c>
      <c r="E7" s="14"/>
      <c r="F7" s="43" t="s">
        <v>37</v>
      </c>
      <c r="G7" s="43"/>
      <c r="H7" s="43"/>
      <c r="I7" s="24">
        <f>3350/(DATE(LEFT($A$1,4)*1+1,5,31)-(DATE(LEFT($A$1,4)*1,6,1))+1)</f>
        <v>9.1780821917808222</v>
      </c>
      <c r="J7" s="14"/>
      <c r="K7" s="43" t="s">
        <v>37</v>
      </c>
      <c r="L7" s="43"/>
      <c r="M7" s="43"/>
      <c r="N7" s="24">
        <f>3350/(DATE(LEFT($A$1,4)*1+1,5,31)-(DATE(LEFT($A$1,4)*1,6,1))+1)</f>
        <v>9.1780821917808222</v>
      </c>
      <c r="O7" s="14"/>
      <c r="P7" s="43" t="s">
        <v>37</v>
      </c>
      <c r="Q7" s="43"/>
      <c r="R7" s="43"/>
      <c r="S7" s="24">
        <f>2199/(DATE(LEFT($A$1,4)*1+1,5,31)-(DATE(LEFT($A$1,4)*1,6,1))+1)</f>
        <v>6.0246575342465754</v>
      </c>
      <c r="T7" s="14"/>
      <c r="U7" s="43" t="s">
        <v>37</v>
      </c>
      <c r="V7" s="43"/>
      <c r="W7" s="43"/>
      <c r="X7" s="24">
        <f>3350/(DATE(LEFT($A$1,4)*1+1,5,31)-(DATE(LEFT($A$1,4)*1,6,1))+1)</f>
        <v>9.1780821917808222</v>
      </c>
      <c r="Y7" s="3"/>
      <c r="Z7" s="43" t="s">
        <v>37</v>
      </c>
      <c r="AA7" s="43"/>
      <c r="AB7" s="43"/>
      <c r="AC7" s="24">
        <f>3350/(DATE(LEFT($A$1,4)*1+1,5,31)-(DATE(LEFT($A$1,4)*1,6,1))+1)</f>
        <v>9.1780821917808222</v>
      </c>
      <c r="AD7" s="3"/>
      <c r="AE7" s="43" t="s">
        <v>37</v>
      </c>
      <c r="AF7" s="43"/>
      <c r="AG7" s="43"/>
      <c r="AH7" s="24">
        <f>3350/(DATE(LEFT($A$1,4)*1+1,5,31)-(DATE(LEFT($A$1,4)*1,6,1))+1)</f>
        <v>9.1780821917808222</v>
      </c>
      <c r="AI7" s="14"/>
      <c r="AJ7" s="43" t="s">
        <v>37</v>
      </c>
      <c r="AK7" s="43"/>
      <c r="AL7" s="43"/>
      <c r="AM7" s="24">
        <f>3350/(DATE(LEFT($A$1,4)*1+1,5,31)-(DATE(LEFT($A$1,4)*1,6,1))+1)</f>
        <v>9.1780821917808222</v>
      </c>
      <c r="AN7" s="3"/>
      <c r="AO7" s="43" t="s">
        <v>37</v>
      </c>
      <c r="AP7" s="43"/>
      <c r="AQ7" s="43"/>
      <c r="AR7" s="24">
        <f>3350/(DATE(LEFT($A$1,4)*1+1,5,31)-(DATE(LEFT($A$1,4)*1,6,1))+1)</f>
        <v>9.1780821917808222</v>
      </c>
    </row>
    <row r="8" spans="1:44" ht="20.149999999999999" customHeight="1">
      <c r="A8" s="44" t="s">
        <v>32</v>
      </c>
      <c r="B8" s="44"/>
      <c r="C8" s="44"/>
      <c r="D8" s="18">
        <v>9.3699999999999999E-3</v>
      </c>
      <c r="E8" s="7"/>
      <c r="F8" s="44" t="s">
        <v>32</v>
      </c>
      <c r="G8" s="44"/>
      <c r="H8" s="44"/>
      <c r="I8" s="30">
        <v>0.12778</v>
      </c>
      <c r="J8" s="7"/>
      <c r="K8" s="44" t="s">
        <v>32</v>
      </c>
      <c r="L8" s="44"/>
      <c r="M8" s="44"/>
      <c r="N8" s="18">
        <v>3.6290000000000003E-2</v>
      </c>
      <c r="O8" s="13"/>
      <c r="P8" s="44" t="s">
        <v>32</v>
      </c>
      <c r="Q8" s="44"/>
      <c r="R8" s="44"/>
      <c r="S8" s="18">
        <v>4.4999999999999998E-2</v>
      </c>
      <c r="T8" s="13"/>
      <c r="U8" s="44" t="s">
        <v>42</v>
      </c>
      <c r="V8" s="44"/>
      <c r="W8" s="44"/>
      <c r="X8" s="15">
        <v>0.54</v>
      </c>
      <c r="Y8" s="3"/>
      <c r="Z8" s="44" t="s">
        <v>42</v>
      </c>
      <c r="AA8" s="44"/>
      <c r="AB8" s="44"/>
      <c r="AC8" s="15">
        <v>0.36</v>
      </c>
      <c r="AD8" s="3"/>
      <c r="AE8" s="44" t="s">
        <v>42</v>
      </c>
      <c r="AF8" s="44"/>
      <c r="AG8" s="44"/>
      <c r="AH8" s="15">
        <v>0.16</v>
      </c>
      <c r="AI8" s="16"/>
      <c r="AJ8" s="44" t="s">
        <v>42</v>
      </c>
      <c r="AK8" s="44"/>
      <c r="AL8" s="44"/>
      <c r="AM8" s="15">
        <v>0.37</v>
      </c>
      <c r="AN8" s="3"/>
      <c r="AO8" s="44" t="s">
        <v>43</v>
      </c>
      <c r="AP8" s="44"/>
      <c r="AQ8" s="44"/>
      <c r="AR8" s="15">
        <f>AR34</f>
        <v>0.95</v>
      </c>
    </row>
    <row r="9" spans="1:44" ht="50.15" customHeight="1">
      <c r="A9" s="1" t="s">
        <v>28</v>
      </c>
      <c r="B9" s="4" t="s">
        <v>34</v>
      </c>
      <c r="C9" s="4" t="s">
        <v>29</v>
      </c>
      <c r="D9" s="4" t="s">
        <v>33</v>
      </c>
      <c r="E9" s="9"/>
      <c r="F9" s="1" t="s">
        <v>28</v>
      </c>
      <c r="G9" s="4" t="s">
        <v>34</v>
      </c>
      <c r="H9" s="4" t="s">
        <v>29</v>
      </c>
      <c r="I9" s="4" t="s">
        <v>33</v>
      </c>
      <c r="J9" s="9"/>
      <c r="K9" s="1" t="s">
        <v>28</v>
      </c>
      <c r="L9" s="4" t="s">
        <v>34</v>
      </c>
      <c r="M9" s="4" t="s">
        <v>29</v>
      </c>
      <c r="N9" s="4" t="s">
        <v>33</v>
      </c>
      <c r="O9" s="9"/>
      <c r="P9" s="1" t="s">
        <v>28</v>
      </c>
      <c r="Q9" s="4" t="s">
        <v>34</v>
      </c>
      <c r="R9" s="4" t="s">
        <v>29</v>
      </c>
      <c r="S9" s="4" t="s">
        <v>33</v>
      </c>
      <c r="T9" s="9"/>
      <c r="U9" s="1" t="s">
        <v>28</v>
      </c>
      <c r="V9" s="4" t="s">
        <v>34</v>
      </c>
      <c r="W9" s="4" t="s">
        <v>29</v>
      </c>
      <c r="X9" s="4" t="s">
        <v>33</v>
      </c>
      <c r="Y9" s="3"/>
      <c r="Z9" s="1" t="s">
        <v>28</v>
      </c>
      <c r="AA9" s="4" t="s">
        <v>34</v>
      </c>
      <c r="AB9" s="4" t="s">
        <v>29</v>
      </c>
      <c r="AC9" s="4" t="s">
        <v>33</v>
      </c>
      <c r="AD9" s="3"/>
      <c r="AE9" s="1" t="s">
        <v>28</v>
      </c>
      <c r="AF9" s="4" t="s">
        <v>34</v>
      </c>
      <c r="AG9" s="4" t="s">
        <v>29</v>
      </c>
      <c r="AH9" s="4" t="s">
        <v>33</v>
      </c>
      <c r="AI9" s="9"/>
      <c r="AJ9" s="1" t="s">
        <v>28</v>
      </c>
      <c r="AK9" s="4" t="s">
        <v>34</v>
      </c>
      <c r="AL9" s="4" t="s">
        <v>29</v>
      </c>
      <c r="AM9" s="4" t="s">
        <v>33</v>
      </c>
      <c r="AN9" s="3"/>
      <c r="AO9" s="1" t="s">
        <v>28</v>
      </c>
      <c r="AP9" s="4" t="s">
        <v>34</v>
      </c>
      <c r="AQ9" s="4" t="s">
        <v>29</v>
      </c>
      <c r="AR9" s="4" t="s">
        <v>33</v>
      </c>
    </row>
    <row r="10" spans="1:44" ht="20.149999999999999" customHeight="1">
      <c r="A10" s="11" t="s">
        <v>9</v>
      </c>
      <c r="B10" s="22">
        <v>376.88</v>
      </c>
      <c r="C10" s="5">
        <f>D$6-B10-D$7</f>
        <v>1856.2298043513531</v>
      </c>
      <c r="D10" s="35">
        <f>C10/(1-D$8)</f>
        <v>1873.7871903246955</v>
      </c>
      <c r="E10" s="8"/>
      <c r="F10" s="11" t="s">
        <v>9</v>
      </c>
      <c r="G10" s="22">
        <v>29.7469945355191</v>
      </c>
      <c r="H10" s="5">
        <f>I$6-G10-I$7</f>
        <v>1158.4566546867336</v>
      </c>
      <c r="I10" s="35">
        <f>H10/(1-I$8)</f>
        <v>1328.1702491191827</v>
      </c>
      <c r="J10" s="8"/>
      <c r="K10" s="11" t="s">
        <v>9</v>
      </c>
      <c r="L10" s="23">
        <v>138.49782788316335</v>
      </c>
      <c r="M10" s="5">
        <f>N$6-L10-N$7</f>
        <v>213.47856474113274</v>
      </c>
      <c r="N10" s="35">
        <f>M10/(1-N$8)</f>
        <v>221.51743236153277</v>
      </c>
      <c r="O10" s="8"/>
      <c r="P10" s="11" t="s">
        <v>9</v>
      </c>
      <c r="Q10" s="23">
        <v>26.978932236579332</v>
      </c>
      <c r="R10" s="5">
        <f>S$6-Q10-S$7</f>
        <v>298.80708396644479</v>
      </c>
      <c r="S10" s="35">
        <f t="shared" ref="S10:S30" si="0">R10/(1-S$8)</f>
        <v>312.88699891774326</v>
      </c>
      <c r="T10" s="8"/>
      <c r="U10" s="11" t="s">
        <v>9</v>
      </c>
      <c r="V10" s="22">
        <v>137.58000000000001</v>
      </c>
      <c r="W10" s="5">
        <f>X$6-V10-X$7</f>
        <v>170.78329861834584</v>
      </c>
      <c r="X10" s="35">
        <f>W10/X$8</f>
        <v>316.26536781175156</v>
      </c>
      <c r="Y10" s="3"/>
      <c r="Z10" s="11" t="s">
        <v>9</v>
      </c>
      <c r="AA10" s="22">
        <v>84.26</v>
      </c>
      <c r="AB10" s="5">
        <f>AC$6-AA10-AC$7</f>
        <v>203.29886332388932</v>
      </c>
      <c r="AC10" s="35">
        <f>AB10/AC$8</f>
        <v>564.71906478858148</v>
      </c>
      <c r="AD10" s="3"/>
      <c r="AE10" s="11" t="s">
        <v>9</v>
      </c>
      <c r="AF10" s="22">
        <v>184.72</v>
      </c>
      <c r="AG10" s="5">
        <f>AH$6-AF10-AH$7</f>
        <v>265.98943484357505</v>
      </c>
      <c r="AH10" s="35">
        <f>AG10/AH$8</f>
        <v>1662.433967772344</v>
      </c>
      <c r="AI10" s="8"/>
      <c r="AJ10" s="11" t="s">
        <v>9</v>
      </c>
      <c r="AK10" s="22">
        <v>266.88</v>
      </c>
      <c r="AL10" s="5">
        <f>AM$6-AK10-AM$7</f>
        <v>988.63258965544787</v>
      </c>
      <c r="AM10" s="35">
        <f>AL10/AM$8</f>
        <v>2671.9799720417509</v>
      </c>
      <c r="AN10" s="3"/>
      <c r="AO10" s="11" t="s">
        <v>9</v>
      </c>
      <c r="AP10" s="22">
        <v>73.2</v>
      </c>
      <c r="AQ10" s="5">
        <f>AR$6-AP10-AR$7</f>
        <v>500.14610605300328</v>
      </c>
      <c r="AR10" s="35">
        <f>(AQ10*2.5)/AR$8</f>
        <v>1316.1739632973772</v>
      </c>
    </row>
    <row r="11" spans="1:44" ht="20.149999999999999" customHeight="1">
      <c r="A11" s="11" t="s">
        <v>10</v>
      </c>
      <c r="B11" s="22">
        <v>470.77</v>
      </c>
      <c r="C11" s="5">
        <f>D$6-B11-D$7</f>
        <v>1762.3398043513532</v>
      </c>
      <c r="D11" s="35">
        <f>C11/(1-D$8)</f>
        <v>1779.0091198039158</v>
      </c>
      <c r="E11" s="8"/>
      <c r="F11" s="11" t="s">
        <v>10</v>
      </c>
      <c r="G11" s="22">
        <v>54.386994535519101</v>
      </c>
      <c r="H11" s="5">
        <f>I$6-G11-I$7</f>
        <v>1133.8166546867337</v>
      </c>
      <c r="I11" s="35">
        <f t="shared" ref="I11:I30" si="1">H11/(1-I$8)</f>
        <v>1299.9204956166263</v>
      </c>
      <c r="J11" s="8"/>
      <c r="K11" s="11" t="s">
        <v>10</v>
      </c>
      <c r="L11" s="23">
        <v>242.51173071597208</v>
      </c>
      <c r="M11" s="5">
        <f>N$6-L11-N$7</f>
        <v>109.46466190832402</v>
      </c>
      <c r="N11" s="35">
        <f t="shared" ref="N11:N30" si="2">M11/(1-N$8)</f>
        <v>113.58672412688883</v>
      </c>
      <c r="O11" s="8"/>
      <c r="P11" s="11" t="s">
        <v>10</v>
      </c>
      <c r="Q11" s="23">
        <v>66.803062298140944</v>
      </c>
      <c r="R11" s="5">
        <f>S$6-Q11-S$7</f>
        <v>258.98295390488317</v>
      </c>
      <c r="S11" s="35">
        <f t="shared" si="0"/>
        <v>271.18633916741697</v>
      </c>
      <c r="T11" s="8"/>
      <c r="U11" s="11" t="s">
        <v>10</v>
      </c>
      <c r="V11" s="22">
        <v>170.57</v>
      </c>
      <c r="W11" s="5">
        <f>X$6-V11-X$7</f>
        <v>137.79329861834586</v>
      </c>
      <c r="X11" s="35">
        <f t="shared" ref="X11:X30" si="3">W11/X$8</f>
        <v>255.17277521915898</v>
      </c>
      <c r="Y11" s="3"/>
      <c r="Z11" s="11" t="s">
        <v>10</v>
      </c>
      <c r="AA11" s="22">
        <v>105.03</v>
      </c>
      <c r="AB11" s="5">
        <f>AC$6-AA11-AC$7</f>
        <v>182.52886332388931</v>
      </c>
      <c r="AC11" s="35">
        <f>AB11/AC$8</f>
        <v>507.02462034413702</v>
      </c>
      <c r="AD11" s="3"/>
      <c r="AE11" s="11" t="s">
        <v>10</v>
      </c>
      <c r="AF11" s="22">
        <v>215.22</v>
      </c>
      <c r="AG11" s="5">
        <f>AH$6-AF11-AH$7</f>
        <v>235.48943484357505</v>
      </c>
      <c r="AH11" s="35">
        <f>AG11/AH$8</f>
        <v>1471.808967772344</v>
      </c>
      <c r="AI11" s="8"/>
      <c r="AJ11" s="11" t="s">
        <v>10</v>
      </c>
      <c r="AK11" s="22">
        <v>313.31</v>
      </c>
      <c r="AL11" s="5">
        <f>AM$6-AK11-AM$7</f>
        <v>942.20258965544792</v>
      </c>
      <c r="AM11" s="35">
        <f>AL11/AM$8</f>
        <v>2546.4934855552647</v>
      </c>
      <c r="AN11" s="3"/>
      <c r="AO11" s="11" t="s">
        <v>10</v>
      </c>
      <c r="AP11" s="22">
        <v>103.04</v>
      </c>
      <c r="AQ11" s="5">
        <f>AR$6-AP11-AR$7</f>
        <v>470.30610605300325</v>
      </c>
      <c r="AR11" s="35">
        <f t="shared" ref="AR11:AR31" si="4">(AQ11*2.5)/AR$8</f>
        <v>1237.6476475079035</v>
      </c>
    </row>
    <row r="12" spans="1:44" ht="20.149999999999999" customHeight="1">
      <c r="A12" s="11" t="s">
        <v>11</v>
      </c>
      <c r="B12" s="22">
        <v>471.54</v>
      </c>
      <c r="C12" s="5">
        <f>D$6-B12-D$7</f>
        <v>1761.5698043513532</v>
      </c>
      <c r="D12" s="35">
        <f>C12/(1-D$8)</f>
        <v>1778.2318366608656</v>
      </c>
      <c r="E12" s="8"/>
      <c r="F12" s="11" t="s">
        <v>11</v>
      </c>
      <c r="G12" s="22">
        <v>57.706994535519101</v>
      </c>
      <c r="H12" s="5">
        <f>I$6-G12-I$7</f>
        <v>1130.4966546867338</v>
      </c>
      <c r="I12" s="35">
        <f t="shared" si="1"/>
        <v>1296.1141164920934</v>
      </c>
      <c r="J12" s="8"/>
      <c r="K12" s="11" t="s">
        <v>11</v>
      </c>
      <c r="L12" s="23">
        <v>267.05186735929482</v>
      </c>
      <c r="M12" s="5">
        <f>N$6-L12-N$7</f>
        <v>84.924525265001279</v>
      </c>
      <c r="N12" s="35">
        <f t="shared" si="2"/>
        <v>88.122490443184446</v>
      </c>
      <c r="O12" s="8"/>
      <c r="P12" s="11" t="s">
        <v>11</v>
      </c>
      <c r="Q12" s="23">
        <v>81.769620808255695</v>
      </c>
      <c r="R12" s="5">
        <f>S$6-Q12-S$7</f>
        <v>244.01639539476841</v>
      </c>
      <c r="S12" s="35">
        <f t="shared" si="0"/>
        <v>255.51455015158996</v>
      </c>
      <c r="T12" s="8"/>
      <c r="U12" s="11" t="s">
        <v>11</v>
      </c>
      <c r="V12" s="22">
        <v>169.97</v>
      </c>
      <c r="W12" s="5">
        <f>X$6-V12-X$7</f>
        <v>138.39329861834585</v>
      </c>
      <c r="X12" s="35">
        <f t="shared" si="3"/>
        <v>256.28388633027009</v>
      </c>
      <c r="Y12" s="3"/>
      <c r="Z12" s="11" t="s">
        <v>11</v>
      </c>
      <c r="AA12" s="22">
        <v>104.64</v>
      </c>
      <c r="AB12" s="5">
        <f>AC$6-AA12-AC$7</f>
        <v>182.91886332388933</v>
      </c>
      <c r="AC12" s="35">
        <f t="shared" ref="AC12:AC30" si="5">AB12/AC$8</f>
        <v>508.10795367747039</v>
      </c>
      <c r="AD12" s="3"/>
      <c r="AE12" s="11" t="s">
        <v>11</v>
      </c>
      <c r="AF12" s="22">
        <v>214.9</v>
      </c>
      <c r="AG12" s="5">
        <f>AH$6-AF12-AH$7</f>
        <v>235.80943484357505</v>
      </c>
      <c r="AH12" s="35">
        <f>AG12/AH$8</f>
        <v>1473.808967772344</v>
      </c>
      <c r="AI12" s="8"/>
      <c r="AJ12" s="11" t="s">
        <v>11</v>
      </c>
      <c r="AK12" s="22">
        <v>312.81</v>
      </c>
      <c r="AL12" s="5">
        <f>AM$6-AK12-AM$7</f>
        <v>942.70258965544792</v>
      </c>
      <c r="AM12" s="35">
        <f>AL12/AM$8</f>
        <v>2547.8448369066159</v>
      </c>
      <c r="AN12" s="3"/>
      <c r="AO12" s="11" t="s">
        <v>11</v>
      </c>
      <c r="AP12" s="22">
        <v>103.92</v>
      </c>
      <c r="AQ12" s="5">
        <f>AR$6-AP12-AR$7</f>
        <v>469.42610605300325</v>
      </c>
      <c r="AR12" s="35">
        <f t="shared" si="4"/>
        <v>1235.3318580342191</v>
      </c>
    </row>
    <row r="13" spans="1:44" ht="20.149999999999999" customHeight="1">
      <c r="A13" s="11" t="s">
        <v>12</v>
      </c>
      <c r="B13" s="22">
        <v>470.81</v>
      </c>
      <c r="C13" s="5">
        <f>D$6-B13-D$7</f>
        <v>1762.2998043513533</v>
      </c>
      <c r="D13" s="35">
        <f>C13/(1-D$8)</f>
        <v>1778.9687414588225</v>
      </c>
      <c r="E13" s="8"/>
      <c r="F13" s="11" t="s">
        <v>12</v>
      </c>
      <c r="G13" s="22">
        <v>107.616994535519</v>
      </c>
      <c r="H13" s="5">
        <f>I$6-G13-I$7</f>
        <v>1080.5866546867337</v>
      </c>
      <c r="I13" s="35">
        <f t="shared" si="1"/>
        <v>1238.8923146531079</v>
      </c>
      <c r="J13" s="8"/>
      <c r="K13" s="11" t="s">
        <v>12</v>
      </c>
      <c r="L13" s="23">
        <v>216.41428455564051</v>
      </c>
      <c r="M13" s="5">
        <f>N$6-L13-N$7</f>
        <v>135.56210806865559</v>
      </c>
      <c r="N13" s="35">
        <f t="shared" si="2"/>
        <v>140.66691024131285</v>
      </c>
      <c r="O13" s="8"/>
      <c r="P13" s="11" t="s">
        <v>12</v>
      </c>
      <c r="Q13" s="23">
        <v>52.838242500513594</v>
      </c>
      <c r="R13" s="5">
        <f>S$6-Q13-S$7</f>
        <v>272.94777370251052</v>
      </c>
      <c r="S13" s="35">
        <f t="shared" si="0"/>
        <v>285.80918712304765</v>
      </c>
      <c r="T13" s="8"/>
      <c r="U13" s="11" t="s">
        <v>12</v>
      </c>
      <c r="V13" s="22">
        <v>169.53</v>
      </c>
      <c r="W13" s="5">
        <f>X$6-V13-X$7</f>
        <v>138.83329861834585</v>
      </c>
      <c r="X13" s="35">
        <f t="shared" si="3"/>
        <v>257.09870114508487</v>
      </c>
      <c r="Y13" s="3"/>
      <c r="Z13" s="11" t="s">
        <v>12</v>
      </c>
      <c r="AA13" s="22">
        <v>104.44</v>
      </c>
      <c r="AB13" s="5">
        <f>AC$6-AA13-AC$7</f>
        <v>183.11886332388931</v>
      </c>
      <c r="AC13" s="35">
        <f t="shared" si="5"/>
        <v>508.66350923302588</v>
      </c>
      <c r="AD13" s="3"/>
      <c r="AE13" s="11" t="s">
        <v>12</v>
      </c>
      <c r="AF13" s="22">
        <v>212.56</v>
      </c>
      <c r="AG13" s="5">
        <f>AH$6-AF13-AH$7</f>
        <v>238.14943484357505</v>
      </c>
      <c r="AH13" s="35">
        <f>AG13/AH$8</f>
        <v>1488.433967772344</v>
      </c>
      <c r="AI13" s="8"/>
      <c r="AJ13" s="11" t="s">
        <v>12</v>
      </c>
      <c r="AK13" s="22">
        <v>310.27</v>
      </c>
      <c r="AL13" s="5">
        <f>AM$6-AK13-AM$7</f>
        <v>945.24258965544789</v>
      </c>
      <c r="AM13" s="35">
        <f>AL13/AM$8</f>
        <v>2554.7097017714809</v>
      </c>
      <c r="AN13" s="3"/>
      <c r="AO13" s="11" t="s">
        <v>12</v>
      </c>
      <c r="AP13" s="22">
        <v>100.01</v>
      </c>
      <c r="AQ13" s="5">
        <f>AR$6-AP13-AR$7</f>
        <v>473.33610605300328</v>
      </c>
      <c r="AR13" s="35">
        <f t="shared" si="4"/>
        <v>1245.6213317184297</v>
      </c>
    </row>
    <row r="14" spans="1:44" ht="20.149999999999999" customHeight="1">
      <c r="A14" s="11" t="s">
        <v>13</v>
      </c>
      <c r="B14" s="22">
        <v>546.04</v>
      </c>
      <c r="C14" s="5">
        <f t="shared" ref="C14:C19" si="6">D$6-B14-D$7</f>
        <v>1687.0698043513532</v>
      </c>
      <c r="D14" s="35">
        <f>C14/(1-D$8)</f>
        <v>1703.0271689241727</v>
      </c>
      <c r="E14" s="8"/>
      <c r="F14" s="11" t="s">
        <v>13</v>
      </c>
      <c r="G14" s="22">
        <v>98.596994535519102</v>
      </c>
      <c r="H14" s="5">
        <f t="shared" ref="H14:H19" si="7">I$6-G14-I$7</f>
        <v>1089.6066546867337</v>
      </c>
      <c r="I14" s="35">
        <f t="shared" si="1"/>
        <v>1249.2337422745795</v>
      </c>
      <c r="J14" s="8"/>
      <c r="K14" s="11" t="s">
        <v>13</v>
      </c>
      <c r="L14" s="23">
        <v>305.42409973095761</v>
      </c>
      <c r="M14" s="5">
        <f t="shared" ref="M14:M19" si="8">N$6-L14-N$7</f>
        <v>46.552292893338482</v>
      </c>
      <c r="N14" s="35">
        <f t="shared" si="2"/>
        <v>48.305291937759783</v>
      </c>
      <c r="O14" s="8"/>
      <c r="P14" s="11" t="s">
        <v>13</v>
      </c>
      <c r="Q14" s="23">
        <v>111.15860611139819</v>
      </c>
      <c r="R14" s="5">
        <f t="shared" ref="R14:R19" si="9">S$6-Q14-S$7</f>
        <v>214.62741009162593</v>
      </c>
      <c r="S14" s="35">
        <f t="shared" si="0"/>
        <v>224.74074355144077</v>
      </c>
      <c r="T14" s="8"/>
      <c r="U14" s="11" t="s">
        <v>13</v>
      </c>
      <c r="V14" s="22">
        <v>191.16</v>
      </c>
      <c r="W14" s="5">
        <f t="shared" ref="W14:W19" si="10">X$6-V14-X$7</f>
        <v>117.20329861834585</v>
      </c>
      <c r="X14" s="35">
        <f t="shared" si="3"/>
        <v>217.04314558952936</v>
      </c>
      <c r="Y14" s="3"/>
      <c r="Z14" s="11" t="s">
        <v>13</v>
      </c>
      <c r="AA14" s="22">
        <v>117.57</v>
      </c>
      <c r="AB14" s="5">
        <f t="shared" ref="AB14:AB19" si="11">AC$6-AA14-AC$7</f>
        <v>169.98886332388932</v>
      </c>
      <c r="AC14" s="35">
        <f t="shared" si="5"/>
        <v>472.19128701080371</v>
      </c>
      <c r="AD14" s="3"/>
      <c r="AE14" s="11" t="s">
        <v>13</v>
      </c>
      <c r="AF14" s="22">
        <v>238.42</v>
      </c>
      <c r="AG14" s="5">
        <f t="shared" ref="AG14:AG19" si="12">AH$6-AF14-AH$7</f>
        <v>212.28943484357507</v>
      </c>
      <c r="AH14" s="35">
        <f t="shared" ref="AH14:AH29" si="13">AG14/AH$8</f>
        <v>1326.8089677723442</v>
      </c>
      <c r="AI14" s="8"/>
      <c r="AJ14" s="11" t="s">
        <v>13</v>
      </c>
      <c r="AK14" s="22">
        <v>347.64</v>
      </c>
      <c r="AL14" s="5">
        <f t="shared" ref="AL14:AL19" si="14">AM$6-AK14-AM$7</f>
        <v>907.87258965544788</v>
      </c>
      <c r="AM14" s="35">
        <f t="shared" ref="AM14:AM30" si="15">AL14/AM$8</f>
        <v>2453.7097017714809</v>
      </c>
      <c r="AN14" s="3"/>
      <c r="AO14" s="11" t="s">
        <v>13</v>
      </c>
      <c r="AP14" s="22">
        <v>143.16</v>
      </c>
      <c r="AQ14" s="5">
        <f t="shared" ref="AQ14:AQ19" si="16">AR$6-AP14-AR$7</f>
        <v>430.1861060530033</v>
      </c>
      <c r="AR14" s="35">
        <f t="shared" si="4"/>
        <v>1132.0687001394824</v>
      </c>
    </row>
    <row r="15" spans="1:44" ht="20.149999999999999" customHeight="1">
      <c r="A15" s="11" t="s">
        <v>14</v>
      </c>
      <c r="B15" s="22">
        <v>404.5</v>
      </c>
      <c r="C15" s="5">
        <f t="shared" si="6"/>
        <v>1828.6098043513532</v>
      </c>
      <c r="D15" s="35">
        <f t="shared" ref="D15:D28" si="17">C15/(1-D$8)</f>
        <v>1845.9059430376155</v>
      </c>
      <c r="E15" s="8"/>
      <c r="F15" s="11" t="s">
        <v>14</v>
      </c>
      <c r="G15" s="22">
        <v>73.206994535519101</v>
      </c>
      <c r="H15" s="5">
        <f t="shared" si="7"/>
        <v>1114.9966546867338</v>
      </c>
      <c r="I15" s="35">
        <f t="shared" si="1"/>
        <v>1278.343370579365</v>
      </c>
      <c r="J15" s="8"/>
      <c r="K15" s="11" t="s">
        <v>14</v>
      </c>
      <c r="L15" s="23">
        <v>147.75399705274921</v>
      </c>
      <c r="M15" s="5">
        <f t="shared" si="8"/>
        <v>204.22239557154688</v>
      </c>
      <c r="N15" s="35">
        <f t="shared" si="2"/>
        <v>211.91270773525946</v>
      </c>
      <c r="O15" s="8"/>
      <c r="P15" s="11" t="s">
        <v>14</v>
      </c>
      <c r="Q15" s="23">
        <v>30.607481664622359</v>
      </c>
      <c r="R15" s="5">
        <f t="shared" si="9"/>
        <v>295.17853453840178</v>
      </c>
      <c r="S15" s="35">
        <f t="shared" si="0"/>
        <v>309.08747072083958</v>
      </c>
      <c r="T15" s="8"/>
      <c r="U15" s="11" t="s">
        <v>14</v>
      </c>
      <c r="V15" s="22">
        <v>155.72</v>
      </c>
      <c r="W15" s="5">
        <f t="shared" si="10"/>
        <v>152.64329861834585</v>
      </c>
      <c r="X15" s="35">
        <f t="shared" si="3"/>
        <v>282.67277521915895</v>
      </c>
      <c r="Y15" s="3"/>
      <c r="Z15" s="11" t="s">
        <v>14</v>
      </c>
      <c r="AA15" s="22">
        <v>96.16</v>
      </c>
      <c r="AB15" s="5">
        <f t="shared" si="11"/>
        <v>191.39886332388932</v>
      </c>
      <c r="AC15" s="35">
        <f t="shared" si="5"/>
        <v>531.66350923302593</v>
      </c>
      <c r="AD15" s="3"/>
      <c r="AE15" s="11" t="s">
        <v>14</v>
      </c>
      <c r="AF15" s="22">
        <v>190.22</v>
      </c>
      <c r="AG15" s="5">
        <f t="shared" si="12"/>
        <v>260.48943484357505</v>
      </c>
      <c r="AH15" s="35">
        <f t="shared" si="13"/>
        <v>1628.058967772344</v>
      </c>
      <c r="AI15" s="8"/>
      <c r="AJ15" s="11" t="s">
        <v>14</v>
      </c>
      <c r="AK15" s="22">
        <v>279.32</v>
      </c>
      <c r="AL15" s="5">
        <f t="shared" si="14"/>
        <v>976.19258965544793</v>
      </c>
      <c r="AM15" s="35">
        <f t="shared" si="15"/>
        <v>2638.3583504201297</v>
      </c>
      <c r="AN15" s="3"/>
      <c r="AO15" s="11" t="s">
        <v>14</v>
      </c>
      <c r="AP15" s="22">
        <v>103.73</v>
      </c>
      <c r="AQ15" s="5">
        <f t="shared" si="16"/>
        <v>469.61610605300325</v>
      </c>
      <c r="AR15" s="35">
        <f t="shared" si="4"/>
        <v>1235.8318580342191</v>
      </c>
    </row>
    <row r="16" spans="1:44" ht="20.149999999999999" customHeight="1">
      <c r="A16" s="11" t="s">
        <v>30</v>
      </c>
      <c r="B16" s="22">
        <v>503.89</v>
      </c>
      <c r="C16" s="5">
        <f t="shared" si="6"/>
        <v>1729.2198043513533</v>
      </c>
      <c r="D16" s="35">
        <f t="shared" si="17"/>
        <v>1745.5758500664763</v>
      </c>
      <c r="E16" s="8"/>
      <c r="F16" s="11" t="s">
        <v>30</v>
      </c>
      <c r="G16" s="22">
        <v>134.10699453551899</v>
      </c>
      <c r="H16" s="5">
        <f t="shared" si="7"/>
        <v>1054.0966546867337</v>
      </c>
      <c r="I16" s="35">
        <f t="shared" si="1"/>
        <v>1208.5215366383868</v>
      </c>
      <c r="J16" s="8"/>
      <c r="K16" s="11" t="s">
        <v>30</v>
      </c>
      <c r="L16" s="23">
        <v>247.75082158824793</v>
      </c>
      <c r="M16" s="5">
        <f t="shared" si="8"/>
        <v>104.22557103604817</v>
      </c>
      <c r="N16" s="35">
        <f t="shared" si="2"/>
        <v>108.15034713352375</v>
      </c>
      <c r="O16" s="8"/>
      <c r="P16" s="11" t="s">
        <v>30</v>
      </c>
      <c r="Q16" s="23">
        <v>69.161345487542988</v>
      </c>
      <c r="R16" s="5">
        <f t="shared" si="9"/>
        <v>256.62467071548116</v>
      </c>
      <c r="S16" s="35">
        <f t="shared" si="0"/>
        <v>268.71693268636773</v>
      </c>
      <c r="T16" s="8"/>
      <c r="U16" s="11" t="s">
        <v>30</v>
      </c>
      <c r="V16" s="22">
        <v>178.62</v>
      </c>
      <c r="W16" s="5">
        <f t="shared" si="10"/>
        <v>129.74329861834585</v>
      </c>
      <c r="X16" s="35">
        <f t="shared" si="3"/>
        <v>240.26536781175156</v>
      </c>
      <c r="Y16" s="3"/>
      <c r="Z16" s="11" t="s">
        <v>30</v>
      </c>
      <c r="AA16" s="22">
        <v>110.03</v>
      </c>
      <c r="AB16" s="5">
        <f t="shared" si="11"/>
        <v>177.52886332388931</v>
      </c>
      <c r="AC16" s="35">
        <f t="shared" si="5"/>
        <v>493.13573145524811</v>
      </c>
      <c r="AD16" s="3"/>
      <c r="AE16" s="11" t="s">
        <v>30</v>
      </c>
      <c r="AF16" s="22">
        <v>225.37</v>
      </c>
      <c r="AG16" s="5">
        <f t="shared" si="12"/>
        <v>225.33943484357505</v>
      </c>
      <c r="AH16" s="35">
        <f t="shared" si="13"/>
        <v>1408.371467772344</v>
      </c>
      <c r="AI16" s="8"/>
      <c r="AJ16" s="11" t="s">
        <v>30</v>
      </c>
      <c r="AK16" s="22">
        <v>327.66000000000003</v>
      </c>
      <c r="AL16" s="5">
        <f t="shared" si="14"/>
        <v>927.85258965544779</v>
      </c>
      <c r="AM16" s="35">
        <f t="shared" si="15"/>
        <v>2507.7097017714805</v>
      </c>
      <c r="AN16" s="3"/>
      <c r="AO16" s="11" t="s">
        <v>30</v>
      </c>
      <c r="AP16" s="22">
        <v>109.11</v>
      </c>
      <c r="AQ16" s="5">
        <f t="shared" si="16"/>
        <v>464.23610605300325</v>
      </c>
      <c r="AR16" s="35">
        <f t="shared" si="4"/>
        <v>1221.6739632973772</v>
      </c>
    </row>
    <row r="17" spans="1:44" ht="20.149999999999999" customHeight="1">
      <c r="A17" s="11" t="s">
        <v>15</v>
      </c>
      <c r="B17" s="22">
        <v>486.31</v>
      </c>
      <c r="C17" s="5">
        <f t="shared" si="6"/>
        <v>1746.7998043513533</v>
      </c>
      <c r="D17" s="35">
        <f t="shared" si="17"/>
        <v>1763.3221327350809</v>
      </c>
      <c r="E17" s="8"/>
      <c r="F17" s="11" t="s">
        <v>15</v>
      </c>
      <c r="G17" s="22">
        <v>121.93699453551901</v>
      </c>
      <c r="H17" s="5">
        <f t="shared" si="7"/>
        <v>1066.2666546867338</v>
      </c>
      <c r="I17" s="35">
        <f t="shared" si="1"/>
        <v>1222.4744384292194</v>
      </c>
      <c r="J17" s="8"/>
      <c r="K17" s="11" t="s">
        <v>15</v>
      </c>
      <c r="L17" s="23">
        <v>231.74829160734461</v>
      </c>
      <c r="M17" s="5">
        <f t="shared" si="8"/>
        <v>120.22810101695148</v>
      </c>
      <c r="N17" s="35">
        <f t="shared" si="2"/>
        <v>124.75547728772295</v>
      </c>
      <c r="O17" s="8"/>
      <c r="P17" s="11" t="s">
        <v>15</v>
      </c>
      <c r="Q17" s="23">
        <v>63.372399099433508</v>
      </c>
      <c r="R17" s="5">
        <f t="shared" si="9"/>
        <v>262.41361710359064</v>
      </c>
      <c r="S17" s="35">
        <f t="shared" si="0"/>
        <v>274.77865665297452</v>
      </c>
      <c r="T17" s="8"/>
      <c r="U17" s="11" t="s">
        <v>15</v>
      </c>
      <c r="V17" s="22">
        <v>172.32</v>
      </c>
      <c r="W17" s="5">
        <f t="shared" si="10"/>
        <v>136.04329861834586</v>
      </c>
      <c r="X17" s="35">
        <f t="shared" si="3"/>
        <v>251.93203447841825</v>
      </c>
      <c r="Y17" s="3"/>
      <c r="Z17" s="11" t="s">
        <v>15</v>
      </c>
      <c r="AA17" s="22">
        <v>105.98</v>
      </c>
      <c r="AB17" s="5">
        <f t="shared" si="11"/>
        <v>181.57886332388929</v>
      </c>
      <c r="AC17" s="35">
        <f t="shared" si="5"/>
        <v>504.38573145524805</v>
      </c>
      <c r="AD17" s="3"/>
      <c r="AE17" s="11" t="s">
        <v>15</v>
      </c>
      <c r="AF17" s="22">
        <v>218.04</v>
      </c>
      <c r="AG17" s="5">
        <f t="shared" si="12"/>
        <v>232.66943484357506</v>
      </c>
      <c r="AH17" s="35">
        <f t="shared" si="13"/>
        <v>1454.1839677723442</v>
      </c>
      <c r="AI17" s="8"/>
      <c r="AJ17" s="11" t="s">
        <v>15</v>
      </c>
      <c r="AK17" s="22">
        <v>316.89</v>
      </c>
      <c r="AL17" s="5">
        <f t="shared" si="14"/>
        <v>938.62258965544788</v>
      </c>
      <c r="AM17" s="35">
        <f t="shared" si="15"/>
        <v>2536.8178098795888</v>
      </c>
      <c r="AN17" s="3"/>
      <c r="AO17" s="11" t="s">
        <v>15</v>
      </c>
      <c r="AP17" s="22">
        <v>107.14</v>
      </c>
      <c r="AQ17" s="5">
        <f t="shared" si="16"/>
        <v>466.20610605300328</v>
      </c>
      <c r="AR17" s="35">
        <f t="shared" si="4"/>
        <v>1226.8581738236928</v>
      </c>
    </row>
    <row r="18" spans="1:44" ht="20.149999999999999" customHeight="1">
      <c r="A18" s="11" t="s">
        <v>16</v>
      </c>
      <c r="B18" s="22">
        <v>506.67</v>
      </c>
      <c r="C18" s="5">
        <f t="shared" si="6"/>
        <v>1726.4398043513531</v>
      </c>
      <c r="D18" s="35">
        <f t="shared" si="17"/>
        <v>1742.769555082476</v>
      </c>
      <c r="E18" s="8"/>
      <c r="F18" s="11" t="s">
        <v>16</v>
      </c>
      <c r="G18" s="22">
        <v>80.486994535519102</v>
      </c>
      <c r="H18" s="5">
        <f t="shared" si="7"/>
        <v>1107.7166546867336</v>
      </c>
      <c r="I18" s="35">
        <f t="shared" si="1"/>
        <v>1269.9968524990641</v>
      </c>
      <c r="J18" s="8"/>
      <c r="K18" s="11" t="s">
        <v>16</v>
      </c>
      <c r="L18" s="23">
        <v>215.08798373149767</v>
      </c>
      <c r="M18" s="5">
        <f t="shared" si="8"/>
        <v>136.88840889279842</v>
      </c>
      <c r="N18" s="35">
        <f t="shared" si="2"/>
        <v>142.04315498728707</v>
      </c>
      <c r="O18" s="8"/>
      <c r="P18" s="11" t="s">
        <v>16</v>
      </c>
      <c r="Q18" s="23">
        <v>61.753591045963717</v>
      </c>
      <c r="R18" s="5">
        <f t="shared" si="9"/>
        <v>264.0324251570604</v>
      </c>
      <c r="S18" s="35">
        <f t="shared" si="0"/>
        <v>276.47374361995855</v>
      </c>
      <c r="T18" s="8"/>
      <c r="U18" s="11" t="s">
        <v>16</v>
      </c>
      <c r="V18" s="22">
        <v>180.52</v>
      </c>
      <c r="W18" s="5">
        <f t="shared" si="10"/>
        <v>127.84329861834584</v>
      </c>
      <c r="X18" s="35">
        <f t="shared" si="3"/>
        <v>236.74684929323303</v>
      </c>
      <c r="Y18" s="3"/>
      <c r="Z18" s="11" t="s">
        <v>16</v>
      </c>
      <c r="AA18" s="22">
        <v>110.96</v>
      </c>
      <c r="AB18" s="5">
        <f t="shared" si="11"/>
        <v>176.59886332388933</v>
      </c>
      <c r="AC18" s="35">
        <f t="shared" si="5"/>
        <v>490.55239812191485</v>
      </c>
      <c r="AD18" s="3"/>
      <c r="AE18" s="11" t="s">
        <v>16</v>
      </c>
      <c r="AF18" s="22">
        <v>228.34</v>
      </c>
      <c r="AG18" s="5">
        <f t="shared" si="12"/>
        <v>222.36943484357505</v>
      </c>
      <c r="AH18" s="35">
        <f t="shared" si="13"/>
        <v>1389.808967772344</v>
      </c>
      <c r="AI18" s="8"/>
      <c r="AJ18" s="11" t="s">
        <v>16</v>
      </c>
      <c r="AK18" s="22">
        <v>331.66</v>
      </c>
      <c r="AL18" s="5">
        <f t="shared" si="14"/>
        <v>923.85258965544779</v>
      </c>
      <c r="AM18" s="35">
        <f t="shared" si="15"/>
        <v>2496.8988909606696</v>
      </c>
      <c r="AN18" s="3"/>
      <c r="AO18" s="11" t="s">
        <v>16</v>
      </c>
      <c r="AP18" s="22">
        <v>123.93</v>
      </c>
      <c r="AQ18" s="5">
        <f t="shared" si="16"/>
        <v>449.41610605300326</v>
      </c>
      <c r="AR18" s="35">
        <f t="shared" si="4"/>
        <v>1182.6739632973772</v>
      </c>
    </row>
    <row r="19" spans="1:44" ht="20.149999999999999" customHeight="1">
      <c r="A19" s="11" t="s">
        <v>17</v>
      </c>
      <c r="B19" s="22">
        <v>434.28</v>
      </c>
      <c r="C19" s="5">
        <f t="shared" si="6"/>
        <v>1798.8298043513532</v>
      </c>
      <c r="D19" s="35">
        <f>C19/(1-D$8)</f>
        <v>1815.8442651154853</v>
      </c>
      <c r="E19" s="8"/>
      <c r="F19" s="11" t="s">
        <v>17</v>
      </c>
      <c r="G19" s="22">
        <v>66.346994535519102</v>
      </c>
      <c r="H19" s="5">
        <f t="shared" si="7"/>
        <v>1121.8566546867337</v>
      </c>
      <c r="I19" s="35">
        <f t="shared" si="1"/>
        <v>1286.2083587704176</v>
      </c>
      <c r="J19" s="8"/>
      <c r="K19" s="11" t="s">
        <v>17</v>
      </c>
      <c r="L19" s="23">
        <v>191.93513561820612</v>
      </c>
      <c r="M19" s="5">
        <f t="shared" si="8"/>
        <v>160.04125700608998</v>
      </c>
      <c r="N19" s="35">
        <f t="shared" si="2"/>
        <v>166.06785963214037</v>
      </c>
      <c r="O19" s="8"/>
      <c r="P19" s="11" t="s">
        <v>17</v>
      </c>
      <c r="Q19" s="23">
        <v>61.431378118446034</v>
      </c>
      <c r="R19" s="5">
        <f t="shared" si="9"/>
        <v>264.35463808457808</v>
      </c>
      <c r="S19" s="35">
        <f t="shared" si="0"/>
        <v>276.81113935557914</v>
      </c>
      <c r="T19" s="8"/>
      <c r="U19" s="11" t="s">
        <v>17</v>
      </c>
      <c r="V19" s="22">
        <v>152.93</v>
      </c>
      <c r="W19" s="5">
        <f t="shared" si="10"/>
        <v>155.43329861834584</v>
      </c>
      <c r="X19" s="35">
        <f t="shared" si="3"/>
        <v>287.83944188582564</v>
      </c>
      <c r="Y19" s="3"/>
      <c r="Z19" s="11" t="s">
        <v>17</v>
      </c>
      <c r="AA19" s="22">
        <v>92.85</v>
      </c>
      <c r="AB19" s="5">
        <f t="shared" si="11"/>
        <v>194.70886332388932</v>
      </c>
      <c r="AC19" s="35">
        <f t="shared" si="5"/>
        <v>540.85795367747039</v>
      </c>
      <c r="AD19" s="3"/>
      <c r="AE19" s="11" t="s">
        <v>17</v>
      </c>
      <c r="AF19" s="22">
        <v>208.5</v>
      </c>
      <c r="AG19" s="5">
        <f t="shared" si="12"/>
        <v>242.20943484357505</v>
      </c>
      <c r="AH19" s="35">
        <f t="shared" si="13"/>
        <v>1513.808967772344</v>
      </c>
      <c r="AI19" s="8"/>
      <c r="AJ19" s="11" t="s">
        <v>17</v>
      </c>
      <c r="AK19" s="22">
        <v>301.24</v>
      </c>
      <c r="AL19" s="5">
        <f t="shared" si="14"/>
        <v>954.27258965544786</v>
      </c>
      <c r="AM19" s="35">
        <f t="shared" si="15"/>
        <v>2579.1151071768863</v>
      </c>
      <c r="AN19" s="3"/>
      <c r="AO19" s="11" t="s">
        <v>17</v>
      </c>
      <c r="AP19" s="22">
        <v>124.3</v>
      </c>
      <c r="AQ19" s="5">
        <f t="shared" si="16"/>
        <v>449.04610605300326</v>
      </c>
      <c r="AR19" s="35">
        <f t="shared" si="4"/>
        <v>1181.7002790868507</v>
      </c>
    </row>
    <row r="20" spans="1:44" ht="20.149999999999999" customHeight="1">
      <c r="A20" s="11" t="s">
        <v>18</v>
      </c>
      <c r="B20" s="22">
        <v>464.37</v>
      </c>
      <c r="C20" s="5">
        <f t="shared" ref="C20:C29" si="18">D$6-B20-D$7</f>
        <v>1768.7398043513533</v>
      </c>
      <c r="D20" s="35">
        <f t="shared" si="17"/>
        <v>1785.4696550188803</v>
      </c>
      <c r="E20" s="8"/>
      <c r="F20" s="11" t="s">
        <v>18</v>
      </c>
      <c r="G20" s="22">
        <v>103.63699453551899</v>
      </c>
      <c r="H20" s="5">
        <f t="shared" ref="H20:H29" si="19">I$6-G20-I$7</f>
        <v>1084.5666546867337</v>
      </c>
      <c r="I20" s="35">
        <f t="shared" si="1"/>
        <v>1243.4553836036021</v>
      </c>
      <c r="J20" s="8"/>
      <c r="K20" s="11" t="s">
        <v>18</v>
      </c>
      <c r="L20" s="23">
        <v>228.36645932413975</v>
      </c>
      <c r="M20" s="5">
        <f t="shared" ref="M20:M29" si="20">N$6-L20-N$7</f>
        <v>123.60993330015634</v>
      </c>
      <c r="N20" s="35">
        <f t="shared" si="2"/>
        <v>128.2646577291471</v>
      </c>
      <c r="O20" s="8"/>
      <c r="P20" s="11" t="s">
        <v>18</v>
      </c>
      <c r="Q20" s="23">
        <v>62.594313248481519</v>
      </c>
      <c r="R20" s="5">
        <f t="shared" ref="R20:R29" si="21">S$6-Q20-S$7</f>
        <v>263.19170295454262</v>
      </c>
      <c r="S20" s="35">
        <f t="shared" si="0"/>
        <v>275.59340623512315</v>
      </c>
      <c r="T20" s="8"/>
      <c r="U20" s="11" t="s">
        <v>18</v>
      </c>
      <c r="V20" s="22">
        <v>169.57</v>
      </c>
      <c r="W20" s="5">
        <f t="shared" ref="W20:W29" si="22">X$6-V20-X$7</f>
        <v>138.79329861834586</v>
      </c>
      <c r="X20" s="35">
        <f t="shared" si="3"/>
        <v>257.02462707101085</v>
      </c>
      <c r="Y20" s="3"/>
      <c r="Z20" s="11" t="s">
        <v>18</v>
      </c>
      <c r="AA20" s="22">
        <v>104.52</v>
      </c>
      <c r="AB20" s="5">
        <f t="shared" ref="AB20:AB29" si="23">AC$6-AA20-AC$7</f>
        <v>183.03886332388933</v>
      </c>
      <c r="AC20" s="35">
        <f t="shared" si="5"/>
        <v>508.44128701080371</v>
      </c>
      <c r="AD20" s="3"/>
      <c r="AE20" s="11" t="s">
        <v>18</v>
      </c>
      <c r="AF20" s="22">
        <v>210.67</v>
      </c>
      <c r="AG20" s="5">
        <f t="shared" ref="AG20:AG29" si="24">AH$6-AF20-AH$7</f>
        <v>240.03943484357507</v>
      </c>
      <c r="AH20" s="35">
        <f t="shared" si="13"/>
        <v>1500.2464677723442</v>
      </c>
      <c r="AI20" s="8"/>
      <c r="AJ20" s="11" t="s">
        <v>18</v>
      </c>
      <c r="AK20" s="22">
        <v>307.70999999999998</v>
      </c>
      <c r="AL20" s="5">
        <f t="shared" ref="AL20:AL29" si="25">AM$6-AK20-AM$7</f>
        <v>947.80258965544783</v>
      </c>
      <c r="AM20" s="35">
        <f t="shared" si="15"/>
        <v>2561.6286206903997</v>
      </c>
      <c r="AN20" s="3"/>
      <c r="AO20" s="11" t="s">
        <v>18</v>
      </c>
      <c r="AP20" s="22">
        <v>101.66</v>
      </c>
      <c r="AQ20" s="5">
        <f t="shared" ref="AQ20:AQ29" si="26">AR$6-AP20-AR$7</f>
        <v>471.6861060530033</v>
      </c>
      <c r="AR20" s="35">
        <f t="shared" si="4"/>
        <v>1241.2792264552718</v>
      </c>
    </row>
    <row r="21" spans="1:44" ht="20.149999999999999" customHeight="1">
      <c r="A21" s="11" t="s">
        <v>19</v>
      </c>
      <c r="B21" s="22">
        <v>469.02</v>
      </c>
      <c r="C21" s="5">
        <f t="shared" si="18"/>
        <v>1764.0898043513532</v>
      </c>
      <c r="D21" s="35">
        <f t="shared" si="17"/>
        <v>1780.7756724017577</v>
      </c>
      <c r="E21" s="8"/>
      <c r="F21" s="11" t="s">
        <v>19</v>
      </c>
      <c r="G21" s="22">
        <v>107.346994535519</v>
      </c>
      <c r="H21" s="5">
        <f t="shared" si="19"/>
        <v>1080.8566546867339</v>
      </c>
      <c r="I21" s="35">
        <f t="shared" si="1"/>
        <v>1239.2018695819104</v>
      </c>
      <c r="J21" s="8"/>
      <c r="K21" s="11" t="s">
        <v>19</v>
      </c>
      <c r="L21" s="23">
        <v>201.59794587606672</v>
      </c>
      <c r="M21" s="5">
        <f t="shared" si="20"/>
        <v>150.37844674822938</v>
      </c>
      <c r="N21" s="35">
        <f t="shared" si="2"/>
        <v>156.04118121450372</v>
      </c>
      <c r="O21" s="8"/>
      <c r="P21" s="11" t="s">
        <v>19</v>
      </c>
      <c r="Q21" s="23">
        <v>46.921165373877137</v>
      </c>
      <c r="R21" s="5">
        <f t="shared" si="21"/>
        <v>278.86485082914697</v>
      </c>
      <c r="S21" s="35">
        <f t="shared" si="0"/>
        <v>292.00507940224816</v>
      </c>
      <c r="T21" s="8"/>
      <c r="U21" s="11" t="s">
        <v>19</v>
      </c>
      <c r="V21" s="22">
        <v>168.49</v>
      </c>
      <c r="W21" s="5">
        <f t="shared" si="22"/>
        <v>139.87329861834584</v>
      </c>
      <c r="X21" s="35">
        <f t="shared" si="3"/>
        <v>259.0246270710108</v>
      </c>
      <c r="Y21" s="3"/>
      <c r="Z21" s="11" t="s">
        <v>19</v>
      </c>
      <c r="AA21" s="22">
        <v>103.69</v>
      </c>
      <c r="AB21" s="5">
        <f t="shared" si="23"/>
        <v>183.86886332388931</v>
      </c>
      <c r="AC21" s="35">
        <f t="shared" si="5"/>
        <v>510.74684256635925</v>
      </c>
      <c r="AD21" s="3"/>
      <c r="AE21" s="11" t="s">
        <v>19</v>
      </c>
      <c r="AF21" s="22">
        <v>215.55</v>
      </c>
      <c r="AG21" s="5">
        <f t="shared" si="24"/>
        <v>235.15943484357504</v>
      </c>
      <c r="AH21" s="35">
        <f t="shared" si="13"/>
        <v>1469.746467772344</v>
      </c>
      <c r="AI21" s="8"/>
      <c r="AJ21" s="11" t="s">
        <v>19</v>
      </c>
      <c r="AK21" s="22">
        <v>312.69</v>
      </c>
      <c r="AL21" s="5">
        <f t="shared" si="25"/>
        <v>942.82258965544781</v>
      </c>
      <c r="AM21" s="35">
        <f t="shared" si="15"/>
        <v>2548.1691612309401</v>
      </c>
      <c r="AN21" s="3"/>
      <c r="AO21" s="11" t="s">
        <v>19</v>
      </c>
      <c r="AP21" s="22">
        <v>102.65</v>
      </c>
      <c r="AQ21" s="5">
        <f t="shared" si="26"/>
        <v>470.69610605300329</v>
      </c>
      <c r="AR21" s="35">
        <f t="shared" si="4"/>
        <v>1238.6739632973772</v>
      </c>
    </row>
    <row r="22" spans="1:44" ht="20.149999999999999" customHeight="1">
      <c r="A22" s="11" t="s">
        <v>20</v>
      </c>
      <c r="B22" s="22">
        <v>383.94</v>
      </c>
      <c r="C22" s="5">
        <f t="shared" si="18"/>
        <v>1849.1698043513532</v>
      </c>
      <c r="D22" s="35">
        <f t="shared" si="17"/>
        <v>1866.6604124156881</v>
      </c>
      <c r="E22" s="8"/>
      <c r="F22" s="11" t="s">
        <v>20</v>
      </c>
      <c r="G22" s="22">
        <v>30.4969945355191</v>
      </c>
      <c r="H22" s="5">
        <f t="shared" si="19"/>
        <v>1157.7066546867336</v>
      </c>
      <c r="I22" s="35">
        <f t="shared" si="1"/>
        <v>1327.310374316954</v>
      </c>
      <c r="J22" s="8"/>
      <c r="K22" s="11" t="s">
        <v>20</v>
      </c>
      <c r="L22" s="23">
        <v>143.617668231838</v>
      </c>
      <c r="M22" s="5">
        <f t="shared" si="20"/>
        <v>208.3587243924581</v>
      </c>
      <c r="N22" s="35">
        <f t="shared" si="2"/>
        <v>216.20479645584055</v>
      </c>
      <c r="O22" s="8"/>
      <c r="P22" s="11" t="s">
        <v>20</v>
      </c>
      <c r="Q22" s="23">
        <v>26.845169860828523</v>
      </c>
      <c r="R22" s="5">
        <f t="shared" si="21"/>
        <v>298.94084634219558</v>
      </c>
      <c r="S22" s="35">
        <f t="shared" si="0"/>
        <v>313.02706423266557</v>
      </c>
      <c r="T22" s="8"/>
      <c r="U22" s="11" t="s">
        <v>20</v>
      </c>
      <c r="V22" s="22">
        <v>140.08000000000001</v>
      </c>
      <c r="W22" s="5">
        <f t="shared" si="22"/>
        <v>168.28329861834584</v>
      </c>
      <c r="X22" s="35">
        <f t="shared" si="3"/>
        <v>311.63573818212188</v>
      </c>
      <c r="Y22" s="3"/>
      <c r="Z22" s="11" t="s">
        <v>20</v>
      </c>
      <c r="AA22" s="22">
        <v>85.87</v>
      </c>
      <c r="AB22" s="5">
        <f t="shared" si="23"/>
        <v>201.68886332388931</v>
      </c>
      <c r="AC22" s="35">
        <f t="shared" si="5"/>
        <v>560.24684256635919</v>
      </c>
      <c r="AD22" s="3"/>
      <c r="AE22" s="11" t="s">
        <v>20</v>
      </c>
      <c r="AF22" s="22">
        <v>187.24</v>
      </c>
      <c r="AG22" s="5">
        <f t="shared" si="24"/>
        <v>263.46943484357502</v>
      </c>
      <c r="AH22" s="35">
        <f t="shared" si="13"/>
        <v>1646.6839677723437</v>
      </c>
      <c r="AI22" s="8"/>
      <c r="AJ22" s="11" t="s">
        <v>20</v>
      </c>
      <c r="AK22" s="22">
        <v>270.29000000000002</v>
      </c>
      <c r="AL22" s="5">
        <f t="shared" si="25"/>
        <v>985.2225896554479</v>
      </c>
      <c r="AM22" s="35">
        <f t="shared" si="15"/>
        <v>2662.7637558255351</v>
      </c>
      <c r="AN22" s="3"/>
      <c r="AO22" s="11" t="s">
        <v>20</v>
      </c>
      <c r="AP22" s="22">
        <v>72.66</v>
      </c>
      <c r="AQ22" s="5">
        <f t="shared" si="26"/>
        <v>500.6861060530033</v>
      </c>
      <c r="AR22" s="35">
        <f t="shared" si="4"/>
        <v>1317.5950159289559</v>
      </c>
    </row>
    <row r="23" spans="1:44" ht="20.149999999999999" customHeight="1">
      <c r="A23" s="11" t="s">
        <v>21</v>
      </c>
      <c r="B23" s="22">
        <v>433.41</v>
      </c>
      <c r="C23" s="5">
        <f t="shared" si="18"/>
        <v>1799.6998043513531</v>
      </c>
      <c r="D23" s="35">
        <f t="shared" si="17"/>
        <v>1816.7224941212694</v>
      </c>
      <c r="E23" s="8"/>
      <c r="F23" s="11" t="s">
        <v>21</v>
      </c>
      <c r="G23" s="22">
        <v>97.866994535519098</v>
      </c>
      <c r="H23" s="5">
        <f t="shared" si="19"/>
        <v>1090.3366546867337</v>
      </c>
      <c r="I23" s="35">
        <f t="shared" si="1"/>
        <v>1250.0706870820823</v>
      </c>
      <c r="J23" s="8"/>
      <c r="K23" s="11" t="s">
        <v>21</v>
      </c>
      <c r="L23" s="23">
        <v>200.87336098343366</v>
      </c>
      <c r="M23" s="5">
        <f t="shared" si="20"/>
        <v>151.10303164086244</v>
      </c>
      <c r="N23" s="35">
        <f t="shared" si="2"/>
        <v>156.79305147903668</v>
      </c>
      <c r="O23" s="8"/>
      <c r="P23" s="11" t="s">
        <v>21</v>
      </c>
      <c r="Q23" s="23">
        <v>57.07096623780852</v>
      </c>
      <c r="R23" s="5">
        <f t="shared" si="21"/>
        <v>268.7150499652156</v>
      </c>
      <c r="S23" s="35">
        <f t="shared" si="0"/>
        <v>281.37701567038283</v>
      </c>
      <c r="T23" s="8"/>
      <c r="U23" s="11" t="s">
        <v>21</v>
      </c>
      <c r="V23" s="22">
        <v>160.96</v>
      </c>
      <c r="W23" s="5">
        <f t="shared" si="22"/>
        <v>147.40329861834584</v>
      </c>
      <c r="X23" s="35">
        <f t="shared" si="3"/>
        <v>272.96907151545525</v>
      </c>
      <c r="Y23" s="3"/>
      <c r="Z23" s="11" t="s">
        <v>21</v>
      </c>
      <c r="AA23" s="22">
        <v>98.73</v>
      </c>
      <c r="AB23" s="5">
        <f t="shared" si="23"/>
        <v>188.82886332388929</v>
      </c>
      <c r="AC23" s="35">
        <f t="shared" si="5"/>
        <v>524.52462034413691</v>
      </c>
      <c r="AD23" s="3"/>
      <c r="AE23" s="11" t="s">
        <v>21</v>
      </c>
      <c r="AF23" s="22">
        <v>204.18</v>
      </c>
      <c r="AG23" s="5">
        <f t="shared" si="24"/>
        <v>246.52943484357505</v>
      </c>
      <c r="AH23" s="35">
        <f t="shared" si="13"/>
        <v>1540.808967772344</v>
      </c>
      <c r="AI23" s="8"/>
      <c r="AJ23" s="11" t="s">
        <v>21</v>
      </c>
      <c r="AK23" s="22">
        <v>297.20999999999998</v>
      </c>
      <c r="AL23" s="5">
        <f t="shared" si="25"/>
        <v>958.30258965544783</v>
      </c>
      <c r="AM23" s="35">
        <f t="shared" si="15"/>
        <v>2590.006999068778</v>
      </c>
      <c r="AN23" s="3"/>
      <c r="AO23" s="11" t="s">
        <v>21</v>
      </c>
      <c r="AP23" s="22">
        <v>107.03</v>
      </c>
      <c r="AQ23" s="5">
        <f t="shared" si="26"/>
        <v>466.3161060530033</v>
      </c>
      <c r="AR23" s="35">
        <f t="shared" si="4"/>
        <v>1227.1476475079035</v>
      </c>
    </row>
    <row r="24" spans="1:44" ht="20.149999999999999" customHeight="1">
      <c r="A24" s="25" t="s">
        <v>38</v>
      </c>
      <c r="B24" s="22">
        <v>455.21</v>
      </c>
      <c r="C24" s="27">
        <f t="shared" si="18"/>
        <v>1777.8998043513532</v>
      </c>
      <c r="D24" s="36">
        <f t="shared" ref="D24" si="27">C24/(1-D$8)</f>
        <v>1794.7162960452977</v>
      </c>
      <c r="E24" s="28"/>
      <c r="F24" s="25" t="s">
        <v>38</v>
      </c>
      <c r="G24" s="22">
        <v>48.6069945355191</v>
      </c>
      <c r="H24" s="27">
        <f t="shared" si="19"/>
        <v>1139.5966546867337</v>
      </c>
      <c r="I24" s="36">
        <f t="shared" ref="I24" si="28">H24/(1-I$8)</f>
        <v>1306.5472640924695</v>
      </c>
      <c r="J24" s="28"/>
      <c r="K24" s="25" t="s">
        <v>38</v>
      </c>
      <c r="L24" s="23">
        <v>226.45858753215541</v>
      </c>
      <c r="M24" s="27">
        <f t="shared" si="20"/>
        <v>125.51780509214069</v>
      </c>
      <c r="N24" s="36">
        <f t="shared" ref="N24" si="29">M24/(1-N$8)</f>
        <v>130.24437340293315</v>
      </c>
      <c r="O24" s="28"/>
      <c r="P24" s="25" t="s">
        <v>38</v>
      </c>
      <c r="Q24" s="23">
        <v>58.425345587608533</v>
      </c>
      <c r="R24" s="27">
        <f t="shared" si="21"/>
        <v>267.36067061541559</v>
      </c>
      <c r="S24" s="36">
        <f t="shared" ref="S24" si="30">R24/(1-S$8)</f>
        <v>279.95881739834095</v>
      </c>
      <c r="T24" s="28"/>
      <c r="U24" s="25" t="s">
        <v>38</v>
      </c>
      <c r="V24" s="22">
        <v>163.85</v>
      </c>
      <c r="W24" s="27">
        <f t="shared" si="22"/>
        <v>144.51329861834586</v>
      </c>
      <c r="X24" s="36">
        <f t="shared" ref="X24" si="31">W24/X$8</f>
        <v>267.61721966360341</v>
      </c>
      <c r="Y24" s="29"/>
      <c r="Z24" s="25" t="s">
        <v>38</v>
      </c>
      <c r="AA24" s="22">
        <v>100.89</v>
      </c>
      <c r="AB24" s="27">
        <f t="shared" si="23"/>
        <v>186.66886332388933</v>
      </c>
      <c r="AC24" s="36">
        <f t="shared" ref="AC24" si="32">AB24/AC$8</f>
        <v>518.52462034413702</v>
      </c>
      <c r="AD24" s="29"/>
      <c r="AE24" s="25" t="s">
        <v>38</v>
      </c>
      <c r="AF24" s="22">
        <v>209.93</v>
      </c>
      <c r="AG24" s="27">
        <f t="shared" si="24"/>
        <v>240.77943484357505</v>
      </c>
      <c r="AH24" s="36">
        <f t="shared" ref="AH24" si="33">AG24/AH$8</f>
        <v>1504.871467772344</v>
      </c>
      <c r="AI24" s="28"/>
      <c r="AJ24" s="25" t="s">
        <v>38</v>
      </c>
      <c r="AK24" s="22">
        <v>304.73</v>
      </c>
      <c r="AL24" s="27">
        <f t="shared" si="25"/>
        <v>950.78258965544785</v>
      </c>
      <c r="AM24" s="36">
        <f t="shared" ref="AM24" si="34">AL24/AM$8</f>
        <v>2569.6826747444538</v>
      </c>
      <c r="AN24" s="29"/>
      <c r="AO24" s="25" t="s">
        <v>38</v>
      </c>
      <c r="AP24" s="22">
        <v>97.78</v>
      </c>
      <c r="AQ24" s="27">
        <f t="shared" si="26"/>
        <v>475.5661060530033</v>
      </c>
      <c r="AR24" s="36">
        <f t="shared" si="4"/>
        <v>1251.4897527710614</v>
      </c>
    </row>
    <row r="25" spans="1:44" ht="20.149999999999999" customHeight="1">
      <c r="A25" s="11" t="s">
        <v>22</v>
      </c>
      <c r="B25" s="22">
        <v>371.18</v>
      </c>
      <c r="C25" s="5">
        <f t="shared" si="18"/>
        <v>1861.9298043513531</v>
      </c>
      <c r="D25" s="35">
        <f t="shared" si="17"/>
        <v>1879.541104500523</v>
      </c>
      <c r="E25" s="8"/>
      <c r="F25" s="11" t="s">
        <v>22</v>
      </c>
      <c r="G25" s="22">
        <v>54.5669945355191</v>
      </c>
      <c r="H25" s="5">
        <f t="shared" si="19"/>
        <v>1133.6366546867337</v>
      </c>
      <c r="I25" s="35">
        <f t="shared" si="1"/>
        <v>1299.7141256640912</v>
      </c>
      <c r="J25" s="8"/>
      <c r="K25" s="11" t="s">
        <v>22</v>
      </c>
      <c r="L25" s="23">
        <v>134.64011084677398</v>
      </c>
      <c r="M25" s="5">
        <f t="shared" si="20"/>
        <v>217.33628177752212</v>
      </c>
      <c r="N25" s="35">
        <f t="shared" si="2"/>
        <v>225.52041773720532</v>
      </c>
      <c r="O25" s="8"/>
      <c r="P25" s="11" t="s">
        <v>22</v>
      </c>
      <c r="Q25" s="23">
        <v>27.139085637830721</v>
      </c>
      <c r="R25" s="5">
        <f t="shared" si="21"/>
        <v>298.64693056519343</v>
      </c>
      <c r="S25" s="35">
        <f t="shared" si="0"/>
        <v>312.71929902114499</v>
      </c>
      <c r="T25" s="8"/>
      <c r="U25" s="11" t="s">
        <v>22</v>
      </c>
      <c r="V25" s="22">
        <v>137.63</v>
      </c>
      <c r="W25" s="5">
        <f t="shared" si="22"/>
        <v>170.73329861834586</v>
      </c>
      <c r="X25" s="35">
        <f t="shared" si="3"/>
        <v>316.17277521915895</v>
      </c>
      <c r="Y25" s="3"/>
      <c r="Z25" s="11" t="s">
        <v>22</v>
      </c>
      <c r="AA25" s="22">
        <v>84.39</v>
      </c>
      <c r="AB25" s="5">
        <f t="shared" si="23"/>
        <v>203.16886332388933</v>
      </c>
      <c r="AC25" s="35">
        <f t="shared" si="5"/>
        <v>564.35795367747039</v>
      </c>
      <c r="AD25" s="3"/>
      <c r="AE25" s="11" t="s">
        <v>22</v>
      </c>
      <c r="AF25" s="22">
        <v>183.43</v>
      </c>
      <c r="AG25" s="5">
        <f t="shared" si="24"/>
        <v>267.27943484357502</v>
      </c>
      <c r="AH25" s="35">
        <f t="shared" si="13"/>
        <v>1670.4964677723437</v>
      </c>
      <c r="AI25" s="8"/>
      <c r="AJ25" s="11" t="s">
        <v>22</v>
      </c>
      <c r="AK25" s="22">
        <v>265</v>
      </c>
      <c r="AL25" s="5">
        <f t="shared" si="25"/>
        <v>990.51258965544787</v>
      </c>
      <c r="AM25" s="35">
        <f t="shared" si="15"/>
        <v>2677.0610531228322</v>
      </c>
      <c r="AN25" s="3"/>
      <c r="AO25" s="11" t="s">
        <v>22</v>
      </c>
      <c r="AP25" s="22">
        <v>71.930000000000007</v>
      </c>
      <c r="AQ25" s="5">
        <f t="shared" si="26"/>
        <v>501.41610605300326</v>
      </c>
      <c r="AR25" s="35">
        <f t="shared" si="4"/>
        <v>1319.5160685605351</v>
      </c>
    </row>
    <row r="26" spans="1:44" ht="20.149999999999999" customHeight="1">
      <c r="A26" s="11" t="s">
        <v>23</v>
      </c>
      <c r="B26" s="22">
        <v>443.81</v>
      </c>
      <c r="C26" s="5">
        <f t="shared" si="18"/>
        <v>1789.2998043513533</v>
      </c>
      <c r="D26" s="35">
        <f t="shared" si="17"/>
        <v>1806.2241243969527</v>
      </c>
      <c r="E26" s="8"/>
      <c r="F26" s="11" t="s">
        <v>23</v>
      </c>
      <c r="G26" s="22">
        <v>91.416994535519095</v>
      </c>
      <c r="H26" s="5">
        <f t="shared" si="19"/>
        <v>1096.7866546867338</v>
      </c>
      <c r="I26" s="35">
        <f t="shared" si="1"/>
        <v>1257.4656103812499</v>
      </c>
      <c r="J26" s="8"/>
      <c r="K26" s="11" t="s">
        <v>23</v>
      </c>
      <c r="L26" s="23">
        <v>241.17833330518235</v>
      </c>
      <c r="M26" s="5">
        <f t="shared" si="20"/>
        <v>110.79805931911375</v>
      </c>
      <c r="N26" s="35">
        <f t="shared" si="2"/>
        <v>114.9703326925255</v>
      </c>
      <c r="O26" s="8"/>
      <c r="P26" s="11" t="s">
        <v>23</v>
      </c>
      <c r="Q26" s="23">
        <v>66.440924808640673</v>
      </c>
      <c r="R26" s="5">
        <f t="shared" si="21"/>
        <v>259.34509139438347</v>
      </c>
      <c r="S26" s="35">
        <f t="shared" si="0"/>
        <v>271.5655407271031</v>
      </c>
      <c r="T26" s="8"/>
      <c r="U26" s="11" t="s">
        <v>23</v>
      </c>
      <c r="V26" s="22">
        <v>158.07</v>
      </c>
      <c r="W26" s="5">
        <f t="shared" si="22"/>
        <v>150.29329861834586</v>
      </c>
      <c r="X26" s="35">
        <f t="shared" si="3"/>
        <v>278.3209233673071</v>
      </c>
      <c r="Y26" s="3"/>
      <c r="Z26" s="11" t="s">
        <v>23</v>
      </c>
      <c r="AA26" s="22">
        <v>97.36</v>
      </c>
      <c r="AB26" s="5">
        <f t="shared" si="23"/>
        <v>190.1988633238893</v>
      </c>
      <c r="AC26" s="35">
        <f t="shared" si="5"/>
        <v>528.33017589969256</v>
      </c>
      <c r="AD26" s="3"/>
      <c r="AE26" s="11" t="s">
        <v>23</v>
      </c>
      <c r="AF26" s="22">
        <v>202.3</v>
      </c>
      <c r="AG26" s="5">
        <f t="shared" si="24"/>
        <v>248.40943484357504</v>
      </c>
      <c r="AH26" s="35">
        <f>AG26/AH$8</f>
        <v>1552.558967772344</v>
      </c>
      <c r="AI26" s="8"/>
      <c r="AJ26" s="11" t="s">
        <v>23</v>
      </c>
      <c r="AK26" s="22">
        <v>293.88</v>
      </c>
      <c r="AL26" s="5">
        <f t="shared" si="25"/>
        <v>961.63258965544787</v>
      </c>
      <c r="AM26" s="35">
        <f t="shared" si="15"/>
        <v>2599.006999068778</v>
      </c>
      <c r="AN26" s="3"/>
      <c r="AO26" s="11" t="s">
        <v>23</v>
      </c>
      <c r="AP26" s="22">
        <v>88.54</v>
      </c>
      <c r="AQ26" s="5">
        <f t="shared" si="26"/>
        <v>484.80610605300325</v>
      </c>
      <c r="AR26" s="35">
        <f t="shared" si="4"/>
        <v>1275.8055422447455</v>
      </c>
    </row>
    <row r="27" spans="1:44" ht="20.149999999999999" customHeight="1">
      <c r="A27" s="11" t="s">
        <v>24</v>
      </c>
      <c r="B27" s="22">
        <v>516.16999999999996</v>
      </c>
      <c r="C27" s="5">
        <f t="shared" si="18"/>
        <v>1716.9398043513531</v>
      </c>
      <c r="D27" s="35">
        <f t="shared" si="17"/>
        <v>1733.1796981227635</v>
      </c>
      <c r="E27" s="8"/>
      <c r="F27" s="11" t="s">
        <v>24</v>
      </c>
      <c r="G27" s="22">
        <v>80.896994535519099</v>
      </c>
      <c r="H27" s="5">
        <f t="shared" si="19"/>
        <v>1107.3066546867337</v>
      </c>
      <c r="I27" s="35">
        <f t="shared" si="1"/>
        <v>1269.5267876071791</v>
      </c>
      <c r="J27" s="8"/>
      <c r="K27" s="11" t="s">
        <v>24</v>
      </c>
      <c r="L27" s="23">
        <v>224.05675141548576</v>
      </c>
      <c r="M27" s="5">
        <f t="shared" si="20"/>
        <v>127.91964120881033</v>
      </c>
      <c r="N27" s="35">
        <f t="shared" si="2"/>
        <v>132.73665439687286</v>
      </c>
      <c r="O27" s="8"/>
      <c r="P27" s="11" t="s">
        <v>24</v>
      </c>
      <c r="Q27" s="23">
        <v>59.87010540828134</v>
      </c>
      <c r="R27" s="5">
        <f t="shared" si="21"/>
        <v>265.91591079474279</v>
      </c>
      <c r="S27" s="35">
        <f t="shared" si="0"/>
        <v>278.44597988978302</v>
      </c>
      <c r="T27" s="8"/>
      <c r="U27" s="11" t="s">
        <v>24</v>
      </c>
      <c r="V27" s="22">
        <v>180.96</v>
      </c>
      <c r="W27" s="5">
        <f t="shared" si="22"/>
        <v>127.40329861834584</v>
      </c>
      <c r="X27" s="35">
        <f t="shared" si="3"/>
        <v>235.93203447841822</v>
      </c>
      <c r="Y27" s="3"/>
      <c r="Z27" s="11" t="s">
        <v>24</v>
      </c>
      <c r="AA27" s="22">
        <v>111.21</v>
      </c>
      <c r="AB27" s="5">
        <f t="shared" si="23"/>
        <v>176.34886332388933</v>
      </c>
      <c r="AC27" s="35">
        <f t="shared" si="5"/>
        <v>489.85795367747039</v>
      </c>
      <c r="AD27" s="3"/>
      <c r="AE27" s="11" t="s">
        <v>24</v>
      </c>
      <c r="AF27" s="22">
        <v>229.38</v>
      </c>
      <c r="AG27" s="5">
        <f t="shared" si="24"/>
        <v>221.32943484357506</v>
      </c>
      <c r="AH27" s="35">
        <f t="shared" si="13"/>
        <v>1383.308967772344</v>
      </c>
      <c r="AI27" s="8"/>
      <c r="AJ27" s="11" t="s">
        <v>24</v>
      </c>
      <c r="AK27" s="22">
        <v>333.86</v>
      </c>
      <c r="AL27" s="5">
        <f t="shared" si="25"/>
        <v>921.65258965544785</v>
      </c>
      <c r="AM27" s="35">
        <f>AL27/AM$8</f>
        <v>2490.9529450147238</v>
      </c>
      <c r="AN27" s="3"/>
      <c r="AO27" s="11" t="s">
        <v>24</v>
      </c>
      <c r="AP27" s="22">
        <v>125.95</v>
      </c>
      <c r="AQ27" s="5">
        <f t="shared" si="26"/>
        <v>447.39610605300328</v>
      </c>
      <c r="AR27" s="35">
        <f t="shared" si="4"/>
        <v>1177.3581738236931</v>
      </c>
    </row>
    <row r="28" spans="1:44" ht="20.149999999999999" customHeight="1">
      <c r="A28" s="11" t="s">
        <v>25</v>
      </c>
      <c r="B28" s="22">
        <v>392.79</v>
      </c>
      <c r="C28" s="5">
        <f t="shared" si="18"/>
        <v>1840.3198043513532</v>
      </c>
      <c r="D28" s="35">
        <f t="shared" si="17"/>
        <v>1857.7267035637456</v>
      </c>
      <c r="E28" s="8"/>
      <c r="F28" s="11" t="s">
        <v>25</v>
      </c>
      <c r="G28" s="22">
        <v>67.786994535519099</v>
      </c>
      <c r="H28" s="5">
        <f t="shared" si="19"/>
        <v>1120.4166546867336</v>
      </c>
      <c r="I28" s="35">
        <f t="shared" si="1"/>
        <v>1284.5573991501383</v>
      </c>
      <c r="J28" s="8"/>
      <c r="K28" s="11" t="s">
        <v>25</v>
      </c>
      <c r="L28" s="23">
        <v>158.67162344731383</v>
      </c>
      <c r="M28" s="5">
        <f t="shared" si="20"/>
        <v>193.30476917698226</v>
      </c>
      <c r="N28" s="35">
        <f t="shared" si="2"/>
        <v>200.58396112625402</v>
      </c>
      <c r="O28" s="8"/>
      <c r="P28" s="11" t="s">
        <v>25</v>
      </c>
      <c r="Q28" s="23">
        <v>36.318961551174446</v>
      </c>
      <c r="R28" s="5">
        <f t="shared" si="21"/>
        <v>289.46705465184971</v>
      </c>
      <c r="S28" s="35">
        <f t="shared" si="0"/>
        <v>303.10686350979029</v>
      </c>
      <c r="T28" s="8"/>
      <c r="U28" s="11" t="s">
        <v>25</v>
      </c>
      <c r="V28" s="22">
        <v>145.53</v>
      </c>
      <c r="W28" s="5">
        <f t="shared" si="22"/>
        <v>162.83329861834585</v>
      </c>
      <c r="X28" s="35">
        <f t="shared" si="3"/>
        <v>301.54314558952933</v>
      </c>
      <c r="Y28" s="3"/>
      <c r="Z28" s="11" t="s">
        <v>25</v>
      </c>
      <c r="AA28" s="22">
        <v>89.35</v>
      </c>
      <c r="AB28" s="5">
        <f t="shared" si="23"/>
        <v>198.20886332388932</v>
      </c>
      <c r="AC28" s="35">
        <f t="shared" si="5"/>
        <v>550.58017589969256</v>
      </c>
      <c r="AD28" s="3"/>
      <c r="AE28" s="11" t="s">
        <v>25</v>
      </c>
      <c r="AF28" s="22">
        <v>190.31</v>
      </c>
      <c r="AG28" s="5">
        <f t="shared" si="24"/>
        <v>260.39943484357502</v>
      </c>
      <c r="AH28" s="35">
        <f t="shared" si="13"/>
        <v>1627.4964677723437</v>
      </c>
      <c r="AI28" s="8"/>
      <c r="AJ28" s="11" t="s">
        <v>25</v>
      </c>
      <c r="AK28" s="22">
        <v>275.66000000000003</v>
      </c>
      <c r="AL28" s="5">
        <f t="shared" si="25"/>
        <v>979.85258965544779</v>
      </c>
      <c r="AM28" s="35">
        <f t="shared" si="15"/>
        <v>2648.2502423120209</v>
      </c>
      <c r="AN28" s="3"/>
      <c r="AO28" s="11" t="s">
        <v>25</v>
      </c>
      <c r="AP28" s="22">
        <v>84.28</v>
      </c>
      <c r="AQ28" s="5">
        <f t="shared" si="26"/>
        <v>489.0661060530033</v>
      </c>
      <c r="AR28" s="35">
        <f t="shared" si="4"/>
        <v>1287.0160685605351</v>
      </c>
    </row>
    <row r="29" spans="1:44" ht="20.149999999999999" customHeight="1">
      <c r="A29" s="11" t="s">
        <v>26</v>
      </c>
      <c r="B29" s="22">
        <v>391.66</v>
      </c>
      <c r="C29" s="5">
        <f t="shared" si="18"/>
        <v>1841.4498043513531</v>
      </c>
      <c r="D29" s="35">
        <f>C29/(1-D$8)</f>
        <v>1858.8673918126376</v>
      </c>
      <c r="E29" s="8"/>
      <c r="F29" s="11" t="s">
        <v>26</v>
      </c>
      <c r="G29" s="22">
        <v>33.7469945355191</v>
      </c>
      <c r="H29" s="5">
        <f t="shared" si="19"/>
        <v>1154.4566546867336</v>
      </c>
      <c r="I29" s="35">
        <f t="shared" si="1"/>
        <v>1323.5842501739626</v>
      </c>
      <c r="J29" s="8"/>
      <c r="K29" s="11" t="s">
        <v>26</v>
      </c>
      <c r="L29" s="23">
        <v>144.02624183784675</v>
      </c>
      <c r="M29" s="5">
        <f t="shared" si="20"/>
        <v>207.95015078644934</v>
      </c>
      <c r="N29" s="35">
        <f t="shared" si="2"/>
        <v>215.78083737478013</v>
      </c>
      <c r="O29" s="8"/>
      <c r="P29" s="11" t="s">
        <v>26</v>
      </c>
      <c r="Q29" s="23">
        <v>26.20010953861814</v>
      </c>
      <c r="R29" s="5">
        <f t="shared" si="21"/>
        <v>299.58590666440597</v>
      </c>
      <c r="S29" s="35">
        <f t="shared" si="0"/>
        <v>313.70252006744084</v>
      </c>
      <c r="T29" s="8"/>
      <c r="U29" s="11" t="s">
        <v>26</v>
      </c>
      <c r="V29" s="22">
        <v>142.63</v>
      </c>
      <c r="W29" s="5">
        <f t="shared" si="22"/>
        <v>165.73329861834586</v>
      </c>
      <c r="X29" s="35">
        <f t="shared" si="3"/>
        <v>306.91351595989971</v>
      </c>
      <c r="Y29" s="3"/>
      <c r="Z29" s="11" t="s">
        <v>26</v>
      </c>
      <c r="AA29" s="22">
        <v>87.57</v>
      </c>
      <c r="AB29" s="5">
        <f t="shared" si="23"/>
        <v>199.98886332388932</v>
      </c>
      <c r="AC29" s="35">
        <f t="shared" si="5"/>
        <v>555.52462034413702</v>
      </c>
      <c r="AD29" s="3"/>
      <c r="AE29" s="11" t="s">
        <v>26</v>
      </c>
      <c r="AF29" s="22">
        <v>193.12</v>
      </c>
      <c r="AG29" s="5">
        <f t="shared" si="24"/>
        <v>257.58943484357502</v>
      </c>
      <c r="AH29" s="35">
        <f t="shared" si="13"/>
        <v>1609.9339677723437</v>
      </c>
      <c r="AI29" s="8"/>
      <c r="AJ29" s="11" t="s">
        <v>26</v>
      </c>
      <c r="AK29" s="22">
        <v>276.97000000000003</v>
      </c>
      <c r="AL29" s="5">
        <f t="shared" si="25"/>
        <v>978.54258965544784</v>
      </c>
      <c r="AM29" s="35">
        <f t="shared" si="15"/>
        <v>2644.7097017714805</v>
      </c>
      <c r="AN29" s="3"/>
      <c r="AO29" s="11" t="s">
        <v>26</v>
      </c>
      <c r="AP29" s="22">
        <v>75.56</v>
      </c>
      <c r="AQ29" s="5">
        <f t="shared" si="26"/>
        <v>497.78610605300327</v>
      </c>
      <c r="AR29" s="35">
        <f t="shared" si="4"/>
        <v>1309.9634369815876</v>
      </c>
    </row>
    <row r="30" spans="1:44" ht="20.149999999999999" customHeight="1">
      <c r="A30" s="11" t="s">
        <v>27</v>
      </c>
      <c r="B30" s="22">
        <v>415.17</v>
      </c>
      <c r="C30" s="5">
        <f>D$6-B30-D$7</f>
        <v>1817.9398043513531</v>
      </c>
      <c r="D30" s="35">
        <f>C30/(1-D$8)</f>
        <v>1835.1350194839174</v>
      </c>
      <c r="E30" s="8"/>
      <c r="F30" s="11" t="s">
        <v>27</v>
      </c>
      <c r="G30" s="22">
        <v>46.4969945355191</v>
      </c>
      <c r="H30" s="5">
        <f>I$6-G30-I$7</f>
        <v>1141.7066546867336</v>
      </c>
      <c r="I30" s="35">
        <f t="shared" si="1"/>
        <v>1308.9663785360731</v>
      </c>
      <c r="J30" s="8"/>
      <c r="K30" s="11" t="s">
        <v>27</v>
      </c>
      <c r="L30" s="23">
        <v>167.39747590451509</v>
      </c>
      <c r="M30" s="5">
        <f>N$6-L30-N$7</f>
        <v>184.57891671978101</v>
      </c>
      <c r="N30" s="35">
        <f t="shared" si="2"/>
        <v>191.52952311357257</v>
      </c>
      <c r="O30" s="8"/>
      <c r="P30" s="11" t="s">
        <v>27</v>
      </c>
      <c r="Q30" s="23">
        <v>38.891263779461362</v>
      </c>
      <c r="R30" s="5">
        <f>S$6-Q30-S$7</f>
        <v>286.89475242356275</v>
      </c>
      <c r="S30" s="35">
        <f t="shared" si="0"/>
        <v>300.41335332310234</v>
      </c>
      <c r="T30" s="8"/>
      <c r="U30" s="11" t="s">
        <v>27</v>
      </c>
      <c r="V30" s="22">
        <v>151.16</v>
      </c>
      <c r="W30" s="5">
        <f>X$6-V30-X$7</f>
        <v>157.20329861834585</v>
      </c>
      <c r="X30" s="35">
        <f t="shared" si="3"/>
        <v>291.11721966360341</v>
      </c>
      <c r="Y30" s="3"/>
      <c r="Z30" s="11" t="s">
        <v>27</v>
      </c>
      <c r="AA30" s="22">
        <v>93</v>
      </c>
      <c r="AB30" s="5">
        <f>AC$6-AA30-AC$7</f>
        <v>194.55886332388931</v>
      </c>
      <c r="AC30" s="35">
        <f t="shared" si="5"/>
        <v>540.44128701080365</v>
      </c>
      <c r="AD30" s="3"/>
      <c r="AE30" s="11" t="s">
        <v>27</v>
      </c>
      <c r="AF30" s="22">
        <v>201.63</v>
      </c>
      <c r="AG30" s="5">
        <f>AH$6-AF30-AH$7</f>
        <v>249.07943484357506</v>
      </c>
      <c r="AH30" s="35">
        <f>AG30/AH$8</f>
        <v>1556.746467772344</v>
      </c>
      <c r="AI30" s="8"/>
      <c r="AJ30" s="11" t="s">
        <v>27</v>
      </c>
      <c r="AK30" s="22">
        <v>289.01</v>
      </c>
      <c r="AL30" s="5">
        <f>AM$6-AK30-AM$7</f>
        <v>966.50258965544788</v>
      </c>
      <c r="AM30" s="35">
        <f t="shared" si="15"/>
        <v>2612.1691612309401</v>
      </c>
      <c r="AN30" s="3"/>
      <c r="AO30" s="11" t="s">
        <v>27</v>
      </c>
      <c r="AP30" s="22">
        <v>91.98</v>
      </c>
      <c r="AQ30" s="5">
        <f>AR$6-AP30-AR$7</f>
        <v>481.36610605300325</v>
      </c>
      <c r="AR30" s="35">
        <f t="shared" si="4"/>
        <v>1266.752910665798</v>
      </c>
    </row>
    <row r="31" spans="1:44" ht="20.149999999999999" customHeight="1">
      <c r="A31" s="21" t="s">
        <v>36</v>
      </c>
      <c r="B31" s="22">
        <v>454.35</v>
      </c>
      <c r="C31" s="5">
        <f>D$6-B31-D$7</f>
        <v>1778.7598043513533</v>
      </c>
      <c r="D31" s="35">
        <f>C31/(1-D$8)</f>
        <v>1795.5844304648085</v>
      </c>
      <c r="E31" s="8"/>
      <c r="F31" s="21" t="s">
        <v>36</v>
      </c>
      <c r="G31" s="22">
        <v>39.166994535519102</v>
      </c>
      <c r="H31" s="5">
        <f>I$6-G31-I$7</f>
        <v>1149.0366546867338</v>
      </c>
      <c r="I31" s="35">
        <f t="shared" ref="I31" si="35">H31/(1-I$8)</f>
        <v>1317.3702216031893</v>
      </c>
      <c r="J31" s="8"/>
      <c r="K31" s="21" t="s">
        <v>36</v>
      </c>
      <c r="L31" s="23">
        <v>207.45805316346213</v>
      </c>
      <c r="M31" s="5">
        <f>N$6-L31-N$7</f>
        <v>144.51833946083397</v>
      </c>
      <c r="N31" s="35">
        <f t="shared" ref="N31" si="36">M31/(1-N$8)</f>
        <v>149.96040246633737</v>
      </c>
      <c r="O31" s="8"/>
      <c r="P31" s="21" t="s">
        <v>36</v>
      </c>
      <c r="Q31" s="23">
        <v>46.925311194620086</v>
      </c>
      <c r="R31" s="5">
        <f>S$6-Q31-S$7</f>
        <v>278.86070500840407</v>
      </c>
      <c r="S31" s="35">
        <f t="shared" ref="S31" si="37">R31/(1-S$8)</f>
        <v>292.00073822869535</v>
      </c>
      <c r="T31" s="8"/>
      <c r="U31" s="21" t="s">
        <v>36</v>
      </c>
      <c r="V31" s="22">
        <v>165.3</v>
      </c>
      <c r="W31" s="5">
        <f>X$6-V31-X$7</f>
        <v>143.06329861834584</v>
      </c>
      <c r="X31" s="35">
        <f t="shared" ref="X31" si="38">W31/X$8</f>
        <v>264.93203447841819</v>
      </c>
      <c r="Y31" s="3"/>
      <c r="Z31" s="21" t="s">
        <v>36</v>
      </c>
      <c r="AA31" s="22">
        <v>101.67</v>
      </c>
      <c r="AB31" s="5">
        <f>AC$6-AA31-AC$7</f>
        <v>185.8888633238893</v>
      </c>
      <c r="AC31" s="35">
        <f t="shared" ref="AC31" si="39">AB31/AC$8</f>
        <v>516.35795367747028</v>
      </c>
      <c r="AD31" s="3"/>
      <c r="AE31" s="21" t="s">
        <v>36</v>
      </c>
      <c r="AF31" s="22">
        <v>210.06</v>
      </c>
      <c r="AG31" s="5">
        <f>AH$6-AF31-AH$7</f>
        <v>240.64943484357505</v>
      </c>
      <c r="AH31" s="35">
        <f>AG31/AH$8</f>
        <v>1504.058967772344</v>
      </c>
      <c r="AI31" s="8"/>
      <c r="AJ31" s="21" t="s">
        <v>36</v>
      </c>
      <c r="AK31" s="22">
        <v>305.49</v>
      </c>
      <c r="AL31" s="5">
        <f>AM$6-AK31-AM$7</f>
        <v>950.02258965544786</v>
      </c>
      <c r="AM31" s="35">
        <f t="shared" ref="AM31" si="40">AL31/AM$8</f>
        <v>2567.6286206903997</v>
      </c>
      <c r="AN31" s="3"/>
      <c r="AO31" s="21" t="s">
        <v>36</v>
      </c>
      <c r="AP31" s="22">
        <v>97.43</v>
      </c>
      <c r="AQ31" s="5">
        <f>AR$6-AP31-AR$7</f>
        <v>475.91610605300326</v>
      </c>
      <c r="AR31" s="35">
        <f t="shared" si="4"/>
        <v>1252.4108054026403</v>
      </c>
    </row>
    <row r="32" spans="1:44" ht="20.149999999999999" customHeight="1">
      <c r="U32" s="2" t="s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7" t="s">
        <v>44</v>
      </c>
      <c r="AP32" s="37"/>
      <c r="AQ32" s="37"/>
      <c r="AR32" s="33">
        <v>1</v>
      </c>
    </row>
    <row r="33" spans="21:44" ht="15" customHeight="1">
      <c r="U33" s="2" t="s">
        <v>0</v>
      </c>
      <c r="X33" s="31"/>
      <c r="Y33" s="3"/>
      <c r="Z33" s="3"/>
      <c r="AA33" s="3"/>
      <c r="AC33" s="31"/>
      <c r="AD33" s="3"/>
      <c r="AE33" s="3"/>
      <c r="AF33" s="3"/>
      <c r="AH33" s="31"/>
      <c r="AI33" s="3"/>
      <c r="AJ33" s="3"/>
      <c r="AK33" s="3"/>
      <c r="AL33" s="3"/>
      <c r="AM33" s="31"/>
      <c r="AN33" s="3"/>
      <c r="AO33" s="38" t="s">
        <v>35</v>
      </c>
      <c r="AP33" s="38"/>
      <c r="AQ33" s="38"/>
      <c r="AR33" s="33">
        <v>0.05</v>
      </c>
    </row>
    <row r="34" spans="21:44" ht="15" customHeight="1">
      <c r="U34" s="2" t="s"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8" t="s">
        <v>45</v>
      </c>
      <c r="AP34" s="38"/>
      <c r="AQ34" s="38"/>
      <c r="AR34" s="34">
        <f>AR32*(1-AR33)</f>
        <v>0.95</v>
      </c>
    </row>
    <row r="35" spans="21:44" ht="15" customHeight="1"/>
    <row r="36" spans="21:44" ht="15" customHeight="1"/>
    <row r="37" spans="21:44" ht="15" customHeight="1"/>
    <row r="38" spans="21:44" ht="15" customHeight="1"/>
    <row r="39" spans="21:44" ht="15" customHeight="1"/>
    <row r="40" spans="21:44" ht="15" customHeight="1"/>
    <row r="41" spans="21:44" ht="15" customHeight="1"/>
    <row r="42" spans="21:44" ht="15" customHeight="1"/>
    <row r="43" spans="21:44" ht="15" customHeight="1"/>
    <row r="44" spans="21:44" ht="15" customHeight="1"/>
    <row r="45" spans="21:44" ht="15" customHeight="1"/>
    <row r="46" spans="21:44" ht="15" customHeight="1"/>
    <row r="47" spans="21:44" ht="15" customHeight="1"/>
    <row r="48" spans="21:44" ht="15" customHeight="1"/>
    <row r="49" ht="15" customHeight="1"/>
    <row r="50" ht="15" customHeight="1"/>
  </sheetData>
  <mergeCells count="57">
    <mergeCell ref="A4:C4"/>
    <mergeCell ref="F4:H4"/>
    <mergeCell ref="K4:M4"/>
    <mergeCell ref="P4:R4"/>
    <mergeCell ref="U4:W4"/>
    <mergeCell ref="A8:C8"/>
    <mergeCell ref="A7:C7"/>
    <mergeCell ref="A6:C6"/>
    <mergeCell ref="A3:D3"/>
    <mergeCell ref="AE6:AG6"/>
    <mergeCell ref="F3:I3"/>
    <mergeCell ref="F6:H6"/>
    <mergeCell ref="F7:H7"/>
    <mergeCell ref="F8:H8"/>
    <mergeCell ref="K3:N3"/>
    <mergeCell ref="K6:M6"/>
    <mergeCell ref="K7:M7"/>
    <mergeCell ref="A5:C5"/>
    <mergeCell ref="F5:H5"/>
    <mergeCell ref="K5:M5"/>
    <mergeCell ref="P5:R5"/>
    <mergeCell ref="K8:M8"/>
    <mergeCell ref="P3:S3"/>
    <mergeCell ref="P6:R6"/>
    <mergeCell ref="P7:R7"/>
    <mergeCell ref="P8:R8"/>
    <mergeCell ref="U3:X3"/>
    <mergeCell ref="U6:W6"/>
    <mergeCell ref="U7:W7"/>
    <mergeCell ref="U8:W8"/>
    <mergeCell ref="Z3:AC3"/>
    <mergeCell ref="Z6:AB6"/>
    <mergeCell ref="Z7:AB7"/>
    <mergeCell ref="Z8:AB8"/>
    <mergeCell ref="Z5:AB5"/>
    <mergeCell ref="U5:W5"/>
    <mergeCell ref="Z4:AB4"/>
    <mergeCell ref="AE3:AH3"/>
    <mergeCell ref="AE7:AG7"/>
    <mergeCell ref="AE8:AG8"/>
    <mergeCell ref="AJ3:AM3"/>
    <mergeCell ref="AJ6:AL6"/>
    <mergeCell ref="AJ7:AL7"/>
    <mergeCell ref="AJ8:AL8"/>
    <mergeCell ref="AE5:AG5"/>
    <mergeCell ref="AJ5:AL5"/>
    <mergeCell ref="AE4:AG4"/>
    <mergeCell ref="AJ4:AL4"/>
    <mergeCell ref="AO32:AQ32"/>
    <mergeCell ref="AO33:AQ33"/>
    <mergeCell ref="AO34:AQ34"/>
    <mergeCell ref="AO3:AR3"/>
    <mergeCell ref="AO6:AQ6"/>
    <mergeCell ref="AO7:AQ7"/>
    <mergeCell ref="AO8:AQ8"/>
    <mergeCell ref="AO5:AQ5"/>
    <mergeCell ref="AO4:AQ4"/>
  </mergeCells>
  <pageMargins left="0.45" right="0.45" top="0.75" bottom="0.75" header="0.3" footer="0.3"/>
  <pageSetup paperSize="17" scale="64" orientation="landscape" horizontalDpi="200" verticalDpi="200" r:id="rId1"/>
  <headerFooter>
    <oddHeader>&amp;LDocket Nos. EL16-49, et al.
March 18, 2020
Appendix A to Keech Affidavit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Entry Capacity Resources</vt:lpstr>
      <vt:lpstr>'New Entry Capacity Resources'!Print_Area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2022-07-06T14:28:39Z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