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240" windowWidth="12240" windowHeight="9120" activeTab="0"/>
  </bookViews>
  <sheets>
    <sheet name="UCAP Oblig-ZCP" sheetId="1" r:id="rId1"/>
    <sheet name="Summary" sheetId="2" r:id="rId2"/>
    <sheet name="BRA Resource Clearing Results" sheetId="3" r:id="rId3"/>
    <sheet name="BRA Load Pricing Results" sheetId="4" r:id="rId4"/>
    <sheet name="BRA CTRs" sheetId="5" r:id="rId5"/>
    <sheet name="BRA ICTRs" sheetId="6" r:id="rId6"/>
    <sheet name="1stIA Resource Clearing Results" sheetId="7" r:id="rId7"/>
    <sheet name="1st IA Load Pricing Results" sheetId="8" r:id="rId8"/>
    <sheet name="1st IA CTRs" sheetId="9" r:id="rId9"/>
    <sheet name="1st IA ICTRs" sheetId="10" r:id="rId10"/>
    <sheet name="2ndIA Resource Clearing Results" sheetId="11" r:id="rId11"/>
    <sheet name="2nd IA Load Pricing Results" sheetId="12" r:id="rId12"/>
    <sheet name="2nd IA CTRs" sheetId="13" r:id="rId13"/>
    <sheet name="2nd IA ICTRs" sheetId="14" r:id="rId14"/>
  </sheets>
  <definedNames>
    <definedName name="_xlnm.Print_Area" localSheetId="8">'1st IA CTRs'!$A$1:$V$38</definedName>
    <definedName name="_xlnm.Print_Area" localSheetId="9">'1st IA ICTRs'!$A$1:$R$98</definedName>
    <definedName name="_xlnm.Print_Area" localSheetId="7">'1st IA Load Pricing Results'!$A$1:$N$62</definedName>
    <definedName name="_xlnm.Print_Area" localSheetId="6">'1stIA Resource Clearing Results'!$A$1:$Y$74</definedName>
    <definedName name="_xlnm.Print_Area" localSheetId="12">'2nd IA CTRs'!$A$1:$V$42</definedName>
    <definedName name="_xlnm.Print_Area" localSheetId="13">'2nd IA ICTRs'!$A$1:$T$98</definedName>
    <definedName name="_xlnm.Print_Area" localSheetId="11">'2nd IA Load Pricing Results'!$A$1:$N$59</definedName>
    <definedName name="_xlnm.Print_Area" localSheetId="10">'2ndIA Resource Clearing Results'!$A$1:$Y$60</definedName>
    <definedName name="_xlnm.Print_Area" localSheetId="4">'BRA CTRs'!$A$1:$V$38</definedName>
    <definedName name="_xlnm.Print_Area" localSheetId="5">'BRA ICTRs'!$A$1:$R$98</definedName>
    <definedName name="_xlnm.Print_Area" localSheetId="3">'BRA Load Pricing Results'!$A$1:$L$59</definedName>
    <definedName name="_xlnm.Print_Area" localSheetId="2">'BRA Resource Clearing Results'!$A$1:$J$70</definedName>
    <definedName name="_xlnm.Print_Area" localSheetId="1">'Summary'!$A$1:$N$77</definedName>
    <definedName name="_xlnm.Print_Area" localSheetId="0">'UCAP Oblig-ZCP'!$A$1:$N$27</definedName>
  </definedNames>
  <calcPr fullCalcOnLoad="1"/>
</workbook>
</file>

<file path=xl/sharedStrings.xml><?xml version="1.0" encoding="utf-8"?>
<sst xmlns="http://schemas.openxmlformats.org/spreadsheetml/2006/main" count="2188" uniqueCount="338">
  <si>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</si>
  <si>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</si>
  <si>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</si>
  <si>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</si>
  <si>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</si>
  <si>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</si>
  <si>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</si>
  <si>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</si>
  <si>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</si>
  <si>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</si>
  <si>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</si>
  <si>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</si>
  <si>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</si>
  <si>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</si>
  <si>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</si>
  <si>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</si>
  <si>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</si>
  <si>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</si>
  <si>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</si>
  <si>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</si>
  <si>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</si>
  <si>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</si>
  <si>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</si>
  <si>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</si>
  <si>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</si>
  <si>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</si>
  <si>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</si>
  <si>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</si>
  <si>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</si>
  <si>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 Locational Price Adder is with respect to the immediate higher level LDA.</t>
  </si>
  <si>
    <t>MAAC</t>
  </si>
  <si>
    <t>Short-Term Resource Procurement Target [MW]</t>
  </si>
  <si>
    <t>AEP</t>
  </si>
  <si>
    <t>DOM</t>
  </si>
  <si>
    <t>Preliminary Zonal Capacity Price [$/MW-day]</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</si>
  <si>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</si>
  <si>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</si>
  <si>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</si>
  <si>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</si>
  <si>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</si>
  <si>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</si>
  <si>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</si>
  <si>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</si>
  <si>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</si>
  <si>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</si>
  <si>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</si>
  <si>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</si>
  <si>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</si>
  <si>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</si>
  <si>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</si>
  <si>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</si>
  <si>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</si>
  <si>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</si>
  <si>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</si>
  <si>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</si>
  <si>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</si>
  <si>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</si>
  <si>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</si>
  <si>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</si>
  <si>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</si>
  <si>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</si>
  <si>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</si>
  <si>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</si>
  <si>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</si>
  <si>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</si>
  <si>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</si>
  <si>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</si>
  <si>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</si>
  <si>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LDA Capacity Price Components</t>
  </si>
  <si>
    <t>Resource Clearing Prices</t>
  </si>
  <si>
    <t>Cleared &amp; Make-Whole MWs</t>
  </si>
  <si>
    <t>Sub-Zone/Zone</t>
  </si>
  <si>
    <t>LDA Base UCAP Obligation [MW]</t>
  </si>
  <si>
    <t>System Marginal Price [$/MW-day]</t>
  </si>
  <si>
    <t>Make-whole Credits for Annual Resources [$/day]</t>
  </si>
  <si>
    <t>Make-whole Credits for Extended Summer Resources [$/day]</t>
  </si>
  <si>
    <t>Zone/Responsible Customer</t>
  </si>
  <si>
    <t>Total ICTRs [MW]</t>
  </si>
  <si>
    <t>Allocation of Req Transmission Enhancement ICTRs to Zone/Responsible Customer</t>
  </si>
  <si>
    <t>Incremental Capacity Transfer Rights (ICTRs)</t>
  </si>
  <si>
    <t>ICTR Credits</t>
  </si>
  <si>
    <t>QTU Credits</t>
  </si>
  <si>
    <t>Sink LDA</t>
  </si>
  <si>
    <t>Qualifying Transmission Upgrade (QTU) -Import Capability Cleared into Sink LDA  [MW]</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</si>
  <si>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</si>
  <si>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</si>
  <si>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</si>
  <si>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</si>
  <si>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</si>
  <si>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</si>
  <si>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</si>
  <si>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</si>
  <si>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</si>
  <si>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</si>
  <si>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</si>
  <si>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</si>
  <si>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</si>
  <si>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</si>
  <si>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</si>
  <si>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</si>
  <si>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</si>
  <si>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Calculation of Zonal Capacity Prices for PS and DPL</t>
  </si>
  <si>
    <t>Cleared Capacity     [MW]</t>
  </si>
  <si>
    <t>CTRs Allocated to LSEs           [MW]</t>
  </si>
  <si>
    <t>CTRs Allocated to LSEs                 [MW]</t>
  </si>
  <si>
    <t>CTRs Allocated to LSEs        [MW]</t>
  </si>
  <si>
    <t>CTRs Allocated to LSEs            [MW]</t>
  </si>
  <si>
    <t>Make-Whole Credits</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</si>
  <si>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</si>
  <si>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</si>
  <si>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</si>
  <si>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</si>
  <si>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</si>
  <si>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</si>
  <si>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</si>
  <si>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</si>
  <si>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</si>
  <si>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</si>
  <si>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</si>
  <si>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Component due to Extended Summer Price Adder [$/MW-day]</t>
  </si>
  <si>
    <t>LDA Capacity Price [$/MW-day]</t>
  </si>
  <si>
    <t>*Locational Price Adder with respect to RTO</t>
  </si>
  <si>
    <t>Resource Credits for Limited Resources [$/day]</t>
  </si>
  <si>
    <t>Resource Credits for Extended Summer Resources [$/day]</t>
  </si>
  <si>
    <t>Resource Credits for Annual Resources [$/day]</t>
  </si>
  <si>
    <t>Component due to Make-Whole [$/MW-day]</t>
  </si>
  <si>
    <t>Limited Resources Cleared [MW]</t>
  </si>
  <si>
    <t>Limited Resources Make-whole [MW]</t>
  </si>
  <si>
    <t>Limited Resource Make-whole [MW]</t>
  </si>
  <si>
    <t>Costs due to Extended Summer Resource Price Adder in constrained LDA [$/day]</t>
  </si>
  <si>
    <t>Costs due to Annual Resource Price Adder in constrained LDA [$/day]</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</si>
  <si>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</si>
  <si>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</si>
  <si>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</si>
  <si>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</si>
  <si>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</si>
  <si>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</si>
  <si>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</si>
  <si>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</si>
  <si>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</si>
  <si>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</si>
  <si>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</si>
  <si>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</si>
  <si>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</si>
  <si>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</si>
  <si>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</si>
  <si>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Lower Voltage Faclities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</si>
  <si>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</si>
  <si>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</si>
  <si>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</si>
  <si>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</si>
  <si>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</si>
  <si>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</si>
  <si>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</si>
  <si>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</si>
  <si>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</si>
  <si>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</si>
  <si>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</si>
  <si>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</si>
  <si>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</si>
  <si>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</si>
  <si>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Component due to Annual Resource Price Adder [$/MW-day]</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</si>
  <si>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</si>
  <si>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</si>
  <si>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</si>
  <si>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</si>
  <si>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Extended Summer Resource Clearing Price [$/MW-day]</t>
  </si>
  <si>
    <t>Annual Resource Price Adder  [$/MW-day]</t>
  </si>
  <si>
    <t>Locational Price Adder *
  [$/MW-day]</t>
  </si>
  <si>
    <t>Extended Summer Resource Price Adder
 [$/MW-day]</t>
  </si>
  <si>
    <t>Base Residual Auction</t>
  </si>
  <si>
    <t>Zonal UCAP Obligations, Zonal Capacity Prices, &amp; Zonal CTR Credit Rates</t>
  </si>
  <si>
    <t>Base Zonal CTR Credit Rate ($/MW-UCAP Obligation-day)</t>
  </si>
  <si>
    <t>** Obligation affected by FRR quantities.</t>
  </si>
  <si>
    <t>b1304.1, b1304.2, b1304.3, b1304.4: Various upgrades in PS (effective 2015/2016)</t>
  </si>
  <si>
    <t>2016/2017 DY BRA Resource Clearing Results</t>
  </si>
  <si>
    <t>ATSI-CLEVELAND</t>
  </si>
  <si>
    <t>Rest of ATSI</t>
  </si>
  <si>
    <t>2016/2017 DY BRA Load Pricing Results</t>
  </si>
  <si>
    <t>2016/2017 DY BRA CTRs</t>
  </si>
  <si>
    <t>ATSI Equivalent</t>
  </si>
  <si>
    <t xml:space="preserve">2016/2017 DY BRA ICTRs </t>
  </si>
  <si>
    <t>Additional Component due to Annual Resource Price Adder with respect to Partent LDA [$/MW-day]</t>
  </si>
  <si>
    <t>EKPC **</t>
  </si>
  <si>
    <t>2012 W/N Coincident Peak Load          [MW]</t>
  </si>
  <si>
    <t>EKPC</t>
  </si>
  <si>
    <t>2016/2017 Prelim. Zonal Peak Load Forecast              [MW]</t>
  </si>
  <si>
    <t>Additional Make-whole Adjustments due to NEPA        [$/day)</t>
  </si>
  <si>
    <t>Total Make-Whole Credits           [$/day]</t>
  </si>
  <si>
    <t>Make-whole Credits for Limited Resources    [$/day]</t>
  </si>
  <si>
    <t>Total Make-whole          [MW]</t>
  </si>
  <si>
    <t>Annual Resource Make-whole           [MW]</t>
  </si>
  <si>
    <t>Y1-082:  Uprate bus equipment at Wye Mills 69 kV substation</t>
  </si>
  <si>
    <t>b1694: Rebuild Loudoun - Brambleton 500 kV (effective 2016/2017)</t>
  </si>
  <si>
    <t>Calculation of Zonal Capacity Prices for PS, DPL, and ATSI</t>
  </si>
  <si>
    <t>Locational Price Adder * Applicable to LDA [$/MW-day]</t>
  </si>
  <si>
    <t>Additional Locational Price Adder with respect to Reference LDA [$/MW-day]</t>
  </si>
  <si>
    <t>Additional Costs due to Extended Resource Price Adder with respect to Reference LDA [$/day]</t>
  </si>
  <si>
    <t>Additional Component due to Extended Resource Price Adder with respect to Reference LDA [$/MW-day]</t>
  </si>
  <si>
    <t>Additional Costs due to Annual Resource Price Adder with respect to Reference LDA [$/day]</t>
  </si>
  <si>
    <t>Additional Make-whole Costs with respect to  Reference LDA [$/day]</t>
  </si>
  <si>
    <t>Additional Component due to Make-whole with respect to Reference LDA [$/MW-day]</t>
  </si>
  <si>
    <t>Reference LDA Capacity Price [MW] **</t>
  </si>
  <si>
    <t>** Reference LDA is EMAAC for PS and DPL, and RTO for ATSI.</t>
  </si>
  <si>
    <t>AEP ***</t>
  </si>
  <si>
    <t>DEOK ***</t>
  </si>
  <si>
    <t>EKPC ***</t>
  </si>
  <si>
    <t>*** Obligation affected by FRR quantities</t>
  </si>
  <si>
    <t>ADJUSTED</t>
  </si>
  <si>
    <t>Adjusted ICTR * [MW]</t>
  </si>
  <si>
    <t xml:space="preserve">Note:  Cost Allocation Percentages are based on 2013 cost responsibility assignments from the tariff (from 5-9-13 update).  The cosst allocation percentages may change during actual Delivery Year. </t>
  </si>
  <si>
    <t>A Weighted Locational Price Adder is used in the case of PS or DPL or ATSI Equivalent.</t>
  </si>
  <si>
    <t>No ICTRs for Regional Facilities/ Necessary Lower Voltage Facilities and no ICTRs for Lower Voltage Facilities.</t>
  </si>
  <si>
    <t>Locational Price Adder *       [$/MW-day]</t>
  </si>
  <si>
    <t>Extended Summer Resource Price Adder         [$/MW-day]</t>
  </si>
  <si>
    <t>Extended Summer Resource Clearing Price              [$/MW-day]</t>
  </si>
  <si>
    <t>Annual Resource Price Adder          [$/MW-day]</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</si>
  <si>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</si>
  <si>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</si>
  <si>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</si>
  <si>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</si>
  <si>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</si>
  <si>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</si>
  <si>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</si>
  <si>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</si>
  <si>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</si>
  <si>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Total Make-whole</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</si>
  <si>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</si>
  <si>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</si>
  <si>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</si>
  <si>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</si>
  <si>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</si>
  <si>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</si>
  <si>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</si>
  <si>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</si>
  <si>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 [$/Day]</t>
  </si>
  <si>
    <t>Total Make-Whole Credits [$/day]</t>
  </si>
  <si>
    <t>Make-whole Costs assessed to LSEs through Zonal Capacity Price [$/day]</t>
  </si>
  <si>
    <t>Make-whole Costs to Participant Buy Bids [$/day]</t>
  </si>
  <si>
    <t>0.8* BRA STRPT</t>
  </si>
  <si>
    <t>Updated LDA UCAP Obligation [MW]</t>
  </si>
  <si>
    <t>Weighted System Marginal Price [$/MW-day]</t>
  </si>
  <si>
    <t>Weighted Locational Price Adder* Applicable to LDA             [$/MW-day]</t>
  </si>
  <si>
    <t>Costs due to Extended Summer Resource Price Adder in Rest of constrained LDA** [$/day]</t>
  </si>
  <si>
    <t>Costs due to Annual Resource Price Adder in Rest of constrained LDA** [$/day]</t>
  </si>
  <si>
    <t>Component due to Annual Resource Price Adder         [$/MW-day]</t>
  </si>
  <si>
    <t>Cumulative (BRA &amp; IA) Make Whole Costs                      ($/day)</t>
  </si>
  <si>
    <t>Component due to Make-Whole    [$/MW-day]</t>
  </si>
  <si>
    <t>Adjusted LDA Capacity Price [$/MW-day]</t>
  </si>
  <si>
    <t>**Costs associated with Extended Summer and Annual Price Adders, if any, are adjusted slightly to accommodate certain grandfathered arrangements.</t>
  </si>
  <si>
    <t>BRA &amp; 1st IA Net Participant Buy Bid/Sell Offers Cleared</t>
  </si>
  <si>
    <t>Costs due to Extended Summer Resource Price Adder in constrained LDA** [$/day]</t>
  </si>
  <si>
    <t>Component due to Extended Summer Price Adder         [$/MW-day]</t>
  </si>
  <si>
    <t>Costs due to Annual Resource Price Adder in constrained LDA** [$/day]</t>
  </si>
  <si>
    <t>Component due to Annual Resource Price Adder          [$/MW-day]</t>
  </si>
  <si>
    <t>Adjusted Zonal Capacity Price [$/MW-day]</t>
  </si>
  <si>
    <t>Updated Zonal Results</t>
  </si>
  <si>
    <t>Updated Zonal RPM Scaling Factor</t>
  </si>
  <si>
    <t>Updated Zonal UCAP Obligation    [MW]</t>
  </si>
  <si>
    <t>Adjusted Zonal Capacity Price           [$/MW-day]</t>
  </si>
  <si>
    <t>AEP #</t>
  </si>
  <si>
    <t>DEOK #</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</si>
  <si>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</si>
  <si>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</si>
  <si>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</si>
  <si>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Total Updated CTRs [MW] *</t>
  </si>
  <si>
    <t>Remaining CTRs for Required Transmission Enhancements, Customer-Funded Upgrades, &amp; LSEs [MW]</t>
  </si>
  <si>
    <t>Remaining CTRs for LSEs        [MW]</t>
  </si>
  <si>
    <t>* CTR MWs are adjusted slightly to accommodate certain grandfathered arrangements.</t>
  </si>
  <si>
    <t>Weighted Locational Price Adder</t>
  </si>
  <si>
    <t>Updated CTRs Allocated = Max of the LDA CTRs Allocated to LSEs [MW]</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</si>
  <si>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</si>
  <si>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</si>
  <si>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</si>
  <si>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</si>
  <si>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</si>
  <si>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2016/2017 DY 1st IA Resource Clearing Results</t>
  </si>
  <si>
    <t>2016/2017 DY 1st Incremental Auction Load Pricing Results</t>
  </si>
  <si>
    <t>Make-Whole [MW]</t>
  </si>
  <si>
    <t>Additional Weighted Locational Price Adder with respect to Reference LDA  [$/MW-day]</t>
  </si>
  <si>
    <t>Additional Cumulative (BRA &amp; IA) Make-whole Costs with respect to  Reference LDA              [$/day]</t>
  </si>
  <si>
    <t>Additional Component due to Make-whole with respect to Reference LDA       [$/MW-day]</t>
  </si>
  <si>
    <t>2013 W/N Coincident Peak Load                    [MW]</t>
  </si>
  <si>
    <t>1st IA 2016/2017 Zonal Peak Load Forecast            [MW]</t>
  </si>
  <si>
    <t>EKPC#</t>
  </si>
  <si>
    <t>2016/2017 DY 1st Incremental Auction CTRs</t>
  </si>
  <si>
    <t>1st IAShort-Term Resource Procurement Target                  [MW]</t>
  </si>
  <si>
    <t>1st IA Short-Term Resource Procurement Target                   [MW]</t>
  </si>
  <si>
    <t xml:space="preserve">2016/2017 1st IA ICTRs </t>
  </si>
  <si>
    <t>1st Incremental Auction</t>
  </si>
  <si>
    <t>Resource Clearing Prices [$/MW-day]</t>
  </si>
  <si>
    <t>Limited Resource</t>
  </si>
  <si>
    <t>Extended Summer Resource</t>
  </si>
  <si>
    <t>Annual Resource</t>
  </si>
  <si>
    <t>Participant Buy Bids/Sell Offers Cleared</t>
  </si>
  <si>
    <t>Net Participant Buy Bids/Sell Offers Cleared* [MW]</t>
  </si>
  <si>
    <t xml:space="preserve">Total Resources </t>
  </si>
  <si>
    <t>*A positive net particpant buy bid/sell offer cleared represents a net purchase of capacity by participants.</t>
  </si>
  <si>
    <t>* A negative net participant buy bid/sell offer cleared represents a net sale of capacity by participants.</t>
  </si>
  <si>
    <t xml:space="preserve"> Defined PJM Buy Bids/Sell Offers only apply in Incremental Auctions.  Variable Resource Requirement Curve (VRR) used in the clearing of the Base Residual Auction. </t>
  </si>
  <si>
    <t>Net PJM Buy Bids/Sell Offers Cleared**</t>
  </si>
  <si>
    <t>**A positive net PJM buy bid/sell offer cleared represents a net purchase of capacity by PJM.</t>
  </si>
  <si>
    <t>** A negative net PJM buy bid/sell offer cleared represents a net release of committed capacity by PJM.</t>
  </si>
  <si>
    <t>Base Zonal UCAP Obligation (MW)</t>
  </si>
  <si>
    <t>Preliminary Zonal Capacity Price ($/MW-day)</t>
  </si>
  <si>
    <t>Preliminary Zonal Net Load Price ($/MW-day)</t>
  </si>
  <si>
    <t>Adjusted Zonal UCAP Obligation</t>
  </si>
  <si>
    <t>Adjusted Zonal Capacity Price ($/MW-day)</t>
  </si>
  <si>
    <t>Adjusted Zonal Net Load Price ($/MW-day)</t>
  </si>
  <si>
    <t>Updated Zonal CTR Credit Rate ($/MW-UCAP Obligation-day)</t>
  </si>
  <si>
    <t>Adjusted Zonal Capacity Price accounting for Transition Provision *           [$/MW-day]</t>
  </si>
  <si>
    <t>Reference LDA* Capacity Price [$/MW-day]</t>
  </si>
  <si>
    <t>*Reference LDA is EMAAC for PS and DPL, and RTO for ATSI.</t>
  </si>
  <si>
    <t>* Generating Unit Capability Verification Test Requirement Transition Provision.</t>
  </si>
  <si>
    <t>Customer-Funded Upgrades*</t>
  </si>
  <si>
    <t xml:space="preserve">Note:  Cost Allocation Percentages are based on 2014 cost responsibility assignments from the tariff (from 1-1-14 update).  The cost allocation percentages may change during actual Delivery Year. </t>
  </si>
  <si>
    <t xml:space="preserve"> Required Transmission Enhancements ICTRs  [MW]</t>
  </si>
  <si>
    <t xml:space="preserve">2016/2017 2nd IA ICTRs </t>
  </si>
  <si>
    <t>2016/2017 DY 2nd IA CTRs</t>
  </si>
  <si>
    <t>2016/2017 DY 2nd IA Load Pricing Results</t>
  </si>
  <si>
    <t>2016/2017 DY 2nd IA Resource Clearing Results</t>
  </si>
  <si>
    <t>0.6* BRA STRPT</t>
  </si>
  <si>
    <t>2014 W/N Coincident Peak Load                    [MW]</t>
  </si>
  <si>
    <t>2nd IA 2016/2017 Zonal Peak Load Forecast            [MW]</t>
  </si>
  <si>
    <t>2nd IA Short-Term Resource Procurement Target                   [MW]</t>
  </si>
  <si>
    <t>2016/2017 2nd IA - Summary of Auction Results</t>
  </si>
  <si>
    <t>2nd Incremental Auction</t>
  </si>
  <si>
    <t>Adjusted Zonal Capacity Price accounting for Transition Provision          [$/MW-day] *</t>
  </si>
  <si>
    <t xml:space="preserve">Note:  Cost Allocation Percentages are based on 2015 cost responsibility assignments from the tariff.  The cost allocation percentages may change during actual Delivery Year. </t>
  </si>
  <si>
    <t>BRA &amp; IA Net Participant Buy Bid/Sell Offers Cleared</t>
  </si>
  <si>
    <t>2nd IAShort-Term Resource Procurement Target                  [MW]</t>
  </si>
  <si>
    <t>2nd Incremental Auction Adjusted Zonal Capacity Prices &amp; Adjusted Zonal CTR Credit Rates are determined based on the results of the Base Residual Auction and 1st and 2nd Incremental Auctions for the DY. Adjusted Zonal Capacity Prices account for Generating Unit Capability Verification Test Requirement Transition Provision.</t>
  </si>
  <si>
    <t>ADJUSTED *</t>
  </si>
  <si>
    <t>ADJUSTED **</t>
  </si>
  <si>
    <t>** PSNORTH Certified ICTRs are adjusted to zero as the Weighted Locational Price Adder calculated is negative.</t>
  </si>
  <si>
    <t>* MAAC Certified ICTRs are adjusted as the Remaining CTRs for Incremental Rights-Eligible Required Transmission Enhancements, Customer Funded-Upgrades, and LSEs into LDA are less than the Total Certified ICTRs into the LDA.</t>
  </si>
  <si>
    <t>CERA Doc# 5087606</t>
  </si>
  <si>
    <t>2016/2017 BRA, 1st IA, and 2nd IA: Zonal UCAP Obligations, Zonal Capacity Prices, Zonal CTR Credit Rate, and Zonal Net Load Prices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</si>
</sst>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0"/>
    <numFmt numFmtId="169" formatCode="0.000%"/>
    <numFmt numFmtId="170" formatCode="0.00000"/>
    <numFmt numFmtId="171" formatCode="&quot;$&quot;#,##0.000000"/>
    <numFmt numFmtId="172" formatCode="0.0000%"/>
    <numFmt numFmtId="173" formatCode="0.0000"/>
    <numFmt numFmtId="174" formatCode="#,##0.0"/>
    <numFmt numFmtId="175" formatCode="#,##0.00000"/>
    <numFmt numFmtId="176" formatCode="_([$$-409]* #,##0.00_);_([$$-409]* \(#,##0.00\);_([$$-409]*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00000"/>
    <numFmt numFmtId="182" formatCode="#,##0.0000000"/>
    <numFmt numFmtId="183" formatCode="&quot;$&quot;#,##0.0000000000000"/>
    <numFmt numFmtId="184" formatCode="&quot;$&quot;#,##0.000000000"/>
    <numFmt numFmtId="185" formatCode="&quot;$&quot;#,##0.0000000"/>
    <numFmt numFmtId="186" formatCode="&quot;$&quot;#,##0.00000000"/>
    <numFmt numFmtId="187" formatCode="0.0000000"/>
    <numFmt numFmtId="188" formatCode="0.000000"/>
    <numFmt numFmtId="189" formatCode="0.000"/>
    <numFmt numFmtId="190" formatCode="[$-409]dddd\,\ mmmm\ dd\,\ yyyy"/>
    <numFmt numFmtId="191" formatCode="[$-409]h:mm:ss\ AM/PM"/>
    <numFmt numFmtId="192" formatCode="_(* #,##0.0_);_(* \(#,##0.0\);_(* &quot;-&quot;??_);_(@_)"/>
    <numFmt numFmtId="193" formatCode="_(* #,##0.00000_);_(* \(#,##0.00000\);_(* &quot;-&quot;?????_);_(@_)"/>
    <numFmt numFmtId="194" formatCode="&quot;$&quot;#,##0.000"/>
    <numFmt numFmtId="195" formatCode="&quot;$&quot;#,##0.0000"/>
    <numFmt numFmtId="196" formatCode="&quot;$&quot;#,##0.0000000000"/>
    <numFmt numFmtId="197" formatCode="_(* #,##0.0_);_(* \(#,##0.0\);_(* &quot;-&quot;?_);_(@_)"/>
    <numFmt numFmtId="198" formatCode="_(* #,##0.0000_);_(* \(#,##0.0000\);_(* &quot;-&quot;????_);_(@_)"/>
    <numFmt numFmtId="199" formatCode="_(* #,##0.000_);_(* \(#,##0.000\);_(* &quot;-&quot;??_);_(@_)"/>
    <numFmt numFmtId="200" formatCode="_(* #,##0.0000_);_(* \(#,##0.0000\);_(* &quot;-&quot;??_);_(@_)"/>
    <numFmt numFmtId="201" formatCode="_(* #,##0.00000_);_(* \(#,##0.00000\);_(* &quot;-&quot;??_);_(@_)"/>
    <numFmt numFmtId="202" formatCode="0.00000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quot;$&quot;* #,##0.00000_);_(&quot;$&quot;* \(#,##0.00000\);_(&quot;$&quot;* &quot;-&quot;??_);_(@_)"/>
    <numFmt numFmtId="208" formatCode="_(&quot;$&quot;* #,##0.000000_);_(&quot;$&quot;* \(#,##0.000000\);_(&quot;$&quot;* &quot;-&quot;??_);_(@_)"/>
    <numFmt numFmtId="209" formatCode="_(* #,##0.0000000_);_(* \(#,##0.0000000\);_(* &quot;-&quot;???????_);_(@_)"/>
    <numFmt numFmtId="210" formatCode="_(* #,##0.000000000_);_(* \(#,##0.000000000\);_(* &quot;-&quot;??_);_(@_)"/>
    <numFmt numFmtId="211" formatCode="_(* #,##0.000000_);_(* \(#,##0.000000\);_(* &quot;-&quot;??_);_(@_)"/>
    <numFmt numFmtId="212" formatCode="_(* #,##0.0000000000000_);_(* \(#,##0.0000000000000\);_(* &quot;-&quot;?????????????_);_(@_)"/>
    <numFmt numFmtId="213" formatCode="&quot;$&quot;#,##0.00000000000"/>
    <numFmt numFmtId="214" formatCode="0.000000000"/>
    <numFmt numFmtId="215" formatCode="0.0000000000"/>
    <numFmt numFmtId="216" formatCode="0.00000000000"/>
    <numFmt numFmtId="217" formatCode="0.000000000000"/>
    <numFmt numFmtId="218" formatCode="0.0000000000000"/>
    <numFmt numFmtId="219" formatCode="0.00000000000000"/>
    <numFmt numFmtId="220" formatCode="#,##0.000"/>
    <numFmt numFmtId="221" formatCode="#,##0.0000"/>
    <numFmt numFmtId="222" formatCode="_(* #,##0.00000000000000_);_(* \(#,##0.00000000000000\);_(* &quot;-&quot;??????????????_);_(@_)"/>
    <numFmt numFmtId="223" formatCode="_(* #,##0.0000000_);_(* \(#,##0.0000000\);_(* &quot;-&quot;??_);_(@_)"/>
    <numFmt numFmtId="224" formatCode="_(* #,##0.00000000_);_(* \(#,##0.00000000\);_(* &quot;-&quot;??_);_(@_)"/>
    <numFmt numFmtId="225" formatCode="_(* #,##0.0000000000_);_(* \(#,##0.0000000000\);_(* &quot;-&quot;??_);_(@_)"/>
    <numFmt numFmtId="226" formatCode="_(* #,##0.000000000000_);_(* \(#,##0.000000000000\);_(* &quot;-&quot;????????????_);_(@_)"/>
  </numFmts>
  <fonts count="65">
    <font>
      <sz val="10"/>
      <name val="Arial"/>
      <family val="0"/>
    </font>
    <font>
      <b/>
      <i/>
      <sz val="14"/>
      <name val="Arial"/>
      <family val="2"/>
    </font>
    <font>
      <sz val="14"/>
      <name val="Arial"/>
      <family val="2"/>
    </font>
    <font>
      <b/>
      <sz val="14"/>
      <name val="Arial"/>
      <family val="2"/>
    </font>
    <font>
      <i/>
      <sz val="10"/>
      <name val="Arial"/>
      <family val="2"/>
    </font>
    <font>
      <b/>
      <sz val="10"/>
      <color indexed="10"/>
      <name val="Arial"/>
      <family val="2"/>
    </font>
    <font>
      <b/>
      <sz val="16"/>
      <name val="Arial"/>
      <family val="2"/>
    </font>
    <font>
      <b/>
      <sz val="10"/>
      <name val="Arial"/>
      <family val="2"/>
    </font>
    <font>
      <u val="single"/>
      <sz val="7.5"/>
      <color indexed="12"/>
      <name val="Arial"/>
      <family val="2"/>
    </font>
    <font>
      <u val="single"/>
      <sz val="7.5"/>
      <color indexed="36"/>
      <name val="Arial"/>
      <family val="2"/>
    </font>
    <font>
      <sz val="11"/>
      <name val="Arial"/>
      <family val="2"/>
    </font>
    <font>
      <b/>
      <sz val="11"/>
      <name val="Arial"/>
      <family val="2"/>
    </font>
    <font>
      <b/>
      <i/>
      <sz val="12"/>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0"/>
      <name val="Arial"/>
      <family val="2"/>
    </font>
    <font>
      <sz val="11"/>
      <color indexed="56"/>
      <name val="Calibri"/>
      <family val="2"/>
    </font>
    <font>
      <b/>
      <i/>
      <sz val="14"/>
      <color indexed="10"/>
      <name val="Arial"/>
      <family val="2"/>
    </font>
    <font>
      <b/>
      <sz val="10"/>
      <color indexed="10"/>
      <name val="Calibri"/>
      <family val="2"/>
    </font>
    <font>
      <sz val="10"/>
      <name val="Calibri"/>
      <family val="2"/>
    </font>
    <font>
      <i/>
      <sz val="10"/>
      <name val="Calibri"/>
      <family val="2"/>
    </font>
    <font>
      <b/>
      <sz val="10"/>
      <name val="Calibri"/>
      <family val="2"/>
    </font>
    <font>
      <b/>
      <i/>
      <sz val="12"/>
      <name val="Calibri"/>
      <family val="2"/>
    </font>
    <font>
      <b/>
      <sz val="14"/>
      <color indexed="10"/>
      <name val="Arial"/>
      <family val="2"/>
    </font>
    <font>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1"/>
      <color rgb="FFFF0000"/>
      <name val="Arial"/>
      <family val="2"/>
    </font>
    <font>
      <sz val="11"/>
      <color rgb="FF1F497D"/>
      <name val="Calibri"/>
      <family val="2"/>
    </font>
    <font>
      <b/>
      <i/>
      <sz val="14"/>
      <color rgb="FFFF0000"/>
      <name val="Arial"/>
      <family val="2"/>
    </font>
    <font>
      <b/>
      <sz val="10"/>
      <color rgb="FFFF0000"/>
      <name val="Calibri"/>
      <family val="2"/>
    </font>
    <font>
      <b/>
      <sz val="14"/>
      <color rgb="FFFF0000"/>
      <name val="Arial"/>
      <family val="2"/>
    </font>
    <font>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medium"/>
      <top style="thin"/>
      <bottom style="thin"/>
    </border>
    <border>
      <left style="medium"/>
      <right style="medium"/>
      <top style="medium"/>
      <bottom style="thin"/>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style="medium"/>
      <right style="thin"/>
      <top>
        <color indexed="63"/>
      </top>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7" fillId="0" borderId="0" xfId="0" applyFont="1" applyAlignment="1">
      <alignment/>
    </xf>
    <xf numFmtId="164" fontId="0"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165" fontId="0" fillId="0" borderId="0" xfId="0" applyNumberFormat="1" applyFont="1" applyBorder="1" applyAlignment="1">
      <alignment/>
    </xf>
    <xf numFmtId="0" fontId="0" fillId="0" borderId="0" xfId="0" applyFont="1" applyBorder="1" applyAlignment="1">
      <alignment/>
    </xf>
    <xf numFmtId="170" fontId="0" fillId="0" borderId="0" xfId="0" applyNumberFormat="1" applyFont="1" applyAlignment="1">
      <alignment/>
    </xf>
    <xf numFmtId="0" fontId="0" fillId="0" borderId="0" xfId="0" applyFont="1" applyFill="1" applyBorder="1" applyAlignment="1">
      <alignment/>
    </xf>
    <xf numFmtId="165" fontId="5" fillId="0" borderId="0" xfId="0" applyNumberFormat="1" applyFont="1" applyBorder="1" applyAlignment="1">
      <alignment/>
    </xf>
    <xf numFmtId="174" fontId="0" fillId="0" borderId="0" xfId="0" applyNumberFormat="1" applyFont="1" applyBorder="1" applyAlignment="1">
      <alignment horizontal="center"/>
    </xf>
    <xf numFmtId="165" fontId="0" fillId="0" borderId="0" xfId="0" applyNumberFormat="1" applyFont="1" applyBorder="1" applyAlignment="1">
      <alignment horizontal="center"/>
    </xf>
    <xf numFmtId="164" fontId="0" fillId="0" borderId="0" xfId="0" applyNumberFormat="1" applyFont="1" applyBorder="1" applyAlignment="1">
      <alignment horizontal="center"/>
    </xf>
    <xf numFmtId="0" fontId="7" fillId="0" borderId="0" xfId="0" applyNumberFormat="1" applyFont="1" applyFill="1" applyBorder="1" applyAlignment="1">
      <alignment horizontal="center" wrapText="1"/>
    </xf>
    <xf numFmtId="174" fontId="0" fillId="0" borderId="0" xfId="0" applyNumberFormat="1" applyFont="1" applyBorder="1" applyAlignment="1">
      <alignment horizontal="right"/>
    </xf>
    <xf numFmtId="0" fontId="58" fillId="0" borderId="0" xfId="0" applyFont="1" applyAlignment="1">
      <alignment/>
    </xf>
    <xf numFmtId="192" fontId="0" fillId="0" borderId="0" xfId="42" applyNumberFormat="1" applyFont="1" applyBorder="1" applyAlignment="1">
      <alignment horizontal="center"/>
    </xf>
    <xf numFmtId="0" fontId="7" fillId="0" borderId="0" xfId="0" applyFont="1" applyBorder="1" applyAlignment="1">
      <alignment/>
    </xf>
    <xf numFmtId="0" fontId="10" fillId="0" borderId="0" xfId="0" applyFont="1" applyAlignment="1">
      <alignment/>
    </xf>
    <xf numFmtId="0" fontId="7" fillId="0" borderId="0" xfId="0" applyFont="1" applyBorder="1" applyAlignment="1">
      <alignment horizontal="center" wrapText="1"/>
    </xf>
    <xf numFmtId="0" fontId="1" fillId="0" borderId="0" xfId="0" applyFont="1" applyFill="1" applyAlignment="1">
      <alignment/>
    </xf>
    <xf numFmtId="164" fontId="0" fillId="0" borderId="0" xfId="0" applyNumberFormat="1" applyFont="1" applyBorder="1" applyAlignment="1">
      <alignment horizontal="right"/>
    </xf>
    <xf numFmtId="174" fontId="0" fillId="0" borderId="0" xfId="0" applyNumberFormat="1" applyFont="1" applyBorder="1" applyAlignment="1">
      <alignment horizontal="left"/>
    </xf>
    <xf numFmtId="164" fontId="7" fillId="0" borderId="0" xfId="0" applyNumberFormat="1" applyFont="1" applyBorder="1" applyAlignment="1">
      <alignment horizontal="center"/>
    </xf>
    <xf numFmtId="174" fontId="0" fillId="0" borderId="0" xfId="0" applyNumberFormat="1" applyFont="1" applyAlignment="1">
      <alignment/>
    </xf>
    <xf numFmtId="44" fontId="7" fillId="0" borderId="0" xfId="44" applyFont="1" applyBorder="1" applyAlignment="1">
      <alignment horizontal="center"/>
    </xf>
    <xf numFmtId="165" fontId="0" fillId="0" borderId="0" xfId="0" applyNumberFormat="1" applyFont="1" applyBorder="1" applyAlignment="1">
      <alignment horizontal="center" wrapText="1"/>
    </xf>
    <xf numFmtId="165" fontId="0" fillId="0" borderId="0" xfId="42" applyNumberFormat="1" applyFont="1" applyBorder="1" applyAlignment="1">
      <alignment horizontal="center"/>
    </xf>
    <xf numFmtId="0" fontId="0" fillId="0" borderId="0" xfId="0" applyFont="1" applyFill="1" applyBorder="1" applyAlignment="1">
      <alignment horizontal="left"/>
    </xf>
    <xf numFmtId="192" fontId="58" fillId="0" borderId="0" xfId="42" applyNumberFormat="1" applyFont="1" applyBorder="1" applyAlignment="1">
      <alignment horizontal="left"/>
    </xf>
    <xf numFmtId="165" fontId="0" fillId="0" borderId="0" xfId="0" applyNumberFormat="1" applyFont="1" applyBorder="1" applyAlignment="1">
      <alignment horizontal="right"/>
    </xf>
    <xf numFmtId="0" fontId="0" fillId="0" borderId="0" xfId="0" applyFont="1" applyBorder="1" applyAlignment="1">
      <alignment horizontal="right"/>
    </xf>
    <xf numFmtId="165" fontId="0" fillId="0" borderId="0" xfId="44" applyNumberFormat="1" applyFont="1" applyBorder="1" applyAlignment="1">
      <alignment horizontal="center"/>
    </xf>
    <xf numFmtId="164" fontId="57" fillId="0" borderId="0" xfId="0" applyNumberFormat="1" applyFont="1" applyBorder="1" applyAlignment="1">
      <alignment horizontal="center"/>
    </xf>
    <xf numFmtId="43" fontId="0" fillId="0" borderId="0" xfId="0" applyNumberFormat="1" applyFont="1" applyAlignment="1">
      <alignment/>
    </xf>
    <xf numFmtId="165" fontId="10" fillId="0" borderId="0" xfId="0" applyNumberFormat="1" applyFont="1" applyBorder="1" applyAlignment="1">
      <alignment horizontal="center"/>
    </xf>
    <xf numFmtId="0" fontId="0" fillId="0" borderId="0" xfId="0" applyBorder="1" applyAlignment="1">
      <alignment/>
    </xf>
    <xf numFmtId="0" fontId="2" fillId="0" borderId="0" xfId="0" applyFont="1" applyBorder="1" applyAlignment="1">
      <alignment/>
    </xf>
    <xf numFmtId="188" fontId="4" fillId="0" borderId="0" xfId="0" applyNumberFormat="1" applyFont="1" applyBorder="1" applyAlignment="1">
      <alignment/>
    </xf>
    <xf numFmtId="0" fontId="0" fillId="0" borderId="10" xfId="0" applyFont="1" applyBorder="1" applyAlignment="1">
      <alignment/>
    </xf>
    <xf numFmtId="165" fontId="0" fillId="0" borderId="10" xfId="0" applyNumberFormat="1" applyFont="1" applyBorder="1" applyAlignment="1">
      <alignment horizontal="center"/>
    </xf>
    <xf numFmtId="0" fontId="2" fillId="0" borderId="0" xfId="0" applyFont="1" applyBorder="1" applyAlignment="1">
      <alignment/>
    </xf>
    <xf numFmtId="165" fontId="0" fillId="0" borderId="0" xfId="0" applyNumberFormat="1" applyFont="1" applyFill="1" applyBorder="1" applyAlignment="1">
      <alignment/>
    </xf>
    <xf numFmtId="165" fontId="7" fillId="0" borderId="0" xfId="0" applyNumberFormat="1" applyFont="1" applyBorder="1" applyAlignment="1">
      <alignment horizontal="center"/>
    </xf>
    <xf numFmtId="174" fontId="0" fillId="0" borderId="10" xfId="0" applyNumberFormat="1" applyFont="1" applyBorder="1" applyAlignment="1">
      <alignment/>
    </xf>
    <xf numFmtId="0" fontId="0" fillId="0" borderId="0" xfId="0" applyFont="1" applyBorder="1" applyAlignment="1">
      <alignment wrapText="1"/>
    </xf>
    <xf numFmtId="0" fontId="0" fillId="0" borderId="11" xfId="0" applyFont="1" applyBorder="1" applyAlignment="1">
      <alignment/>
    </xf>
    <xf numFmtId="0" fontId="0" fillId="0" borderId="12" xfId="0" applyFont="1" applyBorder="1" applyAlignment="1">
      <alignment/>
    </xf>
    <xf numFmtId="0" fontId="0" fillId="0" borderId="0" xfId="0" applyFont="1" applyFill="1" applyAlignment="1">
      <alignment/>
    </xf>
    <xf numFmtId="193" fontId="0" fillId="0" borderId="0" xfId="0" applyNumberFormat="1" applyFont="1" applyAlignment="1">
      <alignment/>
    </xf>
    <xf numFmtId="164" fontId="0" fillId="0" borderId="0" xfId="0" applyNumberFormat="1" applyFont="1" applyAlignment="1">
      <alignment horizontal="left"/>
    </xf>
    <xf numFmtId="165" fontId="7" fillId="0" borderId="0" xfId="0" applyNumberFormat="1" applyFont="1" applyBorder="1" applyAlignment="1">
      <alignment/>
    </xf>
    <xf numFmtId="174" fontId="0" fillId="0" borderId="10" xfId="0" applyNumberFormat="1" applyFont="1" applyBorder="1" applyAlignment="1">
      <alignment horizontal="right"/>
    </xf>
    <xf numFmtId="192" fontId="0" fillId="0" borderId="10" xfId="42" applyNumberFormat="1" applyFont="1" applyBorder="1" applyAlignment="1">
      <alignment horizontal="right"/>
    </xf>
    <xf numFmtId="164" fontId="0" fillId="0" borderId="10" xfId="0" applyNumberFormat="1" applyFont="1" applyBorder="1" applyAlignment="1">
      <alignment horizontal="right"/>
    </xf>
    <xf numFmtId="165" fontId="0" fillId="0" borderId="10" xfId="0" applyNumberFormat="1" applyFont="1" applyBorder="1" applyAlignment="1">
      <alignment horizontal="right"/>
    </xf>
    <xf numFmtId="10" fontId="0" fillId="0" borderId="10" xfId="59" applyNumberFormat="1" applyFont="1" applyFill="1" applyBorder="1" applyAlignment="1">
      <alignment horizontal="right"/>
    </xf>
    <xf numFmtId="192" fontId="0" fillId="0" borderId="0" xfId="0" applyNumberFormat="1" applyFont="1" applyBorder="1" applyAlignment="1">
      <alignment/>
    </xf>
    <xf numFmtId="174" fontId="0" fillId="0" borderId="10" xfId="0" applyNumberFormat="1" applyFont="1" applyFill="1" applyBorder="1" applyAlignment="1">
      <alignment horizontal="right"/>
    </xf>
    <xf numFmtId="165" fontId="7" fillId="0" borderId="0" xfId="0" applyNumberFormat="1" applyFont="1" applyBorder="1" applyAlignment="1">
      <alignment horizontal="right"/>
    </xf>
    <xf numFmtId="174" fontId="0" fillId="0" borderId="13" xfId="0" applyNumberFormat="1" applyFont="1" applyBorder="1" applyAlignment="1">
      <alignment/>
    </xf>
    <xf numFmtId="0" fontId="59" fillId="0" borderId="0" xfId="0" applyFont="1" applyFill="1" applyBorder="1" applyAlignment="1">
      <alignment horizontal="left"/>
    </xf>
    <xf numFmtId="0" fontId="57" fillId="0" borderId="0" xfId="0" applyFont="1" applyAlignment="1">
      <alignment/>
    </xf>
    <xf numFmtId="0" fontId="58" fillId="0" borderId="0" xfId="0" applyFont="1" applyAlignment="1">
      <alignment horizontal="right"/>
    </xf>
    <xf numFmtId="0" fontId="0" fillId="0" borderId="0" xfId="0" applyAlignment="1">
      <alignment wrapText="1"/>
    </xf>
    <xf numFmtId="174" fontId="0" fillId="0" borderId="0" xfId="0" applyNumberFormat="1" applyFont="1"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57" fillId="0" borderId="0" xfId="0" applyNumberFormat="1" applyFont="1" applyBorder="1" applyAlignment="1">
      <alignment horizontal="center" wrapText="1"/>
    </xf>
    <xf numFmtId="0" fontId="57" fillId="0" borderId="0" xfId="0" applyFont="1" applyBorder="1" applyAlignment="1">
      <alignment horizontal="center" wrapText="1"/>
    </xf>
    <xf numFmtId="165" fontId="0" fillId="0" borderId="0" xfId="0" applyNumberFormat="1" applyFont="1" applyFill="1" applyBorder="1" applyAlignment="1">
      <alignment horizontal="right"/>
    </xf>
    <xf numFmtId="192" fontId="0" fillId="0" borderId="10" xfId="42" applyNumberFormat="1" applyFont="1" applyFill="1" applyBorder="1" applyAlignment="1">
      <alignment/>
    </xf>
    <xf numFmtId="174" fontId="0" fillId="0" borderId="10" xfId="0" applyNumberFormat="1" applyFont="1" applyFill="1" applyBorder="1" applyAlignment="1">
      <alignment/>
    </xf>
    <xf numFmtId="170" fontId="0" fillId="0" borderId="10" xfId="0" applyNumberFormat="1" applyFont="1" applyBorder="1" applyAlignment="1">
      <alignment/>
    </xf>
    <xf numFmtId="165" fontId="0" fillId="0" borderId="10" xfId="0" applyNumberFormat="1" applyFont="1" applyBorder="1" applyAlignment="1">
      <alignment horizontal="right" wrapText="1"/>
    </xf>
    <xf numFmtId="165" fontId="0" fillId="0" borderId="10" xfId="42" applyNumberFormat="1" applyFont="1" applyBorder="1" applyAlignment="1">
      <alignment horizontal="right"/>
    </xf>
    <xf numFmtId="0" fontId="0" fillId="0" borderId="10" xfId="0" applyFont="1" applyFill="1" applyBorder="1" applyAlignment="1">
      <alignment horizontal="center"/>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5" xfId="0" applyNumberFormat="1" applyFont="1" applyBorder="1" applyAlignment="1">
      <alignment horizontal="center" wrapText="1"/>
    </xf>
    <xf numFmtId="0" fontId="0" fillId="0" borderId="13" xfId="0" applyFont="1" applyFill="1" applyBorder="1" applyAlignment="1">
      <alignment horizontal="center"/>
    </xf>
    <xf numFmtId="174" fontId="0" fillId="0" borderId="13" xfId="0" applyNumberFormat="1" applyFont="1" applyFill="1" applyBorder="1" applyAlignment="1">
      <alignment/>
    </xf>
    <xf numFmtId="170" fontId="0" fillId="0" borderId="13" xfId="0" applyNumberFormat="1" applyFont="1" applyBorder="1" applyAlignment="1">
      <alignment/>
    </xf>
    <xf numFmtId="0" fontId="12" fillId="5" borderId="16" xfId="0" applyFont="1" applyFill="1" applyBorder="1" applyAlignment="1">
      <alignment/>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Fill="1" applyBorder="1" applyAlignment="1">
      <alignment horizontal="center" wrapText="1"/>
    </xf>
    <xf numFmtId="0" fontId="7" fillId="0" borderId="17" xfId="0" applyFont="1" applyFill="1" applyBorder="1" applyAlignment="1">
      <alignment horizontal="center" wrapText="1"/>
    </xf>
    <xf numFmtId="0" fontId="0" fillId="0" borderId="14" xfId="0" applyFont="1" applyBorder="1" applyAlignment="1">
      <alignment/>
    </xf>
    <xf numFmtId="166" fontId="0" fillId="0" borderId="17" xfId="59" applyNumberFormat="1" applyFont="1" applyFill="1" applyBorder="1" applyAlignment="1">
      <alignment horizontal="right"/>
    </xf>
    <xf numFmtId="0" fontId="0" fillId="0" borderId="11" xfId="0" applyFont="1" applyBorder="1" applyAlignment="1">
      <alignment wrapText="1"/>
    </xf>
    <xf numFmtId="10" fontId="0" fillId="0" borderId="18" xfId="59" applyNumberFormat="1" applyFont="1" applyFill="1" applyBorder="1" applyAlignment="1">
      <alignment horizontal="right"/>
    </xf>
    <xf numFmtId="173" fontId="0" fillId="0" borderId="18" xfId="59" applyNumberFormat="1" applyFont="1" applyFill="1" applyBorder="1" applyAlignment="1">
      <alignment horizontal="right"/>
    </xf>
    <xf numFmtId="192" fontId="0" fillId="0" borderId="18" xfId="42" applyNumberFormat="1" applyFont="1" applyFill="1" applyBorder="1" applyAlignment="1">
      <alignment horizontal="right"/>
    </xf>
    <xf numFmtId="166" fontId="0" fillId="0" borderId="18" xfId="59" applyNumberFormat="1" applyFont="1" applyFill="1" applyBorder="1" applyAlignment="1">
      <alignment horizontal="right"/>
    </xf>
    <xf numFmtId="164" fontId="0" fillId="0" borderId="18" xfId="59" applyNumberFormat="1" applyFont="1" applyFill="1" applyBorder="1" applyAlignment="1">
      <alignment horizontal="right"/>
    </xf>
    <xf numFmtId="170" fontId="0" fillId="0" borderId="19" xfId="59" applyNumberFormat="1" applyFont="1" applyBorder="1" applyAlignment="1">
      <alignment horizontal="right"/>
    </xf>
    <xf numFmtId="0" fontId="12" fillId="7" borderId="16" xfId="0" applyFont="1" applyFill="1" applyBorder="1" applyAlignment="1">
      <alignment/>
    </xf>
    <xf numFmtId="0" fontId="12" fillId="7" borderId="20" xfId="0" applyFont="1" applyFill="1" applyBorder="1" applyAlignment="1">
      <alignment/>
    </xf>
    <xf numFmtId="0" fontId="7" fillId="0" borderId="17" xfId="0" applyFont="1" applyBorder="1" applyAlignment="1">
      <alignment horizontal="center" wrapText="1"/>
    </xf>
    <xf numFmtId="0" fontId="0" fillId="0" borderId="12" xfId="0" applyFont="1" applyFill="1" applyBorder="1" applyAlignment="1">
      <alignment/>
    </xf>
    <xf numFmtId="0" fontId="0" fillId="0" borderId="18" xfId="0" applyFont="1" applyBorder="1" applyAlignment="1">
      <alignment/>
    </xf>
    <xf numFmtId="0" fontId="12" fillId="5" borderId="20" xfId="0" applyFont="1" applyFill="1" applyBorder="1" applyAlignment="1">
      <alignment/>
    </xf>
    <xf numFmtId="165" fontId="0" fillId="0" borderId="18" xfId="0" applyNumberFormat="1" applyFont="1" applyBorder="1" applyAlignment="1">
      <alignment/>
    </xf>
    <xf numFmtId="174" fontId="0" fillId="0" borderId="13" xfId="0" applyNumberFormat="1" applyFont="1" applyBorder="1" applyAlignment="1">
      <alignment horizontal="right"/>
    </xf>
    <xf numFmtId="165" fontId="0" fillId="0" borderId="19" xfId="0" applyNumberFormat="1" applyFont="1" applyBorder="1" applyAlignment="1">
      <alignment/>
    </xf>
    <xf numFmtId="0" fontId="12" fillId="4" borderId="20" xfId="0" applyFont="1" applyFill="1" applyBorder="1" applyAlignment="1">
      <alignment/>
    </xf>
    <xf numFmtId="0" fontId="11" fillId="0" borderId="0" xfId="0" applyFont="1" applyFill="1" applyBorder="1" applyAlignment="1">
      <alignment horizontal="center"/>
    </xf>
    <xf numFmtId="0" fontId="10" fillId="0" borderId="0" xfId="0" applyFont="1" applyBorder="1" applyAlignment="1">
      <alignment horizontal="right"/>
    </xf>
    <xf numFmtId="164" fontId="10"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Border="1" applyAlignment="1">
      <alignment horizontal="center"/>
    </xf>
    <xf numFmtId="164" fontId="11" fillId="0" borderId="0" xfId="0" applyNumberFormat="1" applyFont="1" applyBorder="1" applyAlignment="1">
      <alignment horizontal="right"/>
    </xf>
    <xf numFmtId="165" fontId="10" fillId="0" borderId="0" xfId="0" applyNumberFormat="1" applyFont="1" applyBorder="1" applyAlignment="1">
      <alignment horizontal="right" wrapText="1"/>
    </xf>
    <xf numFmtId="165" fontId="11" fillId="0" borderId="0" xfId="0" applyNumberFormat="1" applyFont="1" applyBorder="1" applyAlignment="1">
      <alignment horizontal="right"/>
    </xf>
    <xf numFmtId="164" fontId="10" fillId="0" borderId="0" xfId="0" applyNumberFormat="1" applyFont="1" applyBorder="1" applyAlignment="1">
      <alignment horizontal="right" wrapText="1"/>
    </xf>
    <xf numFmtId="165" fontId="10" fillId="0" borderId="0" xfId="0" applyNumberFormat="1" applyFont="1" applyBorder="1" applyAlignment="1">
      <alignment horizontal="right"/>
    </xf>
    <xf numFmtId="10" fontId="7" fillId="0" borderId="0" xfId="0" applyNumberFormat="1" applyFont="1" applyBorder="1" applyAlignment="1">
      <alignment horizontal="right"/>
    </xf>
    <xf numFmtId="0" fontId="13" fillId="6" borderId="16" xfId="0" applyFont="1" applyFill="1" applyBorder="1" applyAlignment="1">
      <alignment horizontal="center" wrapText="1"/>
    </xf>
    <xf numFmtId="165" fontId="0" fillId="0" borderId="10" xfId="0" applyNumberFormat="1" applyBorder="1" applyAlignment="1">
      <alignment/>
    </xf>
    <xf numFmtId="165" fontId="0" fillId="0" borderId="10" xfId="0" applyNumberFormat="1" applyFont="1" applyBorder="1" applyAlignment="1">
      <alignment/>
    </xf>
    <xf numFmtId="165" fontId="0" fillId="0" borderId="13" xfId="0" applyNumberFormat="1" applyFont="1" applyBorder="1" applyAlignment="1">
      <alignment/>
    </xf>
    <xf numFmtId="165" fontId="0" fillId="0" borderId="18" xfId="0" applyNumberFormat="1" applyBorder="1" applyAlignment="1">
      <alignment/>
    </xf>
    <xf numFmtId="0" fontId="0" fillId="0" borderId="11" xfId="0" applyFont="1" applyFill="1" applyBorder="1" applyAlignment="1">
      <alignment/>
    </xf>
    <xf numFmtId="0" fontId="0" fillId="0" borderId="13" xfId="0" applyFont="1" applyBorder="1" applyAlignment="1">
      <alignment/>
    </xf>
    <xf numFmtId="0" fontId="12" fillId="3" borderId="16" xfId="0" applyFont="1" applyFill="1" applyBorder="1" applyAlignment="1">
      <alignment/>
    </xf>
    <xf numFmtId="0" fontId="7" fillId="0" borderId="0" xfId="0" applyFont="1" applyFill="1" applyBorder="1" applyAlignment="1">
      <alignment horizontal="center" wrapText="1"/>
    </xf>
    <xf numFmtId="174" fontId="0" fillId="0" borderId="15" xfId="0" applyNumberFormat="1" applyFont="1" applyFill="1" applyBorder="1" applyAlignment="1">
      <alignment horizontal="right"/>
    </xf>
    <xf numFmtId="0" fontId="0" fillId="0" borderId="15" xfId="0" applyFont="1" applyBorder="1" applyAlignment="1">
      <alignment/>
    </xf>
    <xf numFmtId="0" fontId="0" fillId="0" borderId="17" xfId="0" applyFont="1" applyBorder="1" applyAlignment="1">
      <alignment/>
    </xf>
    <xf numFmtId="165" fontId="0" fillId="0" borderId="0" xfId="0" applyNumberFormat="1" applyFont="1" applyBorder="1" applyAlignment="1">
      <alignment/>
    </xf>
    <xf numFmtId="0" fontId="0" fillId="0" borderId="21" xfId="0" applyFont="1" applyBorder="1" applyAlignment="1">
      <alignment horizontal="center"/>
    </xf>
    <xf numFmtId="0" fontId="0" fillId="0" borderId="0" xfId="0" applyFont="1" applyBorder="1" applyAlignment="1">
      <alignment horizontal="left"/>
    </xf>
    <xf numFmtId="192" fontId="0" fillId="0" borderId="10" xfId="42" applyNumberFormat="1" applyFont="1" applyBorder="1" applyAlignment="1">
      <alignment/>
    </xf>
    <xf numFmtId="0" fontId="7" fillId="0" borderId="22" xfId="0" applyFont="1" applyFill="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44" fontId="7" fillId="0" borderId="23" xfId="44" applyFont="1" applyBorder="1" applyAlignment="1">
      <alignment horizontal="center" wrapText="1"/>
    </xf>
    <xf numFmtId="44" fontId="7" fillId="0" borderId="23" xfId="44" applyFont="1" applyFill="1" applyBorder="1" applyAlignment="1">
      <alignment horizontal="center" wrapText="1"/>
    </xf>
    <xf numFmtId="44" fontId="7" fillId="0" borderId="24" xfId="44" applyFont="1" applyBorder="1" applyAlignment="1">
      <alignment horizontal="center" wrapText="1"/>
    </xf>
    <xf numFmtId="165" fontId="0" fillId="7" borderId="10" xfId="0" applyNumberFormat="1" applyFont="1" applyFill="1" applyBorder="1" applyAlignment="1">
      <alignment horizontal="right"/>
    </xf>
    <xf numFmtId="0" fontId="7" fillId="7" borderId="15" xfId="0" applyFont="1" applyFill="1" applyBorder="1" applyAlignment="1">
      <alignment horizontal="center" wrapText="1"/>
    </xf>
    <xf numFmtId="0" fontId="7" fillId="7" borderId="17" xfId="0" applyFont="1" applyFill="1" applyBorder="1" applyAlignment="1">
      <alignment horizontal="center" wrapText="1"/>
    </xf>
    <xf numFmtId="165" fontId="0" fillId="7" borderId="18" xfId="0" applyNumberFormat="1" applyFont="1" applyFill="1" applyBorder="1" applyAlignment="1">
      <alignment horizontal="right"/>
    </xf>
    <xf numFmtId="0" fontId="7" fillId="5" borderId="17" xfId="0" applyNumberFormat="1" applyFont="1" applyFill="1" applyBorder="1" applyAlignment="1">
      <alignment horizontal="center" wrapText="1"/>
    </xf>
    <xf numFmtId="44" fontId="0" fillId="0" borderId="0" xfId="44" applyFont="1" applyAlignment="1">
      <alignment/>
    </xf>
    <xf numFmtId="44" fontId="0" fillId="0" borderId="0" xfId="0" applyNumberFormat="1" applyFont="1" applyAlignment="1">
      <alignment/>
    </xf>
    <xf numFmtId="192" fontId="0" fillId="0" borderId="10" xfId="42" applyNumberFormat="1" applyFont="1" applyFill="1" applyBorder="1" applyAlignment="1">
      <alignment horizontal="right"/>
    </xf>
    <xf numFmtId="165" fontId="0" fillId="0" borderId="10" xfId="0" applyNumberFormat="1" applyFont="1" applyFill="1" applyBorder="1" applyAlignment="1">
      <alignment horizontal="right"/>
    </xf>
    <xf numFmtId="165" fontId="0" fillId="5" borderId="18" xfId="0" applyNumberFormat="1" applyFont="1" applyFill="1" applyBorder="1" applyAlignment="1">
      <alignment horizontal="right"/>
    </xf>
    <xf numFmtId="165" fontId="0" fillId="5" borderId="19" xfId="0" applyNumberFormat="1" applyFont="1" applyFill="1" applyBorder="1" applyAlignment="1">
      <alignment horizontal="right"/>
    </xf>
    <xf numFmtId="165" fontId="7" fillId="4" borderId="18" xfId="44" applyNumberFormat="1" applyFont="1" applyFill="1" applyBorder="1" applyAlignment="1">
      <alignment/>
    </xf>
    <xf numFmtId="165" fontId="7" fillId="4" borderId="19" xfId="44" applyNumberFormat="1" applyFont="1" applyFill="1" applyBorder="1" applyAlignment="1">
      <alignment/>
    </xf>
    <xf numFmtId="165" fontId="0" fillId="6" borderId="10" xfId="0" applyNumberFormat="1" applyFont="1" applyFill="1" applyBorder="1" applyAlignment="1">
      <alignment horizontal="right"/>
    </xf>
    <xf numFmtId="165" fontId="0" fillId="0" borderId="13" xfId="0" applyNumberFormat="1" applyFont="1" applyBorder="1" applyAlignment="1">
      <alignment horizontal="center"/>
    </xf>
    <xf numFmtId="165" fontId="0" fillId="4" borderId="10" xfId="0" applyNumberFormat="1" applyFont="1" applyFill="1" applyBorder="1" applyAlignment="1">
      <alignment/>
    </xf>
    <xf numFmtId="165" fontId="0" fillId="4" borderId="10" xfId="44" applyNumberFormat="1" applyFont="1" applyFill="1" applyBorder="1" applyAlignment="1">
      <alignment horizontal="right"/>
    </xf>
    <xf numFmtId="165" fontId="0" fillId="4" borderId="10" xfId="42" applyNumberFormat="1" applyFont="1" applyFill="1" applyBorder="1" applyAlignment="1">
      <alignment horizontal="right"/>
    </xf>
    <xf numFmtId="165" fontId="0" fillId="4" borderId="13" xfId="0" applyNumberFormat="1" applyFont="1" applyFill="1" applyBorder="1" applyAlignment="1">
      <alignment/>
    </xf>
    <xf numFmtId="165" fontId="0" fillId="4" borderId="13" xfId="44" applyNumberFormat="1" applyFont="1" applyFill="1" applyBorder="1" applyAlignment="1">
      <alignment horizontal="right"/>
    </xf>
    <xf numFmtId="165" fontId="0" fillId="0" borderId="13" xfId="42" applyNumberFormat="1" applyFont="1" applyBorder="1" applyAlignment="1">
      <alignment horizontal="right"/>
    </xf>
    <xf numFmtId="165" fontId="0" fillId="4" borderId="13" xfId="42" applyNumberFormat="1" applyFont="1" applyFill="1" applyBorder="1" applyAlignment="1">
      <alignment horizontal="right"/>
    </xf>
    <xf numFmtId="0" fontId="7" fillId="0" borderId="25" xfId="0" applyFont="1" applyBorder="1" applyAlignment="1">
      <alignment horizontal="left" wrapText="1"/>
    </xf>
    <xf numFmtId="0" fontId="7" fillId="0" borderId="25" xfId="0" applyFont="1" applyFill="1" applyBorder="1" applyAlignment="1">
      <alignment horizontal="center" wrapText="1"/>
    </xf>
    <xf numFmtId="192" fontId="0" fillId="0" borderId="15" xfId="42" applyNumberFormat="1" applyFont="1" applyBorder="1" applyAlignment="1">
      <alignment horizontal="right"/>
    </xf>
    <xf numFmtId="192" fontId="0" fillId="0" borderId="15" xfId="42" applyNumberFormat="1" applyFont="1" applyFill="1" applyBorder="1" applyAlignment="1">
      <alignment horizontal="right"/>
    </xf>
    <xf numFmtId="192" fontId="0" fillId="0" borderId="10" xfId="42" applyNumberFormat="1" applyFont="1" applyBorder="1" applyAlignment="1">
      <alignment/>
    </xf>
    <xf numFmtId="0" fontId="0" fillId="0" borderId="26" xfId="0" applyFont="1" applyFill="1" applyBorder="1" applyAlignment="1">
      <alignment/>
    </xf>
    <xf numFmtId="165" fontId="0" fillId="0" borderId="27" xfId="0" applyNumberFormat="1" applyFont="1" applyBorder="1" applyAlignment="1">
      <alignment horizontal="right"/>
    </xf>
    <xf numFmtId="165" fontId="0" fillId="0" borderId="27" xfId="0" applyNumberFormat="1" applyFont="1" applyFill="1" applyBorder="1" applyAlignment="1">
      <alignment horizontal="right"/>
    </xf>
    <xf numFmtId="165" fontId="0" fillId="7" borderId="27" xfId="0" applyNumberFormat="1" applyFont="1" applyFill="1" applyBorder="1" applyAlignment="1">
      <alignment horizontal="right"/>
    </xf>
    <xf numFmtId="165" fontId="0" fillId="7" borderId="28" xfId="0" applyNumberFormat="1" applyFont="1" applyFill="1" applyBorder="1" applyAlignment="1">
      <alignment horizontal="right"/>
    </xf>
    <xf numFmtId="192" fontId="0" fillId="0" borderId="27" xfId="42" applyNumberFormat="1" applyFont="1" applyFill="1" applyBorder="1" applyAlignment="1">
      <alignment horizontal="right"/>
    </xf>
    <xf numFmtId="192" fontId="0" fillId="0" borderId="27" xfId="42" applyNumberFormat="1" applyFont="1" applyBorder="1" applyAlignment="1">
      <alignment/>
    </xf>
    <xf numFmtId="174" fontId="0" fillId="0" borderId="27" xfId="0" applyNumberFormat="1" applyFont="1" applyFill="1" applyBorder="1" applyAlignment="1">
      <alignment horizontal="right"/>
    </xf>
    <xf numFmtId="0" fontId="0" fillId="0" borderId="27" xfId="0" applyFont="1" applyFill="1" applyBorder="1" applyAlignment="1">
      <alignment/>
    </xf>
    <xf numFmtId="0" fontId="0" fillId="0" borderId="28" xfId="0" applyFont="1" applyBorder="1" applyAlignment="1">
      <alignment/>
    </xf>
    <xf numFmtId="165" fontId="0" fillId="0" borderId="0" xfId="0" applyNumberFormat="1" applyFont="1" applyAlignment="1">
      <alignment/>
    </xf>
    <xf numFmtId="4" fontId="0" fillId="0" borderId="0" xfId="0" applyNumberFormat="1" applyFont="1" applyBorder="1" applyAlignment="1">
      <alignment horizontal="right"/>
    </xf>
    <xf numFmtId="164" fontId="59" fillId="0" borderId="0" xfId="0" applyNumberFormat="1" applyFont="1" applyBorder="1" applyAlignment="1">
      <alignment horizontal="center" vertical="center" wrapText="1"/>
    </xf>
    <xf numFmtId="165" fontId="0" fillId="0" borderId="29" xfId="0" applyNumberFormat="1" applyBorder="1" applyAlignment="1">
      <alignment/>
    </xf>
    <xf numFmtId="0" fontId="57" fillId="0" borderId="0" xfId="0" applyFont="1" applyFill="1" applyBorder="1" applyAlignment="1">
      <alignment horizontal="left"/>
    </xf>
    <xf numFmtId="0" fontId="7" fillId="0" borderId="0" xfId="0" applyFont="1" applyBorder="1" applyAlignment="1">
      <alignment horizontal="center"/>
    </xf>
    <xf numFmtId="0" fontId="57" fillId="0" borderId="0" xfId="0" applyFont="1" applyBorder="1" applyAlignment="1">
      <alignment/>
    </xf>
    <xf numFmtId="0" fontId="7" fillId="0" borderId="11" xfId="0" applyFont="1" applyFill="1" applyBorder="1" applyAlignment="1">
      <alignment horizontal="center" wrapText="1"/>
    </xf>
    <xf numFmtId="0" fontId="7" fillId="0" borderId="30" xfId="0" applyFont="1" applyFill="1" applyBorder="1" applyAlignment="1">
      <alignment horizontal="center" wrapText="1"/>
    </xf>
    <xf numFmtId="0" fontId="7" fillId="7" borderId="25" xfId="0" applyFont="1" applyFill="1" applyBorder="1" applyAlignment="1">
      <alignment horizontal="right" wrapText="1"/>
    </xf>
    <xf numFmtId="0" fontId="7" fillId="0" borderId="31" xfId="0" applyFont="1" applyFill="1" applyBorder="1" applyAlignment="1">
      <alignment horizontal="center" vertical="center"/>
    </xf>
    <xf numFmtId="164" fontId="7" fillId="0" borderId="10" xfId="0" applyNumberFormat="1" applyFont="1" applyBorder="1" applyAlignment="1">
      <alignment horizontal="center" vertical="center" wrapText="1"/>
    </xf>
    <xf numFmtId="10" fontId="7" fillId="0" borderId="10" xfId="0" applyNumberFormat="1" applyFont="1" applyBorder="1" applyAlignment="1">
      <alignment horizontal="right"/>
    </xf>
    <xf numFmtId="0" fontId="7" fillId="7" borderId="32" xfId="0" applyFont="1" applyFill="1" applyBorder="1" applyAlignment="1">
      <alignment horizontal="right" wrapText="1"/>
    </xf>
    <xf numFmtId="0" fontId="7" fillId="0" borderId="25"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165" fontId="0" fillId="0" borderId="18" xfId="0" applyNumberFormat="1" applyFont="1" applyBorder="1" applyAlignment="1">
      <alignment horizontal="center"/>
    </xf>
    <xf numFmtId="0" fontId="0" fillId="0" borderId="21" xfId="0" applyFont="1" applyBorder="1" applyAlignment="1">
      <alignment/>
    </xf>
    <xf numFmtId="165" fontId="7" fillId="0" borderId="13" xfId="0" applyNumberFormat="1" applyFont="1" applyBorder="1" applyAlignment="1">
      <alignment/>
    </xf>
    <xf numFmtId="165" fontId="7" fillId="0" borderId="19" xfId="0" applyNumberFormat="1" applyFont="1" applyBorder="1" applyAlignment="1">
      <alignment/>
    </xf>
    <xf numFmtId="194" fontId="0" fillId="6" borderId="10" xfId="0" applyNumberFormat="1" applyFont="1" applyFill="1" applyBorder="1" applyAlignment="1">
      <alignment horizontal="right"/>
    </xf>
    <xf numFmtId="0" fontId="7" fillId="0" borderId="14" xfId="0" applyFont="1" applyFill="1" applyBorder="1" applyAlignment="1">
      <alignment horizontal="center" vertical="center"/>
    </xf>
    <xf numFmtId="0" fontId="12" fillId="6" borderId="20" xfId="0" applyFont="1" applyFill="1" applyBorder="1" applyAlignment="1">
      <alignment/>
    </xf>
    <xf numFmtId="165" fontId="7" fillId="6" borderId="18" xfId="0" applyNumberFormat="1" applyFont="1" applyFill="1" applyBorder="1" applyAlignment="1">
      <alignment horizontal="right"/>
    </xf>
    <xf numFmtId="0" fontId="12" fillId="4" borderId="16" xfId="0" applyFont="1" applyFill="1" applyBorder="1" applyAlignment="1">
      <alignment wrapText="1"/>
    </xf>
    <xf numFmtId="192" fontId="0" fillId="0" borderId="13" xfId="42" applyNumberFormat="1" applyFont="1" applyFill="1" applyBorder="1" applyAlignment="1">
      <alignment/>
    </xf>
    <xf numFmtId="0" fontId="7" fillId="0" borderId="14" xfId="0" applyFont="1" applyBorder="1" applyAlignment="1">
      <alignment horizontal="center" wrapText="1"/>
    </xf>
    <xf numFmtId="0" fontId="0" fillId="0" borderId="11" xfId="0" applyFont="1" applyBorder="1" applyAlignment="1">
      <alignment horizontal="center"/>
    </xf>
    <xf numFmtId="192" fontId="0" fillId="0" borderId="18" xfId="42" applyNumberFormat="1" applyFont="1" applyBorder="1" applyAlignment="1">
      <alignment horizontal="right"/>
    </xf>
    <xf numFmtId="0" fontId="0" fillId="0" borderId="12" xfId="0" applyFont="1" applyBorder="1" applyAlignment="1">
      <alignment horizontal="center"/>
    </xf>
    <xf numFmtId="192" fontId="0" fillId="0" borderId="13" xfId="42" applyNumberFormat="1" applyFont="1" applyBorder="1" applyAlignment="1">
      <alignment/>
    </xf>
    <xf numFmtId="192" fontId="0" fillId="0" borderId="19" xfId="42" applyNumberFormat="1" applyFont="1" applyBorder="1" applyAlignment="1">
      <alignment horizontal="right"/>
    </xf>
    <xf numFmtId="165" fontId="10" fillId="0" borderId="12" xfId="0" applyNumberFormat="1" applyFont="1" applyBorder="1" applyAlignment="1">
      <alignment horizontal="center" wrapText="1"/>
    </xf>
    <xf numFmtId="165" fontId="10" fillId="0" borderId="19" xfId="0" applyNumberFormat="1" applyFont="1" applyBorder="1" applyAlignment="1">
      <alignment horizontal="center"/>
    </xf>
    <xf numFmtId="165" fontId="0" fillId="0" borderId="19" xfId="0" applyNumberFormat="1" applyFont="1" applyBorder="1" applyAlignment="1">
      <alignment horizontal="center"/>
    </xf>
    <xf numFmtId="165" fontId="10" fillId="0" borderId="19" xfId="44" applyNumberFormat="1" applyFont="1" applyBorder="1" applyAlignment="1">
      <alignment horizontal="center"/>
    </xf>
    <xf numFmtId="0" fontId="6" fillId="0" borderId="14"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0" fillId="0" borderId="18" xfId="0" applyFont="1" applyFill="1" applyBorder="1" applyAlignment="1">
      <alignment horizontal="center"/>
    </xf>
    <xf numFmtId="0" fontId="0" fillId="0" borderId="19" xfId="0" applyFont="1" applyFill="1" applyBorder="1" applyAlignment="1">
      <alignment horizontal="center"/>
    </xf>
    <xf numFmtId="164" fontId="0" fillId="0" borderId="11" xfId="0" applyNumberFormat="1" applyFont="1" applyBorder="1" applyAlignment="1">
      <alignment horizontal="right"/>
    </xf>
    <xf numFmtId="165" fontId="0" fillId="0" borderId="18" xfId="44" applyNumberFormat="1" applyFont="1" applyBorder="1" applyAlignment="1">
      <alignment horizontal="right"/>
    </xf>
    <xf numFmtId="164" fontId="7" fillId="0" borderId="12" xfId="0" applyNumberFormat="1" applyFont="1" applyBorder="1" applyAlignment="1">
      <alignment horizontal="right"/>
    </xf>
    <xf numFmtId="174" fontId="0" fillId="0" borderId="11" xfId="0" applyNumberFormat="1" applyFont="1" applyBorder="1" applyAlignment="1">
      <alignment horizontal="right"/>
    </xf>
    <xf numFmtId="165" fontId="0" fillId="0" borderId="18" xfId="0" applyNumberFormat="1" applyFont="1" applyBorder="1" applyAlignment="1">
      <alignment horizontal="right"/>
    </xf>
    <xf numFmtId="0" fontId="7" fillId="0" borderId="33" xfId="0" applyFont="1" applyFill="1" applyBorder="1" applyAlignment="1">
      <alignment horizontal="center" wrapText="1"/>
    </xf>
    <xf numFmtId="192" fontId="0" fillId="0" borderId="34" xfId="42" applyNumberFormat="1" applyFont="1" applyFill="1" applyBorder="1" applyAlignment="1">
      <alignment horizontal="right"/>
    </xf>
    <xf numFmtId="0" fontId="7" fillId="0" borderId="31" xfId="0" applyFont="1" applyFill="1" applyBorder="1" applyAlignment="1">
      <alignment horizontal="center" wrapText="1"/>
    </xf>
    <xf numFmtId="0" fontId="0" fillId="0" borderId="30" xfId="0" applyFont="1" applyBorder="1" applyAlignment="1">
      <alignment/>
    </xf>
    <xf numFmtId="0" fontId="0" fillId="0" borderId="35" xfId="0" applyFont="1" applyBorder="1" applyAlignment="1">
      <alignment/>
    </xf>
    <xf numFmtId="0" fontId="0" fillId="0" borderId="34" xfId="0" applyFont="1" applyBorder="1" applyAlignment="1">
      <alignment/>
    </xf>
    <xf numFmtId="165" fontId="0" fillId="4" borderId="34" xfId="0" applyNumberFormat="1" applyFont="1" applyFill="1" applyBorder="1" applyAlignment="1">
      <alignment/>
    </xf>
    <xf numFmtId="165" fontId="0" fillId="4" borderId="36" xfId="0" applyNumberFormat="1" applyFont="1" applyFill="1" applyBorder="1" applyAlignment="1">
      <alignment/>
    </xf>
    <xf numFmtId="0" fontId="7" fillId="0" borderId="30" xfId="0" applyFont="1" applyBorder="1" applyAlignment="1">
      <alignment/>
    </xf>
    <xf numFmtId="0" fontId="7" fillId="0" borderId="35" xfId="0" applyFont="1" applyBorder="1" applyAlignment="1">
      <alignment/>
    </xf>
    <xf numFmtId="0" fontId="4" fillId="0" borderId="0" xfId="0" applyFont="1" applyFill="1" applyBorder="1" applyAlignment="1">
      <alignment/>
    </xf>
    <xf numFmtId="0" fontId="7" fillId="0" borderId="31" xfId="0" applyNumberFormat="1" applyFont="1" applyFill="1" applyBorder="1" applyAlignment="1">
      <alignment horizontal="center" wrapText="1"/>
    </xf>
    <xf numFmtId="0" fontId="0" fillId="0" borderId="11" xfId="0" applyFont="1" applyFill="1" applyBorder="1" applyAlignment="1">
      <alignment horizontal="center"/>
    </xf>
    <xf numFmtId="0" fontId="0" fillId="0" borderId="12" xfId="0" applyFont="1" applyFill="1" applyBorder="1" applyAlignment="1">
      <alignment horizontal="center"/>
    </xf>
    <xf numFmtId="192" fontId="0" fillId="0" borderId="11" xfId="42" applyNumberFormat="1" applyFont="1" applyFill="1" applyBorder="1" applyAlignment="1">
      <alignment/>
    </xf>
    <xf numFmtId="192" fontId="0" fillId="0" borderId="12" xfId="42" applyNumberFormat="1" applyFont="1" applyFill="1" applyBorder="1" applyAlignment="1">
      <alignment/>
    </xf>
    <xf numFmtId="164" fontId="0" fillId="0" borderId="21" xfId="0" applyNumberFormat="1" applyFont="1" applyBorder="1" applyAlignment="1">
      <alignment horizontal="right"/>
    </xf>
    <xf numFmtId="165" fontId="0" fillId="0" borderId="37" xfId="44" applyNumberFormat="1" applyFont="1" applyBorder="1" applyAlignment="1">
      <alignment horizontal="right"/>
    </xf>
    <xf numFmtId="174" fontId="0" fillId="0" borderId="21" xfId="0" applyNumberFormat="1" applyFont="1" applyBorder="1" applyAlignment="1">
      <alignment horizontal="right"/>
    </xf>
    <xf numFmtId="165" fontId="0" fillId="0" borderId="29" xfId="0" applyNumberFormat="1" applyFont="1" applyBorder="1" applyAlignment="1">
      <alignment horizontal="right"/>
    </xf>
    <xf numFmtId="165" fontId="0" fillId="0" borderId="37" xfId="0" applyNumberFormat="1" applyFont="1" applyBorder="1" applyAlignment="1">
      <alignment horizontal="right"/>
    </xf>
    <xf numFmtId="164" fontId="7" fillId="0" borderId="38" xfId="0" applyNumberFormat="1" applyFont="1" applyBorder="1" applyAlignment="1">
      <alignment horizontal="right"/>
    </xf>
    <xf numFmtId="165" fontId="7" fillId="0" borderId="39" xfId="44" applyNumberFormat="1" applyFont="1" applyBorder="1" applyAlignment="1">
      <alignment horizontal="right"/>
    </xf>
    <xf numFmtId="174" fontId="0" fillId="0" borderId="38" xfId="0" applyNumberFormat="1" applyFont="1" applyBorder="1" applyAlignment="1">
      <alignment horizontal="right"/>
    </xf>
    <xf numFmtId="165" fontId="7" fillId="0" borderId="40" xfId="44" applyNumberFormat="1" applyFont="1" applyBorder="1" applyAlignment="1">
      <alignment horizontal="right"/>
    </xf>
    <xf numFmtId="44" fontId="7" fillId="0" borderId="40" xfId="44" applyFont="1" applyBorder="1" applyAlignment="1">
      <alignment horizontal="right"/>
    </xf>
    <xf numFmtId="44" fontId="7" fillId="0" borderId="39" xfId="44" applyFont="1" applyBorder="1" applyAlignment="1">
      <alignment horizontal="right"/>
    </xf>
    <xf numFmtId="0" fontId="7" fillId="0" borderId="41" xfId="0" applyNumberFormat="1" applyFont="1" applyFill="1" applyBorder="1" applyAlignment="1">
      <alignment horizontal="center" vertical="center" wrapText="1"/>
    </xf>
    <xf numFmtId="0" fontId="0" fillId="0" borderId="42" xfId="0" applyFont="1" applyBorder="1" applyAlignment="1">
      <alignment/>
    </xf>
    <xf numFmtId="165" fontId="7" fillId="0" borderId="18" xfId="0" applyNumberFormat="1" applyFont="1" applyBorder="1" applyAlignment="1">
      <alignment horizontal="center" vertical="center"/>
    </xf>
    <xf numFmtId="0" fontId="7" fillId="0" borderId="42" xfId="0" applyFont="1" applyFill="1" applyBorder="1" applyAlignment="1">
      <alignment horizontal="center" vertical="center" wrapText="1"/>
    </xf>
    <xf numFmtId="164" fontId="7" fillId="0" borderId="13" xfId="0" applyNumberFormat="1" applyFont="1" applyBorder="1" applyAlignment="1">
      <alignment horizontal="right"/>
    </xf>
    <xf numFmtId="165" fontId="7" fillId="0" borderId="19" xfId="0" applyNumberFormat="1" applyFont="1" applyBorder="1" applyAlignment="1">
      <alignment horizontal="right"/>
    </xf>
    <xf numFmtId="0" fontId="0" fillId="0" borderId="43" xfId="0" applyFont="1" applyBorder="1" applyAlignment="1">
      <alignment horizontal="right" vertical="center" wrapText="1"/>
    </xf>
    <xf numFmtId="164" fontId="7" fillId="0" borderId="11" xfId="0" applyNumberFormat="1" applyFont="1" applyBorder="1" applyAlignment="1">
      <alignment horizontal="center" vertical="center" wrapText="1"/>
    </xf>
    <xf numFmtId="0" fontId="0" fillId="0" borderId="44" xfId="0" applyFont="1" applyBorder="1" applyAlignment="1">
      <alignment/>
    </xf>
    <xf numFmtId="0" fontId="7" fillId="0" borderId="16" xfId="0" applyFont="1" applyBorder="1" applyAlignment="1">
      <alignment horizontal="center"/>
    </xf>
    <xf numFmtId="0" fontId="7" fillId="0" borderId="14" xfId="0" applyFont="1" applyBorder="1" applyAlignment="1">
      <alignment horizontal="center" vertical="center"/>
    </xf>
    <xf numFmtId="0" fontId="13" fillId="4" borderId="16" xfId="0" applyFont="1" applyFill="1" applyBorder="1" applyAlignment="1">
      <alignment horizontal="center"/>
    </xf>
    <xf numFmtId="164" fontId="0" fillId="0" borderId="10" xfId="0" applyNumberFormat="1" applyFill="1" applyBorder="1" applyAlignment="1">
      <alignment/>
    </xf>
    <xf numFmtId="164" fontId="0" fillId="0" borderId="13" xfId="0" applyNumberFormat="1" applyFill="1" applyBorder="1" applyAlignment="1">
      <alignment/>
    </xf>
    <xf numFmtId="192" fontId="0" fillId="0" borderId="0" xfId="42" applyNumberFormat="1" applyFont="1" applyFill="1" applyBorder="1" applyAlignment="1">
      <alignment/>
    </xf>
    <xf numFmtId="165" fontId="0" fillId="0" borderId="0" xfId="44" applyNumberFormat="1" applyFont="1" applyFill="1" applyBorder="1" applyAlignment="1">
      <alignment/>
    </xf>
    <xf numFmtId="0" fontId="0" fillId="7" borderId="10" xfId="0" applyFont="1" applyFill="1" applyBorder="1" applyAlignment="1">
      <alignment/>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Alignment="1">
      <alignment vertical="center"/>
    </xf>
    <xf numFmtId="0" fontId="0" fillId="0" borderId="0" xfId="0" applyFont="1" applyFill="1" applyBorder="1" applyAlignment="1">
      <alignment vertical="center"/>
    </xf>
    <xf numFmtId="0" fontId="4" fillId="0" borderId="10" xfId="0" applyFont="1" applyFill="1" applyBorder="1" applyAlignment="1">
      <alignment/>
    </xf>
    <xf numFmtId="0" fontId="57" fillId="0" borderId="10" xfId="0" applyFont="1" applyBorder="1" applyAlignment="1">
      <alignment/>
    </xf>
    <xf numFmtId="0" fontId="0" fillId="0" borderId="26" xfId="0" applyFont="1" applyBorder="1" applyAlignment="1">
      <alignment/>
    </xf>
    <xf numFmtId="165" fontId="0" fillId="0" borderId="27" xfId="0" applyNumberFormat="1" applyFont="1" applyBorder="1" applyAlignment="1">
      <alignment/>
    </xf>
    <xf numFmtId="165" fontId="0" fillId="0" borderId="45" xfId="0" applyNumberFormat="1" applyFont="1" applyBorder="1" applyAlignment="1">
      <alignment horizontal="right"/>
    </xf>
    <xf numFmtId="0" fontId="0" fillId="0" borderId="45" xfId="0" applyFont="1" applyBorder="1" applyAlignment="1">
      <alignment horizontal="right"/>
    </xf>
    <xf numFmtId="164" fontId="0" fillId="0" borderId="45" xfId="0" applyNumberFormat="1" applyFont="1" applyBorder="1" applyAlignment="1">
      <alignment horizontal="right"/>
    </xf>
    <xf numFmtId="165" fontId="7" fillId="0" borderId="46" xfId="0" applyNumberFormat="1" applyFont="1" applyBorder="1" applyAlignment="1">
      <alignment horizontal="right"/>
    </xf>
    <xf numFmtId="0" fontId="0" fillId="0" borderId="47" xfId="0" applyFont="1" applyBorder="1" applyAlignment="1">
      <alignment/>
    </xf>
    <xf numFmtId="0" fontId="12" fillId="6" borderId="16"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192" fontId="0" fillId="0" borderId="47" xfId="42" applyNumberFormat="1" applyFont="1" applyBorder="1" applyAlignment="1">
      <alignment horizontal="right"/>
    </xf>
    <xf numFmtId="165" fontId="0" fillId="0" borderId="47" xfId="0" applyNumberFormat="1" applyFont="1" applyBorder="1" applyAlignment="1">
      <alignment horizontal="right"/>
    </xf>
    <xf numFmtId="165" fontId="0" fillId="0" borderId="47" xfId="42" applyNumberFormat="1" applyFont="1" applyBorder="1" applyAlignment="1">
      <alignment horizontal="right"/>
    </xf>
    <xf numFmtId="0" fontId="0" fillId="0" borderId="50" xfId="0" applyFont="1" applyBorder="1" applyAlignment="1">
      <alignment/>
    </xf>
    <xf numFmtId="0" fontId="7" fillId="0" borderId="20" xfId="0" applyFont="1" applyBorder="1" applyAlignment="1">
      <alignment horizontal="center"/>
    </xf>
    <xf numFmtId="0" fontId="7" fillId="0" borderId="51" xfId="0" applyFont="1" applyFill="1" applyBorder="1" applyAlignment="1">
      <alignment horizontal="center" wrapText="1"/>
    </xf>
    <xf numFmtId="0" fontId="7" fillId="0" borderId="23" xfId="0" applyFont="1" applyFill="1" applyBorder="1" applyAlignment="1">
      <alignment horizontal="center" wrapText="1"/>
    </xf>
    <xf numFmtId="0" fontId="0" fillId="0" borderId="31" xfId="0" applyFont="1" applyBorder="1" applyAlignment="1">
      <alignment/>
    </xf>
    <xf numFmtId="0" fontId="0" fillId="0" borderId="33" xfId="0" applyFont="1" applyBorder="1" applyAlignment="1">
      <alignment/>
    </xf>
    <xf numFmtId="165" fontId="0" fillId="0" borderId="15" xfId="0" applyNumberFormat="1" applyFont="1" applyBorder="1" applyAlignment="1">
      <alignment horizontal="right"/>
    </xf>
    <xf numFmtId="165" fontId="0" fillId="0" borderId="15" xfId="42" applyNumberFormat="1" applyFont="1" applyBorder="1" applyAlignment="1">
      <alignment horizontal="right"/>
    </xf>
    <xf numFmtId="0" fontId="7" fillId="0" borderId="11" xfId="0" applyFont="1" applyBorder="1" applyAlignment="1">
      <alignment/>
    </xf>
    <xf numFmtId="192" fontId="7" fillId="0" borderId="0" xfId="42" applyNumberFormat="1" applyFont="1" applyFill="1" applyBorder="1" applyAlignment="1">
      <alignment/>
    </xf>
    <xf numFmtId="192" fontId="7" fillId="0" borderId="52" xfId="42" applyNumberFormat="1" applyFont="1" applyFill="1" applyBorder="1" applyAlignment="1">
      <alignment/>
    </xf>
    <xf numFmtId="0" fontId="7" fillId="0" borderId="47" xfId="0" applyFont="1" applyFill="1" applyBorder="1" applyAlignment="1">
      <alignment/>
    </xf>
    <xf numFmtId="192" fontId="7" fillId="0" borderId="47" xfId="42" applyNumberFormat="1" applyFont="1" applyFill="1" applyBorder="1" applyAlignment="1">
      <alignment/>
    </xf>
    <xf numFmtId="192" fontId="7" fillId="0" borderId="47" xfId="42" applyNumberFormat="1" applyFont="1" applyBorder="1" applyAlignment="1">
      <alignment horizontal="left" indent="2"/>
    </xf>
    <xf numFmtId="192" fontId="0" fillId="0" borderId="13" xfId="42" applyNumberFormat="1" applyFont="1" applyBorder="1" applyAlignment="1">
      <alignment/>
    </xf>
    <xf numFmtId="0" fontId="7" fillId="0" borderId="47" xfId="0" applyFont="1" applyBorder="1" applyAlignment="1">
      <alignment/>
    </xf>
    <xf numFmtId="0" fontId="0" fillId="0" borderId="53" xfId="0" applyFont="1" applyBorder="1" applyAlignment="1">
      <alignment horizontal="right" vertical="center"/>
    </xf>
    <xf numFmtId="165" fontId="7" fillId="0" borderId="37" xfId="0" applyNumberFormat="1" applyFont="1" applyBorder="1" applyAlignment="1">
      <alignment horizontal="center" vertical="center"/>
    </xf>
    <xf numFmtId="164" fontId="59" fillId="0" borderId="0" xfId="0" applyNumberFormat="1" applyFont="1" applyFill="1" applyBorder="1" applyAlignment="1">
      <alignment horizontal="left"/>
    </xf>
    <xf numFmtId="0" fontId="13" fillId="0" borderId="54" xfId="0" applyFont="1" applyFill="1" applyBorder="1" applyAlignment="1">
      <alignment horizontal="center" wrapText="1"/>
    </xf>
    <xf numFmtId="0" fontId="7" fillId="0" borderId="25" xfId="0" applyFont="1" applyFill="1" applyBorder="1" applyAlignment="1">
      <alignment horizontal="left" wrapText="1"/>
    </xf>
    <xf numFmtId="0" fontId="0" fillId="0" borderId="11" xfId="0" applyBorder="1" applyAlignment="1">
      <alignment/>
    </xf>
    <xf numFmtId="0" fontId="0" fillId="0" borderId="30" xfId="0" applyBorder="1" applyAlignment="1">
      <alignment/>
    </xf>
    <xf numFmtId="0" fontId="0" fillId="0" borderId="25" xfId="0" applyFont="1" applyFill="1" applyBorder="1" applyAlignment="1">
      <alignment horizontal="left" wrapText="1"/>
    </xf>
    <xf numFmtId="164" fontId="0" fillId="0" borderId="11" xfId="0" applyNumberFormat="1" applyFont="1" applyFill="1" applyBorder="1" applyAlignment="1">
      <alignment horizontal="right"/>
    </xf>
    <xf numFmtId="164" fontId="0" fillId="0" borderId="30" xfId="0" applyNumberFormat="1" applyFont="1" applyFill="1" applyBorder="1" applyAlignment="1">
      <alignment horizontal="right"/>
    </xf>
    <xf numFmtId="164" fontId="7" fillId="7" borderId="11" xfId="0" applyNumberFormat="1" applyFont="1" applyFill="1" applyBorder="1" applyAlignment="1">
      <alignment horizontal="right"/>
    </xf>
    <xf numFmtId="164" fontId="7" fillId="7" borderId="30" xfId="0" applyNumberFormat="1" applyFont="1" applyFill="1" applyBorder="1" applyAlignment="1">
      <alignment/>
    </xf>
    <xf numFmtId="164" fontId="7" fillId="0" borderId="11" xfId="0" applyNumberFormat="1" applyFont="1" applyFill="1" applyBorder="1" applyAlignment="1">
      <alignment horizontal="right"/>
    </xf>
    <xf numFmtId="0" fontId="7" fillId="0" borderId="30" xfId="0" applyFont="1" applyFill="1" applyBorder="1" applyAlignment="1">
      <alignment/>
    </xf>
    <xf numFmtId="0" fontId="0" fillId="0" borderId="30" xfId="0" applyFont="1" applyBorder="1" applyAlignment="1">
      <alignment/>
    </xf>
    <xf numFmtId="164" fontId="7" fillId="7" borderId="21" xfId="0" applyNumberFormat="1" applyFont="1" applyFill="1" applyBorder="1" applyAlignment="1">
      <alignment horizontal="right"/>
    </xf>
    <xf numFmtId="164" fontId="7" fillId="7" borderId="55" xfId="0" applyNumberFormat="1" applyFont="1" applyFill="1" applyBorder="1" applyAlignment="1">
      <alignment horizontal="right"/>
    </xf>
    <xf numFmtId="164" fontId="7" fillId="7" borderId="35" xfId="0" applyNumberFormat="1" applyFont="1" applyFill="1" applyBorder="1" applyAlignment="1">
      <alignment horizontal="right"/>
    </xf>
    <xf numFmtId="0" fontId="0" fillId="0" borderId="25" xfId="0" applyFont="1" applyFill="1" applyBorder="1" applyAlignment="1">
      <alignment horizontal="left" vertical="center" wrapText="1"/>
    </xf>
    <xf numFmtId="165" fontId="57" fillId="0" borderId="0" xfId="0" applyNumberFormat="1" applyFont="1" applyFill="1" applyAlignment="1">
      <alignment/>
    </xf>
    <xf numFmtId="0" fontId="57" fillId="0" borderId="0" xfId="0" applyFont="1" applyFill="1" applyAlignment="1">
      <alignment/>
    </xf>
    <xf numFmtId="165" fontId="57" fillId="0" borderId="0" xfId="0" applyNumberFormat="1" applyFont="1" applyBorder="1" applyAlignment="1">
      <alignment/>
    </xf>
    <xf numFmtId="165" fontId="7" fillId="0" borderId="28" xfId="0" applyNumberFormat="1" applyFont="1" applyBorder="1" applyAlignment="1">
      <alignment/>
    </xf>
    <xf numFmtId="174" fontId="7" fillId="0" borderId="27" xfId="0" applyNumberFormat="1" applyFont="1" applyBorder="1" applyAlignment="1">
      <alignment/>
    </xf>
    <xf numFmtId="189" fontId="0" fillId="0" borderId="0" xfId="0" applyNumberFormat="1" applyFont="1" applyAlignment="1">
      <alignment/>
    </xf>
    <xf numFmtId="174" fontId="7" fillId="0" borderId="27" xfId="0" applyNumberFormat="1" applyFont="1" applyBorder="1" applyAlignment="1">
      <alignment horizontal="right"/>
    </xf>
    <xf numFmtId="0" fontId="0" fillId="0" borderId="0" xfId="0" applyFont="1" applyFill="1" applyBorder="1" applyAlignment="1">
      <alignment horizontal="left" wrapText="1"/>
    </xf>
    <xf numFmtId="0" fontId="0" fillId="0" borderId="10" xfId="0" applyNumberFormat="1" applyFont="1" applyBorder="1" applyAlignment="1">
      <alignment horizontal="right"/>
    </xf>
    <xf numFmtId="3" fontId="0" fillId="0" borderId="10" xfId="0" applyNumberFormat="1" applyFont="1" applyBorder="1" applyAlignment="1">
      <alignment horizontal="right"/>
    </xf>
    <xf numFmtId="3" fontId="0" fillId="0" borderId="13" xfId="0" applyNumberFormat="1" applyFont="1" applyBorder="1" applyAlignment="1">
      <alignment horizontal="right"/>
    </xf>
    <xf numFmtId="1" fontId="0" fillId="0" borderId="18" xfId="42" applyNumberFormat="1" applyFont="1" applyBorder="1" applyAlignment="1">
      <alignment horizontal="right"/>
    </xf>
    <xf numFmtId="0" fontId="57" fillId="0" borderId="0" xfId="0" applyFont="1" applyFill="1" applyBorder="1" applyAlignment="1">
      <alignment/>
    </xf>
    <xf numFmtId="0" fontId="7" fillId="0" borderId="16" xfId="0" applyFont="1" applyFill="1" applyBorder="1" applyAlignment="1">
      <alignment horizontal="center" wrapText="1"/>
    </xf>
    <xf numFmtId="0" fontId="7" fillId="0" borderId="40" xfId="0" applyFont="1" applyBorder="1" applyAlignment="1">
      <alignment horizontal="center" wrapText="1"/>
    </xf>
    <xf numFmtId="0" fontId="7" fillId="7" borderId="40" xfId="0" applyFont="1" applyFill="1" applyBorder="1" applyAlignment="1">
      <alignment horizontal="center" wrapText="1"/>
    </xf>
    <xf numFmtId="0" fontId="7" fillId="7" borderId="39" xfId="0" applyFont="1" applyFill="1" applyBorder="1" applyAlignment="1">
      <alignment horizontal="center" wrapText="1"/>
    </xf>
    <xf numFmtId="0" fontId="0" fillId="0" borderId="48" xfId="0" applyFont="1" applyBorder="1" applyAlignment="1">
      <alignment horizontal="left"/>
    </xf>
    <xf numFmtId="165" fontId="0" fillId="7" borderId="47" xfId="0" applyNumberFormat="1" applyFont="1" applyFill="1" applyBorder="1" applyAlignment="1">
      <alignment horizontal="right"/>
    </xf>
    <xf numFmtId="165" fontId="0" fillId="7" borderId="50" xfId="0" applyNumberFormat="1" applyFont="1" applyFill="1" applyBorder="1" applyAlignment="1">
      <alignment horizontal="right"/>
    </xf>
    <xf numFmtId="0" fontId="0" fillId="0" borderId="30" xfId="0" applyFont="1" applyBorder="1" applyAlignment="1">
      <alignment horizontal="left"/>
    </xf>
    <xf numFmtId="0" fontId="0" fillId="0" borderId="56" xfId="0" applyFont="1" applyFill="1" applyBorder="1" applyAlignment="1">
      <alignment horizontal="left"/>
    </xf>
    <xf numFmtId="165" fontId="57" fillId="0" borderId="0" xfId="0" applyNumberFormat="1" applyFont="1" applyBorder="1" applyAlignment="1">
      <alignment horizontal="left"/>
    </xf>
    <xf numFmtId="0" fontId="7" fillId="0" borderId="22" xfId="0" applyFont="1" applyBorder="1" applyAlignment="1">
      <alignment horizontal="center" wrapText="1"/>
    </xf>
    <xf numFmtId="0" fontId="7" fillId="0" borderId="38" xfId="0" applyFont="1" applyBorder="1" applyAlignment="1">
      <alignment horizontal="center" wrapText="1"/>
    </xf>
    <xf numFmtId="0" fontId="7" fillId="0" borderId="39" xfId="0" applyFont="1" applyBorder="1" applyAlignment="1">
      <alignment horizontal="center" wrapText="1"/>
    </xf>
    <xf numFmtId="0" fontId="7" fillId="0" borderId="39" xfId="0" applyFont="1" applyFill="1" applyBorder="1" applyAlignment="1">
      <alignment horizontal="center" wrapText="1"/>
    </xf>
    <xf numFmtId="0" fontId="0" fillId="0" borderId="57" xfId="0" applyFont="1" applyBorder="1" applyAlignment="1">
      <alignment/>
    </xf>
    <xf numFmtId="174" fontId="0" fillId="0" borderId="14" xfId="42" applyNumberFormat="1" applyFont="1" applyFill="1" applyBorder="1" applyAlignment="1">
      <alignment horizontal="right"/>
    </xf>
    <xf numFmtId="174" fontId="0" fillId="0" borderId="15" xfId="42" applyNumberFormat="1" applyFont="1" applyFill="1" applyBorder="1" applyAlignment="1">
      <alignment horizontal="right"/>
    </xf>
    <xf numFmtId="174" fontId="0" fillId="0" borderId="17" xfId="0" applyNumberFormat="1" applyFont="1" applyFill="1" applyBorder="1" applyAlignment="1">
      <alignment horizontal="right"/>
    </xf>
    <xf numFmtId="174" fontId="0" fillId="0" borderId="47" xfId="42" applyNumberFormat="1" applyFont="1" applyFill="1" applyBorder="1" applyAlignment="1">
      <alignment horizontal="right"/>
    </xf>
    <xf numFmtId="174" fontId="0" fillId="0" borderId="14" xfId="42" applyNumberFormat="1" applyFont="1" applyBorder="1" applyAlignment="1">
      <alignment horizontal="right"/>
    </xf>
    <xf numFmtId="174" fontId="0" fillId="0" borderId="15" xfId="42" applyNumberFormat="1" applyFont="1" applyBorder="1" applyAlignment="1">
      <alignment horizontal="right"/>
    </xf>
    <xf numFmtId="174" fontId="0" fillId="0" borderId="14" xfId="0" applyNumberFormat="1" applyFont="1" applyBorder="1" applyAlignment="1">
      <alignment/>
    </xf>
    <xf numFmtId="174" fontId="0" fillId="0" borderId="15" xfId="0" applyNumberFormat="1" applyFont="1" applyBorder="1" applyAlignment="1">
      <alignment/>
    </xf>
    <xf numFmtId="174" fontId="0" fillId="0" borderId="11" xfId="42" applyNumberFormat="1" applyFont="1" applyFill="1" applyBorder="1" applyAlignment="1">
      <alignment horizontal="right"/>
    </xf>
    <xf numFmtId="174" fontId="0" fillId="0" borderId="10" xfId="42" applyNumberFormat="1" applyFont="1" applyFill="1" applyBorder="1" applyAlignment="1">
      <alignment horizontal="right"/>
    </xf>
    <xf numFmtId="174" fontId="0" fillId="0" borderId="18" xfId="0" applyNumberFormat="1" applyFont="1" applyFill="1" applyBorder="1" applyAlignment="1">
      <alignment horizontal="right"/>
    </xf>
    <xf numFmtId="174" fontId="0" fillId="0" borderId="34" xfId="42" applyNumberFormat="1" applyFont="1" applyBorder="1" applyAlignment="1">
      <alignment horizontal="right"/>
    </xf>
    <xf numFmtId="174" fontId="0" fillId="0" borderId="10" xfId="42" applyNumberFormat="1" applyFont="1" applyBorder="1" applyAlignment="1">
      <alignment horizontal="right"/>
    </xf>
    <xf numFmtId="174" fontId="0" fillId="0" borderId="10" xfId="42" applyNumberFormat="1" applyFont="1" applyBorder="1" applyAlignment="1">
      <alignment/>
    </xf>
    <xf numFmtId="174" fontId="0" fillId="0" borderId="11" xfId="42" applyNumberFormat="1" applyFont="1" applyBorder="1" applyAlignment="1">
      <alignment horizontal="right"/>
    </xf>
    <xf numFmtId="174" fontId="0" fillId="0" borderId="11" xfId="0" applyNumberFormat="1" applyFont="1" applyBorder="1" applyAlignment="1">
      <alignment/>
    </xf>
    <xf numFmtId="174" fontId="0" fillId="0" borderId="11" xfId="0" applyNumberFormat="1" applyFont="1" applyFill="1" applyBorder="1" applyAlignment="1">
      <alignment/>
    </xf>
    <xf numFmtId="0" fontId="0" fillId="0" borderId="25" xfId="0" applyFont="1" applyFill="1" applyBorder="1" applyAlignment="1">
      <alignment/>
    </xf>
    <xf numFmtId="0" fontId="0" fillId="0" borderId="58" xfId="0" applyFont="1" applyFill="1" applyBorder="1" applyAlignment="1">
      <alignment/>
    </xf>
    <xf numFmtId="174" fontId="0" fillId="0" borderId="13" xfId="42" applyNumberFormat="1" applyFont="1" applyFill="1" applyBorder="1" applyAlignment="1">
      <alignment horizontal="right"/>
    </xf>
    <xf numFmtId="174" fontId="0" fillId="0" borderId="19" xfId="0" applyNumberFormat="1" applyFont="1" applyFill="1" applyBorder="1" applyAlignment="1">
      <alignment horizontal="right"/>
    </xf>
    <xf numFmtId="174" fontId="0" fillId="0" borderId="27" xfId="42" applyNumberFormat="1" applyFont="1" applyBorder="1" applyAlignment="1">
      <alignment/>
    </xf>
    <xf numFmtId="174" fontId="0" fillId="0" borderId="27" xfId="42" applyNumberFormat="1" applyFont="1" applyFill="1" applyBorder="1" applyAlignment="1">
      <alignment horizontal="right"/>
    </xf>
    <xf numFmtId="174" fontId="0" fillId="0" borderId="28" xfId="0" applyNumberFormat="1" applyFont="1" applyFill="1" applyBorder="1" applyAlignment="1">
      <alignment horizontal="right"/>
    </xf>
    <xf numFmtId="174" fontId="0" fillId="0" borderId="26" xfId="42" applyNumberFormat="1" applyFont="1" applyBorder="1" applyAlignment="1">
      <alignment horizontal="right"/>
    </xf>
    <xf numFmtId="174" fontId="0" fillId="0" borderId="27" xfId="42" applyNumberFormat="1" applyFont="1" applyBorder="1" applyAlignment="1">
      <alignment horizontal="right"/>
    </xf>
    <xf numFmtId="174" fontId="0" fillId="0" borderId="26" xfId="0" applyNumberFormat="1" applyFont="1" applyFill="1" applyBorder="1" applyAlignment="1">
      <alignment/>
    </xf>
    <xf numFmtId="174" fontId="0" fillId="0" borderId="27" xfId="0" applyNumberFormat="1" applyFont="1" applyFill="1" applyBorder="1" applyAlignment="1">
      <alignment/>
    </xf>
    <xf numFmtId="192" fontId="0" fillId="0" borderId="0" xfId="42" applyNumberFormat="1" applyFont="1" applyFill="1" applyBorder="1" applyAlignment="1">
      <alignment horizontal="right"/>
    </xf>
    <xf numFmtId="192" fontId="0" fillId="0" borderId="0" xfId="42" applyNumberFormat="1" applyFont="1" applyBorder="1" applyAlignment="1">
      <alignment/>
    </xf>
    <xf numFmtId="174" fontId="0" fillId="0" borderId="0" xfId="0" applyNumberFormat="1" applyFont="1" applyFill="1" applyBorder="1" applyAlignment="1">
      <alignment horizontal="right"/>
    </xf>
    <xf numFmtId="164" fontId="0" fillId="0" borderId="0" xfId="42" applyNumberFormat="1" applyFont="1" applyBorder="1" applyAlignment="1">
      <alignment horizontal="right"/>
    </xf>
    <xf numFmtId="165" fontId="7" fillId="0" borderId="0" xfId="0" applyNumberFormat="1" applyFont="1" applyFill="1" applyBorder="1" applyAlignment="1">
      <alignment horizontal="center"/>
    </xf>
    <xf numFmtId="4" fontId="0" fillId="0" borderId="0" xfId="42" applyNumberFormat="1" applyFont="1" applyAlignment="1">
      <alignment/>
    </xf>
    <xf numFmtId="165" fontId="0" fillId="0" borderId="0" xfId="0" applyNumberFormat="1" applyAlignment="1">
      <alignment/>
    </xf>
    <xf numFmtId="174" fontId="0" fillId="0" borderId="11" xfId="42" applyNumberFormat="1" applyFont="1" applyBorder="1" applyAlignment="1">
      <alignment/>
    </xf>
    <xf numFmtId="174" fontId="0" fillId="0" borderId="0" xfId="0" applyNumberFormat="1" applyAlignment="1">
      <alignment/>
    </xf>
    <xf numFmtId="44" fontId="0" fillId="0" borderId="0" xfId="44" applyFont="1" applyFill="1" applyBorder="1" applyAlignment="1">
      <alignment/>
    </xf>
    <xf numFmtId="44" fontId="7" fillId="0" borderId="0" xfId="44" applyFont="1" applyFill="1" applyBorder="1" applyAlignment="1">
      <alignment/>
    </xf>
    <xf numFmtId="0" fontId="0" fillId="0" borderId="56" xfId="0" applyFont="1" applyFill="1" applyBorder="1" applyAlignment="1">
      <alignment/>
    </xf>
    <xf numFmtId="174" fontId="0" fillId="0" borderId="26" xfId="42" applyNumberFormat="1" applyFont="1" applyFill="1" applyBorder="1" applyAlignment="1">
      <alignment horizontal="right"/>
    </xf>
    <xf numFmtId="0" fontId="12" fillId="4" borderId="16" xfId="0" applyFont="1" applyFill="1" applyBorder="1" applyAlignment="1">
      <alignment/>
    </xf>
    <xf numFmtId="174" fontId="0" fillId="0" borderId="41" xfId="0" applyNumberFormat="1" applyFont="1" applyBorder="1" applyAlignment="1">
      <alignment horizontal="right"/>
    </xf>
    <xf numFmtId="174" fontId="0" fillId="0" borderId="15" xfId="0" applyNumberFormat="1" applyFont="1" applyBorder="1" applyAlignment="1">
      <alignment horizontal="right"/>
    </xf>
    <xf numFmtId="174" fontId="0" fillId="0" borderId="17" xfId="0" applyNumberFormat="1" applyFont="1" applyBorder="1" applyAlignment="1">
      <alignment/>
    </xf>
    <xf numFmtId="174" fontId="0" fillId="0" borderId="50" xfId="0" applyNumberFormat="1" applyFont="1" applyBorder="1" applyAlignment="1">
      <alignment/>
    </xf>
    <xf numFmtId="164" fontId="0" fillId="0" borderId="14" xfId="42" applyNumberFormat="1" applyFont="1" applyBorder="1" applyAlignment="1">
      <alignment horizontal="right"/>
    </xf>
    <xf numFmtId="164" fontId="0" fillId="0" borderId="15" xfId="42" applyNumberFormat="1" applyFont="1" applyBorder="1" applyAlignment="1">
      <alignment horizontal="right"/>
    </xf>
    <xf numFmtId="165" fontId="0" fillId="0" borderId="59" xfId="0" applyNumberFormat="1" applyFont="1" applyBorder="1" applyAlignment="1">
      <alignment/>
    </xf>
    <xf numFmtId="165" fontId="0" fillId="0" borderId="47" xfId="0" applyNumberFormat="1" applyFont="1" applyBorder="1" applyAlignment="1">
      <alignment/>
    </xf>
    <xf numFmtId="165" fontId="0" fillId="0" borderId="50" xfId="0" applyNumberFormat="1" applyFont="1" applyBorder="1" applyAlignment="1">
      <alignment/>
    </xf>
    <xf numFmtId="165" fontId="0" fillId="0" borderId="14" xfId="0" applyNumberFormat="1" applyFont="1" applyBorder="1" applyAlignment="1">
      <alignment/>
    </xf>
    <xf numFmtId="165" fontId="0" fillId="0" borderId="15" xfId="0" applyNumberFormat="1" applyFont="1" applyBorder="1" applyAlignment="1">
      <alignment/>
    </xf>
    <xf numFmtId="165" fontId="0" fillId="0" borderId="17" xfId="0" applyNumberFormat="1" applyFont="1" applyBorder="1" applyAlignment="1">
      <alignment/>
    </xf>
    <xf numFmtId="174" fontId="0" fillId="0" borderId="18" xfId="0" applyNumberFormat="1" applyFont="1" applyBorder="1" applyAlignment="1">
      <alignment/>
    </xf>
    <xf numFmtId="164" fontId="0" fillId="0" borderId="11" xfId="42" applyNumberFormat="1" applyFont="1" applyBorder="1" applyAlignment="1">
      <alignment horizontal="right"/>
    </xf>
    <xf numFmtId="164" fontId="0" fillId="0" borderId="10" xfId="42" applyNumberFormat="1" applyFont="1" applyBorder="1" applyAlignment="1">
      <alignment horizontal="right"/>
    </xf>
    <xf numFmtId="165" fontId="0" fillId="0" borderId="11" xfId="0" applyNumberFormat="1" applyFont="1" applyBorder="1" applyAlignment="1">
      <alignment/>
    </xf>
    <xf numFmtId="192" fontId="0" fillId="0" borderId="11" xfId="42" applyNumberFormat="1" applyFont="1" applyBorder="1" applyAlignment="1">
      <alignment horizontal="right"/>
    </xf>
    <xf numFmtId="174" fontId="7" fillId="0" borderId="60" xfId="0" applyNumberFormat="1" applyFont="1" applyBorder="1" applyAlignment="1">
      <alignment horizontal="right"/>
    </xf>
    <xf numFmtId="174" fontId="7" fillId="0" borderId="13" xfId="0" applyNumberFormat="1" applyFont="1" applyBorder="1" applyAlignment="1">
      <alignment horizontal="right"/>
    </xf>
    <xf numFmtId="174" fontId="7" fillId="0" borderId="36" xfId="0" applyNumberFormat="1" applyFont="1" applyBorder="1" applyAlignment="1">
      <alignment horizontal="right"/>
    </xf>
    <xf numFmtId="174" fontId="7" fillId="0" borderId="19" xfId="0" applyNumberFormat="1" applyFont="1" applyBorder="1" applyAlignment="1">
      <alignment/>
    </xf>
    <xf numFmtId="174" fontId="7" fillId="0" borderId="12" xfId="0" applyNumberFormat="1" applyFont="1" applyBorder="1" applyAlignment="1">
      <alignment horizontal="right"/>
    </xf>
    <xf numFmtId="174" fontId="7" fillId="0" borderId="19" xfId="0" applyNumberFormat="1" applyFont="1" applyBorder="1" applyAlignment="1">
      <alignment horizontal="right"/>
    </xf>
    <xf numFmtId="165" fontId="7" fillId="0" borderId="12" xfId="0" applyNumberFormat="1" applyFont="1" applyBorder="1" applyAlignment="1">
      <alignment/>
    </xf>
    <xf numFmtId="174" fontId="7" fillId="0" borderId="0" xfId="0" applyNumberFormat="1" applyFont="1" applyBorder="1" applyAlignment="1">
      <alignment horizontal="right"/>
    </xf>
    <xf numFmtId="174" fontId="7" fillId="0" borderId="0" xfId="0" applyNumberFormat="1" applyFont="1" applyBorder="1" applyAlignment="1">
      <alignment/>
    </xf>
    <xf numFmtId="174" fontId="0" fillId="0" borderId="18" xfId="0" applyNumberFormat="1" applyFont="1" applyBorder="1" applyAlignment="1">
      <alignment horizontal="right"/>
    </xf>
    <xf numFmtId="165" fontId="0" fillId="0" borderId="11" xfId="0" applyNumberFormat="1" applyFont="1" applyBorder="1" applyAlignment="1">
      <alignment horizontal="right"/>
    </xf>
    <xf numFmtId="0" fontId="0" fillId="0" borderId="60" xfId="0" applyFont="1" applyBorder="1" applyAlignment="1">
      <alignment/>
    </xf>
    <xf numFmtId="165" fontId="7" fillId="0" borderId="12" xfId="0" applyNumberFormat="1" applyFont="1" applyBorder="1" applyAlignment="1">
      <alignment horizontal="right"/>
    </xf>
    <xf numFmtId="165" fontId="7" fillId="0" borderId="13" xfId="0" applyNumberFormat="1" applyFont="1" applyBorder="1" applyAlignment="1">
      <alignment horizontal="right"/>
    </xf>
    <xf numFmtId="0" fontId="7" fillId="0" borderId="61" xfId="0" applyFont="1" applyBorder="1" applyAlignment="1">
      <alignment horizontal="center"/>
    </xf>
    <xf numFmtId="43" fontId="0" fillId="0" borderId="0" xfId="0" applyNumberFormat="1" applyFont="1" applyBorder="1" applyAlignment="1">
      <alignment/>
    </xf>
    <xf numFmtId="210" fontId="0" fillId="0" borderId="0" xfId="0" applyNumberFormat="1" applyFont="1" applyBorder="1" applyAlignment="1">
      <alignment/>
    </xf>
    <xf numFmtId="211" fontId="0" fillId="0" borderId="0" xfId="0" applyNumberFormat="1" applyFont="1" applyBorder="1" applyAlignment="1">
      <alignment/>
    </xf>
    <xf numFmtId="192" fontId="0" fillId="0" borderId="0" xfId="42" applyNumberFormat="1" applyFont="1" applyBorder="1" applyAlignment="1">
      <alignment horizontal="right"/>
    </xf>
    <xf numFmtId="201" fontId="0" fillId="0" borderId="0" xfId="42" applyNumberFormat="1" applyFont="1" applyBorder="1" applyAlignment="1">
      <alignment horizontal="right"/>
    </xf>
    <xf numFmtId="164" fontId="57" fillId="0" borderId="0" xfId="0" applyNumberFormat="1" applyFont="1" applyBorder="1" applyAlignment="1">
      <alignment horizontal="right"/>
    </xf>
    <xf numFmtId="164" fontId="0" fillId="0" borderId="0" xfId="0" applyNumberFormat="1" applyFont="1" applyFill="1" applyBorder="1" applyAlignment="1">
      <alignment horizontal="right"/>
    </xf>
    <xf numFmtId="165" fontId="0" fillId="6" borderId="13" xfId="0" applyNumberFormat="1" applyFont="1" applyFill="1" applyBorder="1" applyAlignment="1">
      <alignment horizontal="right"/>
    </xf>
    <xf numFmtId="165" fontId="0" fillId="0" borderId="13" xfId="0" applyNumberFormat="1" applyFont="1" applyFill="1" applyBorder="1" applyAlignment="1">
      <alignment horizontal="right"/>
    </xf>
    <xf numFmtId="174" fontId="57" fillId="0" borderId="0" xfId="0" applyNumberFormat="1" applyFont="1" applyBorder="1" applyAlignment="1">
      <alignment horizontal="right"/>
    </xf>
    <xf numFmtId="0" fontId="12" fillId="4" borderId="29" xfId="0" applyFont="1" applyFill="1" applyBorder="1" applyAlignment="1">
      <alignment wrapText="1"/>
    </xf>
    <xf numFmtId="0" fontId="7" fillId="0" borderId="14" xfId="0" applyFont="1" applyBorder="1" applyAlignment="1">
      <alignment horizontal="center"/>
    </xf>
    <xf numFmtId="165" fontId="0" fillId="0" borderId="10" xfId="44" applyNumberFormat="1" applyFont="1" applyFill="1" applyBorder="1" applyAlignment="1">
      <alignment horizontal="right"/>
    </xf>
    <xf numFmtId="0" fontId="7" fillId="0" borderId="12" xfId="0" applyFont="1" applyBorder="1" applyAlignment="1">
      <alignment/>
    </xf>
    <xf numFmtId="174" fontId="0" fillId="0" borderId="13" xfId="0" applyNumberFormat="1" applyFont="1" applyFill="1" applyBorder="1" applyAlignment="1">
      <alignment horizontal="right"/>
    </xf>
    <xf numFmtId="165" fontId="0" fillId="0" borderId="13" xfId="44" applyNumberFormat="1" applyFont="1" applyFill="1" applyBorder="1" applyAlignment="1">
      <alignment horizontal="right"/>
    </xf>
    <xf numFmtId="0" fontId="57" fillId="0" borderId="0"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0" fontId="7" fillId="0" borderId="23" xfId="0" applyNumberFormat="1" applyFont="1" applyFill="1" applyBorder="1" applyAlignment="1">
      <alignment horizontal="center" wrapText="1"/>
    </xf>
    <xf numFmtId="0" fontId="7" fillId="0" borderId="23" xfId="0" applyNumberFormat="1" applyFont="1" applyBorder="1" applyAlignment="1">
      <alignment horizontal="center" wrapText="1"/>
    </xf>
    <xf numFmtId="0" fontId="7" fillId="5" borderId="24" xfId="0" applyNumberFormat="1" applyFont="1" applyFill="1" applyBorder="1" applyAlignment="1">
      <alignment horizontal="center" wrapText="1"/>
    </xf>
    <xf numFmtId="0" fontId="0" fillId="0" borderId="15" xfId="0" applyFont="1" applyFill="1" applyBorder="1" applyAlignment="1">
      <alignment horizontal="center"/>
    </xf>
    <xf numFmtId="192" fontId="0" fillId="0" borderId="15" xfId="42" applyNumberFormat="1" applyFont="1" applyFill="1" applyBorder="1" applyAlignment="1">
      <alignment/>
    </xf>
    <xf numFmtId="170" fontId="0" fillId="0" borderId="15" xfId="0" applyNumberFormat="1" applyFont="1" applyFill="1" applyBorder="1" applyAlignment="1">
      <alignment/>
    </xf>
    <xf numFmtId="192" fontId="0" fillId="0" borderId="62" xfId="42" applyNumberFormat="1" applyFont="1" applyFill="1" applyBorder="1" applyAlignment="1">
      <alignment/>
    </xf>
    <xf numFmtId="170" fontId="0" fillId="0" borderId="33" xfId="0" applyNumberFormat="1" applyFont="1" applyBorder="1" applyAlignment="1">
      <alignment/>
    </xf>
    <xf numFmtId="170" fontId="0" fillId="0" borderId="15" xfId="0" applyNumberFormat="1" applyFont="1" applyBorder="1" applyAlignment="1">
      <alignment/>
    </xf>
    <xf numFmtId="192" fontId="0" fillId="0" borderId="15" xfId="42" applyNumberFormat="1" applyFont="1" applyFill="1" applyBorder="1" applyAlignment="1">
      <alignment/>
    </xf>
    <xf numFmtId="165" fontId="0" fillId="5" borderId="17" xfId="0" applyNumberFormat="1" applyFont="1" applyFill="1" applyBorder="1" applyAlignment="1">
      <alignment horizontal="right"/>
    </xf>
    <xf numFmtId="192" fontId="0" fillId="0" borderId="10" xfId="42" applyNumberFormat="1" applyFont="1" applyFill="1" applyBorder="1" applyAlignment="1">
      <alignment/>
    </xf>
    <xf numFmtId="170" fontId="0" fillId="0" borderId="10" xfId="0" applyNumberFormat="1" applyFont="1" applyFill="1" applyBorder="1" applyAlignment="1">
      <alignment/>
    </xf>
    <xf numFmtId="192" fontId="0" fillId="0" borderId="25" xfId="42" applyNumberFormat="1" applyFont="1" applyFill="1" applyBorder="1" applyAlignment="1">
      <alignment/>
    </xf>
    <xf numFmtId="170" fontId="0" fillId="0" borderId="34" xfId="0" applyNumberFormat="1" applyFont="1" applyBorder="1" applyAlignment="1">
      <alignment/>
    </xf>
    <xf numFmtId="192" fontId="0" fillId="0" borderId="13" xfId="42" applyNumberFormat="1" applyFont="1" applyFill="1" applyBorder="1" applyAlignment="1">
      <alignment/>
    </xf>
    <xf numFmtId="170" fontId="0" fillId="0" borderId="13" xfId="0" applyNumberFormat="1" applyFont="1" applyFill="1" applyBorder="1" applyAlignment="1">
      <alignment/>
    </xf>
    <xf numFmtId="192" fontId="0" fillId="0" borderId="63" xfId="42" applyNumberFormat="1" applyFont="1" applyFill="1" applyBorder="1" applyAlignment="1">
      <alignment/>
    </xf>
    <xf numFmtId="170" fontId="0" fillId="0" borderId="36" xfId="0" applyNumberFormat="1" applyFont="1" applyBorder="1" applyAlignment="1">
      <alignment/>
    </xf>
    <xf numFmtId="192" fontId="7" fillId="0" borderId="56" xfId="42" applyNumberFormat="1" applyFont="1" applyFill="1" applyBorder="1" applyAlignment="1">
      <alignment/>
    </xf>
    <xf numFmtId="0" fontId="7" fillId="0" borderId="0" xfId="0" applyFont="1" applyFill="1" applyAlignment="1">
      <alignment/>
    </xf>
    <xf numFmtId="192" fontId="7" fillId="0" borderId="56" xfId="42" applyNumberFormat="1" applyFont="1" applyFill="1" applyBorder="1" applyAlignment="1">
      <alignment/>
    </xf>
    <xf numFmtId="192" fontId="7" fillId="0" borderId="56" xfId="42" applyNumberFormat="1" applyFont="1" applyBorder="1" applyAlignment="1">
      <alignment horizontal="left" indent="2"/>
    </xf>
    <xf numFmtId="0" fontId="4" fillId="0" borderId="52" xfId="0" applyFont="1" applyFill="1" applyBorder="1" applyAlignment="1">
      <alignment/>
    </xf>
    <xf numFmtId="192" fontId="7" fillId="0" borderId="0" xfId="42" applyNumberFormat="1" applyFont="1" applyFill="1" applyBorder="1" applyAlignment="1">
      <alignment/>
    </xf>
    <xf numFmtId="192" fontId="7" fillId="0" borderId="0" xfId="42" applyNumberFormat="1" applyFont="1" applyBorder="1" applyAlignment="1">
      <alignment horizontal="left" indent="2"/>
    </xf>
    <xf numFmtId="164" fontId="0" fillId="0" borderId="0" xfId="0" applyNumberFormat="1" applyFont="1" applyBorder="1" applyAlignment="1">
      <alignment horizontal="left" vertical="top" wrapText="1"/>
    </xf>
    <xf numFmtId="197" fontId="0" fillId="0" borderId="0" xfId="0" applyNumberFormat="1" applyFont="1" applyAlignment="1">
      <alignment/>
    </xf>
    <xf numFmtId="0" fontId="60" fillId="0" borderId="0" xfId="0" applyFont="1" applyAlignment="1">
      <alignment/>
    </xf>
    <xf numFmtId="192" fontId="57" fillId="0" borderId="0" xfId="0" applyNumberFormat="1" applyFont="1" applyAlignment="1">
      <alignment horizontal="left"/>
    </xf>
    <xf numFmtId="0" fontId="61" fillId="0" borderId="0" xfId="0" applyFont="1" applyAlignment="1">
      <alignment/>
    </xf>
    <xf numFmtId="164" fontId="0" fillId="0" borderId="18" xfId="42" applyNumberFormat="1" applyFont="1" applyBorder="1" applyAlignment="1">
      <alignment horizontal="right"/>
    </xf>
    <xf numFmtId="0" fontId="0" fillId="0" borderId="0" xfId="0" applyFill="1" applyBorder="1" applyAlignment="1">
      <alignment/>
    </xf>
    <xf numFmtId="165" fontId="10" fillId="0" borderId="21" xfId="0" applyNumberFormat="1" applyFont="1" applyBorder="1" applyAlignment="1">
      <alignment horizontal="center" wrapText="1"/>
    </xf>
    <xf numFmtId="165" fontId="10" fillId="0" borderId="29" xfId="0" applyNumberFormat="1" applyFont="1" applyBorder="1" applyAlignment="1">
      <alignment horizontal="center" vertical="center"/>
    </xf>
    <xf numFmtId="165" fontId="10" fillId="0" borderId="64" xfId="0" applyNumberFormat="1" applyFont="1" applyBorder="1" applyAlignment="1">
      <alignment horizontal="center" wrapText="1"/>
    </xf>
    <xf numFmtId="165" fontId="0" fillId="0" borderId="29" xfId="0" applyNumberFormat="1" applyFont="1" applyBorder="1" applyAlignment="1">
      <alignment horizontal="center" vertical="center"/>
    </xf>
    <xf numFmtId="165" fontId="0" fillId="0" borderId="37" xfId="0" applyNumberFormat="1" applyFont="1" applyBorder="1" applyAlignment="1">
      <alignment horizontal="center" vertical="center"/>
    </xf>
    <xf numFmtId="165" fontId="0" fillId="0" borderId="10" xfId="44" applyNumberFormat="1" applyFont="1" applyBorder="1" applyAlignment="1">
      <alignment horizontal="right"/>
    </xf>
    <xf numFmtId="165" fontId="0" fillId="0" borderId="18" xfId="0" applyNumberFormat="1" applyFont="1" applyFill="1" applyBorder="1" applyAlignment="1">
      <alignment horizontal="right"/>
    </xf>
    <xf numFmtId="0" fontId="0" fillId="0" borderId="21" xfId="0" applyFont="1" applyFill="1" applyBorder="1" applyAlignment="1">
      <alignment/>
    </xf>
    <xf numFmtId="0" fontId="0" fillId="0" borderId="29" xfId="0" applyFont="1" applyFill="1" applyBorder="1" applyAlignment="1">
      <alignment horizontal="center"/>
    </xf>
    <xf numFmtId="165" fontId="0" fillId="0" borderId="29" xfId="44" applyNumberFormat="1" applyFont="1" applyBorder="1" applyAlignment="1">
      <alignment horizontal="right"/>
    </xf>
    <xf numFmtId="164" fontId="7" fillId="0" borderId="40" xfId="0" applyNumberFormat="1" applyFont="1" applyBorder="1" applyAlignment="1">
      <alignment horizontal="right"/>
    </xf>
    <xf numFmtId="174" fontId="0" fillId="0" borderId="40" xfId="0" applyNumberFormat="1" applyFont="1" applyBorder="1" applyAlignment="1">
      <alignment horizontal="right"/>
    </xf>
    <xf numFmtId="0" fontId="0" fillId="0" borderId="59" xfId="0" applyFont="1" applyBorder="1" applyAlignment="1">
      <alignment/>
    </xf>
    <xf numFmtId="0" fontId="0" fillId="0" borderId="30" xfId="0" applyFont="1" applyFill="1" applyBorder="1" applyAlignment="1">
      <alignment horizontal="left"/>
    </xf>
    <xf numFmtId="165" fontId="0" fillId="0" borderId="59" xfId="0" applyNumberFormat="1" applyFont="1" applyBorder="1" applyAlignment="1">
      <alignment horizontal="right"/>
    </xf>
    <xf numFmtId="165" fontId="0" fillId="0" borderId="26" xfId="0" applyNumberFormat="1" applyFont="1" applyBorder="1" applyAlignment="1">
      <alignment horizontal="right"/>
    </xf>
    <xf numFmtId="174" fontId="0" fillId="0" borderId="22" xfId="42" applyNumberFormat="1" applyFont="1" applyFill="1" applyBorder="1" applyAlignment="1">
      <alignment horizontal="right"/>
    </xf>
    <xf numFmtId="174" fontId="0" fillId="0" borderId="23" xfId="42" applyNumberFormat="1" applyFont="1" applyFill="1" applyBorder="1" applyAlignment="1">
      <alignment horizontal="right"/>
    </xf>
    <xf numFmtId="0" fontId="7" fillId="0" borderId="51" xfId="0" applyFont="1" applyBorder="1" applyAlignment="1">
      <alignment horizontal="center" wrapText="1"/>
    </xf>
    <xf numFmtId="0" fontId="0" fillId="0" borderId="30" xfId="0" applyFont="1" applyFill="1" applyBorder="1" applyAlignment="1">
      <alignment/>
    </xf>
    <xf numFmtId="174" fontId="0" fillId="0" borderId="33" xfId="42" applyNumberFormat="1" applyFont="1" applyBorder="1" applyAlignment="1">
      <alignment horizontal="right"/>
    </xf>
    <xf numFmtId="174" fontId="0" fillId="0" borderId="65" xfId="42" applyNumberFormat="1" applyFont="1" applyBorder="1" applyAlignment="1">
      <alignment horizontal="right"/>
    </xf>
    <xf numFmtId="174" fontId="0" fillId="0" borderId="59" xfId="42" applyNumberFormat="1" applyFont="1" applyBorder="1" applyAlignment="1">
      <alignment horizontal="right"/>
    </xf>
    <xf numFmtId="174" fontId="0" fillId="0" borderId="25" xfId="0" applyNumberFormat="1" applyFont="1" applyFill="1" applyBorder="1" applyAlignment="1">
      <alignment horizontal="right"/>
    </xf>
    <xf numFmtId="174" fontId="0" fillId="0" borderId="66" xfId="0" applyNumberFormat="1" applyFont="1" applyFill="1" applyBorder="1" applyAlignment="1">
      <alignment horizontal="right"/>
    </xf>
    <xf numFmtId="174" fontId="0" fillId="0" borderId="14" xfId="0" applyNumberFormat="1" applyFont="1" applyBorder="1" applyAlignment="1">
      <alignment horizontal="right"/>
    </xf>
    <xf numFmtId="174" fontId="0" fillId="0" borderId="17" xfId="0" applyNumberFormat="1" applyFont="1" applyBorder="1" applyAlignment="1">
      <alignment horizontal="right"/>
    </xf>
    <xf numFmtId="165" fontId="0" fillId="0" borderId="14" xfId="0" applyNumberFormat="1" applyFont="1" applyBorder="1" applyAlignment="1">
      <alignment horizontal="right"/>
    </xf>
    <xf numFmtId="165" fontId="0" fillId="0" borderId="17" xfId="0" applyNumberFormat="1" applyFont="1" applyBorder="1" applyAlignment="1">
      <alignment horizontal="right"/>
    </xf>
    <xf numFmtId="0" fontId="7" fillId="0" borderId="24" xfId="0" applyFont="1" applyFill="1" applyBorder="1" applyAlignment="1">
      <alignment horizontal="center" wrapText="1"/>
    </xf>
    <xf numFmtId="192" fontId="0" fillId="0" borderId="13" xfId="42" applyNumberFormat="1" applyFont="1" applyFill="1" applyBorder="1" applyAlignment="1">
      <alignment horizontal="right"/>
    </xf>
    <xf numFmtId="194" fontId="0" fillId="6" borderId="13" xfId="0" applyNumberFormat="1" applyFont="1" applyFill="1" applyBorder="1" applyAlignment="1">
      <alignment horizontal="right"/>
    </xf>
    <xf numFmtId="165" fontId="7" fillId="6" borderId="19" xfId="0" applyNumberFormat="1" applyFont="1" applyFill="1" applyBorder="1" applyAlignment="1">
      <alignment horizontal="right"/>
    </xf>
    <xf numFmtId="174" fontId="0" fillId="0" borderId="20" xfId="0" applyNumberFormat="1" applyFont="1" applyFill="1" applyBorder="1" applyAlignment="1">
      <alignment/>
    </xf>
    <xf numFmtId="174" fontId="0" fillId="0" borderId="48" xfId="0" applyNumberFormat="1" applyFont="1" applyFill="1" applyBorder="1" applyAlignment="1">
      <alignment/>
    </xf>
    <xf numFmtId="174" fontId="7" fillId="0" borderId="62" xfId="0" applyNumberFormat="1" applyFont="1" applyFill="1" applyBorder="1" applyAlignment="1">
      <alignment horizontal="right"/>
    </xf>
    <xf numFmtId="0" fontId="7" fillId="0" borderId="0" xfId="0" applyFont="1" applyFill="1" applyBorder="1" applyAlignment="1">
      <alignment horizontal="center" vertical="center"/>
    </xf>
    <xf numFmtId="0" fontId="0" fillId="0" borderId="0" xfId="0" applyBorder="1" applyAlignment="1">
      <alignment/>
    </xf>
    <xf numFmtId="0" fontId="7" fillId="0" borderId="0" xfId="0" applyFont="1" applyFill="1" applyBorder="1" applyAlignment="1">
      <alignment/>
    </xf>
    <xf numFmtId="164" fontId="7" fillId="7" borderId="30" xfId="0" applyNumberFormat="1" applyFont="1" applyFill="1" applyBorder="1" applyAlignment="1">
      <alignment horizontal="right"/>
    </xf>
    <xf numFmtId="164" fontId="7" fillId="0" borderId="0" xfId="0" applyNumberFormat="1" applyFont="1" applyFill="1" applyBorder="1" applyAlignment="1">
      <alignment/>
    </xf>
    <xf numFmtId="164" fontId="7" fillId="0" borderId="0" xfId="0" applyNumberFormat="1" applyFont="1" applyFill="1" applyBorder="1" applyAlignment="1">
      <alignment horizontal="right"/>
    </xf>
    <xf numFmtId="0" fontId="0" fillId="0" borderId="0" xfId="0" applyFont="1" applyFill="1" applyBorder="1" applyAlignment="1">
      <alignment/>
    </xf>
    <xf numFmtId="165" fontId="0" fillId="0" borderId="0" xfId="42" applyNumberFormat="1" applyFont="1" applyFill="1" applyBorder="1" applyAlignment="1">
      <alignment/>
    </xf>
    <xf numFmtId="165" fontId="0" fillId="2" borderId="10" xfId="42" applyNumberFormat="1" applyFont="1" applyFill="1" applyBorder="1" applyAlignment="1">
      <alignment/>
    </xf>
    <xf numFmtId="165" fontId="0" fillId="5" borderId="10" xfId="42" applyNumberFormat="1" applyFont="1" applyFill="1" applyBorder="1" applyAlignment="1">
      <alignment/>
    </xf>
    <xf numFmtId="0" fontId="7" fillId="0" borderId="0" xfId="0" applyFont="1" applyFill="1" applyBorder="1" applyAlignment="1">
      <alignment horizontal="left"/>
    </xf>
    <xf numFmtId="174" fontId="0" fillId="6" borderId="10" xfId="42" applyNumberFormat="1" applyFont="1" applyFill="1" applyBorder="1" applyAlignment="1">
      <alignment/>
    </xf>
    <xf numFmtId="174" fontId="0" fillId="5" borderId="10" xfId="42" applyNumberFormat="1" applyFont="1" applyFill="1" applyBorder="1" applyAlignment="1">
      <alignment/>
    </xf>
    <xf numFmtId="165" fontId="0" fillId="6" borderId="10" xfId="44" applyNumberFormat="1" applyFont="1" applyFill="1" applyBorder="1" applyAlignment="1">
      <alignment/>
    </xf>
    <xf numFmtId="165" fontId="0" fillId="5" borderId="10" xfId="44" applyNumberFormat="1" applyFont="1" applyFill="1" applyBorder="1" applyAlignment="1">
      <alignment/>
    </xf>
    <xf numFmtId="192" fontId="7" fillId="6" borderId="47" xfId="0" applyNumberFormat="1" applyFont="1" applyFill="1" applyBorder="1" applyAlignment="1">
      <alignment/>
    </xf>
    <xf numFmtId="192" fontId="7" fillId="5" borderId="47" xfId="0" applyNumberFormat="1" applyFont="1" applyFill="1" applyBorder="1" applyAlignment="1">
      <alignment/>
    </xf>
    <xf numFmtId="192" fontId="7" fillId="0" borderId="0" xfId="0" applyNumberFormat="1" applyFont="1" applyBorder="1" applyAlignment="1">
      <alignment/>
    </xf>
    <xf numFmtId="0" fontId="7" fillId="2" borderId="10" xfId="0" applyFont="1" applyFill="1" applyBorder="1" applyAlignment="1">
      <alignment horizontal="center" wrapText="1"/>
    </xf>
    <xf numFmtId="0" fontId="7" fillId="5" borderId="10" xfId="0" applyFont="1" applyFill="1" applyBorder="1" applyAlignment="1">
      <alignment horizontal="center" wrapText="1"/>
    </xf>
    <xf numFmtId="0" fontId="7" fillId="7" borderId="10" xfId="0" applyFont="1" applyFill="1" applyBorder="1" applyAlignment="1">
      <alignment horizontal="center" wrapText="1"/>
    </xf>
    <xf numFmtId="0" fontId="0" fillId="7" borderId="25" xfId="0" applyFont="1" applyFill="1" applyBorder="1" applyAlignment="1">
      <alignment/>
    </xf>
    <xf numFmtId="0" fontId="7" fillId="6" borderId="10" xfId="0" applyFont="1" applyFill="1" applyBorder="1" applyAlignment="1">
      <alignment horizontal="center" wrapText="1"/>
    </xf>
    <xf numFmtId="0" fontId="7" fillId="7" borderId="25" xfId="0" applyFont="1" applyFill="1" applyBorder="1" applyAlignment="1">
      <alignment horizontal="center" wrapText="1"/>
    </xf>
    <xf numFmtId="192" fontId="0" fillId="6" borderId="10" xfId="42" applyNumberFormat="1" applyFont="1" applyFill="1" applyBorder="1" applyAlignment="1">
      <alignment/>
    </xf>
    <xf numFmtId="165" fontId="0" fillId="6" borderId="10" xfId="0" applyNumberFormat="1" applyFill="1" applyBorder="1" applyAlignment="1">
      <alignment/>
    </xf>
    <xf numFmtId="192" fontId="0" fillId="5" borderId="10" xfId="42" applyNumberFormat="1" applyFont="1" applyFill="1" applyBorder="1" applyAlignment="1">
      <alignment/>
    </xf>
    <xf numFmtId="165" fontId="0" fillId="5" borderId="10" xfId="0" applyNumberFormat="1" applyFill="1" applyBorder="1" applyAlignment="1">
      <alignment/>
    </xf>
    <xf numFmtId="174" fontId="7" fillId="0" borderId="17" xfId="0" applyNumberFormat="1" applyFont="1" applyFill="1" applyBorder="1" applyAlignment="1">
      <alignment horizontal="right"/>
    </xf>
    <xf numFmtId="164" fontId="62" fillId="0" borderId="0" xfId="0" applyNumberFormat="1" applyFont="1" applyBorder="1" applyAlignment="1">
      <alignment horizontal="center" vertical="center" wrapText="1"/>
    </xf>
    <xf numFmtId="165" fontId="35" fillId="0" borderId="0" xfId="0" applyNumberFormat="1" applyFont="1" applyBorder="1" applyAlignment="1">
      <alignment horizontal="center"/>
    </xf>
    <xf numFmtId="164" fontId="35" fillId="0" borderId="0" xfId="0" applyNumberFormat="1" applyFont="1" applyBorder="1" applyAlignment="1">
      <alignment horizontal="right" wrapText="1"/>
    </xf>
    <xf numFmtId="0" fontId="36" fillId="0" borderId="0" xfId="0" applyFont="1" applyFill="1" applyBorder="1" applyAlignment="1">
      <alignment horizontal="left" vertical="center" wrapText="1"/>
    </xf>
    <xf numFmtId="0" fontId="37"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7" fillId="0" borderId="0" xfId="0" applyNumberFormat="1" applyFont="1" applyBorder="1" applyAlignment="1">
      <alignment horizontal="center" vertical="center" wrapText="1"/>
    </xf>
    <xf numFmtId="0" fontId="35" fillId="0" borderId="0" xfId="0" applyFont="1" applyBorder="1" applyAlignment="1">
      <alignment/>
    </xf>
    <xf numFmtId="10" fontId="35" fillId="0" borderId="0" xfId="59" applyNumberFormat="1" applyFont="1" applyFill="1" applyBorder="1" applyAlignment="1">
      <alignment horizontal="right"/>
    </xf>
    <xf numFmtId="0" fontId="35" fillId="0" borderId="0" xfId="0" applyFont="1" applyBorder="1" applyAlignment="1">
      <alignment horizontal="center"/>
    </xf>
    <xf numFmtId="10" fontId="37" fillId="0" borderId="0" xfId="0" applyNumberFormat="1" applyFont="1" applyBorder="1" applyAlignment="1">
      <alignment horizontal="right"/>
    </xf>
    <xf numFmtId="0" fontId="38" fillId="0" borderId="0" xfId="0" applyFont="1" applyFill="1" applyBorder="1" applyAlignment="1">
      <alignment horizontal="center" wrapText="1"/>
    </xf>
    <xf numFmtId="165" fontId="0" fillId="5" borderId="67" xfId="0" applyNumberFormat="1" applyFont="1" applyFill="1" applyBorder="1" applyAlignment="1">
      <alignment horizontal="right"/>
    </xf>
    <xf numFmtId="165" fontId="0" fillId="5" borderId="68" xfId="0" applyNumberFormat="1" applyFont="1" applyFill="1" applyBorder="1" applyAlignment="1">
      <alignment horizontal="right"/>
    </xf>
    <xf numFmtId="165" fontId="0" fillId="5" borderId="69" xfId="0" applyNumberFormat="1" applyFont="1" applyFill="1" applyBorder="1" applyAlignment="1">
      <alignment horizontal="right"/>
    </xf>
    <xf numFmtId="165" fontId="57" fillId="0" borderId="0" xfId="44" applyNumberFormat="1" applyFont="1" applyFill="1" applyBorder="1" applyAlignment="1">
      <alignment horizontal="right"/>
    </xf>
    <xf numFmtId="165" fontId="0" fillId="0" borderId="0" xfId="44" applyNumberFormat="1" applyFont="1" applyFill="1" applyBorder="1" applyAlignment="1">
      <alignment horizontal="right"/>
    </xf>
    <xf numFmtId="165" fontId="0" fillId="0" borderId="0" xfId="42" applyNumberFormat="1" applyFont="1" applyFill="1" applyBorder="1" applyAlignment="1">
      <alignment horizontal="right"/>
    </xf>
    <xf numFmtId="165" fontId="7" fillId="0" borderId="0" xfId="44" applyNumberFormat="1" applyFont="1" applyFill="1" applyBorder="1" applyAlignment="1">
      <alignment/>
    </xf>
    <xf numFmtId="0" fontId="7" fillId="0" borderId="32" xfId="0" applyFont="1" applyBorder="1" applyAlignment="1">
      <alignment horizontal="left" wrapText="1"/>
    </xf>
    <xf numFmtId="164" fontId="0" fillId="0" borderId="21" xfId="0" applyNumberFormat="1" applyFont="1" applyFill="1" applyBorder="1" applyAlignment="1">
      <alignment horizontal="right"/>
    </xf>
    <xf numFmtId="0" fontId="0" fillId="0" borderId="55" xfId="0" applyFont="1" applyBorder="1" applyAlignment="1">
      <alignment/>
    </xf>
    <xf numFmtId="0" fontId="7" fillId="7" borderId="43" xfId="0" applyFont="1" applyFill="1" applyBorder="1" applyAlignment="1">
      <alignment horizontal="right" wrapText="1"/>
    </xf>
    <xf numFmtId="164" fontId="7" fillId="7" borderId="38" xfId="0" applyNumberFormat="1" applyFont="1" applyFill="1" applyBorder="1" applyAlignment="1">
      <alignment horizontal="right"/>
    </xf>
    <xf numFmtId="164" fontId="7" fillId="7" borderId="16" xfId="0" applyNumberFormat="1" applyFont="1" applyFill="1" applyBorder="1" applyAlignment="1">
      <alignment horizontal="right"/>
    </xf>
    <xf numFmtId="2" fontId="10" fillId="0" borderId="0" xfId="0" applyNumberFormat="1" applyFont="1" applyBorder="1" applyAlignment="1">
      <alignment horizontal="right"/>
    </xf>
    <xf numFmtId="0" fontId="63" fillId="0" borderId="0" xfId="0" applyFont="1" applyAlignment="1">
      <alignment/>
    </xf>
    <xf numFmtId="0" fontId="7" fillId="0" borderId="0" xfId="0" applyFont="1" applyFill="1" applyBorder="1" applyAlignment="1">
      <alignment horizontal="left" vertical="center"/>
    </xf>
    <xf numFmtId="0" fontId="7" fillId="6"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7" borderId="10" xfId="0" applyFont="1" applyFill="1" applyBorder="1" applyAlignment="1">
      <alignment vertical="center"/>
    </xf>
    <xf numFmtId="192" fontId="0" fillId="6" borderId="10" xfId="42" applyNumberFormat="1" applyFont="1" applyFill="1" applyBorder="1" applyAlignment="1">
      <alignment vertical="center"/>
    </xf>
    <xf numFmtId="165" fontId="0" fillId="6" borderId="10" xfId="42" applyNumberFormat="1" applyFont="1" applyFill="1" applyBorder="1" applyAlignment="1">
      <alignment vertical="center"/>
    </xf>
    <xf numFmtId="192" fontId="0" fillId="5" borderId="10" xfId="42" applyNumberFormat="1" applyFont="1" applyFill="1" applyBorder="1" applyAlignment="1">
      <alignment vertical="center"/>
    </xf>
    <xf numFmtId="192" fontId="7" fillId="6" borderId="47" xfId="0" applyNumberFormat="1" applyFont="1" applyFill="1" applyBorder="1" applyAlignment="1">
      <alignment vertical="center"/>
    </xf>
    <xf numFmtId="0" fontId="0" fillId="0" borderId="0" xfId="0" applyBorder="1" applyAlignment="1">
      <alignment vertical="center"/>
    </xf>
    <xf numFmtId="192" fontId="7" fillId="5" borderId="47" xfId="0" applyNumberFormat="1" applyFont="1" applyFill="1" applyBorder="1" applyAlignment="1">
      <alignment vertical="center"/>
    </xf>
    <xf numFmtId="165" fontId="0" fillId="5" borderId="10" xfId="42" applyNumberFormat="1" applyFont="1" applyFill="1" applyBorder="1" applyAlignment="1">
      <alignment vertical="center"/>
    </xf>
    <xf numFmtId="0" fontId="12" fillId="7" borderId="16" xfId="0" applyFont="1" applyFill="1" applyBorder="1" applyAlignment="1">
      <alignment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192" fontId="57" fillId="0" borderId="0" xfId="42" applyNumberFormat="1" applyFont="1" applyFill="1" applyBorder="1" applyAlignment="1">
      <alignment/>
    </xf>
    <xf numFmtId="174" fontId="0" fillId="0" borderId="29" xfId="0" applyNumberFormat="1" applyFont="1" applyFill="1" applyBorder="1" applyAlignment="1">
      <alignment/>
    </xf>
    <xf numFmtId="0" fontId="7" fillId="4" borderId="10" xfId="0" applyFont="1" applyFill="1" applyBorder="1" applyAlignment="1">
      <alignment horizontal="center" wrapText="1"/>
    </xf>
    <xf numFmtId="165" fontId="0" fillId="4" borderId="10" xfId="42" applyNumberFormat="1" applyFont="1" applyFill="1" applyBorder="1" applyAlignment="1">
      <alignment/>
    </xf>
    <xf numFmtId="174" fontId="0" fillId="4" borderId="10" xfId="42" applyNumberFormat="1" applyFont="1" applyFill="1" applyBorder="1" applyAlignment="1">
      <alignment/>
    </xf>
    <xf numFmtId="192" fontId="0" fillId="4" borderId="10" xfId="42" applyNumberFormat="1" applyFont="1" applyFill="1" applyBorder="1" applyAlignment="1">
      <alignment/>
    </xf>
    <xf numFmtId="165" fontId="0" fillId="4" borderId="10" xfId="44" applyNumberFormat="1" applyFont="1" applyFill="1" applyBorder="1" applyAlignment="1">
      <alignment/>
    </xf>
    <xf numFmtId="165" fontId="0" fillId="4" borderId="10" xfId="0" applyNumberFormat="1" applyFill="1" applyBorder="1" applyAlignment="1">
      <alignment/>
    </xf>
    <xf numFmtId="192" fontId="7" fillId="4" borderId="47" xfId="0" applyNumberFormat="1" applyFont="1" applyFill="1" applyBorder="1" applyAlignment="1">
      <alignment/>
    </xf>
    <xf numFmtId="0" fontId="7" fillId="4" borderId="10" xfId="0" applyFont="1" applyFill="1" applyBorder="1" applyAlignment="1">
      <alignment horizontal="center" vertical="center" wrapText="1"/>
    </xf>
    <xf numFmtId="192" fontId="0" fillId="4" borderId="10" xfId="42" applyNumberFormat="1" applyFont="1" applyFill="1" applyBorder="1" applyAlignment="1">
      <alignment vertical="center"/>
    </xf>
    <xf numFmtId="165" fontId="0" fillId="4" borderId="10" xfId="42" applyNumberFormat="1" applyFont="1" applyFill="1" applyBorder="1" applyAlignment="1">
      <alignment vertical="center"/>
    </xf>
    <xf numFmtId="192" fontId="7" fillId="4" borderId="47" xfId="0" applyNumberFormat="1" applyFont="1" applyFill="1" applyBorder="1" applyAlignment="1">
      <alignment vertical="center"/>
    </xf>
    <xf numFmtId="0" fontId="0" fillId="7" borderId="10" xfId="0" applyFont="1" applyFill="1" applyBorder="1" applyAlignment="1">
      <alignment horizontal="center"/>
    </xf>
    <xf numFmtId="0" fontId="7" fillId="7" borderId="10" xfId="0"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0" fillId="7" borderId="10" xfId="0" applyFont="1" applyFill="1" applyBorder="1" applyAlignment="1">
      <alignment horizontal="center" vertical="center"/>
    </xf>
    <xf numFmtId="0" fontId="0" fillId="0" borderId="14" xfId="0" applyFont="1" applyBorder="1" applyAlignment="1">
      <alignment horizontal="center"/>
    </xf>
    <xf numFmtId="0" fontId="7" fillId="0" borderId="22" xfId="0" applyNumberFormat="1" applyFont="1" applyFill="1" applyBorder="1" applyAlignment="1">
      <alignment horizontal="center" vertical="center" wrapText="1"/>
    </xf>
    <xf numFmtId="164" fontId="0" fillId="0" borderId="10" xfId="0" applyNumberFormat="1" applyFont="1" applyFill="1" applyBorder="1" applyAlignment="1">
      <alignment/>
    </xf>
    <xf numFmtId="164" fontId="0" fillId="0" borderId="10" xfId="42" applyNumberFormat="1" applyFont="1" applyBorder="1" applyAlignment="1">
      <alignment/>
    </xf>
    <xf numFmtId="164" fontId="0" fillId="0" borderId="10" xfId="42" applyNumberFormat="1" applyFont="1" applyFill="1" applyBorder="1" applyAlignment="1">
      <alignment/>
    </xf>
    <xf numFmtId="164" fontId="0" fillId="0" borderId="13" xfId="42" applyNumberFormat="1" applyFont="1" applyFill="1" applyBorder="1" applyAlignment="1">
      <alignment/>
    </xf>
    <xf numFmtId="0" fontId="0" fillId="0" borderId="0" xfId="0" applyFill="1" applyBorder="1" applyAlignment="1">
      <alignment/>
    </xf>
    <xf numFmtId="192" fontId="7" fillId="0" borderId="56" xfId="42" applyNumberFormat="1" applyFont="1" applyFill="1" applyBorder="1" applyAlignment="1">
      <alignment vertical="center"/>
    </xf>
    <xf numFmtId="0" fontId="7" fillId="0" borderId="0" xfId="0" applyFont="1" applyFill="1" applyAlignment="1">
      <alignment vertical="center"/>
    </xf>
    <xf numFmtId="192" fontId="7" fillId="0" borderId="16" xfId="42" applyNumberFormat="1" applyFont="1" applyFill="1" applyBorder="1" applyAlignment="1">
      <alignment vertical="center"/>
    </xf>
    <xf numFmtId="0" fontId="7" fillId="0" borderId="0" xfId="0" applyFont="1" applyAlignment="1">
      <alignment vertical="center"/>
    </xf>
    <xf numFmtId="192" fontId="7" fillId="0" borderId="56" xfId="42" applyNumberFormat="1" applyFont="1" applyBorder="1" applyAlignment="1">
      <alignment horizontal="left" vertical="center"/>
    </xf>
    <xf numFmtId="0" fontId="7" fillId="6" borderId="10"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68" xfId="0" applyFont="1" applyFill="1" applyBorder="1" applyAlignment="1">
      <alignment horizontal="center" vertical="center"/>
    </xf>
    <xf numFmtId="0" fontId="7" fillId="5" borderId="34" xfId="0" applyFont="1" applyFill="1" applyBorder="1" applyAlignment="1">
      <alignment horizontal="center" vertical="center"/>
    </xf>
    <xf numFmtId="0" fontId="4" fillId="0" borderId="0" xfId="0" applyFont="1" applyFill="1" applyBorder="1" applyAlignment="1">
      <alignment horizontal="left"/>
    </xf>
    <xf numFmtId="0" fontId="7" fillId="4" borderId="25"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34" xfId="0" applyFont="1" applyFill="1" applyBorder="1" applyAlignment="1">
      <alignment horizontal="center" vertical="center"/>
    </xf>
    <xf numFmtId="0" fontId="12" fillId="0" borderId="10" xfId="0" applyFont="1" applyBorder="1" applyAlignment="1">
      <alignment horizontal="center" vertical="center"/>
    </xf>
    <xf numFmtId="192" fontId="7" fillId="4" borderId="10" xfId="42" applyNumberFormat="1" applyFont="1" applyFill="1" applyBorder="1" applyAlignment="1">
      <alignment horizontal="center"/>
    </xf>
    <xf numFmtId="0" fontId="7" fillId="4" borderId="10" xfId="0" applyFont="1" applyFill="1" applyBorder="1" applyAlignment="1">
      <alignment horizontal="center"/>
    </xf>
    <xf numFmtId="0" fontId="7" fillId="6" borderId="10" xfId="0" applyFont="1" applyFill="1" applyBorder="1" applyAlignment="1">
      <alignment horizontal="center"/>
    </xf>
    <xf numFmtId="0" fontId="7" fillId="5" borderId="10" xfId="0" applyFont="1" applyFill="1" applyBorder="1" applyAlignment="1">
      <alignment horizontal="center"/>
    </xf>
    <xf numFmtId="0" fontId="3" fillId="0" borderId="0" xfId="0" applyFont="1" applyAlignment="1">
      <alignment/>
    </xf>
    <xf numFmtId="192" fontId="7" fillId="6" borderId="10" xfId="42" applyNumberFormat="1" applyFont="1" applyFill="1" applyBorder="1" applyAlignment="1">
      <alignment horizontal="center"/>
    </xf>
    <xf numFmtId="192" fontId="7" fillId="5" borderId="10" xfId="42" applyNumberFormat="1" applyFont="1" applyFill="1" applyBorder="1" applyAlignment="1">
      <alignment horizontal="center"/>
    </xf>
    <xf numFmtId="192" fontId="7" fillId="6" borderId="10" xfId="42" applyNumberFormat="1" applyFont="1" applyFill="1" applyBorder="1" applyAlignment="1">
      <alignment horizontal="center" vertical="center" wrapText="1"/>
    </xf>
    <xf numFmtId="192" fontId="7" fillId="2" borderId="10" xfId="42" applyNumberFormat="1" applyFont="1" applyFill="1" applyBorder="1" applyAlignment="1">
      <alignment horizontal="center"/>
    </xf>
    <xf numFmtId="0" fontId="4" fillId="0" borderId="7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0" xfId="0" applyFont="1" applyFill="1" applyBorder="1" applyAlignment="1">
      <alignment horizontal="left"/>
    </xf>
    <xf numFmtId="0" fontId="64" fillId="0" borderId="10" xfId="0" applyFont="1" applyFill="1" applyBorder="1" applyAlignment="1">
      <alignment horizontal="left" vertical="center" wrapText="1"/>
    </xf>
    <xf numFmtId="0" fontId="0" fillId="0" borderId="45" xfId="0" applyFont="1" applyFill="1" applyBorder="1" applyAlignment="1">
      <alignment horizontal="left" wrapText="1"/>
    </xf>
    <xf numFmtId="0" fontId="11" fillId="0" borderId="14" xfId="0" applyFont="1" applyBorder="1" applyAlignment="1">
      <alignment horizontal="center"/>
    </xf>
    <xf numFmtId="0" fontId="11" fillId="0" borderId="17" xfId="0" applyFont="1" applyBorder="1" applyAlignment="1">
      <alignment horizontal="center"/>
    </xf>
    <xf numFmtId="0" fontId="12" fillId="6" borderId="14" xfId="0" applyFont="1" applyFill="1" applyBorder="1" applyAlignment="1">
      <alignment vertical="center" wrapText="1"/>
    </xf>
    <xf numFmtId="0" fontId="12" fillId="6" borderId="15" xfId="0" applyFont="1" applyFill="1" applyBorder="1" applyAlignment="1">
      <alignment vertical="center" wrapText="1"/>
    </xf>
    <xf numFmtId="0" fontId="12" fillId="6" borderId="17" xfId="0" applyFont="1" applyFill="1" applyBorder="1" applyAlignment="1">
      <alignment vertical="center" wrapText="1"/>
    </xf>
    <xf numFmtId="0" fontId="12" fillId="6" borderId="11" xfId="0" applyFont="1" applyFill="1" applyBorder="1" applyAlignment="1">
      <alignment vertical="center" wrapText="1"/>
    </xf>
    <xf numFmtId="0" fontId="12" fillId="6" borderId="10" xfId="0" applyFont="1" applyFill="1" applyBorder="1" applyAlignment="1">
      <alignment vertical="center" wrapText="1"/>
    </xf>
    <xf numFmtId="0" fontId="12" fillId="6" borderId="18" xfId="0" applyFont="1" applyFill="1" applyBorder="1" applyAlignment="1">
      <alignment vertical="center" wrapText="1"/>
    </xf>
    <xf numFmtId="0" fontId="12" fillId="6" borderId="12" xfId="0" applyFont="1" applyFill="1" applyBorder="1" applyAlignment="1">
      <alignment vertical="center" wrapText="1"/>
    </xf>
    <xf numFmtId="0" fontId="12" fillId="6" borderId="13" xfId="0" applyFont="1" applyFill="1" applyBorder="1" applyAlignment="1">
      <alignment vertical="center" wrapText="1"/>
    </xf>
    <xf numFmtId="0" fontId="12" fillId="6" borderId="19" xfId="0" applyFont="1" applyFill="1" applyBorder="1" applyAlignment="1">
      <alignment vertical="center" wrapText="1"/>
    </xf>
    <xf numFmtId="0" fontId="7" fillId="0" borderId="43" xfId="0" applyFont="1" applyFill="1" applyBorder="1" applyAlignment="1">
      <alignment horizontal="center"/>
    </xf>
    <xf numFmtId="0" fontId="7" fillId="0" borderId="71" xfId="0" applyFont="1" applyFill="1" applyBorder="1" applyAlignment="1">
      <alignment horizontal="center"/>
    </xf>
    <xf numFmtId="0" fontId="7" fillId="0" borderId="72" xfId="0" applyFont="1" applyFill="1" applyBorder="1" applyAlignment="1">
      <alignment horizontal="center"/>
    </xf>
    <xf numFmtId="165" fontId="11" fillId="0" borderId="43" xfId="0" applyNumberFormat="1" applyFont="1" applyBorder="1" applyAlignment="1">
      <alignment horizontal="center" vertical="center" wrapText="1"/>
    </xf>
    <xf numFmtId="165" fontId="11" fillId="0" borderId="71" xfId="0" applyNumberFormat="1" applyFont="1" applyBorder="1" applyAlignment="1">
      <alignment horizontal="center" vertical="center" wrapText="1"/>
    </xf>
    <xf numFmtId="165" fontId="11" fillId="0" borderId="72" xfId="0" applyNumberFormat="1" applyFont="1" applyBorder="1" applyAlignment="1">
      <alignment horizontal="center" vertical="center" wrapText="1"/>
    </xf>
    <xf numFmtId="0" fontId="0" fillId="0" borderId="43" xfId="0" applyFont="1" applyBorder="1" applyAlignment="1">
      <alignment horizontal="right" vertical="center"/>
    </xf>
    <xf numFmtId="0" fontId="0" fillId="0" borderId="71" xfId="0" applyFont="1" applyBorder="1" applyAlignment="1">
      <alignment horizontal="right" vertical="center"/>
    </xf>
    <xf numFmtId="0" fontId="0" fillId="0" borderId="73" xfId="0" applyFont="1" applyBorder="1" applyAlignment="1">
      <alignment horizontal="right" vertical="center"/>
    </xf>
    <xf numFmtId="0" fontId="7" fillId="0" borderId="43"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0" fillId="0" borderId="56" xfId="0" applyBorder="1" applyAlignment="1">
      <alignment/>
    </xf>
    <xf numFmtId="0" fontId="4" fillId="0" borderId="10" xfId="0" applyFont="1" applyFill="1" applyBorder="1" applyAlignment="1">
      <alignment horizontal="left" vertical="center" wrapText="1"/>
    </xf>
    <xf numFmtId="0" fontId="13" fillId="5" borderId="20"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165" fontId="11" fillId="0" borderId="43" xfId="0" applyNumberFormat="1" applyFont="1" applyBorder="1" applyAlignment="1">
      <alignment horizontal="center" vertical="top" wrapText="1"/>
    </xf>
    <xf numFmtId="165" fontId="11" fillId="0" borderId="72" xfId="0" applyNumberFormat="1" applyFont="1" applyBorder="1" applyAlignment="1">
      <alignment horizontal="center" vertical="top" wrapText="1"/>
    </xf>
    <xf numFmtId="0" fontId="12" fillId="6" borderId="43" xfId="0" applyFont="1" applyFill="1" applyBorder="1" applyAlignment="1">
      <alignment horizontal="left"/>
    </xf>
    <xf numFmtId="0" fontId="12" fillId="6" borderId="45" xfId="0" applyFont="1" applyFill="1" applyBorder="1" applyAlignment="1">
      <alignment horizontal="left"/>
    </xf>
    <xf numFmtId="0" fontId="12" fillId="6" borderId="46" xfId="0" applyFont="1" applyFill="1" applyBorder="1" applyAlignment="1">
      <alignment horizontal="left"/>
    </xf>
    <xf numFmtId="0" fontId="7" fillId="0" borderId="20" xfId="0" applyFont="1" applyFill="1" applyBorder="1" applyAlignment="1">
      <alignment horizontal="center" wrapText="1"/>
    </xf>
    <xf numFmtId="0" fontId="7" fillId="0" borderId="56" xfId="0" applyFont="1" applyFill="1" applyBorder="1" applyAlignment="1">
      <alignment horizontal="center" wrapText="1"/>
    </xf>
    <xf numFmtId="165" fontId="7" fillId="0" borderId="73" xfId="0" applyNumberFormat="1" applyFont="1" applyBorder="1" applyAlignment="1">
      <alignment horizontal="center"/>
    </xf>
    <xf numFmtId="165" fontId="7" fillId="0" borderId="40" xfId="0" applyNumberFormat="1" applyFont="1" applyBorder="1" applyAlignment="1">
      <alignment horizontal="center"/>
    </xf>
    <xf numFmtId="165" fontId="7" fillId="0" borderId="39" xfId="0" applyNumberFormat="1" applyFont="1" applyBorder="1" applyAlignment="1">
      <alignment horizontal="center"/>
    </xf>
    <xf numFmtId="165" fontId="7" fillId="0" borderId="38" xfId="0" applyNumberFormat="1" applyFont="1" applyBorder="1" applyAlignment="1">
      <alignment horizontal="center"/>
    </xf>
    <xf numFmtId="0" fontId="12" fillId="5" borderId="43" xfId="0" applyFont="1" applyFill="1" applyBorder="1" applyAlignment="1">
      <alignment horizontal="left"/>
    </xf>
    <xf numFmtId="0" fontId="12" fillId="5" borderId="46" xfId="0" applyFont="1" applyFill="1" applyBorder="1" applyAlignment="1">
      <alignment horizontal="left"/>
    </xf>
    <xf numFmtId="0" fontId="7" fillId="0" borderId="31" xfId="0" applyFont="1" applyFill="1" applyBorder="1" applyAlignment="1">
      <alignment horizontal="center" wrapText="1"/>
    </xf>
    <xf numFmtId="0" fontId="7" fillId="0" borderId="35" xfId="0" applyFont="1" applyFill="1" applyBorder="1" applyAlignment="1">
      <alignment horizontal="center" wrapText="1"/>
    </xf>
    <xf numFmtId="164" fontId="7" fillId="0" borderId="38" xfId="0" applyNumberFormat="1" applyFont="1" applyBorder="1" applyAlignment="1">
      <alignment horizontal="center"/>
    </xf>
    <xf numFmtId="164" fontId="7" fillId="0" borderId="40" xfId="0" applyNumberFormat="1" applyFont="1" applyBorder="1" applyAlignment="1">
      <alignment horizontal="center"/>
    </xf>
    <xf numFmtId="164" fontId="7" fillId="0" borderId="39" xfId="0" applyNumberFormat="1" applyFont="1" applyBorder="1" applyAlignment="1">
      <alignment horizontal="center"/>
    </xf>
    <xf numFmtId="165" fontId="7" fillId="0" borderId="51" xfId="0" applyNumberFormat="1" applyFont="1" applyBorder="1" applyAlignment="1">
      <alignment horizontal="center"/>
    </xf>
    <xf numFmtId="165" fontId="7" fillId="0" borderId="23" xfId="0" applyNumberFormat="1" applyFont="1" applyBorder="1" applyAlignment="1">
      <alignment horizontal="center"/>
    </xf>
    <xf numFmtId="165" fontId="7" fillId="0" borderId="74" xfId="0" applyNumberFormat="1" applyFont="1" applyBorder="1" applyAlignment="1">
      <alignment horizontal="center"/>
    </xf>
    <xf numFmtId="165" fontId="7" fillId="0" borderId="53" xfId="0" applyNumberFormat="1" applyFont="1" applyBorder="1" applyAlignment="1">
      <alignment horizontal="center"/>
    </xf>
    <xf numFmtId="165" fontId="7" fillId="0" borderId="45" xfId="0" applyNumberFormat="1" applyFont="1" applyBorder="1" applyAlignment="1">
      <alignment horizontal="center"/>
    </xf>
    <xf numFmtId="165" fontId="7" fillId="0" borderId="46" xfId="0" applyNumberFormat="1" applyFont="1" applyBorder="1" applyAlignment="1">
      <alignment horizontal="center"/>
    </xf>
    <xf numFmtId="0" fontId="4" fillId="0" borderId="0" xfId="0" applyFont="1" applyFill="1" applyBorder="1" applyAlignment="1">
      <alignment/>
    </xf>
    <xf numFmtId="0" fontId="4" fillId="0" borderId="38" xfId="0" applyFont="1" applyBorder="1" applyAlignment="1">
      <alignment wrapText="1"/>
    </xf>
    <xf numFmtId="0" fontId="4" fillId="0" borderId="40" xfId="0" applyFont="1" applyBorder="1" applyAlignment="1">
      <alignment wrapText="1"/>
    </xf>
    <xf numFmtId="0" fontId="4" fillId="0" borderId="39" xfId="0" applyFont="1" applyBorder="1" applyAlignment="1">
      <alignment wrapText="1"/>
    </xf>
    <xf numFmtId="0" fontId="0" fillId="0" borderId="0" xfId="0" applyFont="1" applyFill="1" applyBorder="1" applyAlignment="1">
      <alignment horizontal="left" wrapText="1"/>
    </xf>
    <xf numFmtId="0" fontId="64" fillId="0" borderId="0" xfId="0" applyFont="1" applyFill="1" applyBorder="1" applyAlignment="1">
      <alignment horizontal="left" vertical="center" wrapText="1"/>
    </xf>
    <xf numFmtId="0" fontId="11" fillId="0" borderId="15" xfId="0" applyFont="1" applyBorder="1" applyAlignment="1">
      <alignment horizontal="center"/>
    </xf>
    <xf numFmtId="0" fontId="7" fillId="0" borderId="43" xfId="0" applyFont="1" applyFill="1" applyBorder="1" applyAlignment="1">
      <alignment horizontal="right"/>
    </xf>
    <xf numFmtId="0" fontId="7" fillId="0" borderId="71" xfId="0" applyFont="1" applyFill="1" applyBorder="1" applyAlignment="1">
      <alignment horizontal="right"/>
    </xf>
    <xf numFmtId="0" fontId="7" fillId="0" borderId="73" xfId="0" applyFont="1" applyFill="1" applyBorder="1" applyAlignment="1">
      <alignment horizontal="right"/>
    </xf>
    <xf numFmtId="0" fontId="12" fillId="6" borderId="53" xfId="0" applyFont="1" applyFill="1" applyBorder="1" applyAlignment="1">
      <alignment vertical="center" wrapText="1"/>
    </xf>
    <xf numFmtId="0" fontId="12" fillId="6" borderId="45" xfId="0" applyFont="1" applyFill="1" applyBorder="1" applyAlignment="1">
      <alignment vertical="center" wrapText="1"/>
    </xf>
    <xf numFmtId="0" fontId="12" fillId="6" borderId="46" xfId="0" applyFont="1" applyFill="1" applyBorder="1" applyAlignment="1">
      <alignment vertical="center" wrapText="1"/>
    </xf>
    <xf numFmtId="0" fontId="12" fillId="6" borderId="52" xfId="0" applyFont="1" applyFill="1" applyBorder="1" applyAlignment="1">
      <alignment vertical="center" wrapText="1"/>
    </xf>
    <xf numFmtId="0" fontId="12" fillId="6" borderId="0" xfId="0" applyFont="1" applyFill="1" applyBorder="1" applyAlignment="1">
      <alignment vertical="center" wrapText="1"/>
    </xf>
    <xf numFmtId="0" fontId="12" fillId="6" borderId="75" xfId="0" applyFont="1" applyFill="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3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PageLayoutView="0" workbookViewId="0" topLeftCell="A1">
      <selection activeCell="A1" sqref="A1:N1"/>
    </sheetView>
  </sheetViews>
  <sheetFormatPr defaultColWidth="9.140625" defaultRowHeight="12.75"/>
  <cols>
    <col min="1" max="14" width="16.7109375" style="0" customWidth="1"/>
  </cols>
  <sheetData>
    <row r="1" spans="1:14" ht="15">
      <c r="A1" s="624" t="s">
        <v>337</v>
      </c>
      <c r="B1" s="624"/>
      <c r="C1" s="624"/>
      <c r="D1" s="624"/>
      <c r="E1" s="624"/>
      <c r="F1" s="624"/>
      <c r="G1" s="624"/>
      <c r="H1" s="624"/>
      <c r="I1" s="624"/>
      <c r="J1" s="624"/>
      <c r="K1" s="624"/>
      <c r="L1" s="624"/>
      <c r="M1" s="624"/>
      <c r="N1" s="624"/>
    </row>
    <row r="2" spans="1:10" ht="12.75">
      <c r="A2" s="4" t="s">
        <v>336</v>
      </c>
      <c r="B2" s="274"/>
      <c r="C2" s="274"/>
      <c r="D2" s="274"/>
      <c r="E2" s="274"/>
      <c r="F2" s="275"/>
      <c r="G2" s="275"/>
      <c r="H2" s="275"/>
      <c r="I2" s="275"/>
      <c r="J2" s="275"/>
    </row>
    <row r="3" spans="1:13" ht="19.5" customHeight="1">
      <c r="A3" s="572"/>
      <c r="B3" s="616" t="s">
        <v>170</v>
      </c>
      <c r="C3" s="616"/>
      <c r="D3" s="616"/>
      <c r="E3" s="616"/>
      <c r="F3" s="617" t="s">
        <v>289</v>
      </c>
      <c r="G3" s="618"/>
      <c r="H3" s="618"/>
      <c r="I3" s="619"/>
      <c r="J3" s="621" t="s">
        <v>326</v>
      </c>
      <c r="K3" s="622"/>
      <c r="L3" s="622"/>
      <c r="M3" s="623"/>
    </row>
    <row r="4" spans="1:14" ht="60" customHeight="1">
      <c r="A4" s="602" t="s">
        <v>7</v>
      </c>
      <c r="B4" s="573" t="s">
        <v>303</v>
      </c>
      <c r="C4" s="573" t="s">
        <v>304</v>
      </c>
      <c r="D4" s="573" t="s">
        <v>172</v>
      </c>
      <c r="E4" s="573" t="s">
        <v>305</v>
      </c>
      <c r="F4" s="574" t="s">
        <v>306</v>
      </c>
      <c r="G4" s="574" t="s">
        <v>307</v>
      </c>
      <c r="H4" s="574" t="s">
        <v>309</v>
      </c>
      <c r="I4" s="574" t="s">
        <v>308</v>
      </c>
      <c r="J4" s="596" t="s">
        <v>306</v>
      </c>
      <c r="K4" s="596" t="s">
        <v>307</v>
      </c>
      <c r="L4" s="596" t="s">
        <v>309</v>
      </c>
      <c r="M4" s="596" t="s">
        <v>308</v>
      </c>
      <c r="N4" s="602" t="s">
        <v>7</v>
      </c>
    </row>
    <row r="5" spans="1:14" ht="19.5" customHeight="1">
      <c r="A5" s="575" t="s">
        <v>16</v>
      </c>
      <c r="B5" s="576">
        <f>Summary!B54</f>
        <v>3164.1171534316227</v>
      </c>
      <c r="C5" s="577">
        <f>Summary!C54</f>
        <v>119.13</v>
      </c>
      <c r="D5" s="577">
        <f>Summary!D54</f>
        <v>0.24053015200786307</v>
      </c>
      <c r="E5" s="577">
        <f>Summary!E54</f>
        <v>118.88946984799213</v>
      </c>
      <c r="F5" s="578">
        <f>Summary!F54</f>
        <v>3113.1675446151876</v>
      </c>
      <c r="G5" s="582">
        <f>Summary!G54</f>
        <v>119.34365379777387</v>
      </c>
      <c r="H5" s="582">
        <f>Summary!H54</f>
        <v>0.6112079177928258</v>
      </c>
      <c r="I5" s="582">
        <f>Summary!I54</f>
        <v>118.73244587998104</v>
      </c>
      <c r="J5" s="597">
        <f>Summary!J54</f>
        <v>2962.484075858631</v>
      </c>
      <c r="K5" s="598">
        <f>Summary!K54</f>
        <v>120.51423026238608</v>
      </c>
      <c r="L5" s="598">
        <f>Summary!L54</f>
        <v>0</v>
      </c>
      <c r="M5" s="598">
        <f>Summary!M54</f>
        <v>120.51423026238608</v>
      </c>
      <c r="N5" s="603" t="s">
        <v>16</v>
      </c>
    </row>
    <row r="6" spans="1:14" ht="19.5" customHeight="1">
      <c r="A6" s="575" t="s">
        <v>57</v>
      </c>
      <c r="B6" s="576">
        <f>Summary!B55</f>
        <v>13540.577959428254</v>
      </c>
      <c r="C6" s="577">
        <f>Summary!C55</f>
        <v>59.37</v>
      </c>
      <c r="D6" s="577">
        <f>Summary!D55</f>
        <v>0</v>
      </c>
      <c r="E6" s="577">
        <f>Summary!E55</f>
        <v>59.37</v>
      </c>
      <c r="F6" s="578">
        <f>Summary!F55</f>
        <v>12814.931469619332</v>
      </c>
      <c r="G6" s="582">
        <f>Summary!G55</f>
        <v>59.38270416857256</v>
      </c>
      <c r="H6" s="582">
        <f>Summary!H55</f>
        <v>0</v>
      </c>
      <c r="I6" s="582">
        <f>Summary!I55</f>
        <v>59.38270416857256</v>
      </c>
      <c r="J6" s="597">
        <f>Summary!J55</f>
        <v>12558.02624315379</v>
      </c>
      <c r="K6" s="598">
        <f>Summary!K55</f>
        <v>60.12813638622401</v>
      </c>
      <c r="L6" s="598">
        <f>Summary!L55</f>
        <v>0</v>
      </c>
      <c r="M6" s="598">
        <f>Summary!M55</f>
        <v>60.12813638622401</v>
      </c>
      <c r="N6" s="603" t="s">
        <v>57</v>
      </c>
    </row>
    <row r="7" spans="1:14" ht="19.5" customHeight="1">
      <c r="A7" s="575" t="s">
        <v>19</v>
      </c>
      <c r="B7" s="576">
        <f>Summary!B56</f>
        <v>9992.786955445808</v>
      </c>
      <c r="C7" s="577">
        <f>Summary!C56</f>
        <v>59.37</v>
      </c>
      <c r="D7" s="577">
        <f>Summary!D56</f>
        <v>0</v>
      </c>
      <c r="E7" s="577">
        <f>Summary!E56</f>
        <v>59.37</v>
      </c>
      <c r="F7" s="578">
        <f>Summary!F56</f>
        <v>9991.376475319767</v>
      </c>
      <c r="G7" s="582">
        <f>Summary!G56</f>
        <v>59.38270416857255</v>
      </c>
      <c r="H7" s="582">
        <f>Summary!H56</f>
        <v>0</v>
      </c>
      <c r="I7" s="582">
        <f>Summary!I56</f>
        <v>59.38270416857255</v>
      </c>
      <c r="J7" s="597">
        <f>Summary!J56</f>
        <v>9721.652426075998</v>
      </c>
      <c r="K7" s="598">
        <f>Summary!K56</f>
        <v>60.12813638622401</v>
      </c>
      <c r="L7" s="598">
        <f>Summary!L56</f>
        <v>0</v>
      </c>
      <c r="M7" s="598">
        <f>Summary!M56</f>
        <v>60.12813638622401</v>
      </c>
      <c r="N7" s="603" t="s">
        <v>19</v>
      </c>
    </row>
    <row r="8" spans="1:14" ht="19.5" customHeight="1">
      <c r="A8" s="575" t="s">
        <v>51</v>
      </c>
      <c r="B8" s="576">
        <f>Summary!B57</f>
        <v>15121.11342734487</v>
      </c>
      <c r="C8" s="577">
        <f>Summary!C57</f>
        <v>104.4806778815449</v>
      </c>
      <c r="D8" s="577">
        <f>Summary!D57</f>
        <v>13.938654649489141</v>
      </c>
      <c r="E8" s="577">
        <f>Summary!E57</f>
        <v>90.54202323205577</v>
      </c>
      <c r="F8" s="578">
        <f>Summary!F57</f>
        <v>14850.843575292307</v>
      </c>
      <c r="G8" s="582">
        <f>Summary!G57</f>
        <v>104.70930684061129</v>
      </c>
      <c r="H8" s="582">
        <f>Summary!H57</f>
        <v>13.892679207240484</v>
      </c>
      <c r="I8" s="582">
        <f>Summary!I57</f>
        <v>90.81662763337081</v>
      </c>
      <c r="J8" s="597">
        <f>Summary!J57</f>
        <v>14631.568800027202</v>
      </c>
      <c r="K8" s="598">
        <f>Summary!K57</f>
        <v>104.94122051550595</v>
      </c>
      <c r="L8" s="598">
        <f>Summary!L57</f>
        <v>13.859633673076743</v>
      </c>
      <c r="M8" s="598">
        <f>Summary!M57</f>
        <v>91.0815868424292</v>
      </c>
      <c r="N8" s="603" t="s">
        <v>51</v>
      </c>
    </row>
    <row r="9" spans="1:14" ht="19.5" customHeight="1">
      <c r="A9" s="575" t="s">
        <v>11</v>
      </c>
      <c r="B9" s="576">
        <f>Summary!B58</f>
        <v>8289.031565136473</v>
      </c>
      <c r="C9" s="577">
        <f>Summary!C58</f>
        <v>119.13</v>
      </c>
      <c r="D9" s="577">
        <f>Summary!D58</f>
        <v>0.24053015200786307</v>
      </c>
      <c r="E9" s="577">
        <f>Summary!E58</f>
        <v>118.88946984799213</v>
      </c>
      <c r="F9" s="578">
        <f>Summary!F58</f>
        <v>8160.553647184364</v>
      </c>
      <c r="G9" s="582">
        <f>Summary!G58</f>
        <v>119.34365379777388</v>
      </c>
      <c r="H9" s="582">
        <f>Summary!H58</f>
        <v>0.6112079177928258</v>
      </c>
      <c r="I9" s="582">
        <f>Summary!I58</f>
        <v>118.73244587998106</v>
      </c>
      <c r="J9" s="597">
        <f>Summary!J58</f>
        <v>7918.420956131693</v>
      </c>
      <c r="K9" s="598">
        <f>Summary!K58</f>
        <v>120.51423026238609</v>
      </c>
      <c r="L9" s="598">
        <f>Summary!L58</f>
        <v>0</v>
      </c>
      <c r="M9" s="598">
        <f>Summary!M58</f>
        <v>120.51423026238609</v>
      </c>
      <c r="N9" s="603" t="s">
        <v>11</v>
      </c>
    </row>
    <row r="10" spans="1:14" ht="19.5" customHeight="1">
      <c r="A10" s="575" t="s">
        <v>20</v>
      </c>
      <c r="B10" s="576">
        <f>Summary!B59</f>
        <v>26732.354268244737</v>
      </c>
      <c r="C10" s="577">
        <f>Summary!C59</f>
        <v>59.37</v>
      </c>
      <c r="D10" s="577">
        <f>Summary!D59</f>
        <v>0</v>
      </c>
      <c r="E10" s="577">
        <f>Summary!E59</f>
        <v>59.37</v>
      </c>
      <c r="F10" s="578">
        <f>Summary!F59</f>
        <v>26422.999602619777</v>
      </c>
      <c r="G10" s="582">
        <f>Summary!G59</f>
        <v>59.38270416857256</v>
      </c>
      <c r="H10" s="582">
        <f>Summary!H59</f>
        <v>0</v>
      </c>
      <c r="I10" s="582">
        <f>Summary!I59</f>
        <v>59.38270416857256</v>
      </c>
      <c r="J10" s="597">
        <f>Summary!J59</f>
        <v>25530.4779696993</v>
      </c>
      <c r="K10" s="598">
        <f>Summary!K59</f>
        <v>60.12813638622401</v>
      </c>
      <c r="L10" s="598">
        <f>Summary!L59</f>
        <v>0</v>
      </c>
      <c r="M10" s="598">
        <f>Summary!M59</f>
        <v>60.12813638622401</v>
      </c>
      <c r="N10" s="603" t="s">
        <v>20</v>
      </c>
    </row>
    <row r="11" spans="1:14" ht="19.5" customHeight="1">
      <c r="A11" s="575" t="s">
        <v>21</v>
      </c>
      <c r="B11" s="576">
        <f>Summary!B60</f>
        <v>4044.4286835380485</v>
      </c>
      <c r="C11" s="577">
        <f>Summary!C60</f>
        <v>59.37</v>
      </c>
      <c r="D11" s="577">
        <f>Summary!D60</f>
        <v>0</v>
      </c>
      <c r="E11" s="577">
        <f>Summary!E60</f>
        <v>59.37</v>
      </c>
      <c r="F11" s="578">
        <f>Summary!F60</f>
        <v>3949.118786903238</v>
      </c>
      <c r="G11" s="582">
        <f>Summary!G60</f>
        <v>59.38270416857256</v>
      </c>
      <c r="H11" s="582">
        <f>Summary!H60</f>
        <v>0</v>
      </c>
      <c r="I11" s="582">
        <f>Summary!I60</f>
        <v>59.38270416857256</v>
      </c>
      <c r="J11" s="597">
        <f>Summary!J60</f>
        <v>3892.0380101531755</v>
      </c>
      <c r="K11" s="598">
        <f>Summary!K60</f>
        <v>60.12813638622401</v>
      </c>
      <c r="L11" s="598">
        <f>Summary!L60</f>
        <v>0</v>
      </c>
      <c r="M11" s="598">
        <f>Summary!M60</f>
        <v>60.12813638622401</v>
      </c>
      <c r="N11" s="603" t="s">
        <v>21</v>
      </c>
    </row>
    <row r="12" spans="1:14" ht="19.5" customHeight="1">
      <c r="A12" s="575" t="s">
        <v>64</v>
      </c>
      <c r="B12" s="576">
        <f>Summary!B61</f>
        <v>5320.337735149425</v>
      </c>
      <c r="C12" s="577">
        <f>Summary!C61</f>
        <v>59.37</v>
      </c>
      <c r="D12" s="577">
        <f>Summary!D61</f>
        <v>0</v>
      </c>
      <c r="E12" s="577">
        <f>Summary!E61</f>
        <v>59.37</v>
      </c>
      <c r="F12" s="578">
        <f>Summary!F61</f>
        <v>5236.966086036048</v>
      </c>
      <c r="G12" s="582">
        <f>Summary!G61</f>
        <v>59.38270416857255</v>
      </c>
      <c r="H12" s="582">
        <f>Summary!H61</f>
        <v>0</v>
      </c>
      <c r="I12" s="582">
        <f>Summary!I61</f>
        <v>59.38270416857255</v>
      </c>
      <c r="J12" s="597">
        <f>Summary!J61</f>
        <v>5107.5412166787255</v>
      </c>
      <c r="K12" s="598">
        <f>Summary!K61</f>
        <v>60.12813638622401</v>
      </c>
      <c r="L12" s="598">
        <f>Summary!L61</f>
        <v>0</v>
      </c>
      <c r="M12" s="598">
        <f>Summary!M61</f>
        <v>60.12813638622401</v>
      </c>
      <c r="N12" s="603" t="s">
        <v>64</v>
      </c>
    </row>
    <row r="13" spans="1:14" ht="19.5" customHeight="1">
      <c r="A13" s="575" t="s">
        <v>50</v>
      </c>
      <c r="B13" s="576">
        <f>Summary!B62</f>
        <v>3407.5107806186707</v>
      </c>
      <c r="C13" s="577">
        <f>Summary!C62</f>
        <v>59.37</v>
      </c>
      <c r="D13" s="577">
        <f>Summary!D62</f>
        <v>0</v>
      </c>
      <c r="E13" s="577">
        <f>Summary!E62</f>
        <v>59.37</v>
      </c>
      <c r="F13" s="578">
        <f>Summary!F62</f>
        <v>3364.00366651106</v>
      </c>
      <c r="G13" s="582">
        <f>Summary!G62</f>
        <v>59.38270416857256</v>
      </c>
      <c r="H13" s="582">
        <f>Summary!H62</f>
        <v>0</v>
      </c>
      <c r="I13" s="582">
        <f>Summary!I62</f>
        <v>59.38270416857256</v>
      </c>
      <c r="J13" s="597">
        <f>Summary!J62</f>
        <v>3282.852334761697</v>
      </c>
      <c r="K13" s="598">
        <f>Summary!K62</f>
        <v>60.12813638622401</v>
      </c>
      <c r="L13" s="598">
        <f>Summary!L62</f>
        <v>0</v>
      </c>
      <c r="M13" s="598">
        <f>Summary!M62</f>
        <v>60.12813638622401</v>
      </c>
      <c r="N13" s="603" t="s">
        <v>50</v>
      </c>
    </row>
    <row r="14" spans="1:14" ht="19.5" customHeight="1">
      <c r="A14" s="575" t="s">
        <v>33</v>
      </c>
      <c r="B14" s="576">
        <f>Summary!B63</f>
        <v>23219.069621605526</v>
      </c>
      <c r="C14" s="577">
        <f>Summary!C63</f>
        <v>59.37</v>
      </c>
      <c r="D14" s="577">
        <f>Summary!D63</f>
        <v>0</v>
      </c>
      <c r="E14" s="577">
        <f>Summary!E63</f>
        <v>59.37</v>
      </c>
      <c r="F14" s="578">
        <f>Summary!F63</f>
        <v>23477.695187585286</v>
      </c>
      <c r="G14" s="582">
        <f>Summary!G63</f>
        <v>59.382704168572566</v>
      </c>
      <c r="H14" s="582">
        <f>Summary!H63</f>
        <v>0</v>
      </c>
      <c r="I14" s="582">
        <f>Summary!I63</f>
        <v>59.382704168572566</v>
      </c>
      <c r="J14" s="597">
        <f>Summary!J63</f>
        <v>22586.57013034969</v>
      </c>
      <c r="K14" s="598">
        <f>Summary!K63</f>
        <v>60.12813638622401</v>
      </c>
      <c r="L14" s="598">
        <f>Summary!L63</f>
        <v>0</v>
      </c>
      <c r="M14" s="598">
        <f>Summary!M63</f>
        <v>60.12813638622401</v>
      </c>
      <c r="N14" s="603" t="s">
        <v>33</v>
      </c>
    </row>
    <row r="15" spans="1:14" ht="19.5" customHeight="1">
      <c r="A15" s="575" t="s">
        <v>17</v>
      </c>
      <c r="B15" s="576">
        <f>Summary!B64</f>
        <v>4790.532512672177</v>
      </c>
      <c r="C15" s="577">
        <f>Summary!C64</f>
        <v>119.13</v>
      </c>
      <c r="D15" s="577">
        <f>Summary!D64</f>
        <v>0.2405301520078631</v>
      </c>
      <c r="E15" s="577">
        <f>Summary!E64</f>
        <v>118.88946984799213</v>
      </c>
      <c r="F15" s="578">
        <f>Summary!F64</f>
        <v>4725.4304603601695</v>
      </c>
      <c r="G15" s="582">
        <f>Summary!G64</f>
        <v>119.34365379777387</v>
      </c>
      <c r="H15" s="582">
        <f>Summary!H64</f>
        <v>0.6112079177928258</v>
      </c>
      <c r="I15" s="582">
        <f>Summary!I64</f>
        <v>118.73244587998104</v>
      </c>
      <c r="J15" s="597">
        <f>Summary!J64</f>
        <v>4657.856988224499</v>
      </c>
      <c r="K15" s="598">
        <f>Summary!K64</f>
        <v>120.5142302623861</v>
      </c>
      <c r="L15" s="598">
        <f>Summary!L64</f>
        <v>0</v>
      </c>
      <c r="M15" s="598">
        <f>Summary!M64</f>
        <v>120.5142302623861</v>
      </c>
      <c r="N15" s="603" t="s">
        <v>17</v>
      </c>
    </row>
    <row r="16" spans="1:14" ht="19.5" customHeight="1">
      <c r="A16" s="575" t="s">
        <v>183</v>
      </c>
      <c r="B16" s="576">
        <f>Summary!B65</f>
        <v>2465.1625144896684</v>
      </c>
      <c r="C16" s="577">
        <f>Summary!C65</f>
        <v>59.37</v>
      </c>
      <c r="D16" s="577">
        <f>Summary!D65</f>
        <v>0</v>
      </c>
      <c r="E16" s="577">
        <f>Summary!E65</f>
        <v>59.37</v>
      </c>
      <c r="F16" s="578">
        <f>Summary!F65</f>
        <v>2406.7903474226814</v>
      </c>
      <c r="G16" s="582">
        <f>Summary!G65</f>
        <v>59.38270416857256</v>
      </c>
      <c r="H16" s="582">
        <f>Summary!H65</f>
        <v>0</v>
      </c>
      <c r="I16" s="582">
        <f>Summary!I65</f>
        <v>59.38270416857256</v>
      </c>
      <c r="J16" s="597">
        <f>Summary!J65</f>
        <v>2502.7100234237532</v>
      </c>
      <c r="K16" s="598">
        <f>Summary!K65</f>
        <v>60.128136386224014</v>
      </c>
      <c r="L16" s="598">
        <f>Summary!L65</f>
        <v>0</v>
      </c>
      <c r="M16" s="598">
        <f>Summary!M65</f>
        <v>60.128136386224014</v>
      </c>
      <c r="N16" s="603" t="s">
        <v>183</v>
      </c>
    </row>
    <row r="17" spans="1:14" ht="19.5" customHeight="1">
      <c r="A17" s="575" t="s">
        <v>12</v>
      </c>
      <c r="B17" s="576">
        <f>Summary!B66</f>
        <v>7257.452033086694</v>
      </c>
      <c r="C17" s="577">
        <f>Summary!C66</f>
        <v>119.13</v>
      </c>
      <c r="D17" s="577">
        <f>Summary!D66</f>
        <v>0.2405301520078631</v>
      </c>
      <c r="E17" s="577">
        <f>Summary!E66</f>
        <v>118.88946984799213</v>
      </c>
      <c r="F17" s="578">
        <f>Summary!F66</f>
        <v>7206.45012398938</v>
      </c>
      <c r="G17" s="582">
        <f>Summary!G66</f>
        <v>119.34365379777388</v>
      </c>
      <c r="H17" s="582">
        <f>Summary!H66</f>
        <v>0.6112079177928259</v>
      </c>
      <c r="I17" s="582">
        <f>Summary!I66</f>
        <v>118.73244587998106</v>
      </c>
      <c r="J17" s="597">
        <f>Summary!J66</f>
        <v>6977.702889744882</v>
      </c>
      <c r="K17" s="598">
        <f>Summary!K66</f>
        <v>120.5142302623861</v>
      </c>
      <c r="L17" s="598">
        <f>Summary!L66</f>
        <v>0</v>
      </c>
      <c r="M17" s="598">
        <f>Summary!M66</f>
        <v>120.5142302623861</v>
      </c>
      <c r="N17" s="603" t="s">
        <v>12</v>
      </c>
    </row>
    <row r="18" spans="1:14" ht="19.5" customHeight="1">
      <c r="A18" s="575" t="s">
        <v>13</v>
      </c>
      <c r="B18" s="576">
        <f>Summary!B67</f>
        <v>3489.400225279733</v>
      </c>
      <c r="C18" s="577">
        <f>Summary!C67</f>
        <v>119.13</v>
      </c>
      <c r="D18" s="577">
        <f>Summary!D67</f>
        <v>0.2405301520078631</v>
      </c>
      <c r="E18" s="577">
        <f>Summary!E67</f>
        <v>118.88946984799213</v>
      </c>
      <c r="F18" s="578">
        <f>Summary!F67</f>
        <v>3440.5435290985556</v>
      </c>
      <c r="G18" s="582">
        <f>Summary!G67</f>
        <v>119.34365379777387</v>
      </c>
      <c r="H18" s="582">
        <f>Summary!H67</f>
        <v>0.6112079177928258</v>
      </c>
      <c r="I18" s="582">
        <f>Summary!I67</f>
        <v>118.73244587998104</v>
      </c>
      <c r="J18" s="597">
        <f>Summary!J67</f>
        <v>3291.8952860953764</v>
      </c>
      <c r="K18" s="598">
        <f>Summary!K67</f>
        <v>120.51423026238609</v>
      </c>
      <c r="L18" s="598">
        <f>Summary!L67</f>
        <v>0</v>
      </c>
      <c r="M18" s="598">
        <f>Summary!M67</f>
        <v>120.51423026238609</v>
      </c>
      <c r="N18" s="603" t="s">
        <v>13</v>
      </c>
    </row>
    <row r="19" spans="1:14" ht="19.5" customHeight="1">
      <c r="A19" s="575" t="s">
        <v>9</v>
      </c>
      <c r="B19" s="576">
        <f>Summary!B68</f>
        <v>10131.544070010386</v>
      </c>
      <c r="C19" s="577">
        <f>Summary!C68</f>
        <v>119.13</v>
      </c>
      <c r="D19" s="577">
        <f>Summary!D68</f>
        <v>0.2405301520078631</v>
      </c>
      <c r="E19" s="577">
        <f>Summary!E68</f>
        <v>118.88946984799213</v>
      </c>
      <c r="F19" s="578">
        <f>Summary!F68</f>
        <v>10010.820885581556</v>
      </c>
      <c r="G19" s="582">
        <f>Summary!G68</f>
        <v>119.34365379777385</v>
      </c>
      <c r="H19" s="582">
        <f>Summary!H68</f>
        <v>0.6112079177928259</v>
      </c>
      <c r="I19" s="582">
        <f>Summary!I68</f>
        <v>118.73244587998103</v>
      </c>
      <c r="J19" s="597">
        <f>Summary!J68</f>
        <v>9627.013769359944</v>
      </c>
      <c r="K19" s="598">
        <f>Summary!K68</f>
        <v>120.51423026238609</v>
      </c>
      <c r="L19" s="598">
        <f>Summary!L68</f>
        <v>0</v>
      </c>
      <c r="M19" s="598">
        <f>Summary!M68</f>
        <v>120.51423026238609</v>
      </c>
      <c r="N19" s="603" t="s">
        <v>9</v>
      </c>
    </row>
    <row r="20" spans="1:14" ht="19.5" customHeight="1">
      <c r="A20" s="575" t="s">
        <v>14</v>
      </c>
      <c r="B20" s="576">
        <f>Summary!B69</f>
        <v>3462.103743726045</v>
      </c>
      <c r="C20" s="577">
        <f>Summary!C69</f>
        <v>119.13</v>
      </c>
      <c r="D20" s="577">
        <f>Summary!D69</f>
        <v>0.24053015200786304</v>
      </c>
      <c r="E20" s="577">
        <f>Summary!E69</f>
        <v>118.88946984799213</v>
      </c>
      <c r="F20" s="578">
        <f>Summary!F69</f>
        <v>3396.3809940907095</v>
      </c>
      <c r="G20" s="582">
        <f>Summary!G69</f>
        <v>119.34365379777388</v>
      </c>
      <c r="H20" s="582">
        <f>Summary!H69</f>
        <v>0.6112079177928258</v>
      </c>
      <c r="I20" s="582">
        <f>Summary!I69</f>
        <v>118.73244587998106</v>
      </c>
      <c r="J20" s="597">
        <f>Summary!J69</f>
        <v>3247.680544720307</v>
      </c>
      <c r="K20" s="598">
        <f>Summary!K69</f>
        <v>120.51423026238608</v>
      </c>
      <c r="L20" s="598">
        <f>Summary!L69</f>
        <v>0</v>
      </c>
      <c r="M20" s="598">
        <f>Summary!M69</f>
        <v>120.51423026238608</v>
      </c>
      <c r="N20" s="603" t="s">
        <v>14</v>
      </c>
    </row>
    <row r="21" spans="1:14" ht="19.5" customHeight="1">
      <c r="A21" s="575" t="s">
        <v>15</v>
      </c>
      <c r="B21" s="576">
        <f>Summary!B70</f>
        <v>7734.003106878157</v>
      </c>
      <c r="C21" s="577">
        <f>Summary!C70</f>
        <v>119.13</v>
      </c>
      <c r="D21" s="577">
        <f>Summary!D70</f>
        <v>0.24053015200786312</v>
      </c>
      <c r="E21" s="577">
        <f>Summary!E70</f>
        <v>118.88946984799213</v>
      </c>
      <c r="F21" s="578">
        <f>Summary!F70</f>
        <v>7650.859434530962</v>
      </c>
      <c r="G21" s="582">
        <f>Summary!G70</f>
        <v>119.34365379777387</v>
      </c>
      <c r="H21" s="582">
        <f>Summary!H70</f>
        <v>0.6112079177928258</v>
      </c>
      <c r="I21" s="582">
        <f>Summary!I70</f>
        <v>118.73244587998104</v>
      </c>
      <c r="J21" s="597">
        <f>Summary!J70</f>
        <v>7340.751190763261</v>
      </c>
      <c r="K21" s="598">
        <f>Summary!K70</f>
        <v>120.5142302623861</v>
      </c>
      <c r="L21" s="598">
        <f>Summary!L70</f>
        <v>0</v>
      </c>
      <c r="M21" s="598">
        <f>Summary!M70</f>
        <v>120.5142302623861</v>
      </c>
      <c r="N21" s="603" t="s">
        <v>15</v>
      </c>
    </row>
    <row r="22" spans="1:14" ht="19.5" customHeight="1">
      <c r="A22" s="575" t="s">
        <v>10</v>
      </c>
      <c r="B22" s="576">
        <f>Summary!B71</f>
        <v>8622.276110771076</v>
      </c>
      <c r="C22" s="577">
        <f>Summary!C71</f>
        <v>119.13</v>
      </c>
      <c r="D22" s="577">
        <f>Summary!D71</f>
        <v>0.24053015200786307</v>
      </c>
      <c r="E22" s="577">
        <f>Summary!E71</f>
        <v>118.88946984799213</v>
      </c>
      <c r="F22" s="578">
        <f>Summary!F71</f>
        <v>8488.08225964082</v>
      </c>
      <c r="G22" s="582">
        <f>Summary!G71</f>
        <v>119.34365379777387</v>
      </c>
      <c r="H22" s="582">
        <f>Summary!H71</f>
        <v>0.6112079177928258</v>
      </c>
      <c r="I22" s="582">
        <f>Summary!I71</f>
        <v>118.73244587998104</v>
      </c>
      <c r="J22" s="597">
        <f>Summary!J71</f>
        <v>8183.898705083555</v>
      </c>
      <c r="K22" s="598">
        <f>Summary!K71</f>
        <v>120.51423026238608</v>
      </c>
      <c r="L22" s="598">
        <f>Summary!L71</f>
        <v>0</v>
      </c>
      <c r="M22" s="598">
        <f>Summary!M71</f>
        <v>120.51423026238608</v>
      </c>
      <c r="N22" s="603" t="s">
        <v>10</v>
      </c>
    </row>
    <row r="23" spans="1:14" ht="19.5" customHeight="1">
      <c r="A23" s="575" t="s">
        <v>8</v>
      </c>
      <c r="B23" s="576">
        <f>Summary!B72</f>
        <v>12055.946019545365</v>
      </c>
      <c r="C23" s="577">
        <f>Summary!C72</f>
        <v>219</v>
      </c>
      <c r="D23" s="577">
        <f>Summary!D72</f>
        <v>41.38608634851499</v>
      </c>
      <c r="E23" s="577">
        <f>Summary!E72</f>
        <v>177.613913651485</v>
      </c>
      <c r="F23" s="578">
        <f>Summary!F72</f>
        <v>11886.156063525084</v>
      </c>
      <c r="G23" s="582">
        <f>Summary!G72</f>
        <v>218.92236788321196</v>
      </c>
      <c r="H23" s="582">
        <f>Summary!H72</f>
        <v>41.875391005585364</v>
      </c>
      <c r="I23" s="582">
        <f>Summary!I72</f>
        <v>177.0469768776266</v>
      </c>
      <c r="J23" s="597">
        <f>Summary!J72</f>
        <v>11451.396087696377</v>
      </c>
      <c r="K23" s="598">
        <f>Summary!K72</f>
        <v>220.4258769073194</v>
      </c>
      <c r="L23" s="598">
        <f>Summary!L72</f>
        <v>39.94435214486835</v>
      </c>
      <c r="M23" s="598">
        <f>Summary!M72</f>
        <v>180.48152476245104</v>
      </c>
      <c r="N23" s="603" t="s">
        <v>8</v>
      </c>
    </row>
    <row r="24" spans="1:14" ht="19.5" customHeight="1">
      <c r="A24" s="575" t="s">
        <v>18</v>
      </c>
      <c r="B24" s="576">
        <f>Summary!B73</f>
        <v>473.1390135972519</v>
      </c>
      <c r="C24" s="577">
        <f>Summary!C73</f>
        <v>119.13</v>
      </c>
      <c r="D24" s="577">
        <f>Summary!D73</f>
        <v>0.24053015200786307</v>
      </c>
      <c r="E24" s="577">
        <f>Summary!E73</f>
        <v>118.88946984799213</v>
      </c>
      <c r="F24" s="578">
        <f>Summary!F73</f>
        <v>470.0798600736943</v>
      </c>
      <c r="G24" s="582">
        <f>Summary!G73</f>
        <v>119.34365379777387</v>
      </c>
      <c r="H24" s="582">
        <f>Summary!H73</f>
        <v>0.6112079177928257</v>
      </c>
      <c r="I24" s="582">
        <f>Summary!I73</f>
        <v>118.73244587998104</v>
      </c>
      <c r="J24" s="597">
        <f>Summary!J73</f>
        <v>466.37485199812437</v>
      </c>
      <c r="K24" s="598">
        <f>Summary!K73</f>
        <v>120.51423026238608</v>
      </c>
      <c r="L24" s="598">
        <f>Summary!L73</f>
        <v>0</v>
      </c>
      <c r="M24" s="598">
        <f>Summary!M73</f>
        <v>120.51423026238608</v>
      </c>
      <c r="N24" s="603" t="s">
        <v>18</v>
      </c>
    </row>
    <row r="25" spans="1:13" ht="19.5" customHeight="1">
      <c r="A25" s="275"/>
      <c r="B25" s="579">
        <f>SUM(B5:B24)</f>
        <v>173312.8875</v>
      </c>
      <c r="C25" s="580"/>
      <c r="D25" s="580"/>
      <c r="E25" s="580"/>
      <c r="F25" s="581">
        <f>SUM(F5:F24)</f>
        <v>171063.24999999997</v>
      </c>
      <c r="G25" s="275"/>
      <c r="H25" s="275"/>
      <c r="I25" s="275"/>
      <c r="J25" s="599">
        <f>SUM(J5:J24)</f>
        <v>165938.91249999995</v>
      </c>
      <c r="K25" s="275"/>
      <c r="L25" s="275"/>
      <c r="M25" s="275"/>
    </row>
    <row r="27" spans="1:10" ht="12.75">
      <c r="A27" s="620" t="s">
        <v>173</v>
      </c>
      <c r="B27" s="620"/>
      <c r="C27" s="620"/>
      <c r="D27" s="620"/>
      <c r="E27" s="620"/>
      <c r="F27" s="620"/>
      <c r="G27" s="620"/>
      <c r="H27" s="620"/>
      <c r="I27" s="620"/>
      <c r="J27" s="620"/>
    </row>
  </sheetData>
  <sheetProtection/>
  <mergeCells count="5">
    <mergeCell ref="B3:E3"/>
    <mergeCell ref="F3:I3"/>
    <mergeCell ref="A27:J27"/>
    <mergeCell ref="J3:M3"/>
    <mergeCell ref="A1:N1"/>
  </mergeCells>
  <printOptions/>
  <pageMargins left="0.7" right="0.7" top="0.75" bottom="0.75" header="0.3" footer="0.3"/>
  <pageSetup fitToHeight="1" fitToWidth="1" horizontalDpi="600" verticalDpi="600" orientation="landscape" paperSize="17" scale="85" r:id="rId1"/>
</worksheet>
</file>

<file path=xl/worksheets/sheet10.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18" width="15.7109375" style="0" customWidth="1"/>
    <col min="19" max="19" width="20.00390625" style="0" customWidth="1"/>
    <col min="20" max="20" width="15.7109375" style="0" customWidth="1"/>
  </cols>
  <sheetData>
    <row r="1" spans="1:2" ht="17.25">
      <c r="A1" s="3" t="s">
        <v>288</v>
      </c>
      <c r="B1" s="19" t="s">
        <v>24</v>
      </c>
    </row>
    <row r="2" spans="1:3" ht="18" thickBot="1">
      <c r="A2" s="3"/>
      <c r="C2" s="66"/>
    </row>
    <row r="3" spans="1:8" ht="13.5" thickBot="1">
      <c r="A3" s="661" t="s">
        <v>79</v>
      </c>
      <c r="H3" s="265" t="s">
        <v>208</v>
      </c>
    </row>
    <row r="4" spans="1:15" ht="14.25" thickBot="1">
      <c r="A4" s="662"/>
      <c r="B4" s="205" t="s">
        <v>30</v>
      </c>
      <c r="C4" s="191" t="s">
        <v>41</v>
      </c>
      <c r="D4" s="191" t="s">
        <v>5</v>
      </c>
      <c r="E4" s="191" t="s">
        <v>8</v>
      </c>
      <c r="F4" s="191" t="s">
        <v>42</v>
      </c>
      <c r="G4" s="191" t="s">
        <v>43</v>
      </c>
      <c r="H4" s="191" t="s">
        <v>43</v>
      </c>
      <c r="I4" s="516" t="s">
        <v>24</v>
      </c>
      <c r="J4" s="111"/>
      <c r="K4" s="111"/>
      <c r="L4" s="111"/>
      <c r="M4" s="111"/>
      <c r="N4" s="111"/>
      <c r="O4" s="111"/>
    </row>
    <row r="5" spans="1:16" ht="30.75">
      <c r="A5" s="311" t="s">
        <v>144</v>
      </c>
      <c r="B5" s="188" t="s">
        <v>158</v>
      </c>
      <c r="C5" s="189" t="s">
        <v>158</v>
      </c>
      <c r="D5" s="189" t="s">
        <v>158</v>
      </c>
      <c r="E5" s="189" t="s">
        <v>158</v>
      </c>
      <c r="F5" s="189" t="s">
        <v>158</v>
      </c>
      <c r="G5" s="189" t="s">
        <v>158</v>
      </c>
      <c r="H5" s="189" t="s">
        <v>209</v>
      </c>
      <c r="I5" s="130" t="s">
        <v>24</v>
      </c>
      <c r="J5" s="111"/>
      <c r="K5" s="111"/>
      <c r="L5" s="111"/>
      <c r="M5" s="111"/>
      <c r="N5" s="111"/>
      <c r="O5" s="111"/>
      <c r="P5" s="40"/>
    </row>
    <row r="6" spans="1:16" ht="13.5">
      <c r="A6" s="312" t="s">
        <v>145</v>
      </c>
      <c r="B6" s="313"/>
      <c r="C6" s="314"/>
      <c r="D6" s="314"/>
      <c r="E6" s="314"/>
      <c r="F6" s="314"/>
      <c r="G6" s="314"/>
      <c r="H6" s="314"/>
      <c r="I6" s="517" t="s">
        <v>24</v>
      </c>
      <c r="J6" s="111"/>
      <c r="K6" s="111"/>
      <c r="L6" s="111"/>
      <c r="M6" s="111"/>
      <c r="N6" s="111"/>
      <c r="O6" s="111"/>
      <c r="P6" s="40"/>
    </row>
    <row r="7" spans="1:16" ht="13.5">
      <c r="A7" s="315" t="s">
        <v>135</v>
      </c>
      <c r="B7" s="316">
        <v>160</v>
      </c>
      <c r="C7" s="317">
        <v>0</v>
      </c>
      <c r="D7" s="317">
        <v>0</v>
      </c>
      <c r="E7" s="317">
        <v>0</v>
      </c>
      <c r="F7" s="317">
        <v>0</v>
      </c>
      <c r="G7" s="317">
        <v>0</v>
      </c>
      <c r="H7" s="317">
        <v>0</v>
      </c>
      <c r="I7" s="435" t="s">
        <v>24</v>
      </c>
      <c r="J7" s="112"/>
      <c r="K7" s="112"/>
      <c r="L7" s="112"/>
      <c r="M7" s="112"/>
      <c r="N7" s="112"/>
      <c r="O7" s="112"/>
      <c r="P7" s="40"/>
    </row>
    <row r="8" spans="1:16" ht="26.25">
      <c r="A8" s="315" t="s">
        <v>136</v>
      </c>
      <c r="B8" s="316">
        <v>106</v>
      </c>
      <c r="C8" s="317">
        <v>0</v>
      </c>
      <c r="D8" s="317">
        <v>0</v>
      </c>
      <c r="E8" s="317">
        <v>0</v>
      </c>
      <c r="F8" s="317">
        <v>0</v>
      </c>
      <c r="G8" s="317">
        <v>0</v>
      </c>
      <c r="H8" s="317">
        <v>0</v>
      </c>
      <c r="I8" s="435" t="s">
        <v>24</v>
      </c>
      <c r="J8" s="112"/>
      <c r="K8" s="112"/>
      <c r="L8" s="112"/>
      <c r="M8" s="112"/>
      <c r="N8" s="112"/>
      <c r="O8" s="112"/>
      <c r="P8" s="40"/>
    </row>
    <row r="9" spans="1:16" ht="13.5">
      <c r="A9" s="315" t="s">
        <v>140</v>
      </c>
      <c r="B9" s="316">
        <v>117</v>
      </c>
      <c r="C9" s="317">
        <v>0</v>
      </c>
      <c r="D9" s="317">
        <v>0</v>
      </c>
      <c r="E9" s="317">
        <v>0</v>
      </c>
      <c r="F9" s="317">
        <v>0</v>
      </c>
      <c r="G9" s="317">
        <v>0</v>
      </c>
      <c r="H9" s="317">
        <v>0</v>
      </c>
      <c r="I9" s="435" t="s">
        <v>24</v>
      </c>
      <c r="J9" s="112"/>
      <c r="K9" s="112"/>
      <c r="L9" s="112"/>
      <c r="M9" s="112"/>
      <c r="N9" s="112"/>
      <c r="O9" s="112"/>
      <c r="P9" s="40"/>
    </row>
    <row r="10" spans="1:16" ht="26.25">
      <c r="A10" s="315" t="s">
        <v>141</v>
      </c>
      <c r="B10" s="316">
        <v>0</v>
      </c>
      <c r="C10" s="317">
        <v>898</v>
      </c>
      <c r="D10" s="317">
        <v>0</v>
      </c>
      <c r="E10" s="317">
        <v>68.9</v>
      </c>
      <c r="F10" s="317">
        <v>105.5</v>
      </c>
      <c r="G10" s="317">
        <v>0</v>
      </c>
      <c r="H10" s="317">
        <v>0</v>
      </c>
      <c r="I10" s="435" t="s">
        <v>24</v>
      </c>
      <c r="J10" s="112"/>
      <c r="K10" s="112"/>
      <c r="L10" s="112"/>
      <c r="M10" s="112"/>
      <c r="N10" s="112"/>
      <c r="O10" s="112"/>
      <c r="P10" s="40"/>
    </row>
    <row r="11" spans="1:16" ht="26.25">
      <c r="A11" s="315" t="s">
        <v>193</v>
      </c>
      <c r="B11" s="316">
        <v>339</v>
      </c>
      <c r="C11" s="317">
        <v>0</v>
      </c>
      <c r="D11" s="317">
        <v>0</v>
      </c>
      <c r="E11" s="317">
        <v>0</v>
      </c>
      <c r="F11" s="317">
        <v>0</v>
      </c>
      <c r="G11" s="317">
        <v>0</v>
      </c>
      <c r="H11" s="317">
        <v>0</v>
      </c>
      <c r="I11" s="435" t="s">
        <v>24</v>
      </c>
      <c r="J11" s="112"/>
      <c r="K11" s="112"/>
      <c r="L11" s="112"/>
      <c r="M11" s="112"/>
      <c r="N11" s="112"/>
      <c r="O11" s="112"/>
      <c r="P11" s="40"/>
    </row>
    <row r="12" spans="1:16" ht="26.25">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t="s">
        <v>24</v>
      </c>
      <c r="J12" s="310" t="s">
        <v>24</v>
      </c>
      <c r="K12" s="112"/>
      <c r="L12" s="112"/>
      <c r="M12" s="112"/>
      <c r="N12" s="112"/>
      <c r="O12" s="112"/>
      <c r="P12" s="40"/>
    </row>
    <row r="13" spans="1:16" ht="13.5">
      <c r="A13" s="312" t="s">
        <v>146</v>
      </c>
      <c r="B13" s="316" t="s">
        <v>24</v>
      </c>
      <c r="C13" s="317"/>
      <c r="D13" s="317"/>
      <c r="E13" s="317"/>
      <c r="F13" s="317"/>
      <c r="G13" s="317"/>
      <c r="H13" s="317"/>
      <c r="I13" s="435" t="s">
        <v>24</v>
      </c>
      <c r="J13" s="113"/>
      <c r="K13" s="114"/>
      <c r="L13" s="113"/>
      <c r="M13" s="113"/>
      <c r="N13" s="113"/>
      <c r="O13" s="114"/>
      <c r="P13" s="40"/>
    </row>
    <row r="14" spans="1:16" ht="39">
      <c r="A14" s="315" t="s">
        <v>137</v>
      </c>
      <c r="B14" s="316">
        <v>16</v>
      </c>
      <c r="C14" s="317">
        <v>0</v>
      </c>
      <c r="D14" s="317">
        <v>237</v>
      </c>
      <c r="E14" s="317">
        <v>0</v>
      </c>
      <c r="F14" s="317">
        <v>0</v>
      </c>
      <c r="G14" s="317">
        <v>0</v>
      </c>
      <c r="H14" s="317">
        <v>0</v>
      </c>
      <c r="I14" s="435" t="s">
        <v>24</v>
      </c>
      <c r="J14" s="113"/>
      <c r="K14" s="114"/>
      <c r="L14" s="113"/>
      <c r="M14" s="113"/>
      <c r="N14" s="113"/>
      <c r="O14" s="114"/>
      <c r="P14" s="40"/>
    </row>
    <row r="15" spans="1:16" ht="26.25">
      <c r="A15" s="315" t="s">
        <v>174</v>
      </c>
      <c r="B15" s="316">
        <v>0</v>
      </c>
      <c r="C15" s="317">
        <v>0</v>
      </c>
      <c r="D15" s="317">
        <v>0</v>
      </c>
      <c r="E15" s="317">
        <v>340.2</v>
      </c>
      <c r="F15" s="317">
        <v>494.5</v>
      </c>
      <c r="G15" s="317">
        <v>0</v>
      </c>
      <c r="H15" s="317">
        <v>0</v>
      </c>
      <c r="I15" s="435" t="s">
        <v>24</v>
      </c>
      <c r="J15" s="113"/>
      <c r="K15" s="114"/>
      <c r="L15" s="113"/>
      <c r="M15" s="113"/>
      <c r="N15" s="113"/>
      <c r="O15" s="114"/>
      <c r="P15" s="40"/>
    </row>
    <row r="16" spans="1:16" ht="26.25">
      <c r="A16" s="315" t="s">
        <v>138</v>
      </c>
      <c r="B16" s="316">
        <v>0</v>
      </c>
      <c r="C16" s="317">
        <v>0</v>
      </c>
      <c r="D16" s="317">
        <v>0</v>
      </c>
      <c r="E16" s="317">
        <v>90.3</v>
      </c>
      <c r="F16" s="317">
        <v>0</v>
      </c>
      <c r="G16" s="317">
        <v>0</v>
      </c>
      <c r="H16" s="317">
        <v>0</v>
      </c>
      <c r="I16" s="435" t="s">
        <v>24</v>
      </c>
      <c r="J16" s="113"/>
      <c r="K16" s="114"/>
      <c r="L16" s="113"/>
      <c r="M16" s="113"/>
      <c r="N16" s="113"/>
      <c r="O16" s="114"/>
      <c r="P16" s="40"/>
    </row>
    <row r="17" spans="1:16" ht="13.5">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t="s">
        <v>24</v>
      </c>
      <c r="J17" s="310" t="s">
        <v>24</v>
      </c>
      <c r="K17" s="114"/>
      <c r="L17" s="113"/>
      <c r="M17" s="113"/>
      <c r="N17" s="113"/>
      <c r="O17" s="114"/>
      <c r="P17" s="40"/>
    </row>
    <row r="18" spans="1:16" ht="13.5">
      <c r="A18" s="167" t="s">
        <v>314</v>
      </c>
      <c r="B18" s="320"/>
      <c r="C18" s="321"/>
      <c r="D18" s="321"/>
      <c r="E18" s="321"/>
      <c r="F18" s="321"/>
      <c r="G18" s="321"/>
      <c r="H18" s="321"/>
      <c r="I18" s="518" t="s">
        <v>24</v>
      </c>
      <c r="J18" s="113"/>
      <c r="K18" s="114"/>
      <c r="L18" s="113"/>
      <c r="M18" s="113"/>
      <c r="N18" s="113"/>
      <c r="O18" s="114"/>
      <c r="P18" s="40"/>
    </row>
    <row r="19" spans="1:16" ht="26.25">
      <c r="A19" s="315" t="s">
        <v>139</v>
      </c>
      <c r="B19" s="316">
        <v>159</v>
      </c>
      <c r="C19" s="317">
        <v>0</v>
      </c>
      <c r="D19" s="317">
        <v>0</v>
      </c>
      <c r="E19" s="317">
        <v>0</v>
      </c>
      <c r="F19" s="317">
        <v>0</v>
      </c>
      <c r="G19" s="317">
        <v>0</v>
      </c>
      <c r="H19" s="317">
        <v>0</v>
      </c>
      <c r="I19" s="435" t="s">
        <v>24</v>
      </c>
      <c r="J19" s="113"/>
      <c r="K19" s="114"/>
      <c r="L19" s="113"/>
      <c r="M19" s="113"/>
      <c r="N19" s="113"/>
      <c r="O19" s="114"/>
      <c r="P19" s="40"/>
    </row>
    <row r="20" spans="1:16" ht="13.5">
      <c r="A20" s="326" t="s">
        <v>192</v>
      </c>
      <c r="B20" s="316">
        <v>0</v>
      </c>
      <c r="C20" s="317">
        <v>0</v>
      </c>
      <c r="D20" s="317">
        <v>0</v>
      </c>
      <c r="E20" s="317">
        <v>0</v>
      </c>
      <c r="F20" s="317">
        <v>0</v>
      </c>
      <c r="G20" s="317">
        <v>37</v>
      </c>
      <c r="H20" s="317">
        <f>G20*'1st IA CTRs'!G9/(G12+G17+G21)</f>
        <v>0</v>
      </c>
      <c r="I20" s="435" t="s">
        <v>24</v>
      </c>
      <c r="J20" s="113"/>
      <c r="K20" s="114"/>
      <c r="L20" s="113"/>
      <c r="M20" s="113"/>
      <c r="N20" s="113"/>
      <c r="O20" s="114"/>
      <c r="P20" s="40"/>
    </row>
    <row r="21" spans="1:16" ht="13.5">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t="s">
        <v>24</v>
      </c>
      <c r="J21" s="310" t="s">
        <v>24</v>
      </c>
      <c r="K21" s="114"/>
      <c r="L21" s="113"/>
      <c r="M21" s="113"/>
      <c r="N21" s="113"/>
      <c r="O21" s="114"/>
      <c r="P21" s="40"/>
    </row>
    <row r="22" spans="1:16" ht="14.25" thickBot="1">
      <c r="A22" s="564"/>
      <c r="B22" s="565"/>
      <c r="C22" s="566"/>
      <c r="D22" s="566"/>
      <c r="E22" s="566"/>
      <c r="F22" s="566"/>
      <c r="G22" s="566"/>
      <c r="H22" s="566"/>
      <c r="I22" s="522" t="s">
        <v>24</v>
      </c>
      <c r="J22" s="113"/>
      <c r="K22" s="114"/>
      <c r="L22" s="113"/>
      <c r="M22" s="113"/>
      <c r="N22" s="113"/>
      <c r="O22" s="114"/>
      <c r="P22" s="40"/>
    </row>
    <row r="23" spans="1:16" ht="14.25" thickBot="1">
      <c r="A23" s="567" t="s">
        <v>115</v>
      </c>
      <c r="B23" s="568">
        <f aca="true" t="shared" si="3" ref="B23:H23">B12+B17+B21</f>
        <v>897</v>
      </c>
      <c r="C23" s="569">
        <f t="shared" si="3"/>
        <v>898</v>
      </c>
      <c r="D23" s="569">
        <f t="shared" si="3"/>
        <v>237</v>
      </c>
      <c r="E23" s="569">
        <f t="shared" si="3"/>
        <v>499.4</v>
      </c>
      <c r="F23" s="569">
        <f t="shared" si="3"/>
        <v>600</v>
      </c>
      <c r="G23" s="569">
        <f t="shared" si="3"/>
        <v>37</v>
      </c>
      <c r="H23" s="569">
        <f t="shared" si="3"/>
        <v>0</v>
      </c>
      <c r="I23" s="521" t="s">
        <v>24</v>
      </c>
      <c r="J23" s="116"/>
      <c r="K23" s="112"/>
      <c r="L23" s="116"/>
      <c r="M23" s="116"/>
      <c r="N23" s="116"/>
      <c r="O23" s="112"/>
      <c r="P23" s="40"/>
    </row>
    <row r="24" spans="1:20" ht="30" customHeight="1">
      <c r="A24" s="634" t="s">
        <v>162</v>
      </c>
      <c r="B24" s="635"/>
      <c r="C24" s="635"/>
      <c r="D24" s="635"/>
      <c r="E24" s="635"/>
      <c r="F24" s="635"/>
      <c r="G24" s="635"/>
      <c r="H24" s="635"/>
      <c r="I24" s="120"/>
      <c r="J24" s="119"/>
      <c r="K24" s="119"/>
      <c r="L24" s="119"/>
      <c r="M24" s="120"/>
      <c r="N24" s="40"/>
      <c r="O24" s="40"/>
      <c r="P24" s="40"/>
      <c r="Q24" s="40"/>
      <c r="R24" s="40"/>
      <c r="S24" s="40"/>
      <c r="T24" s="40"/>
    </row>
    <row r="25" spans="1:20" ht="13.5">
      <c r="A25" s="239" t="s">
        <v>24</v>
      </c>
      <c r="B25" s="117"/>
      <c r="C25" s="117"/>
      <c r="D25" s="118"/>
      <c r="E25" s="119"/>
      <c r="F25" s="119"/>
      <c r="G25" s="119"/>
      <c r="H25" s="119"/>
      <c r="I25" s="120"/>
      <c r="J25" s="119"/>
      <c r="K25" s="119"/>
      <c r="L25" s="119"/>
      <c r="M25" s="120"/>
      <c r="N25" s="40"/>
      <c r="O25" s="40"/>
      <c r="P25" s="40"/>
      <c r="Q25" s="40"/>
      <c r="R25" s="40"/>
      <c r="S25" s="40"/>
      <c r="T25" s="40"/>
    </row>
    <row r="26" spans="1:20" ht="14.25" thickBot="1">
      <c r="A26" s="115"/>
      <c r="B26" s="117"/>
      <c r="C26" s="117"/>
      <c r="D26" s="118"/>
      <c r="E26" s="119"/>
      <c r="F26" s="119"/>
      <c r="G26" s="119"/>
      <c r="H26" s="119"/>
      <c r="I26" s="120"/>
      <c r="J26" s="119"/>
      <c r="K26" s="119"/>
      <c r="L26" s="119"/>
      <c r="M26" s="120"/>
      <c r="N26" s="40"/>
      <c r="O26" s="40"/>
      <c r="P26" s="40"/>
      <c r="Q26" s="40"/>
      <c r="R26" s="40"/>
      <c r="S26" s="40"/>
      <c r="T26" s="40"/>
    </row>
    <row r="27" spans="1:13" ht="47.25" thickBot="1">
      <c r="A27" s="122" t="s">
        <v>149</v>
      </c>
      <c r="B27" s="183" t="s">
        <v>24</v>
      </c>
      <c r="C27" s="183" t="s">
        <v>24</v>
      </c>
      <c r="D27" s="39"/>
      <c r="E27" s="119"/>
      <c r="F27" s="119"/>
      <c r="G27" s="556"/>
      <c r="H27" s="545"/>
      <c r="I27" s="545"/>
      <c r="J27" s="546"/>
      <c r="K27" s="547"/>
      <c r="L27" s="547"/>
      <c r="M27" s="120"/>
    </row>
    <row r="28" spans="1:13" ht="66">
      <c r="A28" s="196" t="s">
        <v>76</v>
      </c>
      <c r="B28" s="195" t="s">
        <v>145</v>
      </c>
      <c r="C28" s="192" t="s">
        <v>150</v>
      </c>
      <c r="D28" s="192" t="s">
        <v>151</v>
      </c>
      <c r="E28" s="192" t="s">
        <v>152</v>
      </c>
      <c r="F28" s="119"/>
      <c r="G28" s="549"/>
      <c r="H28" s="550"/>
      <c r="I28" s="551"/>
      <c r="J28" s="551"/>
      <c r="K28" s="551"/>
      <c r="L28" s="551"/>
      <c r="M28" s="120"/>
    </row>
    <row r="29" spans="1:16" ht="14.25">
      <c r="A29" s="50" t="s">
        <v>16</v>
      </c>
      <c r="B29" s="60">
        <v>0.017</v>
      </c>
      <c r="C29" s="60">
        <v>0.0896</v>
      </c>
      <c r="D29" s="60">
        <v>0.0021</v>
      </c>
      <c r="E29" s="60">
        <v>0</v>
      </c>
      <c r="F29" s="119"/>
      <c r="G29" s="552"/>
      <c r="H29" s="553"/>
      <c r="I29" s="553"/>
      <c r="J29" s="553"/>
      <c r="K29" s="553"/>
      <c r="L29" s="553"/>
      <c r="M29" s="570"/>
      <c r="N29" s="570"/>
      <c r="O29" s="570"/>
      <c r="P29" s="570"/>
    </row>
    <row r="30" spans="1:16" ht="14.25">
      <c r="A30" s="50" t="s">
        <v>32</v>
      </c>
      <c r="B30" s="60">
        <v>0.1422</v>
      </c>
      <c r="C30" s="60">
        <v>0</v>
      </c>
      <c r="D30" s="60">
        <v>0</v>
      </c>
      <c r="E30" s="60">
        <v>0</v>
      </c>
      <c r="F30" s="119"/>
      <c r="G30" s="552"/>
      <c r="H30" s="553"/>
      <c r="I30" s="553"/>
      <c r="J30" s="553"/>
      <c r="K30" s="553"/>
      <c r="L30" s="553"/>
      <c r="M30" s="570"/>
      <c r="N30" s="570"/>
      <c r="O30" s="570"/>
      <c r="P30" s="570"/>
    </row>
    <row r="31" spans="1:16" ht="14.25">
      <c r="A31" s="50" t="s">
        <v>19</v>
      </c>
      <c r="B31" s="60">
        <v>0.054</v>
      </c>
      <c r="C31" s="60">
        <v>0</v>
      </c>
      <c r="D31" s="60">
        <v>0</v>
      </c>
      <c r="E31" s="60">
        <v>0</v>
      </c>
      <c r="F31" s="119"/>
      <c r="G31" s="552"/>
      <c r="H31" s="553"/>
      <c r="I31" s="553"/>
      <c r="J31" s="553"/>
      <c r="K31" s="553"/>
      <c r="L31" s="553"/>
      <c r="M31" s="570"/>
      <c r="N31" s="570"/>
      <c r="O31" s="570"/>
      <c r="P31" s="570"/>
    </row>
    <row r="32" spans="1:20" ht="14.25">
      <c r="A32" s="50" t="s">
        <v>51</v>
      </c>
      <c r="B32" s="60">
        <v>0.0817</v>
      </c>
      <c r="C32" s="60">
        <v>0</v>
      </c>
      <c r="D32" s="60">
        <v>0</v>
      </c>
      <c r="E32" s="60">
        <v>0</v>
      </c>
      <c r="F32" s="40"/>
      <c r="G32" s="552"/>
      <c r="H32" s="553"/>
      <c r="I32" s="553"/>
      <c r="J32" s="553"/>
      <c r="K32" s="553"/>
      <c r="L32" s="553"/>
      <c r="M32" s="570"/>
      <c r="N32" s="570"/>
      <c r="O32" s="570"/>
      <c r="P32" s="570"/>
      <c r="Q32" s="40"/>
      <c r="R32" s="40"/>
      <c r="S32" s="40"/>
      <c r="T32" s="40"/>
    </row>
    <row r="33" spans="1:20" ht="14.25">
      <c r="A33" s="50" t="s">
        <v>11</v>
      </c>
      <c r="B33" s="60">
        <v>0.0425</v>
      </c>
      <c r="C33" s="60">
        <v>0</v>
      </c>
      <c r="D33" s="60">
        <v>0.0088</v>
      </c>
      <c r="E33" s="60">
        <v>0</v>
      </c>
      <c r="F33" s="40"/>
      <c r="G33" s="552"/>
      <c r="H33" s="553"/>
      <c r="I33" s="553"/>
      <c r="J33" s="553"/>
      <c r="K33" s="553"/>
      <c r="L33" s="553"/>
      <c r="M33" s="570"/>
      <c r="N33" s="570"/>
      <c r="O33" s="570"/>
      <c r="P33" s="570"/>
      <c r="Q33" s="40"/>
      <c r="R33" s="40"/>
      <c r="S33" s="40"/>
      <c r="T33" s="40"/>
    </row>
    <row r="34" spans="1:20" ht="14.25">
      <c r="A34" s="50" t="s">
        <v>20</v>
      </c>
      <c r="B34" s="60">
        <v>0.1385</v>
      </c>
      <c r="C34" s="60">
        <v>0</v>
      </c>
      <c r="D34" s="60">
        <v>0.0211</v>
      </c>
      <c r="E34" s="60">
        <v>0</v>
      </c>
      <c r="F34" s="40"/>
      <c r="G34" s="552"/>
      <c r="H34" s="553"/>
      <c r="I34" s="553"/>
      <c r="J34" s="553"/>
      <c r="K34" s="553"/>
      <c r="L34" s="553"/>
      <c r="M34" s="570"/>
      <c r="N34" s="570"/>
      <c r="O34" s="570"/>
      <c r="P34" s="570"/>
      <c r="Q34" s="40"/>
      <c r="R34" s="40"/>
      <c r="S34" s="40"/>
      <c r="T34" s="40"/>
    </row>
    <row r="35" spans="1:16" ht="14.25">
      <c r="A35" s="50" t="s">
        <v>21</v>
      </c>
      <c r="B35" s="60">
        <v>0.0211</v>
      </c>
      <c r="C35" s="60">
        <v>0</v>
      </c>
      <c r="D35" s="60">
        <v>0.0012</v>
      </c>
      <c r="E35" s="60">
        <v>0</v>
      </c>
      <c r="F35" s="40"/>
      <c r="G35" s="552"/>
      <c r="H35" s="553"/>
      <c r="I35" s="553"/>
      <c r="J35" s="553"/>
      <c r="K35" s="553"/>
      <c r="L35" s="553"/>
      <c r="M35" s="570"/>
      <c r="N35" s="570"/>
      <c r="O35" s="570"/>
      <c r="P35" s="570"/>
    </row>
    <row r="36" spans="1:16" ht="14.25">
      <c r="A36" s="50" t="s">
        <v>65</v>
      </c>
      <c r="B36" s="60">
        <v>0.032</v>
      </c>
      <c r="C36" s="60">
        <v>0</v>
      </c>
      <c r="D36" s="60">
        <v>0</v>
      </c>
      <c r="E36" s="60">
        <v>0</v>
      </c>
      <c r="F36" s="40"/>
      <c r="G36" s="552"/>
      <c r="H36" s="553"/>
      <c r="I36" s="553"/>
      <c r="J36" s="553"/>
      <c r="K36" s="553"/>
      <c r="L36" s="553"/>
      <c r="M36" s="570"/>
      <c r="N36" s="570"/>
      <c r="O36" s="570"/>
      <c r="P36" s="570"/>
    </row>
    <row r="37" spans="1:16" ht="14.25">
      <c r="A37" s="50" t="s">
        <v>50</v>
      </c>
      <c r="B37" s="60">
        <v>0.0184</v>
      </c>
      <c r="C37" s="60">
        <v>0</v>
      </c>
      <c r="D37" s="60">
        <v>0</v>
      </c>
      <c r="E37" s="60">
        <v>0</v>
      </c>
      <c r="F37" s="40"/>
      <c r="G37" s="552"/>
      <c r="H37" s="553"/>
      <c r="I37" s="553"/>
      <c r="J37" s="553"/>
      <c r="K37" s="553"/>
      <c r="L37" s="553"/>
      <c r="M37" s="570"/>
      <c r="N37" s="570"/>
      <c r="O37" s="570"/>
      <c r="P37" s="570"/>
    </row>
    <row r="38" spans="1:16" ht="14.25">
      <c r="A38" s="50" t="s">
        <v>33</v>
      </c>
      <c r="B38" s="60">
        <v>0.1167</v>
      </c>
      <c r="C38" s="60">
        <v>0</v>
      </c>
      <c r="D38" s="60">
        <v>0</v>
      </c>
      <c r="E38" s="60">
        <v>0</v>
      </c>
      <c r="F38" s="40"/>
      <c r="G38" s="552"/>
      <c r="H38" s="553"/>
      <c r="I38" s="553"/>
      <c r="J38" s="553"/>
      <c r="K38" s="553"/>
      <c r="L38" s="553"/>
      <c r="M38" s="570"/>
      <c r="N38" s="570"/>
      <c r="O38" s="570"/>
      <c r="P38" s="570"/>
    </row>
    <row r="39" spans="1:16" ht="14.25">
      <c r="A39" s="50" t="s">
        <v>17</v>
      </c>
      <c r="B39" s="60">
        <v>0.025</v>
      </c>
      <c r="C39" s="60">
        <v>0.1677</v>
      </c>
      <c r="D39" s="60">
        <v>0</v>
      </c>
      <c r="E39" s="60">
        <v>0</v>
      </c>
      <c r="F39" s="40"/>
      <c r="G39" s="552"/>
      <c r="H39" s="553"/>
      <c r="I39" s="553"/>
      <c r="J39" s="553"/>
      <c r="K39" s="553"/>
      <c r="L39" s="553"/>
      <c r="M39" s="570"/>
      <c r="N39" s="570"/>
      <c r="O39" s="570"/>
      <c r="P39" s="570"/>
    </row>
    <row r="40" spans="1:16" ht="14.25">
      <c r="A40" s="50" t="s">
        <v>185</v>
      </c>
      <c r="B40" s="60">
        <v>0.0137</v>
      </c>
      <c r="C40" s="60">
        <v>0</v>
      </c>
      <c r="D40" s="60">
        <v>0</v>
      </c>
      <c r="E40" s="60">
        <v>0</v>
      </c>
      <c r="F40" s="40"/>
      <c r="G40" s="552"/>
      <c r="H40" s="553"/>
      <c r="I40" s="553"/>
      <c r="J40" s="553"/>
      <c r="K40" s="553"/>
      <c r="L40" s="553"/>
      <c r="M40" s="570"/>
      <c r="N40" s="570"/>
      <c r="O40" s="570"/>
      <c r="P40" s="570"/>
    </row>
    <row r="41" spans="1:16" ht="14.25">
      <c r="A41" s="50" t="s">
        <v>12</v>
      </c>
      <c r="B41" s="60">
        <v>0.0397</v>
      </c>
      <c r="C41" s="60">
        <v>0.0959</v>
      </c>
      <c r="D41" s="60">
        <v>0.0106</v>
      </c>
      <c r="E41" s="60">
        <v>0.1282</v>
      </c>
      <c r="F41" s="40"/>
      <c r="G41" s="552"/>
      <c r="H41" s="553"/>
      <c r="I41" s="553"/>
      <c r="J41" s="553"/>
      <c r="K41" s="553"/>
      <c r="L41" s="553"/>
      <c r="M41" s="570"/>
      <c r="N41" s="570"/>
      <c r="O41" s="570"/>
      <c r="P41" s="570"/>
    </row>
    <row r="42" spans="1:16" ht="14.25">
      <c r="A42" s="50" t="s">
        <v>13</v>
      </c>
      <c r="B42" s="60">
        <v>0.0187</v>
      </c>
      <c r="C42" s="60">
        <v>0.0147</v>
      </c>
      <c r="D42" s="60">
        <v>0</v>
      </c>
      <c r="E42" s="60">
        <v>0</v>
      </c>
      <c r="F42" s="40"/>
      <c r="G42" s="552"/>
      <c r="H42" s="553"/>
      <c r="I42" s="553"/>
      <c r="J42" s="553"/>
      <c r="K42" s="553"/>
      <c r="L42" s="553"/>
      <c r="M42" s="570"/>
      <c r="N42" s="570"/>
      <c r="O42" s="570"/>
      <c r="P42" s="570"/>
    </row>
    <row r="43" spans="1:16" ht="14.25">
      <c r="A43" s="50" t="s">
        <v>9</v>
      </c>
      <c r="B43" s="60">
        <v>0.0536</v>
      </c>
      <c r="C43" s="60">
        <v>0.3064</v>
      </c>
      <c r="D43" s="60">
        <v>0</v>
      </c>
      <c r="E43" s="60">
        <v>0.5108</v>
      </c>
      <c r="F43" s="40"/>
      <c r="G43" s="552"/>
      <c r="H43" s="553"/>
      <c r="I43" s="553"/>
      <c r="J43" s="553"/>
      <c r="K43" s="553"/>
      <c r="L43" s="553"/>
      <c r="M43" s="570"/>
      <c r="N43" s="570"/>
      <c r="O43" s="570"/>
      <c r="P43" s="570"/>
    </row>
    <row r="44" spans="1:16" ht="14.25">
      <c r="A44" s="50" t="s">
        <v>14</v>
      </c>
      <c r="B44" s="60">
        <v>0.0192</v>
      </c>
      <c r="C44" s="60">
        <v>0</v>
      </c>
      <c r="D44" s="60">
        <v>0.027</v>
      </c>
      <c r="E44" s="60">
        <v>0</v>
      </c>
      <c r="F44" s="40"/>
      <c r="G44" s="552"/>
      <c r="H44" s="553"/>
      <c r="I44" s="553"/>
      <c r="J44" s="553"/>
      <c r="K44" s="553"/>
      <c r="L44" s="553"/>
      <c r="M44" s="570"/>
      <c r="N44" s="570"/>
      <c r="O44" s="570"/>
      <c r="P44" s="570"/>
    </row>
    <row r="45" spans="1:16" ht="14.25">
      <c r="A45" s="50" t="s">
        <v>15</v>
      </c>
      <c r="B45" s="60">
        <v>0.0406</v>
      </c>
      <c r="C45" s="60">
        <v>0</v>
      </c>
      <c r="D45" s="60">
        <v>0.0095</v>
      </c>
      <c r="E45" s="60">
        <v>0.0057</v>
      </c>
      <c r="F45" s="40"/>
      <c r="G45" s="552"/>
      <c r="H45" s="553"/>
      <c r="I45" s="553"/>
      <c r="J45" s="553"/>
      <c r="K45" s="553"/>
      <c r="L45" s="553"/>
      <c r="M45" s="570"/>
      <c r="N45" s="570"/>
      <c r="O45" s="570"/>
      <c r="P45" s="570"/>
    </row>
    <row r="46" spans="1:16" ht="14.25">
      <c r="A46" s="50" t="s">
        <v>10</v>
      </c>
      <c r="B46" s="60">
        <v>0.046</v>
      </c>
      <c r="C46" s="60">
        <v>0.1633</v>
      </c>
      <c r="D46" s="60">
        <v>0</v>
      </c>
      <c r="E46" s="60">
        <v>0</v>
      </c>
      <c r="F46" s="40"/>
      <c r="G46" s="552"/>
      <c r="H46" s="553"/>
      <c r="I46" s="553"/>
      <c r="J46" s="553"/>
      <c r="K46" s="553"/>
      <c r="L46" s="553"/>
      <c r="M46" s="570"/>
      <c r="N46" s="570"/>
      <c r="O46" s="570"/>
      <c r="P46" s="570"/>
    </row>
    <row r="47" spans="1:16" ht="14.25">
      <c r="A47" s="50" t="s">
        <v>8</v>
      </c>
      <c r="B47" s="60">
        <v>0.0648</v>
      </c>
      <c r="C47" s="60">
        <v>0.14</v>
      </c>
      <c r="D47" s="60">
        <v>0.6381</v>
      </c>
      <c r="E47" s="60">
        <v>0.3146</v>
      </c>
      <c r="F47" s="40"/>
      <c r="G47" s="552"/>
      <c r="H47" s="553"/>
      <c r="I47" s="553"/>
      <c r="J47" s="553"/>
      <c r="K47" s="553"/>
      <c r="L47" s="553"/>
      <c r="M47" s="570"/>
      <c r="N47" s="570"/>
      <c r="O47" s="570"/>
      <c r="P47" s="570"/>
    </row>
    <row r="48" spans="1:16" ht="14.25">
      <c r="A48" s="50" t="s">
        <v>18</v>
      </c>
      <c r="B48" s="60">
        <v>0.0027</v>
      </c>
      <c r="C48" s="60">
        <v>0.0052</v>
      </c>
      <c r="D48" s="60">
        <v>0.0253</v>
      </c>
      <c r="E48" s="60">
        <v>0.0125</v>
      </c>
      <c r="F48" s="40"/>
      <c r="G48" s="552"/>
      <c r="H48" s="553"/>
      <c r="I48" s="553"/>
      <c r="J48" s="553"/>
      <c r="K48" s="553"/>
      <c r="L48" s="553"/>
      <c r="M48" s="570"/>
      <c r="N48" s="570"/>
      <c r="O48" s="570"/>
      <c r="P48" s="570"/>
    </row>
    <row r="49" spans="1:20" ht="14.25">
      <c r="A49" s="50" t="s">
        <v>163</v>
      </c>
      <c r="B49" s="60">
        <v>0.0056</v>
      </c>
      <c r="C49" s="60">
        <v>0.0049</v>
      </c>
      <c r="D49" s="60">
        <v>0.0905</v>
      </c>
      <c r="E49" s="60">
        <v>0</v>
      </c>
      <c r="F49" s="40"/>
      <c r="G49" s="552"/>
      <c r="H49" s="553"/>
      <c r="I49" s="553"/>
      <c r="J49" s="553"/>
      <c r="K49" s="553"/>
      <c r="L49" s="553"/>
      <c r="M49" s="570"/>
      <c r="N49" s="570"/>
      <c r="O49" s="570"/>
      <c r="P49" s="570"/>
      <c r="Q49" s="40"/>
      <c r="R49" s="40"/>
      <c r="S49" s="40"/>
      <c r="T49" s="40"/>
    </row>
    <row r="50" spans="1:16" ht="14.25">
      <c r="A50" s="50" t="s">
        <v>164</v>
      </c>
      <c r="B50" s="60">
        <v>0.0042</v>
      </c>
      <c r="C50" s="60">
        <v>0.0094</v>
      </c>
      <c r="D50" s="60">
        <v>0.0006</v>
      </c>
      <c r="E50" s="60">
        <v>0.0118</v>
      </c>
      <c r="G50" s="552"/>
      <c r="H50" s="553"/>
      <c r="I50" s="553"/>
      <c r="J50" s="553"/>
      <c r="K50" s="553"/>
      <c r="L50" s="553"/>
      <c r="M50" s="570"/>
      <c r="N50" s="570"/>
      <c r="O50" s="570"/>
      <c r="P50" s="570"/>
    </row>
    <row r="51" spans="1:16" ht="14.25">
      <c r="A51" s="50" t="s">
        <v>142</v>
      </c>
      <c r="B51" s="60">
        <v>0.002</v>
      </c>
      <c r="C51" s="60">
        <v>0.0029</v>
      </c>
      <c r="D51" s="60">
        <v>0.0192</v>
      </c>
      <c r="E51" s="60">
        <v>0.0085</v>
      </c>
      <c r="G51" s="552"/>
      <c r="H51" s="553"/>
      <c r="I51" s="553"/>
      <c r="J51" s="553"/>
      <c r="K51" s="553"/>
      <c r="L51" s="553"/>
      <c r="M51" s="570"/>
      <c r="N51" s="570"/>
      <c r="O51" s="570"/>
      <c r="P51" s="570"/>
    </row>
    <row r="52" spans="1:16" ht="14.25">
      <c r="A52" s="50" t="s">
        <v>143</v>
      </c>
      <c r="B52" s="60">
        <v>0.0001</v>
      </c>
      <c r="C52" s="60">
        <v>0</v>
      </c>
      <c r="D52" s="60">
        <v>0.146</v>
      </c>
      <c r="E52" s="60">
        <v>0.0079</v>
      </c>
      <c r="G52" s="552"/>
      <c r="H52" s="553"/>
      <c r="I52" s="553"/>
      <c r="J52" s="553"/>
      <c r="K52" s="553"/>
      <c r="L52" s="553"/>
      <c r="M52" s="570"/>
      <c r="N52" s="570"/>
      <c r="O52" s="570"/>
      <c r="P52" s="570"/>
    </row>
    <row r="53" spans="1:16" ht="14.25">
      <c r="A53" s="135"/>
      <c r="B53" s="193">
        <f>SUM(B29:B52)</f>
        <v>1.0000000000000002</v>
      </c>
      <c r="C53" s="193">
        <f>SUM(C29:C52)</f>
        <v>0.9999999999999999</v>
      </c>
      <c r="D53" s="193">
        <f>SUM(D29:D52)</f>
        <v>1</v>
      </c>
      <c r="E53" s="193">
        <f>SUM(E29:E52)</f>
        <v>1</v>
      </c>
      <c r="G53" s="554"/>
      <c r="H53" s="555"/>
      <c r="I53" s="555"/>
      <c r="J53" s="555"/>
      <c r="K53" s="555"/>
      <c r="L53" s="555"/>
      <c r="M53" s="570"/>
      <c r="N53" s="570"/>
      <c r="O53" s="570"/>
      <c r="P53" s="570"/>
    </row>
    <row r="54" spans="1:12" ht="24.75" customHeight="1">
      <c r="A54" s="663" t="s">
        <v>315</v>
      </c>
      <c r="B54" s="663"/>
      <c r="C54" s="663"/>
      <c r="D54" s="121"/>
      <c r="F54" s="40"/>
      <c r="G54" s="548"/>
      <c r="H54" s="548"/>
      <c r="I54" s="548"/>
      <c r="J54" s="548"/>
      <c r="K54" s="548"/>
      <c r="L54" s="548"/>
    </row>
    <row r="55" spans="1:4" ht="12.75" customHeight="1">
      <c r="A55" s="12"/>
      <c r="B55" s="121"/>
      <c r="C55" s="121"/>
      <c r="D55" s="121"/>
    </row>
    <row r="56" spans="1:4" ht="13.5" thickBot="1">
      <c r="A56" s="12"/>
      <c r="B56" s="121"/>
      <c r="C56" s="121"/>
      <c r="D56" s="121"/>
    </row>
    <row r="57" spans="1:6" ht="14.25" thickBot="1">
      <c r="A57" s="664" t="s">
        <v>78</v>
      </c>
      <c r="B57" s="117"/>
      <c r="C57" s="117"/>
      <c r="D57" s="118"/>
      <c r="F57" s="19" t="s">
        <v>24</v>
      </c>
    </row>
    <row r="58" spans="1:20" ht="14.25" thickBot="1">
      <c r="A58" s="665"/>
      <c r="B58" s="653" t="s">
        <v>30</v>
      </c>
      <c r="C58" s="654"/>
      <c r="D58" s="654"/>
      <c r="E58" s="655"/>
      <c r="F58" s="670" t="s">
        <v>41</v>
      </c>
      <c r="G58" s="671"/>
      <c r="H58" s="653" t="s">
        <v>5</v>
      </c>
      <c r="I58" s="655"/>
      <c r="J58" s="653" t="s">
        <v>8</v>
      </c>
      <c r="K58" s="654"/>
      <c r="L58" s="654"/>
      <c r="M58" s="654"/>
      <c r="N58" s="655"/>
      <c r="O58" s="653" t="s">
        <v>42</v>
      </c>
      <c r="P58" s="654"/>
      <c r="Q58" s="654"/>
      <c r="R58" s="655"/>
      <c r="S58" s="653" t="s">
        <v>43</v>
      </c>
      <c r="T58" s="655"/>
    </row>
    <row r="59" spans="1:20" ht="27" thickBot="1">
      <c r="A59" s="666"/>
      <c r="B59" s="656" t="s">
        <v>49</v>
      </c>
      <c r="C59" s="657"/>
      <c r="D59" s="658"/>
      <c r="E59" s="258">
        <f>'1st IA CTRs'!F16</f>
        <v>60.133112049275496</v>
      </c>
      <c r="F59" s="262" t="s">
        <v>49</v>
      </c>
      <c r="G59" s="258">
        <f>'1st IA CTRs'!H16</f>
        <v>0</v>
      </c>
      <c r="H59" s="262" t="s">
        <v>49</v>
      </c>
      <c r="I59" s="258">
        <f>'1st IA CTRs'!J16</f>
        <v>0</v>
      </c>
      <c r="J59" s="656" t="s">
        <v>49</v>
      </c>
      <c r="K59" s="657"/>
      <c r="L59" s="657"/>
      <c r="M59" s="658"/>
      <c r="N59" s="258">
        <f>'1st IA Load Pricing Results'!D25</f>
        <v>99.58574658018112</v>
      </c>
      <c r="O59" s="656" t="s">
        <v>49</v>
      </c>
      <c r="P59" s="657"/>
      <c r="Q59" s="658"/>
      <c r="R59" s="258">
        <f>'1stIA Resource Clearing Results'!C10</f>
        <v>0</v>
      </c>
      <c r="S59" s="308" t="s">
        <v>49</v>
      </c>
      <c r="T59" s="309">
        <f>'1stIA Resource Clearing Results'!C11</f>
        <v>0</v>
      </c>
    </row>
    <row r="60" spans="1:20" ht="79.5"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59" t="s">
        <v>212</v>
      </c>
      <c r="T60" s="660"/>
    </row>
    <row r="61" spans="1:18" ht="12.75">
      <c r="A61" s="257" t="s">
        <v>16</v>
      </c>
      <c r="B61" s="224">
        <f aca="true" t="shared" si="4" ref="B61:B84">B29*$B$12</f>
        <v>12.274000000000001</v>
      </c>
      <c r="C61" s="58">
        <f aca="true" t="shared" si="5" ref="C61:C84">C29*$B$14</f>
        <v>1.4336</v>
      </c>
      <c r="D61" s="58">
        <f>B61+C61</f>
        <v>13.707600000000001</v>
      </c>
      <c r="E61" s="107">
        <f>D61*$E$59</f>
        <v>824.2806467266489</v>
      </c>
      <c r="F61" s="224">
        <f>B29*$C$12</f>
        <v>15.266000000000002</v>
      </c>
      <c r="G61" s="200">
        <f>F61*$G$59</f>
        <v>0</v>
      </c>
      <c r="H61" s="224">
        <f aca="true" t="shared" si="6" ref="H61:H84">C29*$D$14</f>
        <v>21.2352</v>
      </c>
      <c r="I61" s="200">
        <f>H61*$I$59</f>
        <v>0</v>
      </c>
      <c r="J61" s="224">
        <f aca="true" t="shared" si="7" ref="J61:J84">B29*$E$12</f>
        <v>1.1713000000000002</v>
      </c>
      <c r="K61" s="58">
        <f aca="true" t="shared" si="8" ref="K61:K84">D29*$E$15</f>
        <v>0.7144199999999999</v>
      </c>
      <c r="L61" s="58">
        <f aca="true" t="shared" si="9" ref="L61:L84">E29*$E$16</f>
        <v>0</v>
      </c>
      <c r="M61" s="58">
        <f>J61+K61+L61</f>
        <v>1.88572</v>
      </c>
      <c r="N61" s="107">
        <f>M61*$N$59</f>
        <v>187.79083404117915</v>
      </c>
      <c r="O61" s="224">
        <f aca="true" t="shared" si="10" ref="O61:O84">B29*$F$12</f>
        <v>1.7935</v>
      </c>
      <c r="P61" s="58">
        <f aca="true" t="shared" si="11" ref="P61:P84">D29*$F$15</f>
        <v>1.0384499999999999</v>
      </c>
      <c r="Q61" s="58">
        <f aca="true" t="shared" si="12" ref="Q61:Q83">O61+P61</f>
        <v>2.83195</v>
      </c>
      <c r="R61" s="107">
        <f>Q61*$R$59</f>
        <v>0</v>
      </c>
    </row>
    <row r="62" spans="1:18" ht="12.75">
      <c r="A62" s="257" t="s">
        <v>32</v>
      </c>
      <c r="B62" s="224">
        <f t="shared" si="4"/>
        <v>102.66839999999999</v>
      </c>
      <c r="C62" s="58">
        <f t="shared" si="5"/>
        <v>0</v>
      </c>
      <c r="D62" s="58">
        <f>B62+C62</f>
        <v>102.66839999999999</v>
      </c>
      <c r="E62" s="107">
        <f>D62*$E$59</f>
        <v>6173.770401119836</v>
      </c>
      <c r="F62" s="224">
        <f aca="true" t="shared" si="13" ref="F62:F84">B30*$C$12</f>
        <v>127.6956</v>
      </c>
      <c r="G62" s="200">
        <f aca="true" t="shared" si="14" ref="G62:G84">F62*$G$59</f>
        <v>0</v>
      </c>
      <c r="H62" s="224">
        <f t="shared" si="6"/>
        <v>0</v>
      </c>
      <c r="I62" s="200">
        <f aca="true" t="shared" si="15" ref="I62:I84">H62*$I$59</f>
        <v>0</v>
      </c>
      <c r="J62" s="224">
        <f t="shared" si="7"/>
        <v>9.79758</v>
      </c>
      <c r="K62" s="58">
        <f t="shared" si="8"/>
        <v>0</v>
      </c>
      <c r="L62" s="58">
        <f t="shared" si="9"/>
        <v>0</v>
      </c>
      <c r="M62" s="58">
        <f aca="true" t="shared" si="16" ref="M62:M84">J62+K62+L62</f>
        <v>9.79758</v>
      </c>
      <c r="N62" s="107">
        <f aca="true" t="shared" si="17" ref="N62:N84">M62*$N$59</f>
        <v>975.699318979051</v>
      </c>
      <c r="O62" s="224">
        <f t="shared" si="10"/>
        <v>15.002099999999999</v>
      </c>
      <c r="P62" s="58">
        <f t="shared" si="11"/>
        <v>0</v>
      </c>
      <c r="Q62" s="58">
        <f t="shared" si="12"/>
        <v>15.002099999999999</v>
      </c>
      <c r="R62" s="107">
        <f aca="true" t="shared" si="18" ref="R62:R84">Q62*$R$59</f>
        <v>0</v>
      </c>
    </row>
    <row r="63" spans="1:18" ht="12.75">
      <c r="A63" s="257" t="s">
        <v>19</v>
      </c>
      <c r="B63" s="224">
        <f t="shared" si="4"/>
        <v>38.988</v>
      </c>
      <c r="C63" s="58">
        <f t="shared" si="5"/>
        <v>0</v>
      </c>
      <c r="D63" s="58">
        <f>B63+C63</f>
        <v>38.988</v>
      </c>
      <c r="E63" s="107">
        <f aca="true" t="shared" si="19" ref="E63:E83">D63*$E$59</f>
        <v>2344.469772577153</v>
      </c>
      <c r="F63" s="224">
        <f t="shared" si="13"/>
        <v>48.492</v>
      </c>
      <c r="G63" s="200">
        <f t="shared" si="14"/>
        <v>0</v>
      </c>
      <c r="H63" s="224">
        <f t="shared" si="6"/>
        <v>0</v>
      </c>
      <c r="I63" s="200">
        <f t="shared" si="15"/>
        <v>0</v>
      </c>
      <c r="J63" s="224">
        <f t="shared" si="7"/>
        <v>3.7206</v>
      </c>
      <c r="K63" s="58">
        <f t="shared" si="8"/>
        <v>0</v>
      </c>
      <c r="L63" s="58">
        <f t="shared" si="9"/>
        <v>0</v>
      </c>
      <c r="M63" s="58">
        <f t="shared" si="16"/>
        <v>3.7206</v>
      </c>
      <c r="N63" s="107">
        <f t="shared" si="17"/>
        <v>370.5187287262219</v>
      </c>
      <c r="O63" s="224">
        <f t="shared" si="10"/>
        <v>5.697</v>
      </c>
      <c r="P63" s="58">
        <f t="shared" si="11"/>
        <v>0</v>
      </c>
      <c r="Q63" s="58">
        <f t="shared" si="12"/>
        <v>5.697</v>
      </c>
      <c r="R63" s="107">
        <f t="shared" si="18"/>
        <v>0</v>
      </c>
    </row>
    <row r="64" spans="1:18" ht="12.75">
      <c r="A64" s="257" t="s">
        <v>51</v>
      </c>
      <c r="B64" s="224">
        <f t="shared" si="4"/>
        <v>58.987399999999994</v>
      </c>
      <c r="C64" s="58">
        <f t="shared" si="5"/>
        <v>0</v>
      </c>
      <c r="D64" s="58">
        <f aca="true" t="shared" si="20" ref="D64:D83">B64+C64</f>
        <v>58.987399999999994</v>
      </c>
      <c r="E64" s="107">
        <f t="shared" si="19"/>
        <v>3547.095933695433</v>
      </c>
      <c r="F64" s="224">
        <f t="shared" si="13"/>
        <v>73.36659999999999</v>
      </c>
      <c r="G64" s="200">
        <f t="shared" si="14"/>
        <v>0</v>
      </c>
      <c r="H64" s="224">
        <f t="shared" si="6"/>
        <v>0</v>
      </c>
      <c r="I64" s="200">
        <f t="shared" si="15"/>
        <v>0</v>
      </c>
      <c r="J64" s="224">
        <f t="shared" si="7"/>
        <v>5.62913</v>
      </c>
      <c r="K64" s="58">
        <f t="shared" si="8"/>
        <v>0</v>
      </c>
      <c r="L64" s="58">
        <f t="shared" si="9"/>
        <v>0</v>
      </c>
      <c r="M64" s="58">
        <f t="shared" si="16"/>
        <v>5.62913</v>
      </c>
      <c r="N64" s="107">
        <f t="shared" si="17"/>
        <v>560.581113646895</v>
      </c>
      <c r="O64" s="224">
        <f t="shared" si="10"/>
        <v>8.619349999999999</v>
      </c>
      <c r="P64" s="58">
        <f t="shared" si="11"/>
        <v>0</v>
      </c>
      <c r="Q64" s="58">
        <f t="shared" si="12"/>
        <v>8.619349999999999</v>
      </c>
      <c r="R64" s="107">
        <f t="shared" si="18"/>
        <v>0</v>
      </c>
    </row>
    <row r="65" spans="1:18" ht="12.75">
      <c r="A65" s="257" t="s">
        <v>11</v>
      </c>
      <c r="B65" s="224">
        <f t="shared" si="4"/>
        <v>30.685000000000002</v>
      </c>
      <c r="C65" s="58">
        <f t="shared" si="5"/>
        <v>0</v>
      </c>
      <c r="D65" s="58">
        <f t="shared" si="20"/>
        <v>30.685000000000002</v>
      </c>
      <c r="E65" s="107">
        <f t="shared" si="19"/>
        <v>1845.1845432320188</v>
      </c>
      <c r="F65" s="224">
        <f t="shared" si="13"/>
        <v>38.165000000000006</v>
      </c>
      <c r="G65" s="200">
        <f t="shared" si="14"/>
        <v>0</v>
      </c>
      <c r="H65" s="224">
        <f t="shared" si="6"/>
        <v>0</v>
      </c>
      <c r="I65" s="200">
        <f t="shared" si="15"/>
        <v>0</v>
      </c>
      <c r="J65" s="224">
        <f t="shared" si="7"/>
        <v>2.9282500000000002</v>
      </c>
      <c r="K65" s="58">
        <f t="shared" si="8"/>
        <v>2.99376</v>
      </c>
      <c r="L65" s="58">
        <f t="shared" si="9"/>
        <v>0</v>
      </c>
      <c r="M65" s="58">
        <f t="shared" si="16"/>
        <v>5.92201</v>
      </c>
      <c r="N65" s="107">
        <f t="shared" si="17"/>
        <v>589.7477871052985</v>
      </c>
      <c r="O65" s="224">
        <f t="shared" si="10"/>
        <v>4.483750000000001</v>
      </c>
      <c r="P65" s="58">
        <f t="shared" si="11"/>
        <v>4.3516</v>
      </c>
      <c r="Q65" s="58">
        <f t="shared" si="12"/>
        <v>8.835350000000002</v>
      </c>
      <c r="R65" s="107">
        <f t="shared" si="18"/>
        <v>0</v>
      </c>
    </row>
    <row r="66" spans="1:18" ht="12.75">
      <c r="A66" s="257" t="s">
        <v>20</v>
      </c>
      <c r="B66" s="224">
        <f t="shared" si="4"/>
        <v>99.99700000000001</v>
      </c>
      <c r="C66" s="58">
        <f t="shared" si="5"/>
        <v>0</v>
      </c>
      <c r="D66" s="58">
        <f t="shared" si="20"/>
        <v>99.99700000000001</v>
      </c>
      <c r="E66" s="107">
        <f t="shared" si="19"/>
        <v>6013.130805591402</v>
      </c>
      <c r="F66" s="224">
        <f t="shared" si="13"/>
        <v>124.373</v>
      </c>
      <c r="G66" s="200">
        <f t="shared" si="14"/>
        <v>0</v>
      </c>
      <c r="H66" s="224">
        <f t="shared" si="6"/>
        <v>0</v>
      </c>
      <c r="I66" s="200">
        <f t="shared" si="15"/>
        <v>0</v>
      </c>
      <c r="J66" s="224">
        <f t="shared" si="7"/>
        <v>9.542650000000002</v>
      </c>
      <c r="K66" s="58">
        <f t="shared" si="8"/>
        <v>7.17822</v>
      </c>
      <c r="L66" s="58">
        <f t="shared" si="9"/>
        <v>0</v>
      </c>
      <c r="M66" s="58">
        <f t="shared" si="16"/>
        <v>16.72087</v>
      </c>
      <c r="N66" s="107">
        <f t="shared" si="17"/>
        <v>1665.1603224201533</v>
      </c>
      <c r="O66" s="224">
        <f t="shared" si="10"/>
        <v>14.61175</v>
      </c>
      <c r="P66" s="58">
        <f t="shared" si="11"/>
        <v>10.433950000000001</v>
      </c>
      <c r="Q66" s="58">
        <f t="shared" si="12"/>
        <v>25.045700000000004</v>
      </c>
      <c r="R66" s="107">
        <f t="shared" si="18"/>
        <v>0</v>
      </c>
    </row>
    <row r="67" spans="1:18" ht="12.75">
      <c r="A67" s="257" t="s">
        <v>21</v>
      </c>
      <c r="B67" s="224">
        <f t="shared" si="4"/>
        <v>15.234200000000001</v>
      </c>
      <c r="C67" s="58">
        <f t="shared" si="5"/>
        <v>0</v>
      </c>
      <c r="D67" s="58">
        <f t="shared" si="20"/>
        <v>15.234200000000001</v>
      </c>
      <c r="E67" s="107">
        <f t="shared" si="19"/>
        <v>916.0798555810728</v>
      </c>
      <c r="F67" s="224">
        <f t="shared" si="13"/>
        <v>18.9478</v>
      </c>
      <c r="G67" s="200">
        <f t="shared" si="14"/>
        <v>0</v>
      </c>
      <c r="H67" s="224">
        <f t="shared" si="6"/>
        <v>0</v>
      </c>
      <c r="I67" s="200">
        <f t="shared" si="15"/>
        <v>0</v>
      </c>
      <c r="J67" s="224">
        <f t="shared" si="7"/>
        <v>1.4537900000000001</v>
      </c>
      <c r="K67" s="58">
        <f t="shared" si="8"/>
        <v>0.40823999999999994</v>
      </c>
      <c r="L67" s="58">
        <f t="shared" si="9"/>
        <v>0</v>
      </c>
      <c r="M67" s="58">
        <f t="shared" si="16"/>
        <v>1.86203</v>
      </c>
      <c r="N67" s="107">
        <f t="shared" si="17"/>
        <v>185.43164770469465</v>
      </c>
      <c r="O67" s="224">
        <f t="shared" si="10"/>
        <v>2.22605</v>
      </c>
      <c r="P67" s="58">
        <f t="shared" si="11"/>
        <v>0.5933999999999999</v>
      </c>
      <c r="Q67" s="58">
        <f t="shared" si="12"/>
        <v>2.81945</v>
      </c>
      <c r="R67" s="107">
        <f t="shared" si="18"/>
        <v>0</v>
      </c>
    </row>
    <row r="68" spans="1:18" ht="12.75">
      <c r="A68" s="257" t="s">
        <v>65</v>
      </c>
      <c r="B68" s="224">
        <f t="shared" si="4"/>
        <v>23.104</v>
      </c>
      <c r="C68" s="58">
        <f t="shared" si="5"/>
        <v>0</v>
      </c>
      <c r="D68" s="58">
        <f t="shared" si="20"/>
        <v>23.104</v>
      </c>
      <c r="E68" s="107">
        <f t="shared" si="19"/>
        <v>1389.3154207864611</v>
      </c>
      <c r="F68" s="224">
        <f t="shared" si="13"/>
        <v>28.736</v>
      </c>
      <c r="G68" s="200">
        <f t="shared" si="14"/>
        <v>0</v>
      </c>
      <c r="H68" s="224">
        <f t="shared" si="6"/>
        <v>0</v>
      </c>
      <c r="I68" s="200">
        <f t="shared" si="15"/>
        <v>0</v>
      </c>
      <c r="J68" s="224">
        <f t="shared" si="7"/>
        <v>2.2048</v>
      </c>
      <c r="K68" s="58">
        <f t="shared" si="8"/>
        <v>0</v>
      </c>
      <c r="L68" s="58">
        <f t="shared" si="9"/>
        <v>0</v>
      </c>
      <c r="M68" s="58">
        <f t="shared" si="16"/>
        <v>2.2048</v>
      </c>
      <c r="N68" s="107">
        <f t="shared" si="17"/>
        <v>219.56665405998334</v>
      </c>
      <c r="O68" s="224">
        <f t="shared" si="10"/>
        <v>3.376</v>
      </c>
      <c r="P68" s="58">
        <f t="shared" si="11"/>
        <v>0</v>
      </c>
      <c r="Q68" s="58">
        <f t="shared" si="12"/>
        <v>3.376</v>
      </c>
      <c r="R68" s="107">
        <f t="shared" si="18"/>
        <v>0</v>
      </c>
    </row>
    <row r="69" spans="1:18" ht="12.75">
      <c r="A69" s="257" t="s">
        <v>50</v>
      </c>
      <c r="B69" s="224">
        <f t="shared" si="4"/>
        <v>13.2848</v>
      </c>
      <c r="C69" s="58">
        <f t="shared" si="5"/>
        <v>0</v>
      </c>
      <c r="D69" s="58">
        <f t="shared" si="20"/>
        <v>13.2848</v>
      </c>
      <c r="E69" s="107">
        <f t="shared" si="19"/>
        <v>798.8563669522151</v>
      </c>
      <c r="F69" s="224">
        <f t="shared" si="13"/>
        <v>16.5232</v>
      </c>
      <c r="G69" s="200">
        <f t="shared" si="14"/>
        <v>0</v>
      </c>
      <c r="H69" s="224">
        <f t="shared" si="6"/>
        <v>0</v>
      </c>
      <c r="I69" s="200">
        <f t="shared" si="15"/>
        <v>0</v>
      </c>
      <c r="J69" s="224">
        <f t="shared" si="7"/>
        <v>1.26776</v>
      </c>
      <c r="K69" s="58">
        <f t="shared" si="8"/>
        <v>0</v>
      </c>
      <c r="L69" s="58">
        <f t="shared" si="9"/>
        <v>0</v>
      </c>
      <c r="M69" s="58">
        <f t="shared" si="16"/>
        <v>1.26776</v>
      </c>
      <c r="N69" s="107">
        <f t="shared" si="17"/>
        <v>126.25082608449043</v>
      </c>
      <c r="O69" s="224">
        <f t="shared" si="10"/>
        <v>1.9412</v>
      </c>
      <c r="P69" s="58">
        <f t="shared" si="11"/>
        <v>0</v>
      </c>
      <c r="Q69" s="58">
        <f t="shared" si="12"/>
        <v>1.9412</v>
      </c>
      <c r="R69" s="107">
        <f t="shared" si="18"/>
        <v>0</v>
      </c>
    </row>
    <row r="70" spans="1:18" ht="12.75">
      <c r="A70" s="257" t="s">
        <v>33</v>
      </c>
      <c r="B70" s="224">
        <f t="shared" si="4"/>
        <v>84.2574</v>
      </c>
      <c r="C70" s="58">
        <f t="shared" si="5"/>
        <v>0</v>
      </c>
      <c r="D70" s="58">
        <f t="shared" si="20"/>
        <v>84.2574</v>
      </c>
      <c r="E70" s="107">
        <f t="shared" si="19"/>
        <v>5066.6596751806255</v>
      </c>
      <c r="F70" s="224">
        <f t="shared" si="13"/>
        <v>104.7966</v>
      </c>
      <c r="G70" s="200">
        <f t="shared" si="14"/>
        <v>0</v>
      </c>
      <c r="H70" s="224">
        <f t="shared" si="6"/>
        <v>0</v>
      </c>
      <c r="I70" s="200">
        <f t="shared" si="15"/>
        <v>0</v>
      </c>
      <c r="J70" s="224">
        <f t="shared" si="7"/>
        <v>8.04063</v>
      </c>
      <c r="K70" s="58">
        <f t="shared" si="8"/>
        <v>0</v>
      </c>
      <c r="L70" s="58">
        <f t="shared" si="9"/>
        <v>0</v>
      </c>
      <c r="M70" s="58">
        <f t="shared" si="16"/>
        <v>8.04063</v>
      </c>
      <c r="N70" s="107">
        <f t="shared" si="17"/>
        <v>800.7321415250018</v>
      </c>
      <c r="O70" s="224">
        <f t="shared" si="10"/>
        <v>12.31185</v>
      </c>
      <c r="P70" s="58">
        <f t="shared" si="11"/>
        <v>0</v>
      </c>
      <c r="Q70" s="58">
        <f t="shared" si="12"/>
        <v>12.31185</v>
      </c>
      <c r="R70" s="107">
        <f t="shared" si="18"/>
        <v>0</v>
      </c>
    </row>
    <row r="71" spans="1:18" ht="12.75">
      <c r="A71" s="257" t="s">
        <v>17</v>
      </c>
      <c r="B71" s="224">
        <f t="shared" si="4"/>
        <v>18.05</v>
      </c>
      <c r="C71" s="58">
        <f t="shared" si="5"/>
        <v>2.6832</v>
      </c>
      <c r="D71" s="58">
        <f t="shared" si="20"/>
        <v>20.7332</v>
      </c>
      <c r="E71" s="107">
        <f t="shared" si="19"/>
        <v>1246.7518387400387</v>
      </c>
      <c r="F71" s="224">
        <f t="shared" si="13"/>
        <v>22.450000000000003</v>
      </c>
      <c r="G71" s="200">
        <f t="shared" si="14"/>
        <v>0</v>
      </c>
      <c r="H71" s="224">
        <f t="shared" si="6"/>
        <v>39.744899999999994</v>
      </c>
      <c r="I71" s="200">
        <f t="shared" si="15"/>
        <v>0</v>
      </c>
      <c r="J71" s="224">
        <f t="shared" si="7"/>
        <v>1.7225000000000001</v>
      </c>
      <c r="K71" s="58">
        <f t="shared" si="8"/>
        <v>0</v>
      </c>
      <c r="L71" s="58">
        <f t="shared" si="9"/>
        <v>0</v>
      </c>
      <c r="M71" s="58">
        <f t="shared" si="16"/>
        <v>1.7225000000000001</v>
      </c>
      <c r="N71" s="107">
        <f t="shared" si="17"/>
        <v>171.536448484362</v>
      </c>
      <c r="O71" s="224">
        <f t="shared" si="10"/>
        <v>2.6375</v>
      </c>
      <c r="P71" s="58">
        <f t="shared" si="11"/>
        <v>0</v>
      </c>
      <c r="Q71" s="58">
        <f t="shared" si="12"/>
        <v>2.6375</v>
      </c>
      <c r="R71" s="107">
        <f t="shared" si="18"/>
        <v>0</v>
      </c>
    </row>
    <row r="72" spans="1:18" ht="12.75">
      <c r="A72" s="257" t="s">
        <v>185</v>
      </c>
      <c r="B72" s="224">
        <f t="shared" si="4"/>
        <v>9.8914</v>
      </c>
      <c r="C72" s="58">
        <f t="shared" si="5"/>
        <v>0</v>
      </c>
      <c r="D72" s="58">
        <f>B72+C72</f>
        <v>9.8914</v>
      </c>
      <c r="E72" s="107">
        <f>D72*$E$59</f>
        <v>594.8006645242037</v>
      </c>
      <c r="F72" s="224">
        <f t="shared" si="13"/>
        <v>12.3026</v>
      </c>
      <c r="G72" s="200">
        <f>F72*$G$59</f>
        <v>0</v>
      </c>
      <c r="H72" s="224">
        <f t="shared" si="6"/>
        <v>0</v>
      </c>
      <c r="I72" s="200">
        <f>H72*$I$59</f>
        <v>0</v>
      </c>
      <c r="J72" s="224">
        <f t="shared" si="7"/>
        <v>0.9439300000000002</v>
      </c>
      <c r="K72" s="58">
        <f t="shared" si="8"/>
        <v>0</v>
      </c>
      <c r="L72" s="58">
        <f t="shared" si="9"/>
        <v>0</v>
      </c>
      <c r="M72" s="58">
        <f>J72+K72+L72</f>
        <v>0.9439300000000002</v>
      </c>
      <c r="N72" s="107">
        <f>M72*$N$59</f>
        <v>94.00197376943038</v>
      </c>
      <c r="O72" s="224">
        <f t="shared" si="10"/>
        <v>1.4453500000000001</v>
      </c>
      <c r="P72" s="58">
        <f t="shared" si="11"/>
        <v>0</v>
      </c>
      <c r="Q72" s="58">
        <f>O72+P72</f>
        <v>1.4453500000000001</v>
      </c>
      <c r="R72" s="107">
        <f>Q72*$R$59</f>
        <v>0</v>
      </c>
    </row>
    <row r="73" spans="1:18" ht="12.75">
      <c r="A73" s="257" t="s">
        <v>12</v>
      </c>
      <c r="B73" s="224">
        <f t="shared" si="4"/>
        <v>28.6634</v>
      </c>
      <c r="C73" s="58">
        <f t="shared" si="5"/>
        <v>1.5344</v>
      </c>
      <c r="D73" s="58">
        <f t="shared" si="20"/>
        <v>30.1978</v>
      </c>
      <c r="E73" s="107">
        <f t="shared" si="19"/>
        <v>1815.8876910416116</v>
      </c>
      <c r="F73" s="224">
        <f t="shared" si="13"/>
        <v>35.6506</v>
      </c>
      <c r="G73" s="200">
        <f t="shared" si="14"/>
        <v>0</v>
      </c>
      <c r="H73" s="224">
        <f t="shared" si="6"/>
        <v>22.7283</v>
      </c>
      <c r="I73" s="200">
        <f t="shared" si="15"/>
        <v>0</v>
      </c>
      <c r="J73" s="224">
        <f t="shared" si="7"/>
        <v>2.7353300000000003</v>
      </c>
      <c r="K73" s="58">
        <f t="shared" si="8"/>
        <v>3.6061199999999998</v>
      </c>
      <c r="L73" s="58">
        <f t="shared" si="9"/>
        <v>11.57646</v>
      </c>
      <c r="M73" s="58">
        <f t="shared" si="16"/>
        <v>17.91791</v>
      </c>
      <c r="N73" s="107">
        <f t="shared" si="17"/>
        <v>1784.368444506493</v>
      </c>
      <c r="O73" s="224">
        <f t="shared" si="10"/>
        <v>4.18835</v>
      </c>
      <c r="P73" s="58">
        <f t="shared" si="11"/>
        <v>5.2417</v>
      </c>
      <c r="Q73" s="58">
        <f t="shared" si="12"/>
        <v>9.43005</v>
      </c>
      <c r="R73" s="107">
        <f t="shared" si="18"/>
        <v>0</v>
      </c>
    </row>
    <row r="74" spans="1:18" ht="12.75">
      <c r="A74" s="257" t="s">
        <v>13</v>
      </c>
      <c r="B74" s="224">
        <f t="shared" si="4"/>
        <v>13.5014</v>
      </c>
      <c r="C74" s="58">
        <f t="shared" si="5"/>
        <v>0.2352</v>
      </c>
      <c r="D74" s="58">
        <f t="shared" si="20"/>
        <v>13.736600000000001</v>
      </c>
      <c r="E74" s="107">
        <f t="shared" si="19"/>
        <v>826.0245069760779</v>
      </c>
      <c r="F74" s="224">
        <f t="shared" si="13"/>
        <v>16.7926</v>
      </c>
      <c r="G74" s="200">
        <f t="shared" si="14"/>
        <v>0</v>
      </c>
      <c r="H74" s="224">
        <f t="shared" si="6"/>
        <v>3.4838999999999998</v>
      </c>
      <c r="I74" s="200">
        <f t="shared" si="15"/>
        <v>0</v>
      </c>
      <c r="J74" s="224">
        <f t="shared" si="7"/>
        <v>1.2884300000000002</v>
      </c>
      <c r="K74" s="58">
        <f t="shared" si="8"/>
        <v>0</v>
      </c>
      <c r="L74" s="58">
        <f t="shared" si="9"/>
        <v>0</v>
      </c>
      <c r="M74" s="58">
        <f t="shared" si="16"/>
        <v>1.2884300000000002</v>
      </c>
      <c r="N74" s="107">
        <f t="shared" si="17"/>
        <v>128.30926346630278</v>
      </c>
      <c r="O74" s="224">
        <f t="shared" si="10"/>
        <v>1.9728500000000002</v>
      </c>
      <c r="P74" s="58">
        <f t="shared" si="11"/>
        <v>0</v>
      </c>
      <c r="Q74" s="58">
        <f t="shared" si="12"/>
        <v>1.9728500000000002</v>
      </c>
      <c r="R74" s="107">
        <f t="shared" si="18"/>
        <v>0</v>
      </c>
    </row>
    <row r="75" spans="1:18" ht="12.75">
      <c r="A75" s="257" t="s">
        <v>9</v>
      </c>
      <c r="B75" s="224">
        <f t="shared" si="4"/>
        <v>38.699200000000005</v>
      </c>
      <c r="C75" s="58">
        <f t="shared" si="5"/>
        <v>4.9024</v>
      </c>
      <c r="D75" s="58">
        <f t="shared" si="20"/>
        <v>43.601600000000005</v>
      </c>
      <c r="E75" s="107">
        <f t="shared" si="19"/>
        <v>2621.8998983276906</v>
      </c>
      <c r="F75" s="224">
        <f t="shared" si="13"/>
        <v>48.1328</v>
      </c>
      <c r="G75" s="200">
        <f t="shared" si="14"/>
        <v>0</v>
      </c>
      <c r="H75" s="224">
        <f t="shared" si="6"/>
        <v>72.6168</v>
      </c>
      <c r="I75" s="200">
        <f t="shared" si="15"/>
        <v>0</v>
      </c>
      <c r="J75" s="224">
        <f t="shared" si="7"/>
        <v>3.6930400000000003</v>
      </c>
      <c r="K75" s="58">
        <f t="shared" si="8"/>
        <v>0</v>
      </c>
      <c r="L75" s="58">
        <f t="shared" si="9"/>
        <v>46.12524</v>
      </c>
      <c r="M75" s="58">
        <f t="shared" si="16"/>
        <v>49.81828</v>
      </c>
      <c r="N75" s="107">
        <f t="shared" si="17"/>
        <v>4961.190607140506</v>
      </c>
      <c r="O75" s="224">
        <f t="shared" si="10"/>
        <v>5.6548</v>
      </c>
      <c r="P75" s="58">
        <f t="shared" si="11"/>
        <v>0</v>
      </c>
      <c r="Q75" s="58">
        <f t="shared" si="12"/>
        <v>5.6548</v>
      </c>
      <c r="R75" s="107">
        <f t="shared" si="18"/>
        <v>0</v>
      </c>
    </row>
    <row r="76" spans="1:18" ht="12.75">
      <c r="A76" s="257" t="s">
        <v>14</v>
      </c>
      <c r="B76" s="224">
        <f t="shared" si="4"/>
        <v>13.8624</v>
      </c>
      <c r="C76" s="58">
        <f t="shared" si="5"/>
        <v>0</v>
      </c>
      <c r="D76" s="58">
        <f t="shared" si="20"/>
        <v>13.8624</v>
      </c>
      <c r="E76" s="107">
        <f t="shared" si="19"/>
        <v>833.5892524718765</v>
      </c>
      <c r="F76" s="224">
        <f t="shared" si="13"/>
        <v>17.2416</v>
      </c>
      <c r="G76" s="200">
        <f t="shared" si="14"/>
        <v>0</v>
      </c>
      <c r="H76" s="224">
        <f t="shared" si="6"/>
        <v>0</v>
      </c>
      <c r="I76" s="200">
        <f t="shared" si="15"/>
        <v>0</v>
      </c>
      <c r="J76" s="224">
        <f t="shared" si="7"/>
        <v>1.32288</v>
      </c>
      <c r="K76" s="58">
        <f t="shared" si="8"/>
        <v>9.1854</v>
      </c>
      <c r="L76" s="58">
        <f t="shared" si="9"/>
        <v>0</v>
      </c>
      <c r="M76" s="58">
        <f t="shared" si="16"/>
        <v>10.50828</v>
      </c>
      <c r="N76" s="107">
        <f t="shared" si="17"/>
        <v>1046.4749090735856</v>
      </c>
      <c r="O76" s="224">
        <f t="shared" si="10"/>
        <v>2.0256</v>
      </c>
      <c r="P76" s="58">
        <f t="shared" si="11"/>
        <v>13.3515</v>
      </c>
      <c r="Q76" s="58">
        <f t="shared" si="12"/>
        <v>15.377099999999999</v>
      </c>
      <c r="R76" s="107">
        <f t="shared" si="18"/>
        <v>0</v>
      </c>
    </row>
    <row r="77" spans="1:18" ht="12.75">
      <c r="A77" s="257" t="s">
        <v>15</v>
      </c>
      <c r="B77" s="224">
        <f t="shared" si="4"/>
        <v>29.3132</v>
      </c>
      <c r="C77" s="58">
        <f t="shared" si="5"/>
        <v>0</v>
      </c>
      <c r="D77" s="58">
        <f t="shared" si="20"/>
        <v>29.3132</v>
      </c>
      <c r="E77" s="107">
        <f t="shared" si="19"/>
        <v>1762.6939401228224</v>
      </c>
      <c r="F77" s="224">
        <f t="shared" si="13"/>
        <v>36.4588</v>
      </c>
      <c r="G77" s="200">
        <f t="shared" si="14"/>
        <v>0</v>
      </c>
      <c r="H77" s="224">
        <f t="shared" si="6"/>
        <v>0</v>
      </c>
      <c r="I77" s="200">
        <f t="shared" si="15"/>
        <v>0</v>
      </c>
      <c r="J77" s="224">
        <f t="shared" si="7"/>
        <v>2.79734</v>
      </c>
      <c r="K77" s="58">
        <f t="shared" si="8"/>
        <v>3.2319</v>
      </c>
      <c r="L77" s="58">
        <f t="shared" si="9"/>
        <v>0.51471</v>
      </c>
      <c r="M77" s="58">
        <f t="shared" si="16"/>
        <v>6.54395</v>
      </c>
      <c r="N77" s="107">
        <f t="shared" si="17"/>
        <v>651.6841463333762</v>
      </c>
      <c r="O77" s="224">
        <f t="shared" si="10"/>
        <v>4.2833</v>
      </c>
      <c r="P77" s="58">
        <f t="shared" si="11"/>
        <v>4.69775</v>
      </c>
      <c r="Q77" s="58">
        <f t="shared" si="12"/>
        <v>8.98105</v>
      </c>
      <c r="R77" s="107">
        <f t="shared" si="18"/>
        <v>0</v>
      </c>
    </row>
    <row r="78" spans="1:18" ht="12.75">
      <c r="A78" s="257" t="s">
        <v>10</v>
      </c>
      <c r="B78" s="224">
        <f t="shared" si="4"/>
        <v>33.211999999999996</v>
      </c>
      <c r="C78" s="58">
        <f t="shared" si="5"/>
        <v>2.6128</v>
      </c>
      <c r="D78" s="58">
        <f t="shared" si="20"/>
        <v>35.824799999999996</v>
      </c>
      <c r="E78" s="107">
        <f t="shared" si="19"/>
        <v>2154.2567125428845</v>
      </c>
      <c r="F78" s="224">
        <f t="shared" si="13"/>
        <v>41.308</v>
      </c>
      <c r="G78" s="200">
        <f t="shared" si="14"/>
        <v>0</v>
      </c>
      <c r="H78" s="224">
        <f t="shared" si="6"/>
        <v>38.7021</v>
      </c>
      <c r="I78" s="200">
        <f t="shared" si="15"/>
        <v>0</v>
      </c>
      <c r="J78" s="224">
        <f t="shared" si="7"/>
        <v>3.1694</v>
      </c>
      <c r="K78" s="58">
        <f t="shared" si="8"/>
        <v>0</v>
      </c>
      <c r="L78" s="58">
        <f t="shared" si="9"/>
        <v>0</v>
      </c>
      <c r="M78" s="58">
        <f t="shared" si="16"/>
        <v>3.1694</v>
      </c>
      <c r="N78" s="107">
        <f t="shared" si="17"/>
        <v>315.62706521122607</v>
      </c>
      <c r="O78" s="224">
        <f t="shared" si="10"/>
        <v>4.853</v>
      </c>
      <c r="P78" s="58">
        <f t="shared" si="11"/>
        <v>0</v>
      </c>
      <c r="Q78" s="58">
        <f t="shared" si="12"/>
        <v>4.853</v>
      </c>
      <c r="R78" s="107">
        <f t="shared" si="18"/>
        <v>0</v>
      </c>
    </row>
    <row r="79" spans="1:18" ht="12.75">
      <c r="A79" s="257" t="s">
        <v>8</v>
      </c>
      <c r="B79" s="224">
        <f t="shared" si="4"/>
        <v>46.785599999999995</v>
      </c>
      <c r="C79" s="58">
        <f t="shared" si="5"/>
        <v>2.24</v>
      </c>
      <c r="D79" s="58">
        <f t="shared" si="20"/>
        <v>49.0256</v>
      </c>
      <c r="E79" s="107">
        <f t="shared" si="19"/>
        <v>2948.0618980829604</v>
      </c>
      <c r="F79" s="224">
        <f t="shared" si="13"/>
        <v>58.1904</v>
      </c>
      <c r="G79" s="200">
        <f t="shared" si="14"/>
        <v>0</v>
      </c>
      <c r="H79" s="224">
        <f t="shared" si="6"/>
        <v>33.18</v>
      </c>
      <c r="I79" s="200">
        <f t="shared" si="15"/>
        <v>0</v>
      </c>
      <c r="J79" s="224">
        <f t="shared" si="7"/>
        <v>4.46472</v>
      </c>
      <c r="K79" s="58">
        <f t="shared" si="8"/>
        <v>217.08162</v>
      </c>
      <c r="L79" s="58">
        <f t="shared" si="9"/>
        <v>28.408379999999998</v>
      </c>
      <c r="M79" s="58">
        <f t="shared" si="16"/>
        <v>249.95471999999998</v>
      </c>
      <c r="N79" s="107">
        <f t="shared" si="17"/>
        <v>24891.927402440127</v>
      </c>
      <c r="O79" s="224">
        <f t="shared" si="10"/>
        <v>6.836399999999999</v>
      </c>
      <c r="P79" s="58">
        <f t="shared" si="11"/>
        <v>315.54045</v>
      </c>
      <c r="Q79" s="58">
        <f t="shared" si="12"/>
        <v>322.37685000000005</v>
      </c>
      <c r="R79" s="107">
        <f t="shared" si="18"/>
        <v>0</v>
      </c>
    </row>
    <row r="80" spans="1:18" ht="12.75">
      <c r="A80" s="257" t="s">
        <v>18</v>
      </c>
      <c r="B80" s="224">
        <f t="shared" si="4"/>
        <v>1.9494</v>
      </c>
      <c r="C80" s="58">
        <f t="shared" si="5"/>
        <v>0.0832</v>
      </c>
      <c r="D80" s="58">
        <f t="shared" si="20"/>
        <v>2.0326</v>
      </c>
      <c r="E80" s="107">
        <f t="shared" si="19"/>
        <v>122.22656355135737</v>
      </c>
      <c r="F80" s="224">
        <f t="shared" si="13"/>
        <v>2.4246000000000003</v>
      </c>
      <c r="G80" s="200">
        <f t="shared" si="14"/>
        <v>0</v>
      </c>
      <c r="H80" s="224">
        <f t="shared" si="6"/>
        <v>1.2324</v>
      </c>
      <c r="I80" s="200">
        <f t="shared" si="15"/>
        <v>0</v>
      </c>
      <c r="J80" s="224">
        <f t="shared" si="7"/>
        <v>0.18603000000000003</v>
      </c>
      <c r="K80" s="58">
        <f t="shared" si="8"/>
        <v>8.607059999999999</v>
      </c>
      <c r="L80" s="58">
        <f t="shared" si="9"/>
        <v>1.12875</v>
      </c>
      <c r="M80" s="58">
        <f t="shared" si="16"/>
        <v>9.92184</v>
      </c>
      <c r="N80" s="107">
        <f t="shared" si="17"/>
        <v>988.0738438491043</v>
      </c>
      <c r="O80" s="224">
        <f t="shared" si="10"/>
        <v>0.28485</v>
      </c>
      <c r="P80" s="58">
        <f t="shared" si="11"/>
        <v>12.51085</v>
      </c>
      <c r="Q80" s="58">
        <f t="shared" si="12"/>
        <v>12.7957</v>
      </c>
      <c r="R80" s="107">
        <f t="shared" si="18"/>
        <v>0</v>
      </c>
    </row>
    <row r="81" spans="1:18" ht="12.75">
      <c r="A81" s="257" t="s">
        <v>163</v>
      </c>
      <c r="B81" s="224">
        <f t="shared" si="4"/>
        <v>4.0432</v>
      </c>
      <c r="C81" s="58">
        <f t="shared" si="5"/>
        <v>0.0784</v>
      </c>
      <c r="D81" s="58">
        <f>B81+C81</f>
        <v>4.1216</v>
      </c>
      <c r="E81" s="107">
        <f>D81*$E$59</f>
        <v>247.84463462229388</v>
      </c>
      <c r="F81" s="224">
        <f t="shared" si="13"/>
        <v>5.0288</v>
      </c>
      <c r="G81" s="200">
        <f>F81*$G$59</f>
        <v>0</v>
      </c>
      <c r="H81" s="224">
        <f t="shared" si="6"/>
        <v>1.1613</v>
      </c>
      <c r="I81" s="200">
        <f>H81*$I$59</f>
        <v>0</v>
      </c>
      <c r="J81" s="224">
        <f t="shared" si="7"/>
        <v>0.38584</v>
      </c>
      <c r="K81" s="58">
        <f t="shared" si="8"/>
        <v>30.788099999999996</v>
      </c>
      <c r="L81" s="58">
        <f t="shared" si="9"/>
        <v>0</v>
      </c>
      <c r="M81" s="58">
        <f>J81+K81+L81</f>
        <v>31.173939999999998</v>
      </c>
      <c r="N81" s="107">
        <f>M81*$N$59</f>
        <v>3104.4800887457714</v>
      </c>
      <c r="O81" s="224">
        <f t="shared" si="10"/>
        <v>0.5908</v>
      </c>
      <c r="P81" s="58">
        <f t="shared" si="11"/>
        <v>44.75225</v>
      </c>
      <c r="Q81" s="58">
        <f>O81+P81</f>
        <v>45.34305</v>
      </c>
      <c r="R81" s="107">
        <f>Q81*$R$59</f>
        <v>0</v>
      </c>
    </row>
    <row r="82" spans="1:18" ht="12.75">
      <c r="A82" s="257" t="s">
        <v>164</v>
      </c>
      <c r="B82" s="224">
        <f t="shared" si="4"/>
        <v>3.0324</v>
      </c>
      <c r="C82" s="58">
        <f t="shared" si="5"/>
        <v>0.1504</v>
      </c>
      <c r="D82" s="58">
        <f t="shared" si="20"/>
        <v>3.1828</v>
      </c>
      <c r="E82" s="107">
        <f t="shared" si="19"/>
        <v>191.39166903043403</v>
      </c>
      <c r="F82" s="224">
        <f t="shared" si="13"/>
        <v>3.7716</v>
      </c>
      <c r="G82" s="200">
        <f t="shared" si="14"/>
        <v>0</v>
      </c>
      <c r="H82" s="224">
        <f t="shared" si="6"/>
        <v>2.2278000000000002</v>
      </c>
      <c r="I82" s="200">
        <f t="shared" si="15"/>
        <v>0</v>
      </c>
      <c r="J82" s="224">
        <f t="shared" si="7"/>
        <v>0.28938</v>
      </c>
      <c r="K82" s="58">
        <f t="shared" si="8"/>
        <v>0.20411999999999997</v>
      </c>
      <c r="L82" s="58">
        <f t="shared" si="9"/>
        <v>1.06554</v>
      </c>
      <c r="M82" s="58">
        <f t="shared" si="16"/>
        <v>1.55904</v>
      </c>
      <c r="N82" s="107">
        <f t="shared" si="17"/>
        <v>155.25816234836557</v>
      </c>
      <c r="O82" s="224">
        <f t="shared" si="10"/>
        <v>0.4431</v>
      </c>
      <c r="P82" s="58">
        <f t="shared" si="11"/>
        <v>0.29669999999999996</v>
      </c>
      <c r="Q82" s="58">
        <f t="shared" si="12"/>
        <v>0.7398</v>
      </c>
      <c r="R82" s="107">
        <f t="shared" si="18"/>
        <v>0</v>
      </c>
    </row>
    <row r="83" spans="1:18" ht="12.75">
      <c r="A83" s="257" t="s">
        <v>142</v>
      </c>
      <c r="B83" s="224">
        <f t="shared" si="4"/>
        <v>1.444</v>
      </c>
      <c r="C83" s="58">
        <f t="shared" si="5"/>
        <v>0.0464</v>
      </c>
      <c r="D83" s="58">
        <f t="shared" si="20"/>
        <v>1.4904</v>
      </c>
      <c r="E83" s="107">
        <f t="shared" si="19"/>
        <v>89.6223901982402</v>
      </c>
      <c r="F83" s="224">
        <f t="shared" si="13"/>
        <v>1.796</v>
      </c>
      <c r="G83" s="200">
        <f t="shared" si="14"/>
        <v>0</v>
      </c>
      <c r="H83" s="224">
        <f t="shared" si="6"/>
        <v>0.6872999999999999</v>
      </c>
      <c r="I83" s="200">
        <f t="shared" si="15"/>
        <v>0</v>
      </c>
      <c r="J83" s="224">
        <f t="shared" si="7"/>
        <v>0.1378</v>
      </c>
      <c r="K83" s="58">
        <f t="shared" si="8"/>
        <v>6.531839999999999</v>
      </c>
      <c r="L83" s="58">
        <f t="shared" si="9"/>
        <v>0.7675500000000001</v>
      </c>
      <c r="M83" s="58">
        <f t="shared" si="16"/>
        <v>7.437189999999999</v>
      </c>
      <c r="N83" s="107">
        <f t="shared" si="17"/>
        <v>740.6381186086571</v>
      </c>
      <c r="O83" s="224">
        <f t="shared" si="10"/>
        <v>0.211</v>
      </c>
      <c r="P83" s="58">
        <f t="shared" si="11"/>
        <v>9.494399999999999</v>
      </c>
      <c r="Q83" s="58">
        <f t="shared" si="12"/>
        <v>9.7054</v>
      </c>
      <c r="R83" s="107">
        <f t="shared" si="18"/>
        <v>0</v>
      </c>
    </row>
    <row r="84" spans="1:18" ht="13.5" thickBot="1">
      <c r="A84" s="264" t="s">
        <v>143</v>
      </c>
      <c r="B84" s="224">
        <f t="shared" si="4"/>
        <v>0.0722</v>
      </c>
      <c r="C84" s="58">
        <f t="shared" si="5"/>
        <v>0</v>
      </c>
      <c r="D84" s="58">
        <f>B84+C84</f>
        <v>0.0722</v>
      </c>
      <c r="E84" s="107">
        <f>D84*$E$59</f>
        <v>4.341610689957691</v>
      </c>
      <c r="F84" s="224">
        <f t="shared" si="13"/>
        <v>0.0898</v>
      </c>
      <c r="G84" s="200">
        <f t="shared" si="14"/>
        <v>0</v>
      </c>
      <c r="H84" s="224">
        <f t="shared" si="6"/>
        <v>0</v>
      </c>
      <c r="I84" s="200">
        <f t="shared" si="15"/>
        <v>0</v>
      </c>
      <c r="J84" s="224">
        <f t="shared" si="7"/>
        <v>0.006890000000000001</v>
      </c>
      <c r="K84" s="58">
        <f t="shared" si="8"/>
        <v>49.6692</v>
      </c>
      <c r="L84" s="58">
        <f t="shared" si="9"/>
        <v>0.7133700000000001</v>
      </c>
      <c r="M84" s="58">
        <f t="shared" si="16"/>
        <v>50.38945999999999</v>
      </c>
      <c r="N84" s="107">
        <f t="shared" si="17"/>
        <v>5018.071993872173</v>
      </c>
      <c r="O84" s="224">
        <f t="shared" si="10"/>
        <v>0.01055</v>
      </c>
      <c r="P84" s="58">
        <f t="shared" si="11"/>
        <v>72.19699999999999</v>
      </c>
      <c r="Q84" s="58">
        <f>O84+P84</f>
        <v>72.20754999999998</v>
      </c>
      <c r="R84" s="107">
        <f t="shared" si="18"/>
        <v>0</v>
      </c>
    </row>
    <row r="85" spans="1:18" ht="13.5" thickBot="1">
      <c r="A85" s="265" t="s">
        <v>56</v>
      </c>
      <c r="B85" s="226">
        <f>SUM(B61:B84)</f>
        <v>722</v>
      </c>
      <c r="C85" s="260">
        <f aca="true" t="shared" si="21" ref="C85:R85">SUM(C61:C84)</f>
        <v>15.999999999999998</v>
      </c>
      <c r="D85" s="260">
        <f t="shared" si="21"/>
        <v>737.9999999999998</v>
      </c>
      <c r="E85" s="261">
        <f t="shared" si="21"/>
        <v>44378.236692365295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499.4</v>
      </c>
      <c r="N85" s="261">
        <f t="shared" si="21"/>
        <v>49733.12184214246</v>
      </c>
      <c r="O85" s="226">
        <f t="shared" si="21"/>
        <v>105.49999999999999</v>
      </c>
      <c r="P85" s="260">
        <f t="shared" si="21"/>
        <v>494.5</v>
      </c>
      <c r="Q85" s="260">
        <f t="shared" si="21"/>
        <v>600</v>
      </c>
      <c r="R85" s="261">
        <f t="shared" si="21"/>
        <v>0</v>
      </c>
    </row>
    <row r="86" spans="1:7" ht="12.75">
      <c r="A86" s="136" t="s">
        <v>90</v>
      </c>
      <c r="B86" s="25"/>
      <c r="C86" s="25"/>
      <c r="D86" s="25"/>
      <c r="E86" s="9"/>
      <c r="F86" s="25"/>
      <c r="G86" s="9"/>
    </row>
    <row r="87" spans="1:4" ht="13.5">
      <c r="A87" s="54" t="s">
        <v>95</v>
      </c>
      <c r="B87" s="117"/>
      <c r="C87" s="117"/>
      <c r="D87" s="118"/>
    </row>
    <row r="88" spans="1:4" ht="13.5">
      <c r="A88" s="54" t="s">
        <v>98</v>
      </c>
      <c r="B88" s="117"/>
      <c r="C88" s="117"/>
      <c r="D88" s="118"/>
    </row>
    <row r="89" ht="13.5" thickBot="1"/>
    <row r="90" spans="1:2" ht="15.75" thickBot="1">
      <c r="A90" s="267" t="s">
        <v>80</v>
      </c>
      <c r="B90" s="6"/>
    </row>
    <row r="91" spans="1:4" ht="92.25">
      <c r="A91" s="266" t="s">
        <v>3</v>
      </c>
      <c r="B91" s="89" t="s">
        <v>99</v>
      </c>
      <c r="C91" s="103" t="s">
        <v>157</v>
      </c>
      <c r="D91" s="68"/>
    </row>
    <row r="92" spans="1:3" ht="12.75">
      <c r="A92" s="50" t="s">
        <v>30</v>
      </c>
      <c r="B92" s="123">
        <f>B21*E59</f>
        <v>9561.164815834803</v>
      </c>
      <c r="C92" s="126">
        <f>(B12+B17)*E59</f>
        <v>44378.23669236532</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49733.12184214245</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9561.164815834803</v>
      </c>
      <c r="C98" s="203">
        <f>SUM(C92:C97)</f>
        <v>94111.35853450777</v>
      </c>
    </row>
  </sheetData>
  <sheetProtection/>
  <mergeCells count="14">
    <mergeCell ref="S60:T60"/>
    <mergeCell ref="H58:I58"/>
    <mergeCell ref="J58:N58"/>
    <mergeCell ref="O58:R58"/>
    <mergeCell ref="S58:T58"/>
    <mergeCell ref="B59:D59"/>
    <mergeCell ref="J59:M59"/>
    <mergeCell ref="O59:Q59"/>
    <mergeCell ref="A3:A4"/>
    <mergeCell ref="A54:C54"/>
    <mergeCell ref="A57:A59"/>
    <mergeCell ref="B58:E58"/>
    <mergeCell ref="F58:G58"/>
    <mergeCell ref="A24:H24"/>
  </mergeCells>
  <printOptions/>
  <pageMargins left="0.45" right="0.45" top="0.5" bottom="0.5" header="0.3" footer="0.3"/>
  <pageSetup fitToHeight="1" fitToWidth="1" horizontalDpi="600" verticalDpi="600" orientation="portrait" scale="31" r:id="rId1"/>
</worksheet>
</file>

<file path=xl/worksheets/sheet11.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7.25">
      <c r="A1" s="24" t="s">
        <v>320</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9.75" customHeight="1" thickBot="1">
      <c r="A4" s="340" t="s">
        <v>3</v>
      </c>
      <c r="B4" s="351" t="s">
        <v>73</v>
      </c>
      <c r="C4" s="341" t="s">
        <v>213</v>
      </c>
      <c r="D4" s="342" t="s">
        <v>61</v>
      </c>
      <c r="E4" s="341" t="s">
        <v>214</v>
      </c>
      <c r="F4" s="342" t="s">
        <v>215</v>
      </c>
      <c r="G4" s="341" t="s">
        <v>216</v>
      </c>
      <c r="H4" s="343" t="s">
        <v>59</v>
      </c>
      <c r="I4" s="49"/>
      <c r="J4" s="49"/>
    </row>
    <row r="5" spans="1:10" ht="12.75">
      <c r="A5" s="344" t="s">
        <v>6</v>
      </c>
      <c r="B5" s="494">
        <v>31</v>
      </c>
      <c r="C5" s="290">
        <v>0</v>
      </c>
      <c r="D5" s="345">
        <f>B5+C5</f>
        <v>31</v>
      </c>
      <c r="E5" s="290">
        <v>0</v>
      </c>
      <c r="F5" s="345">
        <f aca="true" t="shared" si="0" ref="F5:F14">D5+E5</f>
        <v>31</v>
      </c>
      <c r="G5" s="290">
        <v>0</v>
      </c>
      <c r="H5" s="346">
        <f aca="true" t="shared" si="1" ref="H5:H14">F5+G5</f>
        <v>31</v>
      </c>
      <c r="I5" s="10"/>
      <c r="J5" s="10" t="s">
        <v>24</v>
      </c>
    </row>
    <row r="6" spans="1:11" ht="12.75">
      <c r="A6" s="347" t="s">
        <v>30</v>
      </c>
      <c r="B6" s="424">
        <f>$B$5</f>
        <v>31</v>
      </c>
      <c r="C6" s="59">
        <v>40</v>
      </c>
      <c r="D6" s="144">
        <f>B6+C6</f>
        <v>71</v>
      </c>
      <c r="E6" s="59">
        <v>0</v>
      </c>
      <c r="F6" s="144">
        <f t="shared" si="0"/>
        <v>71</v>
      </c>
      <c r="G6" s="59">
        <v>0</v>
      </c>
      <c r="H6" s="147">
        <f t="shared" si="1"/>
        <v>71</v>
      </c>
      <c r="I6" s="10"/>
      <c r="J6" s="10" t="s">
        <v>24</v>
      </c>
      <c r="K6" t="s">
        <v>24</v>
      </c>
    </row>
    <row r="7" spans="1:10" ht="12.75">
      <c r="A7" s="347" t="s">
        <v>41</v>
      </c>
      <c r="B7" s="424">
        <f aca="true" t="shared" si="2" ref="B7:B14">$B$5</f>
        <v>31</v>
      </c>
      <c r="C7" s="59">
        <v>0</v>
      </c>
      <c r="D7" s="144">
        <f>B7+C6+C7</f>
        <v>71</v>
      </c>
      <c r="E7" s="59">
        <v>0</v>
      </c>
      <c r="F7" s="144">
        <f t="shared" si="0"/>
        <v>71</v>
      </c>
      <c r="G7" s="59">
        <v>0</v>
      </c>
      <c r="H7" s="147">
        <f t="shared" si="1"/>
        <v>71</v>
      </c>
      <c r="I7" s="10"/>
      <c r="J7" s="10"/>
    </row>
    <row r="8" spans="1:10" ht="12.75">
      <c r="A8" s="347" t="s">
        <v>5</v>
      </c>
      <c r="B8" s="424">
        <f t="shared" si="2"/>
        <v>31</v>
      </c>
      <c r="C8" s="59">
        <v>0</v>
      </c>
      <c r="D8" s="144">
        <f>B8+C6+C8</f>
        <v>71</v>
      </c>
      <c r="E8" s="59">
        <v>0</v>
      </c>
      <c r="F8" s="144">
        <f t="shared" si="0"/>
        <v>71</v>
      </c>
      <c r="G8" s="59">
        <v>0</v>
      </c>
      <c r="H8" s="147">
        <f t="shared" si="1"/>
        <v>71</v>
      </c>
      <c r="I8" s="10"/>
      <c r="J8" s="10" t="s">
        <v>24</v>
      </c>
    </row>
    <row r="9" spans="1:10" ht="12.75">
      <c r="A9" s="347" t="s">
        <v>8</v>
      </c>
      <c r="B9" s="424">
        <f t="shared" si="2"/>
        <v>31</v>
      </c>
      <c r="C9" s="59">
        <v>28.01</v>
      </c>
      <c r="D9" s="144">
        <f>B9+C6+C7+C9</f>
        <v>99.01</v>
      </c>
      <c r="E9" s="59">
        <v>0</v>
      </c>
      <c r="F9" s="144">
        <f t="shared" si="0"/>
        <v>99.01</v>
      </c>
      <c r="G9" s="59">
        <v>0</v>
      </c>
      <c r="H9" s="147">
        <f t="shared" si="1"/>
        <v>99.01</v>
      </c>
      <c r="I9" s="10"/>
      <c r="J9" s="10"/>
    </row>
    <row r="10" spans="1:10" ht="12.75">
      <c r="A10" s="347" t="s">
        <v>42</v>
      </c>
      <c r="B10" s="424">
        <f t="shared" si="2"/>
        <v>31</v>
      </c>
      <c r="C10" s="59">
        <v>113.52</v>
      </c>
      <c r="D10" s="144">
        <f>B10+C6+C7+C9+C10</f>
        <v>212.53</v>
      </c>
      <c r="E10" s="59">
        <v>0</v>
      </c>
      <c r="F10" s="144">
        <f t="shared" si="0"/>
        <v>212.53</v>
      </c>
      <c r="G10" s="59">
        <v>0</v>
      </c>
      <c r="H10" s="147">
        <f t="shared" si="1"/>
        <v>212.53</v>
      </c>
      <c r="I10" s="10"/>
      <c r="J10" s="10"/>
    </row>
    <row r="11" spans="1:10" ht="12.75">
      <c r="A11" s="347" t="s">
        <v>43</v>
      </c>
      <c r="B11" s="424">
        <f t="shared" si="2"/>
        <v>31</v>
      </c>
      <c r="C11" s="59">
        <v>0</v>
      </c>
      <c r="D11" s="144">
        <f>B11+C6+C7+C11</f>
        <v>71</v>
      </c>
      <c r="E11" s="59">
        <v>0</v>
      </c>
      <c r="F11" s="144">
        <f t="shared" si="0"/>
        <v>71</v>
      </c>
      <c r="G11" s="59">
        <v>0</v>
      </c>
      <c r="H11" s="147">
        <f t="shared" si="1"/>
        <v>71</v>
      </c>
      <c r="I11" s="10"/>
      <c r="J11" s="10"/>
    </row>
    <row r="12" spans="1:10" ht="12.75">
      <c r="A12" s="493" t="s">
        <v>15</v>
      </c>
      <c r="B12" s="424">
        <f t="shared" si="2"/>
        <v>31</v>
      </c>
      <c r="C12" s="152">
        <v>0</v>
      </c>
      <c r="D12" s="144">
        <f>B12+C6+C8+C12</f>
        <v>71</v>
      </c>
      <c r="E12" s="152">
        <v>0</v>
      </c>
      <c r="F12" s="144">
        <f t="shared" si="0"/>
        <v>71</v>
      </c>
      <c r="G12" s="152">
        <v>0</v>
      </c>
      <c r="H12" s="147">
        <f t="shared" si="1"/>
        <v>71</v>
      </c>
      <c r="I12" s="10"/>
      <c r="J12" s="10"/>
    </row>
    <row r="13" spans="1:11" ht="12.75">
      <c r="A13" s="493" t="s">
        <v>51</v>
      </c>
      <c r="B13" s="424">
        <f t="shared" si="2"/>
        <v>31</v>
      </c>
      <c r="C13" s="152">
        <v>70.5</v>
      </c>
      <c r="D13" s="144">
        <f>B13+C13</f>
        <v>101.5</v>
      </c>
      <c r="E13" s="152">
        <v>0</v>
      </c>
      <c r="F13" s="144">
        <f t="shared" si="0"/>
        <v>101.5</v>
      </c>
      <c r="G13" s="152">
        <v>0</v>
      </c>
      <c r="H13" s="147">
        <f t="shared" si="1"/>
        <v>101.5</v>
      </c>
      <c r="I13" s="10"/>
      <c r="J13" s="10" t="s">
        <v>24</v>
      </c>
      <c r="K13" t="s">
        <v>24</v>
      </c>
    </row>
    <row r="14" spans="1:10" ht="13.5" thickBot="1">
      <c r="A14" s="348" t="s">
        <v>176</v>
      </c>
      <c r="B14" s="495">
        <f t="shared" si="2"/>
        <v>31</v>
      </c>
      <c r="C14" s="173">
        <v>0</v>
      </c>
      <c r="D14" s="174">
        <f>B14+C13+C14</f>
        <v>101.5</v>
      </c>
      <c r="E14" s="173">
        <v>0</v>
      </c>
      <c r="F14" s="174">
        <f t="shared" si="0"/>
        <v>101.5</v>
      </c>
      <c r="G14" s="173">
        <v>0</v>
      </c>
      <c r="H14" s="175">
        <f t="shared" si="1"/>
        <v>101.5</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672" t="s">
        <v>217</v>
      </c>
      <c r="B18" s="673"/>
      <c r="C18" s="674"/>
      <c r="D18" s="349"/>
      <c r="E18" s="35"/>
      <c r="F18" s="25"/>
      <c r="G18" s="25"/>
      <c r="H18" s="25"/>
      <c r="I18" s="63"/>
      <c r="J18" s="63"/>
    </row>
    <row r="19" spans="1:18" ht="13.5" thickBot="1">
      <c r="A19" s="675" t="s">
        <v>3</v>
      </c>
      <c r="B19" s="677" t="s">
        <v>218</v>
      </c>
      <c r="C19" s="678"/>
      <c r="D19" s="678"/>
      <c r="E19" s="679"/>
      <c r="F19" s="680" t="s">
        <v>219</v>
      </c>
      <c r="G19" s="678"/>
      <c r="H19" s="678"/>
      <c r="I19" s="679"/>
      <c r="J19" s="680" t="s">
        <v>220</v>
      </c>
      <c r="K19" s="678"/>
      <c r="L19" s="678"/>
      <c r="M19" s="679"/>
      <c r="N19" s="680" t="s">
        <v>278</v>
      </c>
      <c r="O19" s="678"/>
      <c r="P19" s="678"/>
      <c r="Q19" s="679"/>
      <c r="R19" s="63"/>
    </row>
    <row r="20" spans="1:17" ht="39.75" customHeight="1" thickBot="1">
      <c r="A20" s="676"/>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648.3</v>
      </c>
      <c r="C21" s="356">
        <v>562.7</v>
      </c>
      <c r="D21" s="497">
        <v>3847.5</v>
      </c>
      <c r="E21" s="357">
        <f>B21+C21+D21</f>
        <v>5058.5</v>
      </c>
      <c r="F21" s="359">
        <v>61.2</v>
      </c>
      <c r="G21" s="360">
        <v>0</v>
      </c>
      <c r="H21" s="356">
        <v>703.6</v>
      </c>
      <c r="I21" s="357">
        <f aca="true" t="shared" si="3" ref="I21:I27">F21+G21+H21</f>
        <v>764.8000000000001</v>
      </c>
      <c r="J21" s="500">
        <f>B21-F21</f>
        <v>587.0999999999999</v>
      </c>
      <c r="K21" s="360">
        <f aca="true" t="shared" si="4" ref="K21:L28">C21-G21</f>
        <v>562.7</v>
      </c>
      <c r="L21" s="360">
        <f t="shared" si="4"/>
        <v>3143.9</v>
      </c>
      <c r="M21" s="515">
        <f>J21+K21+L21</f>
        <v>4293.7</v>
      </c>
      <c r="N21" s="361">
        <v>0</v>
      </c>
      <c r="O21" s="362">
        <v>0</v>
      </c>
      <c r="P21" s="362">
        <v>0</v>
      </c>
      <c r="Q21" s="357">
        <f>N21+O21+P21</f>
        <v>0</v>
      </c>
    </row>
    <row r="22" spans="1:17" ht="12.75">
      <c r="A22" s="232" t="s">
        <v>30</v>
      </c>
      <c r="B22" s="363">
        <v>435.7</v>
      </c>
      <c r="C22" s="364">
        <v>36.4</v>
      </c>
      <c r="D22" s="364">
        <v>1108.2</v>
      </c>
      <c r="E22" s="365">
        <f aca="true" t="shared" si="5" ref="E22:E28">B22+C22+D22</f>
        <v>1580.3</v>
      </c>
      <c r="F22" s="502">
        <v>1.5</v>
      </c>
      <c r="G22" s="367">
        <v>0</v>
      </c>
      <c r="H22" s="358">
        <v>203.8</v>
      </c>
      <c r="I22" s="365">
        <f t="shared" si="3"/>
        <v>205.3</v>
      </c>
      <c r="J22" s="366">
        <f aca="true" t="shared" si="6" ref="J22:L30">B22-F22</f>
        <v>434.2</v>
      </c>
      <c r="K22" s="367">
        <f t="shared" si="4"/>
        <v>36.4</v>
      </c>
      <c r="L22" s="367">
        <f t="shared" si="4"/>
        <v>904.4000000000001</v>
      </c>
      <c r="M22" s="503">
        <f aca="true" t="shared" si="7" ref="M22:M28">J22+K22+L22</f>
        <v>1375</v>
      </c>
      <c r="N22" s="370">
        <v>0</v>
      </c>
      <c r="O22" s="48">
        <v>0</v>
      </c>
      <c r="P22" s="48">
        <v>0</v>
      </c>
      <c r="Q22" s="365">
        <f aca="true" t="shared" si="8" ref="Q22:Q28">N22+O22+P22</f>
        <v>0</v>
      </c>
    </row>
    <row r="23" spans="1:17" ht="12.75">
      <c r="A23" s="232" t="s">
        <v>41</v>
      </c>
      <c r="B23" s="363">
        <v>146.2</v>
      </c>
      <c r="C23" s="364">
        <v>9</v>
      </c>
      <c r="D23" s="364">
        <v>308.1</v>
      </c>
      <c r="E23" s="365">
        <f t="shared" si="5"/>
        <v>463.3</v>
      </c>
      <c r="F23" s="502">
        <v>1.5</v>
      </c>
      <c r="G23" s="367">
        <v>0</v>
      </c>
      <c r="H23" s="358">
        <v>96.9</v>
      </c>
      <c r="I23" s="365">
        <f t="shared" si="3"/>
        <v>98.4</v>
      </c>
      <c r="J23" s="366">
        <f t="shared" si="6"/>
        <v>144.7</v>
      </c>
      <c r="K23" s="367">
        <f t="shared" si="4"/>
        <v>9</v>
      </c>
      <c r="L23" s="367">
        <f t="shared" si="4"/>
        <v>211.20000000000002</v>
      </c>
      <c r="M23" s="503">
        <f t="shared" si="7"/>
        <v>364.9</v>
      </c>
      <c r="N23" s="370">
        <v>0</v>
      </c>
      <c r="O23" s="48">
        <v>0</v>
      </c>
      <c r="P23" s="48">
        <v>0</v>
      </c>
      <c r="Q23" s="365">
        <f t="shared" si="8"/>
        <v>0</v>
      </c>
    </row>
    <row r="24" spans="1:17" ht="12.75">
      <c r="A24" s="232" t="s">
        <v>5</v>
      </c>
      <c r="B24" s="363">
        <v>95</v>
      </c>
      <c r="C24" s="364">
        <v>0</v>
      </c>
      <c r="D24" s="364">
        <v>662.8</v>
      </c>
      <c r="E24" s="365">
        <f t="shared" si="5"/>
        <v>757.8</v>
      </c>
      <c r="F24" s="502">
        <f>B39</f>
        <v>0</v>
      </c>
      <c r="G24" s="367">
        <v>0</v>
      </c>
      <c r="H24" s="358">
        <v>102.9</v>
      </c>
      <c r="I24" s="365">
        <f t="shared" si="3"/>
        <v>102.9</v>
      </c>
      <c r="J24" s="366">
        <f t="shared" si="6"/>
        <v>95</v>
      </c>
      <c r="K24" s="367">
        <f t="shared" si="4"/>
        <v>0</v>
      </c>
      <c r="L24" s="367">
        <f t="shared" si="4"/>
        <v>559.9</v>
      </c>
      <c r="M24" s="503">
        <f t="shared" si="7"/>
        <v>654.9</v>
      </c>
      <c r="N24" s="371">
        <v>0</v>
      </c>
      <c r="O24" s="76">
        <v>0</v>
      </c>
      <c r="P24" s="76">
        <v>0</v>
      </c>
      <c r="Q24" s="365">
        <f t="shared" si="8"/>
        <v>0</v>
      </c>
    </row>
    <row r="25" spans="1:17" ht="12.75">
      <c r="A25" s="232" t="s">
        <v>8</v>
      </c>
      <c r="B25" s="363">
        <v>31.5</v>
      </c>
      <c r="C25" s="364">
        <v>9</v>
      </c>
      <c r="D25" s="364">
        <v>6.7</v>
      </c>
      <c r="E25" s="365">
        <f t="shared" si="5"/>
        <v>47.2</v>
      </c>
      <c r="F25" s="502">
        <v>1.5</v>
      </c>
      <c r="G25" s="367">
        <v>0</v>
      </c>
      <c r="H25" s="358">
        <v>15.9</v>
      </c>
      <c r="I25" s="365">
        <f t="shared" si="3"/>
        <v>17.4</v>
      </c>
      <c r="J25" s="366">
        <f t="shared" si="6"/>
        <v>30</v>
      </c>
      <c r="K25" s="367">
        <f t="shared" si="4"/>
        <v>9</v>
      </c>
      <c r="L25" s="367">
        <f t="shared" si="4"/>
        <v>-9.2</v>
      </c>
      <c r="M25" s="503">
        <f t="shared" si="7"/>
        <v>29.8</v>
      </c>
      <c r="N25" s="371">
        <v>0</v>
      </c>
      <c r="O25" s="76">
        <v>0</v>
      </c>
      <c r="P25" s="76">
        <v>0</v>
      </c>
      <c r="Q25" s="365">
        <f t="shared" si="8"/>
        <v>0</v>
      </c>
    </row>
    <row r="26" spans="1:17" ht="12.75">
      <c r="A26" s="232" t="s">
        <v>42</v>
      </c>
      <c r="B26" s="363">
        <v>6</v>
      </c>
      <c r="C26" s="364">
        <v>0.6</v>
      </c>
      <c r="D26" s="364">
        <v>0.7</v>
      </c>
      <c r="E26" s="365">
        <f t="shared" si="5"/>
        <v>7.3</v>
      </c>
      <c r="F26" s="502">
        <v>1.5</v>
      </c>
      <c r="G26" s="367">
        <v>0</v>
      </c>
      <c r="H26" s="358">
        <v>5.2</v>
      </c>
      <c r="I26" s="365">
        <f t="shared" si="3"/>
        <v>6.7</v>
      </c>
      <c r="J26" s="366">
        <f t="shared" si="6"/>
        <v>4.5</v>
      </c>
      <c r="K26" s="367">
        <f t="shared" si="4"/>
        <v>0.6</v>
      </c>
      <c r="L26" s="367">
        <f t="shared" si="4"/>
        <v>-4.5</v>
      </c>
      <c r="M26" s="503">
        <f t="shared" si="7"/>
        <v>0.5999999999999996</v>
      </c>
      <c r="N26" s="371">
        <v>0</v>
      </c>
      <c r="O26" s="76">
        <v>0</v>
      </c>
      <c r="P26" s="76">
        <v>0</v>
      </c>
      <c r="Q26" s="365">
        <f t="shared" si="8"/>
        <v>0</v>
      </c>
    </row>
    <row r="27" spans="1:17" ht="12.75">
      <c r="A27" s="232" t="s">
        <v>43</v>
      </c>
      <c r="B27" s="363">
        <v>3.5</v>
      </c>
      <c r="C27" s="364">
        <v>0</v>
      </c>
      <c r="D27" s="364">
        <v>0</v>
      </c>
      <c r="E27" s="365">
        <f t="shared" si="5"/>
        <v>3.5</v>
      </c>
      <c r="F27" s="502">
        <v>0</v>
      </c>
      <c r="G27" s="367">
        <v>0</v>
      </c>
      <c r="H27" s="358">
        <v>0</v>
      </c>
      <c r="I27" s="365">
        <f t="shared" si="3"/>
        <v>0</v>
      </c>
      <c r="J27" s="366">
        <f t="shared" si="6"/>
        <v>3.5</v>
      </c>
      <c r="K27" s="367">
        <f t="shared" si="4"/>
        <v>0</v>
      </c>
      <c r="L27" s="367">
        <f t="shared" si="4"/>
        <v>0</v>
      </c>
      <c r="M27" s="503">
        <f t="shared" si="7"/>
        <v>3.5</v>
      </c>
      <c r="N27" s="371">
        <v>0</v>
      </c>
      <c r="O27" s="76">
        <v>0</v>
      </c>
      <c r="P27" s="76">
        <v>0</v>
      </c>
      <c r="Q27" s="365">
        <f t="shared" si="8"/>
        <v>0</v>
      </c>
    </row>
    <row r="28" spans="1:17" ht="12.75">
      <c r="A28" s="499" t="s">
        <v>15</v>
      </c>
      <c r="B28" s="363">
        <v>67</v>
      </c>
      <c r="C28" s="364">
        <v>0</v>
      </c>
      <c r="D28" s="364">
        <v>607.3</v>
      </c>
      <c r="E28" s="365">
        <f t="shared" si="5"/>
        <v>674.3</v>
      </c>
      <c r="F28" s="502">
        <f>B43</f>
        <v>0</v>
      </c>
      <c r="G28" s="368">
        <v>0</v>
      </c>
      <c r="H28" s="358">
        <v>0</v>
      </c>
      <c r="I28" s="365">
        <f>F28+G28+H28</f>
        <v>0</v>
      </c>
      <c r="J28" s="366">
        <f t="shared" si="6"/>
        <v>67</v>
      </c>
      <c r="K28" s="367">
        <f t="shared" si="4"/>
        <v>0</v>
      </c>
      <c r="L28" s="367">
        <f t="shared" si="4"/>
        <v>607.3</v>
      </c>
      <c r="M28" s="503">
        <f t="shared" si="7"/>
        <v>674.3</v>
      </c>
      <c r="N28" s="371">
        <v>0</v>
      </c>
      <c r="O28" s="76">
        <v>0</v>
      </c>
      <c r="P28" s="76">
        <v>0</v>
      </c>
      <c r="Q28" s="365">
        <f t="shared" si="8"/>
        <v>0</v>
      </c>
    </row>
    <row r="29" spans="1:17" ht="12.75">
      <c r="A29" s="499" t="s">
        <v>51</v>
      </c>
      <c r="B29" s="363">
        <v>0</v>
      </c>
      <c r="C29" s="364">
        <v>35.8</v>
      </c>
      <c r="D29" s="364">
        <v>234.4</v>
      </c>
      <c r="E29" s="365">
        <f>B29+C29+D29</f>
        <v>270.2</v>
      </c>
      <c r="F29" s="502">
        <v>16.3</v>
      </c>
      <c r="G29" s="368">
        <v>0</v>
      </c>
      <c r="H29" s="358">
        <v>94.5</v>
      </c>
      <c r="I29" s="365">
        <f>F29+G29+H29</f>
        <v>110.8</v>
      </c>
      <c r="J29" s="366">
        <f t="shared" si="6"/>
        <v>-16.3</v>
      </c>
      <c r="K29" s="367">
        <f t="shared" si="6"/>
        <v>35.8</v>
      </c>
      <c r="L29" s="367">
        <f t="shared" si="6"/>
        <v>139.9</v>
      </c>
      <c r="M29" s="503">
        <f>J29+K29+L29</f>
        <v>159.4</v>
      </c>
      <c r="N29" s="371">
        <v>0</v>
      </c>
      <c r="O29" s="76">
        <v>0</v>
      </c>
      <c r="P29" s="76">
        <v>0</v>
      </c>
      <c r="Q29" s="365">
        <f>N29+O29+P29</f>
        <v>0</v>
      </c>
    </row>
    <row r="30" spans="1:17" ht="13.5" thickBot="1">
      <c r="A30" s="394" t="s">
        <v>176</v>
      </c>
      <c r="B30" s="395">
        <v>0</v>
      </c>
      <c r="C30" s="374">
        <v>2.6</v>
      </c>
      <c r="D30" s="377">
        <v>105.2</v>
      </c>
      <c r="E30" s="375">
        <f>B30+C30+D30</f>
        <v>107.8</v>
      </c>
      <c r="F30" s="379">
        <v>0</v>
      </c>
      <c r="G30" s="376">
        <v>0</v>
      </c>
      <c r="H30" s="377">
        <f>D45</f>
        <v>0</v>
      </c>
      <c r="I30" s="378">
        <f>F30+G30+H30</f>
        <v>0</v>
      </c>
      <c r="J30" s="501">
        <f t="shared" si="6"/>
        <v>0</v>
      </c>
      <c r="K30" s="380">
        <f t="shared" si="6"/>
        <v>2.6</v>
      </c>
      <c r="L30" s="380">
        <f t="shared" si="6"/>
        <v>105.2</v>
      </c>
      <c r="M30" s="504">
        <f>J30+K30+L30</f>
        <v>107.8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681" t="s">
        <v>227</v>
      </c>
      <c r="B33" s="682"/>
      <c r="C33" s="384"/>
      <c r="D33" s="383"/>
      <c r="E33" s="385"/>
      <c r="F33" s="383"/>
      <c r="G33" s="384"/>
      <c r="H33" s="383"/>
      <c r="I33" s="385"/>
      <c r="J33" s="386"/>
      <c r="K33" s="386"/>
      <c r="L33" s="386"/>
      <c r="M33" s="385"/>
      <c r="N33" s="12"/>
      <c r="O33" s="12"/>
      <c r="P33" s="12"/>
      <c r="Q33" s="10"/>
    </row>
    <row r="34" spans="1:18" ht="13.5" thickBot="1">
      <c r="A34" s="683" t="s">
        <v>3</v>
      </c>
      <c r="B34" s="680" t="s">
        <v>228</v>
      </c>
      <c r="C34" s="678"/>
      <c r="D34" s="678"/>
      <c r="E34" s="679"/>
      <c r="F34" s="680" t="s">
        <v>229</v>
      </c>
      <c r="G34" s="678"/>
      <c r="H34" s="678"/>
      <c r="I34" s="679"/>
      <c r="J34" s="680" t="s">
        <v>230</v>
      </c>
      <c r="K34" s="678"/>
      <c r="L34" s="678"/>
      <c r="M34" s="679"/>
      <c r="N34" s="47"/>
      <c r="O34" s="387"/>
      <c r="P34" s="387"/>
      <c r="Q34" s="387"/>
      <c r="R34" s="63"/>
    </row>
    <row r="35" spans="1:17" ht="39.75" thickBot="1">
      <c r="A35" s="684"/>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14</v>
      </c>
      <c r="C36" s="360">
        <v>0</v>
      </c>
      <c r="D36" s="356">
        <v>0</v>
      </c>
      <c r="E36" s="357">
        <f aca="true" t="shared" si="9" ref="E36:E43">B36+C36+D36</f>
        <v>14</v>
      </c>
      <c r="F36" s="355">
        <v>0</v>
      </c>
      <c r="G36" s="360">
        <v>0</v>
      </c>
      <c r="H36" s="356">
        <v>4307.7</v>
      </c>
      <c r="I36" s="357">
        <f aca="true" t="shared" si="10" ref="I36:I43">F36+G36+H36</f>
        <v>4307.7</v>
      </c>
      <c r="J36" s="355">
        <f>B36-F36</f>
        <v>14</v>
      </c>
      <c r="K36" s="360">
        <f aca="true" t="shared" si="11" ref="K36:L43">C36-G36</f>
        <v>0</v>
      </c>
      <c r="L36" s="360">
        <f t="shared" si="11"/>
        <v>-4307.7</v>
      </c>
      <c r="M36" s="544">
        <f aca="true" t="shared" si="12" ref="M36:M43">J36+K36+L36</f>
        <v>-4293.7</v>
      </c>
      <c r="N36" s="187" t="s">
        <v>24</v>
      </c>
      <c r="O36" s="339" t="s">
        <v>24</v>
      </c>
      <c r="P36" s="46"/>
      <c r="Q36" s="46"/>
      <c r="R36" s="388"/>
      <c r="S36" s="389"/>
    </row>
    <row r="37" spans="1:19" ht="12.75">
      <c r="A37" s="257" t="s">
        <v>30</v>
      </c>
      <c r="B37" s="369">
        <v>14</v>
      </c>
      <c r="C37" s="367">
        <v>0</v>
      </c>
      <c r="D37" s="364">
        <v>0</v>
      </c>
      <c r="E37" s="365">
        <f t="shared" si="9"/>
        <v>14</v>
      </c>
      <c r="F37" s="390">
        <v>0</v>
      </c>
      <c r="G37" s="367">
        <v>0</v>
      </c>
      <c r="H37" s="364">
        <v>1389</v>
      </c>
      <c r="I37" s="365">
        <f t="shared" si="10"/>
        <v>1389</v>
      </c>
      <c r="J37" s="369">
        <f aca="true" t="shared" si="13" ref="J37:L45">B37-F37</f>
        <v>14</v>
      </c>
      <c r="K37" s="367">
        <f t="shared" si="11"/>
        <v>0</v>
      </c>
      <c r="L37" s="367">
        <f t="shared" si="11"/>
        <v>-1389</v>
      </c>
      <c r="M37" s="365">
        <f t="shared" si="12"/>
        <v>-1375</v>
      </c>
      <c r="N37" s="10"/>
      <c r="O37" s="12"/>
      <c r="P37" s="46"/>
      <c r="Q37" s="46"/>
      <c r="R37" s="391"/>
      <c r="S37" s="389"/>
    </row>
    <row r="38" spans="1:19" ht="12.75">
      <c r="A38" s="257" t="s">
        <v>41</v>
      </c>
      <c r="B38" s="369">
        <v>14</v>
      </c>
      <c r="C38" s="367">
        <v>0</v>
      </c>
      <c r="D38" s="364">
        <v>0</v>
      </c>
      <c r="E38" s="365">
        <f t="shared" si="9"/>
        <v>14</v>
      </c>
      <c r="F38" s="390">
        <v>0</v>
      </c>
      <c r="G38" s="367">
        <v>0</v>
      </c>
      <c r="H38" s="364">
        <v>758.8</v>
      </c>
      <c r="I38" s="365">
        <f t="shared" si="10"/>
        <v>758.8</v>
      </c>
      <c r="J38" s="369">
        <f t="shared" si="13"/>
        <v>14</v>
      </c>
      <c r="K38" s="367">
        <f t="shared" si="11"/>
        <v>0</v>
      </c>
      <c r="L38" s="367">
        <f t="shared" si="11"/>
        <v>-758.8</v>
      </c>
      <c r="M38" s="365">
        <f t="shared" si="12"/>
        <v>-744.8</v>
      </c>
      <c r="N38" s="10"/>
      <c r="O38" s="12"/>
      <c r="P38" s="46"/>
      <c r="Q38" s="12"/>
      <c r="R38" s="391"/>
      <c r="S38" s="389"/>
    </row>
    <row r="39" spans="1:19" ht="12.75">
      <c r="A39" s="257" t="s">
        <v>5</v>
      </c>
      <c r="B39" s="369">
        <f>B43</f>
        <v>0</v>
      </c>
      <c r="C39" s="367">
        <v>0</v>
      </c>
      <c r="D39" s="364">
        <v>0</v>
      </c>
      <c r="E39" s="365">
        <f t="shared" si="9"/>
        <v>0</v>
      </c>
      <c r="F39" s="390">
        <v>0</v>
      </c>
      <c r="G39" s="367">
        <v>0</v>
      </c>
      <c r="H39" s="364">
        <v>461.5</v>
      </c>
      <c r="I39" s="365">
        <f t="shared" si="10"/>
        <v>461.5</v>
      </c>
      <c r="J39" s="369">
        <f t="shared" si="13"/>
        <v>0</v>
      </c>
      <c r="K39" s="367">
        <f t="shared" si="11"/>
        <v>0</v>
      </c>
      <c r="L39" s="367">
        <f t="shared" si="11"/>
        <v>-461.5</v>
      </c>
      <c r="M39" s="365">
        <f t="shared" si="12"/>
        <v>-461.5</v>
      </c>
      <c r="N39" s="12"/>
      <c r="O39" s="12"/>
      <c r="P39" s="46"/>
      <c r="Q39" s="12"/>
      <c r="R39" s="391"/>
      <c r="S39" s="389"/>
    </row>
    <row r="40" spans="1:19" ht="12.75">
      <c r="A40" s="257" t="s">
        <v>8</v>
      </c>
      <c r="B40" s="369">
        <v>14</v>
      </c>
      <c r="C40" s="367">
        <v>0</v>
      </c>
      <c r="D40" s="364">
        <v>0</v>
      </c>
      <c r="E40" s="365">
        <f t="shared" si="9"/>
        <v>14</v>
      </c>
      <c r="F40" s="390">
        <v>0</v>
      </c>
      <c r="G40" s="367">
        <v>0</v>
      </c>
      <c r="H40" s="364">
        <v>43.8</v>
      </c>
      <c r="I40" s="365">
        <f t="shared" si="10"/>
        <v>43.8</v>
      </c>
      <c r="J40" s="369">
        <f t="shared" si="13"/>
        <v>14</v>
      </c>
      <c r="K40" s="367">
        <f t="shared" si="11"/>
        <v>0</v>
      </c>
      <c r="L40" s="367">
        <f t="shared" si="11"/>
        <v>-43.8</v>
      </c>
      <c r="M40" s="365">
        <f t="shared" si="12"/>
        <v>-29.799999999999997</v>
      </c>
      <c r="N40" s="12"/>
      <c r="O40" s="12"/>
      <c r="P40" s="46"/>
      <c r="Q40" s="12"/>
      <c r="R40" s="391"/>
      <c r="S40" s="389"/>
    </row>
    <row r="41" spans="1:17" ht="12.75">
      <c r="A41" s="257" t="s">
        <v>42</v>
      </c>
      <c r="B41" s="369">
        <v>14</v>
      </c>
      <c r="C41" s="367">
        <v>0</v>
      </c>
      <c r="D41" s="364">
        <v>0</v>
      </c>
      <c r="E41" s="365">
        <f t="shared" si="9"/>
        <v>14</v>
      </c>
      <c r="F41" s="363">
        <v>0</v>
      </c>
      <c r="G41" s="367">
        <v>0</v>
      </c>
      <c r="H41" s="364">
        <v>0</v>
      </c>
      <c r="I41" s="365">
        <f t="shared" si="10"/>
        <v>0</v>
      </c>
      <c r="J41" s="369">
        <f t="shared" si="13"/>
        <v>14</v>
      </c>
      <c r="K41" s="367">
        <f t="shared" si="11"/>
        <v>0</v>
      </c>
      <c r="L41" s="367">
        <f t="shared" si="11"/>
        <v>0</v>
      </c>
      <c r="M41" s="365">
        <f t="shared" si="12"/>
        <v>14</v>
      </c>
      <c r="N41" s="12"/>
      <c r="O41" s="46"/>
      <c r="P41" s="12"/>
      <c r="Q41" s="12"/>
    </row>
    <row r="42" spans="1:17" ht="12.75">
      <c r="A42" s="257" t="s">
        <v>43</v>
      </c>
      <c r="B42" s="369">
        <v>0</v>
      </c>
      <c r="C42" s="367">
        <v>0</v>
      </c>
      <c r="D42" s="364">
        <v>0</v>
      </c>
      <c r="E42" s="365">
        <f t="shared" si="9"/>
        <v>0</v>
      </c>
      <c r="F42" s="363">
        <v>0</v>
      </c>
      <c r="G42" s="367">
        <v>0</v>
      </c>
      <c r="H42" s="364">
        <v>84.9</v>
      </c>
      <c r="I42" s="365">
        <f t="shared" si="10"/>
        <v>84.9</v>
      </c>
      <c r="J42" s="369">
        <f t="shared" si="13"/>
        <v>0</v>
      </c>
      <c r="K42" s="367">
        <f t="shared" si="11"/>
        <v>0</v>
      </c>
      <c r="L42" s="367">
        <f t="shared" si="11"/>
        <v>-84.9</v>
      </c>
      <c r="M42" s="365">
        <f t="shared" si="12"/>
        <v>-84.9</v>
      </c>
      <c r="N42" s="12"/>
      <c r="O42" s="12"/>
      <c r="P42" s="12"/>
      <c r="Q42" s="12"/>
    </row>
    <row r="43" spans="1:17" ht="12.75">
      <c r="A43" s="372" t="s">
        <v>15</v>
      </c>
      <c r="B43" s="363">
        <v>0</v>
      </c>
      <c r="C43" s="368">
        <v>0</v>
      </c>
      <c r="D43" s="364">
        <v>0</v>
      </c>
      <c r="E43" s="365">
        <f t="shared" si="9"/>
        <v>0</v>
      </c>
      <c r="F43" s="363">
        <v>0</v>
      </c>
      <c r="G43" s="367">
        <v>0</v>
      </c>
      <c r="H43" s="364">
        <v>278.5</v>
      </c>
      <c r="I43" s="365">
        <f t="shared" si="10"/>
        <v>278.5</v>
      </c>
      <c r="J43" s="369">
        <f t="shared" si="13"/>
        <v>0</v>
      </c>
      <c r="K43" s="367">
        <f t="shared" si="11"/>
        <v>0</v>
      </c>
      <c r="L43" s="367">
        <f t="shared" si="11"/>
        <v>-278.5</v>
      </c>
      <c r="M43" s="365">
        <f t="shared" si="12"/>
        <v>-278.5</v>
      </c>
      <c r="N43" s="12"/>
      <c r="O43" s="392"/>
      <c r="P43" s="271"/>
      <c r="Q43" s="393"/>
    </row>
    <row r="44" spans="1:17" ht="12.75">
      <c r="A44" s="372" t="s">
        <v>51</v>
      </c>
      <c r="B44" s="363">
        <v>0</v>
      </c>
      <c r="C44" s="368">
        <v>0</v>
      </c>
      <c r="D44" s="364">
        <v>0</v>
      </c>
      <c r="E44" s="365">
        <f>B44+C44+D44</f>
        <v>0</v>
      </c>
      <c r="F44" s="363">
        <v>0</v>
      </c>
      <c r="G44" s="367">
        <v>0</v>
      </c>
      <c r="H44" s="364">
        <v>159.4</v>
      </c>
      <c r="I44" s="365">
        <f>F44+G44+H44</f>
        <v>159.4</v>
      </c>
      <c r="J44" s="369">
        <f t="shared" si="13"/>
        <v>0</v>
      </c>
      <c r="K44" s="367">
        <f t="shared" si="13"/>
        <v>0</v>
      </c>
      <c r="L44" s="367">
        <f t="shared" si="13"/>
        <v>-159.4</v>
      </c>
      <c r="M44" s="365">
        <f>J44+K44+L44</f>
        <v>-159.4</v>
      </c>
      <c r="N44" s="12"/>
      <c r="O44" s="392"/>
      <c r="P44" s="271"/>
      <c r="Q44" s="393"/>
    </row>
    <row r="45" spans="1:17" ht="13.5" thickBot="1">
      <c r="A45" s="373" t="s">
        <v>176</v>
      </c>
      <c r="B45" s="395">
        <v>0</v>
      </c>
      <c r="C45" s="376">
        <v>0</v>
      </c>
      <c r="D45" s="377">
        <v>0</v>
      </c>
      <c r="E45" s="378">
        <f>B45+C45+D45</f>
        <v>0</v>
      </c>
      <c r="F45" s="395">
        <v>0</v>
      </c>
      <c r="G45" s="380">
        <v>0</v>
      </c>
      <c r="H45" s="377">
        <v>49.9</v>
      </c>
      <c r="I45" s="378">
        <f>F45+G45+H45</f>
        <v>49.9</v>
      </c>
      <c r="J45" s="379">
        <f t="shared" si="13"/>
        <v>0</v>
      </c>
      <c r="K45" s="380">
        <f t="shared" si="13"/>
        <v>0</v>
      </c>
      <c r="L45" s="380">
        <f t="shared" si="13"/>
        <v>-49.9</v>
      </c>
      <c r="M45" s="378">
        <f>J45+K45+L45</f>
        <v>-49.9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675" t="s">
        <v>3</v>
      </c>
      <c r="B48" s="680" t="s">
        <v>218</v>
      </c>
      <c r="C48" s="678"/>
      <c r="D48" s="678"/>
      <c r="E48" s="679"/>
      <c r="F48" s="680" t="s">
        <v>219</v>
      </c>
      <c r="G48" s="678"/>
      <c r="H48" s="678"/>
      <c r="I48" s="679"/>
      <c r="J48" s="680" t="s">
        <v>220</v>
      </c>
      <c r="K48" s="678"/>
      <c r="L48" s="678"/>
      <c r="M48" s="679"/>
      <c r="N48" s="685" t="s">
        <v>232</v>
      </c>
      <c r="O48" s="686"/>
      <c r="P48" s="686"/>
      <c r="Q48" s="687"/>
      <c r="R48" s="685" t="s">
        <v>233</v>
      </c>
      <c r="S48" s="686"/>
      <c r="T48" s="686"/>
      <c r="U48" s="687"/>
      <c r="V48" s="685" t="s">
        <v>234</v>
      </c>
      <c r="W48" s="686"/>
      <c r="X48" s="686"/>
      <c r="Y48" s="687"/>
    </row>
    <row r="49" spans="1:25" ht="39.75" thickBot="1">
      <c r="A49" s="676"/>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212.59999999999997</v>
      </c>
      <c r="C50" s="397">
        <f>C21-C22-C29</f>
        <v>490.50000000000006</v>
      </c>
      <c r="D50" s="397">
        <f>D21-D22-D29</f>
        <v>2504.9</v>
      </c>
      <c r="E50" s="399">
        <f>B50+C50+D50</f>
        <v>3208</v>
      </c>
      <c r="F50" s="397">
        <f>F21-F22-F29</f>
        <v>43.400000000000006</v>
      </c>
      <c r="G50" s="397">
        <f>G21-G22-G29</f>
        <v>0</v>
      </c>
      <c r="H50" s="397">
        <f>H21-H22-H29</f>
        <v>405.3</v>
      </c>
      <c r="I50" s="400">
        <f aca="true" t="shared" si="14" ref="I50:I57">F50+G50+H50</f>
        <v>448.70000000000005</v>
      </c>
      <c r="J50" s="401">
        <f aca="true" t="shared" si="15" ref="J50:L59">B50-F50</f>
        <v>169.19999999999996</v>
      </c>
      <c r="K50" s="402">
        <f t="shared" si="15"/>
        <v>490.50000000000006</v>
      </c>
      <c r="L50" s="402">
        <f t="shared" si="15"/>
        <v>2099.6</v>
      </c>
      <c r="M50" s="357">
        <f aca="true" t="shared" si="16" ref="M50:M59">J50+K50+L50</f>
        <v>2759.3</v>
      </c>
      <c r="N50" s="403">
        <f>B50*D5</f>
        <v>6590.5999999999985</v>
      </c>
      <c r="O50" s="404">
        <f aca="true" t="shared" si="17" ref="O50:O57">C50*F5</f>
        <v>15205.500000000002</v>
      </c>
      <c r="P50" s="404">
        <f>D50*H5</f>
        <v>77651.90000000001</v>
      </c>
      <c r="Q50" s="405">
        <f aca="true" t="shared" si="18" ref="Q50:Q59">N50+O50+P50</f>
        <v>99448</v>
      </c>
      <c r="R50" s="403">
        <f>F50*D5</f>
        <v>1345.4</v>
      </c>
      <c r="S50" s="404">
        <f>G50*F5</f>
        <v>0</v>
      </c>
      <c r="T50" s="404">
        <f aca="true" t="shared" si="19" ref="T50:T57">H50*H5</f>
        <v>12564.300000000001</v>
      </c>
      <c r="U50" s="405">
        <f aca="true" t="shared" si="20" ref="U50:U59">R50+S50+T50</f>
        <v>13909.7</v>
      </c>
      <c r="V50" s="406">
        <f>N50-R50</f>
        <v>5245.199999999999</v>
      </c>
      <c r="W50" s="407">
        <f>O50-S50</f>
        <v>15205.500000000002</v>
      </c>
      <c r="X50" s="407">
        <f>P50-T50</f>
        <v>65087.600000000006</v>
      </c>
      <c r="Y50" s="408">
        <f aca="true" t="shared" si="21" ref="Y50:Y59">V50+W50+X50</f>
        <v>85538.3</v>
      </c>
    </row>
    <row r="51" spans="1:25" ht="12.75">
      <c r="A51" s="232" t="s">
        <v>55</v>
      </c>
      <c r="B51" s="227">
        <f>B22-B23-B24</f>
        <v>194.5</v>
      </c>
      <c r="C51" s="56">
        <f>C22-C23-C24</f>
        <v>27.4</v>
      </c>
      <c r="D51" s="56">
        <f>D22-D23-D24</f>
        <v>137.30000000000007</v>
      </c>
      <c r="E51" s="409">
        <f aca="true" t="shared" si="22" ref="E51:E57">B51+C51+D51</f>
        <v>359.20000000000005</v>
      </c>
      <c r="F51" s="227">
        <f>F22-F23-F24</f>
        <v>0</v>
      </c>
      <c r="G51" s="56">
        <f>G22-G23-G24</f>
        <v>0</v>
      </c>
      <c r="H51" s="56">
        <f>H22-H23-H24</f>
        <v>4</v>
      </c>
      <c r="I51" s="409">
        <f t="shared" si="14"/>
        <v>4</v>
      </c>
      <c r="J51" s="410">
        <f t="shared" si="15"/>
        <v>194.5</v>
      </c>
      <c r="K51" s="411">
        <f t="shared" si="15"/>
        <v>27.4</v>
      </c>
      <c r="L51" s="411">
        <f t="shared" si="15"/>
        <v>133.30000000000007</v>
      </c>
      <c r="M51" s="365">
        <f t="shared" si="16"/>
        <v>355.20000000000005</v>
      </c>
      <c r="N51" s="412">
        <f aca="true" t="shared" si="23" ref="N51:N57">B51*D6</f>
        <v>13809.5</v>
      </c>
      <c r="O51" s="124">
        <f t="shared" si="17"/>
        <v>1945.3999999999999</v>
      </c>
      <c r="P51" s="124">
        <f aca="true" t="shared" si="24" ref="P51:P57">D51*H6</f>
        <v>9748.300000000005</v>
      </c>
      <c r="Q51" s="107">
        <f t="shared" si="18"/>
        <v>25503.200000000004</v>
      </c>
      <c r="R51" s="412">
        <f aca="true" t="shared" si="25" ref="R51:R57">F51*D6</f>
        <v>0</v>
      </c>
      <c r="S51" s="124">
        <f>G51*F6</f>
        <v>0</v>
      </c>
      <c r="T51" s="124">
        <f t="shared" si="19"/>
        <v>284</v>
      </c>
      <c r="U51" s="107">
        <f t="shared" si="20"/>
        <v>284</v>
      </c>
      <c r="V51" s="412">
        <f aca="true" t="shared" si="26" ref="V51:X59">N51-R51</f>
        <v>13809.5</v>
      </c>
      <c r="W51" s="124">
        <f t="shared" si="26"/>
        <v>1945.3999999999999</v>
      </c>
      <c r="X51" s="124">
        <f t="shared" si="26"/>
        <v>9464.300000000005</v>
      </c>
      <c r="Y51" s="107">
        <f t="shared" si="21"/>
        <v>25219.200000000004</v>
      </c>
    </row>
    <row r="52" spans="1:25" ht="12.75">
      <c r="A52" s="232" t="s">
        <v>54</v>
      </c>
      <c r="B52" s="227">
        <f>B23-B25-B27</f>
        <v>111.19999999999999</v>
      </c>
      <c r="C52" s="56">
        <f>C23-C25-C27</f>
        <v>0</v>
      </c>
      <c r="D52" s="56">
        <f>D23-D25-D27</f>
        <v>301.40000000000003</v>
      </c>
      <c r="E52" s="409">
        <f t="shared" si="22"/>
        <v>412.6</v>
      </c>
      <c r="F52" s="227">
        <f>F23-F25-F27</f>
        <v>0</v>
      </c>
      <c r="G52" s="56">
        <f>G23-G25-G27</f>
        <v>0</v>
      </c>
      <c r="H52" s="56">
        <f>H23-H25-H27</f>
        <v>81</v>
      </c>
      <c r="I52" s="409">
        <f t="shared" si="14"/>
        <v>81</v>
      </c>
      <c r="J52" s="410">
        <f t="shared" si="15"/>
        <v>111.19999999999999</v>
      </c>
      <c r="K52" s="411">
        <f t="shared" si="15"/>
        <v>0</v>
      </c>
      <c r="L52" s="411">
        <f t="shared" si="15"/>
        <v>220.40000000000003</v>
      </c>
      <c r="M52" s="365">
        <f t="shared" si="16"/>
        <v>331.6</v>
      </c>
      <c r="N52" s="412">
        <f t="shared" si="23"/>
        <v>7895.199999999999</v>
      </c>
      <c r="O52" s="124">
        <f t="shared" si="17"/>
        <v>0</v>
      </c>
      <c r="P52" s="124">
        <f t="shared" si="24"/>
        <v>21399.4</v>
      </c>
      <c r="Q52" s="107">
        <f t="shared" si="18"/>
        <v>29294.6</v>
      </c>
      <c r="R52" s="412">
        <f t="shared" si="25"/>
        <v>0</v>
      </c>
      <c r="S52" s="124">
        <f aca="true" t="shared" si="27" ref="S52:S57">G52*F7</f>
        <v>0</v>
      </c>
      <c r="T52" s="124">
        <f t="shared" si="19"/>
        <v>5751</v>
      </c>
      <c r="U52" s="107">
        <f t="shared" si="20"/>
        <v>5751</v>
      </c>
      <c r="V52" s="412">
        <f t="shared" si="26"/>
        <v>7895.199999999999</v>
      </c>
      <c r="W52" s="124">
        <f t="shared" si="26"/>
        <v>0</v>
      </c>
      <c r="X52" s="124">
        <f t="shared" si="26"/>
        <v>15648.400000000001</v>
      </c>
      <c r="Y52" s="107">
        <f t="shared" si="21"/>
        <v>23543.6</v>
      </c>
    </row>
    <row r="53" spans="1:25" ht="12.75">
      <c r="A53" s="232" t="s">
        <v>53</v>
      </c>
      <c r="B53" s="227">
        <f>B24-B28</f>
        <v>28</v>
      </c>
      <c r="C53" s="56">
        <f>C24-C28</f>
        <v>0</v>
      </c>
      <c r="D53" s="56">
        <f>D24-D28</f>
        <v>55.5</v>
      </c>
      <c r="E53" s="409">
        <f t="shared" si="22"/>
        <v>83.5</v>
      </c>
      <c r="F53" s="227">
        <f>F24-F28</f>
        <v>0</v>
      </c>
      <c r="G53" s="56">
        <f>G24-G28</f>
        <v>0</v>
      </c>
      <c r="H53" s="56">
        <f>H24-H28</f>
        <v>102.9</v>
      </c>
      <c r="I53" s="409">
        <f t="shared" si="14"/>
        <v>102.9</v>
      </c>
      <c r="J53" s="410">
        <f t="shared" si="15"/>
        <v>28</v>
      </c>
      <c r="K53" s="411">
        <f t="shared" si="15"/>
        <v>0</v>
      </c>
      <c r="L53" s="411">
        <f t="shared" si="15"/>
        <v>-47.400000000000006</v>
      </c>
      <c r="M53" s="365">
        <f t="shared" si="16"/>
        <v>-19.400000000000006</v>
      </c>
      <c r="N53" s="412">
        <f t="shared" si="23"/>
        <v>1988</v>
      </c>
      <c r="O53" s="124">
        <f t="shared" si="17"/>
        <v>0</v>
      </c>
      <c r="P53" s="124">
        <f t="shared" si="24"/>
        <v>3940.5</v>
      </c>
      <c r="Q53" s="107">
        <f t="shared" si="18"/>
        <v>5928.5</v>
      </c>
      <c r="R53" s="412">
        <f t="shared" si="25"/>
        <v>0</v>
      </c>
      <c r="S53" s="124">
        <f t="shared" si="27"/>
        <v>0</v>
      </c>
      <c r="T53" s="124">
        <f t="shared" si="19"/>
        <v>7305.900000000001</v>
      </c>
      <c r="U53" s="107">
        <f t="shared" si="20"/>
        <v>7305.900000000001</v>
      </c>
      <c r="V53" s="412">
        <f t="shared" si="26"/>
        <v>1988</v>
      </c>
      <c r="W53" s="124">
        <f t="shared" si="26"/>
        <v>0</v>
      </c>
      <c r="X53" s="124">
        <f t="shared" si="26"/>
        <v>-3365.4000000000005</v>
      </c>
      <c r="Y53" s="107">
        <f t="shared" si="21"/>
        <v>-1377.4000000000005</v>
      </c>
    </row>
    <row r="54" spans="1:25" ht="12.75">
      <c r="A54" s="232" t="s">
        <v>45</v>
      </c>
      <c r="B54" s="227">
        <f>B25-B26</f>
        <v>25.5</v>
      </c>
      <c r="C54" s="56">
        <f>C25-C26</f>
        <v>8.4</v>
      </c>
      <c r="D54" s="56">
        <f>D25-D26</f>
        <v>6</v>
      </c>
      <c r="E54" s="409">
        <f t="shared" si="22"/>
        <v>39.9</v>
      </c>
      <c r="F54" s="227">
        <f>F25-F26</f>
        <v>0</v>
      </c>
      <c r="G54" s="56">
        <f>G25-G26</f>
        <v>0</v>
      </c>
      <c r="H54" s="56">
        <f>H25-H26</f>
        <v>10.7</v>
      </c>
      <c r="I54" s="409">
        <f t="shared" si="14"/>
        <v>10.7</v>
      </c>
      <c r="J54" s="410">
        <f t="shared" si="15"/>
        <v>25.5</v>
      </c>
      <c r="K54" s="411">
        <f t="shared" si="15"/>
        <v>8.4</v>
      </c>
      <c r="L54" s="411">
        <f t="shared" si="15"/>
        <v>-4.699999999999999</v>
      </c>
      <c r="M54" s="365">
        <f t="shared" si="16"/>
        <v>29.2</v>
      </c>
      <c r="N54" s="412">
        <f t="shared" si="23"/>
        <v>2524.755</v>
      </c>
      <c r="O54" s="124">
        <f t="shared" si="17"/>
        <v>831.6840000000001</v>
      </c>
      <c r="P54" s="124">
        <f t="shared" si="24"/>
        <v>594.0600000000001</v>
      </c>
      <c r="Q54" s="107">
        <f t="shared" si="18"/>
        <v>3950.4990000000003</v>
      </c>
      <c r="R54" s="412">
        <f t="shared" si="25"/>
        <v>0</v>
      </c>
      <c r="S54" s="124">
        <f t="shared" si="27"/>
        <v>0</v>
      </c>
      <c r="T54" s="124">
        <f t="shared" si="19"/>
        <v>1059.407</v>
      </c>
      <c r="U54" s="107">
        <f t="shared" si="20"/>
        <v>1059.407</v>
      </c>
      <c r="V54" s="412">
        <f t="shared" si="26"/>
        <v>2524.755</v>
      </c>
      <c r="W54" s="124">
        <f t="shared" si="26"/>
        <v>831.6840000000001</v>
      </c>
      <c r="X54" s="124">
        <f t="shared" si="26"/>
        <v>-465.34699999999987</v>
      </c>
      <c r="Y54" s="107">
        <f t="shared" si="21"/>
        <v>2891.0920000000006</v>
      </c>
    </row>
    <row r="55" spans="1:25" ht="12.75">
      <c r="A55" s="232" t="s">
        <v>42</v>
      </c>
      <c r="B55" s="227">
        <f>B26</f>
        <v>6</v>
      </c>
      <c r="C55" s="56">
        <f aca="true" t="shared" si="28" ref="B55:D57">C26</f>
        <v>0.6</v>
      </c>
      <c r="D55" s="56">
        <f t="shared" si="28"/>
        <v>0.7</v>
      </c>
      <c r="E55" s="409">
        <f t="shared" si="22"/>
        <v>7.3</v>
      </c>
      <c r="F55" s="227">
        <f aca="true" t="shared" si="29" ref="F55:H57">F26</f>
        <v>1.5</v>
      </c>
      <c r="G55" s="56">
        <f t="shared" si="29"/>
        <v>0</v>
      </c>
      <c r="H55" s="56">
        <f t="shared" si="29"/>
        <v>5.2</v>
      </c>
      <c r="I55" s="409">
        <f t="shared" si="14"/>
        <v>6.7</v>
      </c>
      <c r="J55" s="410">
        <f t="shared" si="15"/>
        <v>4.5</v>
      </c>
      <c r="K55" s="411">
        <f t="shared" si="15"/>
        <v>0.6</v>
      </c>
      <c r="L55" s="411">
        <f t="shared" si="15"/>
        <v>-4.5</v>
      </c>
      <c r="M55" s="365">
        <f t="shared" si="16"/>
        <v>0.5999999999999996</v>
      </c>
      <c r="N55" s="412">
        <f t="shared" si="23"/>
        <v>1275.18</v>
      </c>
      <c r="O55" s="124">
        <f t="shared" si="17"/>
        <v>127.518</v>
      </c>
      <c r="P55" s="124">
        <f t="shared" si="24"/>
        <v>148.771</v>
      </c>
      <c r="Q55" s="107">
        <f t="shared" si="18"/>
        <v>1551.469</v>
      </c>
      <c r="R55" s="412">
        <f t="shared" si="25"/>
        <v>318.795</v>
      </c>
      <c r="S55" s="124">
        <f t="shared" si="27"/>
        <v>0</v>
      </c>
      <c r="T55" s="124">
        <f t="shared" si="19"/>
        <v>1105.156</v>
      </c>
      <c r="U55" s="107">
        <f t="shared" si="20"/>
        <v>1423.951</v>
      </c>
      <c r="V55" s="412">
        <f t="shared" si="26"/>
        <v>956.385</v>
      </c>
      <c r="W55" s="124">
        <f t="shared" si="26"/>
        <v>127.518</v>
      </c>
      <c r="X55" s="124">
        <f t="shared" si="26"/>
        <v>-956.385</v>
      </c>
      <c r="Y55" s="107">
        <f t="shared" si="21"/>
        <v>127.51800000000003</v>
      </c>
    </row>
    <row r="56" spans="1:25" ht="12.75">
      <c r="A56" s="232" t="s">
        <v>43</v>
      </c>
      <c r="B56" s="227">
        <f t="shared" si="28"/>
        <v>3.5</v>
      </c>
      <c r="C56" s="56">
        <f t="shared" si="28"/>
        <v>0</v>
      </c>
      <c r="D56" s="56">
        <f t="shared" si="28"/>
        <v>0</v>
      </c>
      <c r="E56" s="409">
        <f t="shared" si="22"/>
        <v>3.5</v>
      </c>
      <c r="F56" s="227">
        <f t="shared" si="29"/>
        <v>0</v>
      </c>
      <c r="G56" s="56">
        <f t="shared" si="29"/>
        <v>0</v>
      </c>
      <c r="H56" s="56">
        <f t="shared" si="29"/>
        <v>0</v>
      </c>
      <c r="I56" s="409">
        <f t="shared" si="14"/>
        <v>0</v>
      </c>
      <c r="J56" s="410">
        <f t="shared" si="15"/>
        <v>3.5</v>
      </c>
      <c r="K56" s="411">
        <f t="shared" si="15"/>
        <v>0</v>
      </c>
      <c r="L56" s="411">
        <f t="shared" si="15"/>
        <v>0</v>
      </c>
      <c r="M56" s="365">
        <f t="shared" si="16"/>
        <v>3.5</v>
      </c>
      <c r="N56" s="412">
        <f t="shared" si="23"/>
        <v>248.5</v>
      </c>
      <c r="O56" s="124">
        <f t="shared" si="17"/>
        <v>0</v>
      </c>
      <c r="P56" s="124">
        <f t="shared" si="24"/>
        <v>0</v>
      </c>
      <c r="Q56" s="107">
        <f t="shared" si="18"/>
        <v>248.5</v>
      </c>
      <c r="R56" s="412">
        <f t="shared" si="25"/>
        <v>0</v>
      </c>
      <c r="S56" s="124">
        <f t="shared" si="27"/>
        <v>0</v>
      </c>
      <c r="T56" s="124">
        <f t="shared" si="19"/>
        <v>0</v>
      </c>
      <c r="U56" s="107">
        <f t="shared" si="20"/>
        <v>0</v>
      </c>
      <c r="V56" s="412">
        <f t="shared" si="26"/>
        <v>248.5</v>
      </c>
      <c r="W56" s="124">
        <f t="shared" si="26"/>
        <v>0</v>
      </c>
      <c r="X56" s="124">
        <f t="shared" si="26"/>
        <v>0</v>
      </c>
      <c r="Y56" s="107">
        <f t="shared" si="21"/>
        <v>248.5</v>
      </c>
    </row>
    <row r="57" spans="1:25" ht="12.75">
      <c r="A57" s="232" t="s">
        <v>15</v>
      </c>
      <c r="B57" s="227">
        <f t="shared" si="28"/>
        <v>67</v>
      </c>
      <c r="C57" s="56">
        <f t="shared" si="28"/>
        <v>0</v>
      </c>
      <c r="D57" s="56">
        <f t="shared" si="28"/>
        <v>607.3</v>
      </c>
      <c r="E57" s="409">
        <f t="shared" si="22"/>
        <v>674.3</v>
      </c>
      <c r="F57" s="227">
        <f t="shared" si="29"/>
        <v>0</v>
      </c>
      <c r="G57" s="56">
        <f t="shared" si="29"/>
        <v>0</v>
      </c>
      <c r="H57" s="56">
        <f t="shared" si="29"/>
        <v>0</v>
      </c>
      <c r="I57" s="409">
        <f t="shared" si="14"/>
        <v>0</v>
      </c>
      <c r="J57" s="410">
        <f t="shared" si="15"/>
        <v>67</v>
      </c>
      <c r="K57" s="411">
        <f t="shared" si="15"/>
        <v>0</v>
      </c>
      <c r="L57" s="411">
        <f t="shared" si="15"/>
        <v>607.3</v>
      </c>
      <c r="M57" s="365">
        <f t="shared" si="16"/>
        <v>674.3</v>
      </c>
      <c r="N57" s="412">
        <f t="shared" si="23"/>
        <v>4757</v>
      </c>
      <c r="O57" s="124">
        <f t="shared" si="17"/>
        <v>0</v>
      </c>
      <c r="P57" s="124">
        <f t="shared" si="24"/>
        <v>43118.299999999996</v>
      </c>
      <c r="Q57" s="107">
        <f t="shared" si="18"/>
        <v>47875.299999999996</v>
      </c>
      <c r="R57" s="412">
        <f t="shared" si="25"/>
        <v>0</v>
      </c>
      <c r="S57" s="124">
        <f t="shared" si="27"/>
        <v>0</v>
      </c>
      <c r="T57" s="124">
        <f t="shared" si="19"/>
        <v>0</v>
      </c>
      <c r="U57" s="107">
        <f t="shared" si="20"/>
        <v>0</v>
      </c>
      <c r="V57" s="412">
        <f t="shared" si="26"/>
        <v>4757</v>
      </c>
      <c r="W57" s="124">
        <f t="shared" si="26"/>
        <v>0</v>
      </c>
      <c r="X57" s="124">
        <f t="shared" si="26"/>
        <v>43118.299999999996</v>
      </c>
      <c r="Y57" s="107">
        <f t="shared" si="21"/>
        <v>47875.299999999996</v>
      </c>
    </row>
    <row r="58" spans="1:25" ht="12.75">
      <c r="A58" s="232" t="s">
        <v>177</v>
      </c>
      <c r="B58" s="227">
        <f>B29-B30</f>
        <v>0</v>
      </c>
      <c r="C58" s="227">
        <f>C29-C30</f>
        <v>33.199999999999996</v>
      </c>
      <c r="D58" s="227">
        <f>D29-D30</f>
        <v>129.2</v>
      </c>
      <c r="E58" s="409">
        <f>B58+C58+D58</f>
        <v>162.39999999999998</v>
      </c>
      <c r="F58" s="227">
        <f>F29-F30</f>
        <v>16.3</v>
      </c>
      <c r="G58" s="227">
        <f>G29-G30</f>
        <v>0</v>
      </c>
      <c r="H58" s="227">
        <f>H29-H30</f>
        <v>94.5</v>
      </c>
      <c r="I58" s="409">
        <f>F58+G58+H58</f>
        <v>110.8</v>
      </c>
      <c r="J58" s="410">
        <f t="shared" si="15"/>
        <v>-16.3</v>
      </c>
      <c r="K58" s="411">
        <f t="shared" si="15"/>
        <v>33.199999999999996</v>
      </c>
      <c r="L58" s="411">
        <f t="shared" si="15"/>
        <v>34.69999999999999</v>
      </c>
      <c r="M58" s="365">
        <f t="shared" si="16"/>
        <v>51.59999999999998</v>
      </c>
      <c r="N58" s="412">
        <f>B58*D13</f>
        <v>0</v>
      </c>
      <c r="O58" s="124">
        <f>C58*F13</f>
        <v>3369.7999999999997</v>
      </c>
      <c r="P58" s="124">
        <f>D58*H13</f>
        <v>13113.8</v>
      </c>
      <c r="Q58" s="107">
        <f t="shared" si="18"/>
        <v>16483.6</v>
      </c>
      <c r="R58" s="412">
        <f>F58*D13</f>
        <v>1654.45</v>
      </c>
      <c r="S58" s="124">
        <f>G58*F13</f>
        <v>0</v>
      </c>
      <c r="T58" s="124">
        <f>H58*H13</f>
        <v>9591.75</v>
      </c>
      <c r="U58" s="107">
        <f t="shared" si="20"/>
        <v>11246.2</v>
      </c>
      <c r="V58" s="412">
        <f t="shared" si="26"/>
        <v>-1654.45</v>
      </c>
      <c r="W58" s="124">
        <f t="shared" si="26"/>
        <v>3369.7999999999997</v>
      </c>
      <c r="X58" s="124">
        <f t="shared" si="26"/>
        <v>3522.0499999999993</v>
      </c>
      <c r="Y58" s="107">
        <f t="shared" si="21"/>
        <v>5237.399999999999</v>
      </c>
    </row>
    <row r="59" spans="1:25" ht="12.75">
      <c r="A59" s="232" t="s">
        <v>176</v>
      </c>
      <c r="B59" s="227">
        <f>B30</f>
        <v>0</v>
      </c>
      <c r="C59" s="56">
        <f>C30</f>
        <v>2.6</v>
      </c>
      <c r="D59" s="56">
        <f>D30</f>
        <v>105.2</v>
      </c>
      <c r="E59" s="409">
        <f>B59+C59+D59</f>
        <v>107.8</v>
      </c>
      <c r="F59" s="227">
        <f>F30</f>
        <v>0</v>
      </c>
      <c r="G59" s="56">
        <f>G30</f>
        <v>0</v>
      </c>
      <c r="H59" s="56">
        <f>H30</f>
        <v>0</v>
      </c>
      <c r="I59" s="409">
        <f>F59+G59+H59</f>
        <v>0</v>
      </c>
      <c r="J59" s="410">
        <f t="shared" si="15"/>
        <v>0</v>
      </c>
      <c r="K59" s="411">
        <f t="shared" si="15"/>
        <v>2.6</v>
      </c>
      <c r="L59" s="411">
        <f t="shared" si="15"/>
        <v>105.2</v>
      </c>
      <c r="M59" s="365">
        <f t="shared" si="16"/>
        <v>107.8</v>
      </c>
      <c r="N59" s="412">
        <f>B59*D14</f>
        <v>0</v>
      </c>
      <c r="O59" s="124">
        <f>C59*F14</f>
        <v>263.90000000000003</v>
      </c>
      <c r="P59" s="124">
        <f>D59*H14</f>
        <v>10677.800000000001</v>
      </c>
      <c r="Q59" s="107">
        <f t="shared" si="18"/>
        <v>10941.7</v>
      </c>
      <c r="R59" s="412">
        <f>F59*D14</f>
        <v>0</v>
      </c>
      <c r="S59" s="124">
        <f>G59*F14</f>
        <v>0</v>
      </c>
      <c r="T59" s="124">
        <f>H59*H14</f>
        <v>0</v>
      </c>
      <c r="U59" s="107">
        <f t="shared" si="20"/>
        <v>0</v>
      </c>
      <c r="V59" s="412">
        <f>N59-R59</f>
        <v>0</v>
      </c>
      <c r="W59" s="124">
        <f t="shared" si="26"/>
        <v>263.90000000000003</v>
      </c>
      <c r="X59" s="124">
        <f t="shared" si="26"/>
        <v>10677.800000000001</v>
      </c>
      <c r="Y59" s="107">
        <f t="shared" si="21"/>
        <v>10941.7</v>
      </c>
    </row>
    <row r="60" spans="1:25" ht="13.5" thickBot="1">
      <c r="A60" s="233" t="s">
        <v>56</v>
      </c>
      <c r="B60" s="414">
        <f>SUM(B50:B59)</f>
        <v>648.3</v>
      </c>
      <c r="C60" s="415">
        <f>SUM(C50:C59)</f>
        <v>562.7000000000002</v>
      </c>
      <c r="D60" s="416">
        <f>SUM(D50:D59)</f>
        <v>3847.5</v>
      </c>
      <c r="E60" s="417">
        <f>SUM(E50:E59)</f>
        <v>5058.5</v>
      </c>
      <c r="F60" s="418">
        <f aca="true" t="shared" si="30" ref="F60:Y60">SUM(F50:F59)</f>
        <v>61.2</v>
      </c>
      <c r="G60" s="418">
        <f t="shared" si="30"/>
        <v>0</v>
      </c>
      <c r="H60" s="418">
        <f t="shared" si="30"/>
        <v>703.6000000000001</v>
      </c>
      <c r="I60" s="417">
        <f t="shared" si="30"/>
        <v>764.8000000000001</v>
      </c>
      <c r="J60" s="418">
        <f t="shared" si="30"/>
        <v>587.0999999999999</v>
      </c>
      <c r="K60" s="415">
        <f t="shared" si="30"/>
        <v>562.7000000000002</v>
      </c>
      <c r="L60" s="415">
        <f t="shared" si="30"/>
        <v>3143.8999999999996</v>
      </c>
      <c r="M60" s="419">
        <f t="shared" si="30"/>
        <v>4293.7</v>
      </c>
      <c r="N60" s="420">
        <f t="shared" si="30"/>
        <v>39088.73499999999</v>
      </c>
      <c r="O60" s="202">
        <f t="shared" si="30"/>
        <v>21743.802000000003</v>
      </c>
      <c r="P60" s="202">
        <f t="shared" si="30"/>
        <v>180392.83099999998</v>
      </c>
      <c r="Q60" s="203">
        <f t="shared" si="30"/>
        <v>241225.36800000005</v>
      </c>
      <c r="R60" s="420">
        <f t="shared" si="30"/>
        <v>3318.6450000000004</v>
      </c>
      <c r="S60" s="202">
        <f t="shared" si="30"/>
        <v>0</v>
      </c>
      <c r="T60" s="202">
        <f t="shared" si="30"/>
        <v>37661.513000000006</v>
      </c>
      <c r="U60" s="203">
        <f t="shared" si="30"/>
        <v>40980.158</v>
      </c>
      <c r="V60" s="420">
        <f t="shared" si="30"/>
        <v>35770.09</v>
      </c>
      <c r="W60" s="202">
        <f t="shared" si="30"/>
        <v>21743.802000000003</v>
      </c>
      <c r="X60" s="202">
        <f t="shared" si="30"/>
        <v>142731.318</v>
      </c>
      <c r="Y60" s="203">
        <f t="shared" si="30"/>
        <v>200245.21000000002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675" t="s">
        <v>3</v>
      </c>
      <c r="B63" s="688" t="s">
        <v>221</v>
      </c>
      <c r="C63" s="689"/>
      <c r="D63" s="690"/>
      <c r="E63" s="691" t="s">
        <v>235</v>
      </c>
      <c r="F63" s="692"/>
      <c r="G63" s="692"/>
      <c r="H63" s="693"/>
      <c r="I63" s="9"/>
      <c r="J63" s="18"/>
    </row>
    <row r="64" spans="1:10" ht="69.75" customHeight="1" thickBot="1">
      <c r="A64" s="676"/>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1" ref="H65:H74">E65+F65+G65</f>
        <v>0</v>
      </c>
      <c r="I65" s="507">
        <v>0</v>
      </c>
      <c r="J65" s="508">
        <v>0</v>
      </c>
    </row>
    <row r="66" spans="1:10" ht="12.75">
      <c r="A66" s="257" t="s">
        <v>55</v>
      </c>
      <c r="B66" s="227">
        <f>N22-N23-N24</f>
        <v>0</v>
      </c>
      <c r="C66" s="56">
        <f>O22-O23-O24</f>
        <v>0</v>
      </c>
      <c r="D66" s="423">
        <f>P22-P23-P24</f>
        <v>0</v>
      </c>
      <c r="E66" s="424">
        <f aca="true" t="shared" si="32" ref="E66:E72">B66*D6</f>
        <v>0</v>
      </c>
      <c r="F66" s="59">
        <f aca="true" t="shared" si="33" ref="F66:F72">C66*F6</f>
        <v>0</v>
      </c>
      <c r="G66" s="59">
        <f aca="true" t="shared" si="34" ref="G66:G72">D66*H6</f>
        <v>0</v>
      </c>
      <c r="H66" s="228">
        <f t="shared" si="31"/>
        <v>0</v>
      </c>
      <c r="I66" s="424">
        <v>0</v>
      </c>
      <c r="J66" s="228">
        <v>0</v>
      </c>
    </row>
    <row r="67" spans="1:10" ht="12.75">
      <c r="A67" s="257" t="s">
        <v>54</v>
      </c>
      <c r="B67" s="227">
        <f>N23-N25-N27</f>
        <v>0</v>
      </c>
      <c r="C67" s="56">
        <f>O23-O25-O27</f>
        <v>0</v>
      </c>
      <c r="D67" s="423">
        <f>P23-P25-P27</f>
        <v>0</v>
      </c>
      <c r="E67" s="424">
        <f t="shared" si="32"/>
        <v>0</v>
      </c>
      <c r="F67" s="59">
        <f t="shared" si="33"/>
        <v>0</v>
      </c>
      <c r="G67" s="59">
        <f t="shared" si="34"/>
        <v>0</v>
      </c>
      <c r="H67" s="228">
        <f t="shared" si="31"/>
        <v>0</v>
      </c>
      <c r="I67" s="424">
        <v>0</v>
      </c>
      <c r="J67" s="228">
        <v>0</v>
      </c>
    </row>
    <row r="68" spans="1:10" ht="12.75">
      <c r="A68" s="257" t="s">
        <v>53</v>
      </c>
      <c r="B68" s="227">
        <f>N24-N28</f>
        <v>0</v>
      </c>
      <c r="C68" s="56">
        <f>O24-O28</f>
        <v>0</v>
      </c>
      <c r="D68" s="423">
        <f>P24-P28</f>
        <v>0</v>
      </c>
      <c r="E68" s="424">
        <f t="shared" si="32"/>
        <v>0</v>
      </c>
      <c r="F68" s="59">
        <f t="shared" si="33"/>
        <v>0</v>
      </c>
      <c r="G68" s="59">
        <f t="shared" si="34"/>
        <v>0</v>
      </c>
      <c r="H68" s="228">
        <f t="shared" si="31"/>
        <v>0</v>
      </c>
      <c r="I68" s="424">
        <v>0</v>
      </c>
      <c r="J68" s="228">
        <v>0</v>
      </c>
    </row>
    <row r="69" spans="1:10" ht="12.75">
      <c r="A69" s="257" t="s">
        <v>45</v>
      </c>
      <c r="B69" s="227">
        <f>N25-N26</f>
        <v>0</v>
      </c>
      <c r="C69" s="56">
        <f>O25-O26</f>
        <v>0</v>
      </c>
      <c r="D69" s="423">
        <f>P25-P26</f>
        <v>0</v>
      </c>
      <c r="E69" s="424">
        <f t="shared" si="32"/>
        <v>0</v>
      </c>
      <c r="F69" s="59">
        <f t="shared" si="33"/>
        <v>0</v>
      </c>
      <c r="G69" s="59">
        <f t="shared" si="34"/>
        <v>0</v>
      </c>
      <c r="H69" s="228">
        <f t="shared" si="31"/>
        <v>0</v>
      </c>
      <c r="I69" s="424">
        <v>0</v>
      </c>
      <c r="J69" s="228">
        <v>0</v>
      </c>
    </row>
    <row r="70" spans="1:10" ht="12.75">
      <c r="A70" s="257" t="s">
        <v>42</v>
      </c>
      <c r="B70" s="227">
        <f aca="true" t="shared" si="35" ref="B70:D72">N26</f>
        <v>0</v>
      </c>
      <c r="C70" s="56">
        <f t="shared" si="35"/>
        <v>0</v>
      </c>
      <c r="D70" s="423">
        <f t="shared" si="35"/>
        <v>0</v>
      </c>
      <c r="E70" s="424">
        <f t="shared" si="32"/>
        <v>0</v>
      </c>
      <c r="F70" s="59">
        <f t="shared" si="33"/>
        <v>0</v>
      </c>
      <c r="G70" s="59">
        <f t="shared" si="34"/>
        <v>0</v>
      </c>
      <c r="H70" s="228">
        <f t="shared" si="31"/>
        <v>0</v>
      </c>
      <c r="I70" s="424">
        <v>0</v>
      </c>
      <c r="J70" s="228">
        <v>0</v>
      </c>
    </row>
    <row r="71" spans="1:10" ht="12.75">
      <c r="A71" s="257" t="s">
        <v>43</v>
      </c>
      <c r="B71" s="227">
        <f t="shared" si="35"/>
        <v>0</v>
      </c>
      <c r="C71" s="56">
        <f t="shared" si="35"/>
        <v>0</v>
      </c>
      <c r="D71" s="423">
        <f t="shared" si="35"/>
        <v>0</v>
      </c>
      <c r="E71" s="424">
        <f t="shared" si="32"/>
        <v>0</v>
      </c>
      <c r="F71" s="59">
        <f t="shared" si="33"/>
        <v>0</v>
      </c>
      <c r="G71" s="59">
        <f t="shared" si="34"/>
        <v>0</v>
      </c>
      <c r="H71" s="228">
        <f t="shared" si="31"/>
        <v>0</v>
      </c>
      <c r="I71" s="424">
        <v>0</v>
      </c>
      <c r="J71" s="228">
        <v>0</v>
      </c>
    </row>
    <row r="72" spans="1:10" ht="12.75">
      <c r="A72" s="257" t="s">
        <v>15</v>
      </c>
      <c r="B72" s="227">
        <f t="shared" si="35"/>
        <v>0</v>
      </c>
      <c r="C72" s="56">
        <f t="shared" si="35"/>
        <v>0</v>
      </c>
      <c r="D72" s="423">
        <f t="shared" si="35"/>
        <v>0</v>
      </c>
      <c r="E72" s="424">
        <f t="shared" si="32"/>
        <v>0</v>
      </c>
      <c r="F72" s="59">
        <f t="shared" si="33"/>
        <v>0</v>
      </c>
      <c r="G72" s="59">
        <f t="shared" si="34"/>
        <v>0</v>
      </c>
      <c r="H72" s="228">
        <f t="shared" si="31"/>
        <v>0</v>
      </c>
      <c r="I72" s="424">
        <v>0</v>
      </c>
      <c r="J72" s="228">
        <v>0</v>
      </c>
    </row>
    <row r="73" spans="1:10" ht="12.75">
      <c r="A73" s="257" t="s">
        <v>177</v>
      </c>
      <c r="B73" s="227">
        <f>N29-N30</f>
        <v>0</v>
      </c>
      <c r="C73" s="56">
        <f>O29-O30</f>
        <v>0</v>
      </c>
      <c r="D73" s="423">
        <f>P29-P30</f>
        <v>0</v>
      </c>
      <c r="E73" s="424">
        <f>B73*D13</f>
        <v>0</v>
      </c>
      <c r="F73" s="59">
        <f>C73*F13</f>
        <v>0</v>
      </c>
      <c r="G73" s="59">
        <f>D73*H13</f>
        <v>0</v>
      </c>
      <c r="H73" s="228">
        <f t="shared" si="31"/>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1"/>
        <v>0</v>
      </c>
      <c r="I74" s="424">
        <f>H74*0</f>
        <v>0</v>
      </c>
      <c r="J74" s="228">
        <f>H74*1</f>
        <v>0</v>
      </c>
    </row>
    <row r="75" spans="1:10" ht="13.5" thickBot="1">
      <c r="A75" s="425" t="s">
        <v>56</v>
      </c>
      <c r="B75" s="418">
        <f aca="true" t="shared" si="36" ref="B75:H75">SUM(B65:B74)</f>
        <v>0</v>
      </c>
      <c r="C75" s="415">
        <f t="shared" si="36"/>
        <v>0</v>
      </c>
      <c r="D75" s="419">
        <f t="shared" si="36"/>
        <v>0</v>
      </c>
      <c r="E75" s="426">
        <f t="shared" si="36"/>
        <v>0</v>
      </c>
      <c r="F75" s="427">
        <f t="shared" si="36"/>
        <v>0</v>
      </c>
      <c r="G75" s="427">
        <f t="shared" si="36"/>
        <v>0</v>
      </c>
      <c r="H75" s="261">
        <f t="shared" si="36"/>
        <v>0</v>
      </c>
      <c r="I75" s="420">
        <f>SUM(I65:I73)</f>
        <v>0</v>
      </c>
      <c r="J75" s="261">
        <f>SUM(J65:J73)</f>
        <v>0</v>
      </c>
    </row>
  </sheetData>
  <sheetProtection/>
  <mergeCells count="21">
    <mergeCell ref="A18:C18"/>
    <mergeCell ref="A19:A20"/>
    <mergeCell ref="B19:E19"/>
    <mergeCell ref="F19:I19"/>
    <mergeCell ref="J19:M19"/>
    <mergeCell ref="N19:Q19"/>
    <mergeCell ref="A33:B33"/>
    <mergeCell ref="A34:A35"/>
    <mergeCell ref="B34:E34"/>
    <mergeCell ref="F34:I34"/>
    <mergeCell ref="J34:M34"/>
    <mergeCell ref="A48:A49"/>
    <mergeCell ref="B48:E48"/>
    <mergeCell ref="F48:I48"/>
    <mergeCell ref="J48:M48"/>
    <mergeCell ref="N48:Q48"/>
    <mergeCell ref="R48:U48"/>
    <mergeCell ref="V48:Y48"/>
    <mergeCell ref="A63:A64"/>
    <mergeCell ref="B63:D63"/>
    <mergeCell ref="E63:H63"/>
  </mergeCells>
  <printOptions/>
  <pageMargins left="0.45" right="0.45" top="0.5" bottom="0.5" header="0.3" footer="0.3"/>
  <pageSetup fitToHeight="1" fitToWidth="1" horizontalDpi="600" verticalDpi="600" orientation="landscape" paperSize="17" scale="50" r:id="rId1"/>
</worksheet>
</file>

<file path=xl/worksheets/sheet12.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1" sqref="A1"/>
    </sheetView>
  </sheetViews>
  <sheetFormatPr defaultColWidth="9.140625" defaultRowHeight="12.75"/>
  <cols>
    <col min="1" max="1" width="45.7109375" style="0" customWidth="1"/>
    <col min="2" max="13" width="18.7109375" style="0" customWidth="1"/>
    <col min="14" max="14" width="12.7109375" style="0" customWidth="1"/>
  </cols>
  <sheetData>
    <row r="1" spans="1:13" ht="17.25">
      <c r="A1" s="3" t="s">
        <v>319</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8" thickBot="1">
      <c r="A3" s="583" t="s">
        <v>0</v>
      </c>
      <c r="B3" s="6"/>
      <c r="C3" s="6"/>
      <c r="D3" s="1" t="s">
        <v>24</v>
      </c>
      <c r="E3" s="6"/>
      <c r="F3" s="6"/>
      <c r="G3" s="6"/>
      <c r="H3" s="6"/>
      <c r="I3" s="6"/>
      <c r="J3" s="6"/>
      <c r="K3" s="6"/>
      <c r="L3" s="6"/>
      <c r="M3" s="6"/>
    </row>
    <row r="4" spans="1:13" ht="12.75">
      <c r="A4" s="92" t="s">
        <v>1</v>
      </c>
      <c r="B4" s="93">
        <v>0.155</v>
      </c>
      <c r="C4" s="6"/>
      <c r="D4" s="21" t="s">
        <v>24</v>
      </c>
      <c r="E4" s="23" t="s">
        <v>24</v>
      </c>
      <c r="F4" s="23" t="s">
        <v>24</v>
      </c>
      <c r="G4" s="23" t="s">
        <v>24</v>
      </c>
      <c r="H4" s="23" t="s">
        <v>24</v>
      </c>
      <c r="I4" s="23" t="s">
        <v>24</v>
      </c>
      <c r="J4" s="23" t="s">
        <v>24</v>
      </c>
      <c r="K4" s="6"/>
      <c r="L4" s="23" t="s">
        <v>24</v>
      </c>
      <c r="M4" s="23"/>
    </row>
    <row r="5" spans="1:13" ht="12.75" customHeight="1">
      <c r="A5" s="94" t="s">
        <v>2</v>
      </c>
      <c r="B5" s="95">
        <v>0.0566</v>
      </c>
      <c r="C5" s="6"/>
      <c r="D5" s="429" t="s">
        <v>24</v>
      </c>
      <c r="E5" s="14" t="s">
        <v>24</v>
      </c>
      <c r="F5" s="30" t="s">
        <v>24</v>
      </c>
      <c r="G5" s="30" t="s">
        <v>24</v>
      </c>
      <c r="H5" s="30" t="s">
        <v>24</v>
      </c>
      <c r="I5" s="30" t="s">
        <v>24</v>
      </c>
      <c r="J5" s="23" t="s">
        <v>24</v>
      </c>
      <c r="K5" s="23" t="s">
        <v>24</v>
      </c>
      <c r="L5" s="14" t="s">
        <v>24</v>
      </c>
      <c r="M5" s="14"/>
    </row>
    <row r="6" spans="1:13" ht="12.75">
      <c r="A6" s="50" t="s">
        <v>4</v>
      </c>
      <c r="B6" s="96">
        <v>1.0896</v>
      </c>
      <c r="C6" s="6"/>
      <c r="D6" s="61" t="s">
        <v>24</v>
      </c>
      <c r="E6" s="37" t="s">
        <v>24</v>
      </c>
      <c r="F6" s="15" t="s">
        <v>24</v>
      </c>
      <c r="G6" s="31" t="s">
        <v>24</v>
      </c>
      <c r="H6" s="20" t="s">
        <v>24</v>
      </c>
      <c r="I6" s="20" t="s">
        <v>24</v>
      </c>
      <c r="J6" s="20" t="s">
        <v>24</v>
      </c>
      <c r="K6" s="33" t="s">
        <v>24</v>
      </c>
      <c r="L6" s="16" t="s">
        <v>24</v>
      </c>
      <c r="M6" s="16"/>
    </row>
    <row r="7" spans="1:13" ht="12.75">
      <c r="A7" s="50" t="s">
        <v>38</v>
      </c>
      <c r="B7" s="97">
        <v>158494.4</v>
      </c>
      <c r="C7" s="6"/>
      <c r="D7" s="10" t="s">
        <v>24</v>
      </c>
      <c r="E7" s="14" t="s">
        <v>24</v>
      </c>
      <c r="F7" s="36" t="s">
        <v>24</v>
      </c>
      <c r="G7" s="15" t="s">
        <v>24</v>
      </c>
      <c r="H7" s="15" t="s">
        <v>24</v>
      </c>
      <c r="I7" s="15" t="s">
        <v>24</v>
      </c>
      <c r="J7" s="31" t="s">
        <v>24</v>
      </c>
      <c r="K7" s="20"/>
      <c r="L7" s="14" t="s">
        <v>24</v>
      </c>
      <c r="M7" s="14"/>
    </row>
    <row r="8" spans="1:13" ht="12.75">
      <c r="A8" s="50" t="s">
        <v>39</v>
      </c>
      <c r="B8" s="98" t="s">
        <v>321</v>
      </c>
      <c r="C8" s="6"/>
      <c r="D8" s="10" t="s">
        <v>24</v>
      </c>
      <c r="E8" s="14" t="s">
        <v>24</v>
      </c>
      <c r="F8" s="15" t="s">
        <v>24</v>
      </c>
      <c r="G8" s="31" t="s">
        <v>24</v>
      </c>
      <c r="H8" s="31" t="s">
        <v>24</v>
      </c>
      <c r="I8" s="31" t="s">
        <v>24</v>
      </c>
      <c r="J8" s="20" t="s">
        <v>24</v>
      </c>
      <c r="K8" s="20"/>
      <c r="L8" s="14" t="s">
        <v>35</v>
      </c>
      <c r="M8" s="14"/>
    </row>
    <row r="9" spans="1:13" ht="12.75">
      <c r="A9" s="50" t="s">
        <v>40</v>
      </c>
      <c r="B9" s="99">
        <f>0.6*'BRA Load Pricing Results'!B9</f>
        <v>2491.9125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1.0312481043212522</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584" t="s">
        <v>3</v>
      </c>
      <c r="B14" s="585" t="s">
        <v>240</v>
      </c>
      <c r="C14" s="585" t="s">
        <v>241</v>
      </c>
      <c r="D14" s="585" t="s">
        <v>242</v>
      </c>
      <c r="E14" s="585" t="s">
        <v>243</v>
      </c>
      <c r="F14" s="585" t="s">
        <v>119</v>
      </c>
      <c r="G14" s="585" t="s">
        <v>244</v>
      </c>
      <c r="H14" s="585" t="s">
        <v>245</v>
      </c>
      <c r="I14" s="585" t="s">
        <v>246</v>
      </c>
      <c r="J14" s="585" t="s">
        <v>247</v>
      </c>
      <c r="K14" s="586" t="s">
        <v>248</v>
      </c>
      <c r="L14" s="71"/>
      <c r="M14" s="71"/>
    </row>
    <row r="15" spans="1:13" ht="12.75">
      <c r="A15" s="50" t="s">
        <v>6</v>
      </c>
      <c r="B15" s="151">
        <f>'BRA Resource Clearing Results'!E19-'1stIA Resource Clearing Results'!M21-'2ndIA Resource Clearing Results'!M21+B9</f>
        <v>165938.9125</v>
      </c>
      <c r="C15" s="157">
        <f>('BRA Resource Clearing Results'!E19*'BRA Resource Clearing Results'!B5-'1stIA Resource Clearing Results'!M21*'1stIA Resource Clearing Results'!B5-'2ndIA Resource Clearing Results'!M21*'2ndIA Resource Clearing Results'!B5)/('BRA Resource Clearing Results'!E19-'1stIA Resource Clearing Results'!M21-'2ndIA Resource Clearing Results'!M21)</f>
        <v>60.162499274994346</v>
      </c>
      <c r="D15" s="157">
        <f>('BRA Resource Clearing Results'!E19*'BRA Resource Clearing Results'!C5-'1stIA Resource Clearing Results'!M21*'1stIA Resource Clearing Results'!C5-'2ndIA Resource Clearing Results'!M21*'2ndIA Resource Clearing Results'!C5)/('BRA Resource Clearing Results'!E19-'1stIA Resource Clearing Results'!M21-'2ndIA Resource Clearing Results'!M21)</f>
        <v>0</v>
      </c>
      <c r="E15" s="152">
        <f>('BRA Resource Clearing Results'!C19+'BRA Resource Clearing Results'!D19)*'BRA Resource Clearing Results'!E5-('1stIA Resource Clearing Results'!K21+'1stIA Resource Clearing Results'!L21)*'1stIA Resource Clearing Results'!E5-('2ndIA Resource Clearing Results'!K21+'2ndIA Resource Clearing Results'!L21)*'2ndIA Resource Clearing Results'!E5</f>
        <v>-4981.649000000001</v>
      </c>
      <c r="F15" s="157">
        <f>E15/B15</f>
        <v>-0.030020981365657683</v>
      </c>
      <c r="G15" s="152">
        <f>'BRA Resource Clearing Results'!D19*'BRA Resource Clearing Results'!G5-'1stIA Resource Clearing Results'!L21*'1stIA Resource Clearing Results'!G5-'2ndIA Resource Clearing Results'!L21*'2ndIA Resource Clearing Results'!G5</f>
        <v>0</v>
      </c>
      <c r="H15" s="157">
        <f>G15/B15</f>
        <v>0</v>
      </c>
      <c r="I15" s="152">
        <f>'BRA Resource Clearing Results'!J46+'1stIA Resource Clearing Results'!I65+'2ndIA Resource Clearing Results'!I65</f>
        <v>0</v>
      </c>
      <c r="J15" s="204">
        <f>I15/B15</f>
        <v>0</v>
      </c>
      <c r="K15" s="207">
        <f>C15+D15+F15+H15+J15</f>
        <v>60.13247829362869</v>
      </c>
      <c r="L15" s="182"/>
      <c r="M15" s="182"/>
    </row>
    <row r="16" spans="1:13" ht="12.75">
      <c r="A16" s="50" t="s">
        <v>30</v>
      </c>
      <c r="B16" s="151">
        <f>K39+K43+K49+(SUM(K51:K58))</f>
        <v>66125.47534567665</v>
      </c>
      <c r="C16" s="157">
        <f>$C$15</f>
        <v>60.162499274994346</v>
      </c>
      <c r="D16" s="157">
        <f>D15+('BRA Resource Clearing Results'!E20*'BRA Resource Clearing Results'!C6-'1stIA Resource Clearing Results'!M22*'1stIA Resource Clearing Results'!C6-'2ndIA Resource Clearing Results'!M22*'2ndIA Resource Clearing Results'!C6)/('BRA Resource Clearing Results'!E20-'1stIA Resource Clearing Results'!M22-'2ndIA Resource Clearing Results'!M22)</f>
        <v>60.56453565478667</v>
      </c>
      <c r="E16" s="152">
        <f>('BRA Resource Clearing Results'!C20+'BRA Resource Clearing Results'!D20)*('BRA Resource Clearing Results'!E6-'BRA Resource Clearing Results'!E5)-('1stIA Resource Clearing Results'!K22+'1stIA Resource Clearing Results'!L22)*('1stIA Resource Clearing Results'!E6-'1stIA Resource Clearing Results'!E5)-('2ndIA Resource Clearing Results'!K22+'2ndIA Resource Clearing Results'!L22)*('2ndIA Resource Clearing Results'!E6-'2ndIA Resource Clearing Results'!E5)</f>
        <v>-11511.205</v>
      </c>
      <c r="F16" s="157">
        <f>F15+(E16/B16)</f>
        <v>-0.204102225240642</v>
      </c>
      <c r="G16" s="152">
        <f>'BRA Resource Clearing Results'!D20*('BRA Resource Clearing Results'!G6-'BRA Resource Clearing Results'!G5)-'1stIA Resource Clearing Results'!L22*('1stIA Resource Clearing Results'!G6-'1stIA Resource Clearing Results'!G5)-'2ndIA Resource Clearing Results'!L22*('2ndIA Resource Clearing Results'!G6-'2ndIA Resource Clearing Results'!G5)</f>
        <v>0</v>
      </c>
      <c r="H16" s="157">
        <f>H15+(G16/B16)</f>
        <v>0</v>
      </c>
      <c r="I16" s="152">
        <f>'BRA Resource Clearing Results'!J47+'1stIA Resource Clearing Results'!I66+'2ndIA Resource Clearing Results'!I66</f>
        <v>0</v>
      </c>
      <c r="J16" s="204">
        <f>J15+I16/B16</f>
        <v>0</v>
      </c>
      <c r="K16" s="207">
        <f>C16+D16+F16+H16+J16</f>
        <v>120.52293270454037</v>
      </c>
      <c r="L16" s="182"/>
      <c r="M16" s="182"/>
    </row>
    <row r="17" spans="1:13" ht="12.75">
      <c r="A17" s="50" t="s">
        <v>41</v>
      </c>
      <c r="B17" s="151">
        <f>K39+K49+K51+K53+K57+K58</f>
        <v>36142.82866288246</v>
      </c>
      <c r="C17" s="157">
        <f>$C$15</f>
        <v>60.162499274994346</v>
      </c>
      <c r="D17" s="157">
        <f>D16+('BRA Resource Clearing Results'!E21*'BRA Resource Clearing Results'!C7-'1stIA Resource Clearing Results'!M23*'1stIA Resource Clearing Results'!C7-'2ndIA Resource Clearing Results'!M23*'2ndIA Resource Clearing Results'!C7)/('BRA Resource Clearing Results'!E21-'1stIA Resource Clearing Results'!M23-'2ndIA Resource Clearing Results'!M23)</f>
        <v>60.56453565478667</v>
      </c>
      <c r="E17" s="152">
        <f>('BRA Resource Clearing Results'!C21+'BRA Resource Clearing Results'!D21)*('BRA Resource Clearing Results'!E7-'BRA Resource Clearing Results'!E6)-('1stIA Resource Clearing Results'!K23+'1stIA Resource Clearing Results'!L23)*('1stIA Resource Clearing Results'!E7-'1stIA Resource Clearing Results'!E6)-('2ndIA Resource Clearing Results'!K23+'2ndIA Resource Clearing Results'!L23)*('2ndIA Resource Clearing Results'!E7-'2ndIA Resource Clearing Results'!E6)</f>
        <v>0</v>
      </c>
      <c r="F17" s="157">
        <f>F16+(E17/B17)</f>
        <v>-0.204102225240642</v>
      </c>
      <c r="G17" s="152">
        <f>'BRA Resource Clearing Results'!D21*('BRA Resource Clearing Results'!G7-'BRA Resource Clearing Results'!G6)-'1stIA Resource Clearing Results'!L23*('1stIA Resource Clearing Results'!G7-'1stIA Resource Clearing Results'!G6)-'2ndIA Resource Clearing Results'!L23*('2ndIA Resource Clearing Results'!G7-'2ndIA Resource Clearing Results'!G6)</f>
        <v>0</v>
      </c>
      <c r="H17" s="157">
        <f>H16+(G17/B17)</f>
        <v>0</v>
      </c>
      <c r="I17" s="152">
        <f>'BRA Resource Clearing Results'!J48+'1stIA Resource Clearing Results'!I67+'2ndIA Resource Clearing Results'!I67</f>
        <v>0</v>
      </c>
      <c r="J17" s="204">
        <f>J16+I17/B17</f>
        <v>0</v>
      </c>
      <c r="K17" s="207">
        <f>C17+D17+F17+H17+J17</f>
        <v>120.52293270454037</v>
      </c>
      <c r="L17" s="182"/>
      <c r="M17" s="182"/>
    </row>
    <row r="18" spans="1:13" ht="12.75">
      <c r="A18" s="50" t="s">
        <v>5</v>
      </c>
      <c r="B18" s="151">
        <f>K43+K55</f>
        <v>15259.172146894954</v>
      </c>
      <c r="C18" s="157">
        <f>$C$15</f>
        <v>60.162499274994346</v>
      </c>
      <c r="D18" s="157">
        <f>D16+('BRA Resource Clearing Results'!E22*'BRA Resource Clearing Results'!C8-'1stIA Resource Clearing Results'!M24*'1stIA Resource Clearing Results'!C8-'2ndIA Resource Clearing Results'!M24*'2ndIA Resource Clearing Results'!C8)/('BRA Resource Clearing Results'!E22-'1stIA Resource Clearing Results'!M24-'2ndIA Resource Clearing Results'!M24)</f>
        <v>60.56453565478667</v>
      </c>
      <c r="E18" s="152">
        <f>('BRA Resource Clearing Results'!C22+'BRA Resource Clearing Results'!D22)*('BRA Resource Clearing Results'!E8-'BRA Resource Clearing Results'!E6)-('1stIA Resource Clearing Results'!K24+'1stIA Resource Clearing Results'!L24)*('1stIA Resource Clearing Results'!E8-'1stIA Resource Clearing Results'!E6)-('2ndIA Resource Clearing Results'!K24+'2ndIA Resource Clearing Results'!L24)*('2ndIA Resource Clearing Results'!E8-'2ndIA Resource Clearing Results'!E6)</f>
        <v>0</v>
      </c>
      <c r="F18" s="157">
        <f>F16+(E18/B18)</f>
        <v>-0.204102225240642</v>
      </c>
      <c r="G18" s="152">
        <f>'BRA Resource Clearing Results'!D22*('BRA Resource Clearing Results'!G8-'BRA Resource Clearing Results'!G6)-'1stIA Resource Clearing Results'!L24*('1stIA Resource Clearing Results'!G8-'1stIA Resource Clearing Results'!G6)-'2ndIA Resource Clearing Results'!L24*('2ndIA Resource Clearing Results'!G8-'2ndIA Resource Clearing Results'!G6)</f>
        <v>0</v>
      </c>
      <c r="H18" s="157">
        <f>H16+(G18/B18)</f>
        <v>0</v>
      </c>
      <c r="I18" s="152">
        <f>'BRA Resource Clearing Results'!J49+'1stIA Resource Clearing Results'!I68+'2ndIA Resource Clearing Results'!I68</f>
        <v>0</v>
      </c>
      <c r="J18" s="204">
        <f>J16+I18/B18</f>
        <v>0</v>
      </c>
      <c r="K18" s="207">
        <f>C18+D18+F18+H18+J18</f>
        <v>120.52293270454037</v>
      </c>
      <c r="L18" s="182"/>
      <c r="M18" s="182"/>
    </row>
    <row r="19" spans="1:13" ht="13.5" thickBot="1">
      <c r="A19" s="51" t="s">
        <v>15</v>
      </c>
      <c r="B19" s="510">
        <f>K55</f>
        <v>7340.751190763261</v>
      </c>
      <c r="C19" s="436">
        <f>$C$15</f>
        <v>60.162499274994346</v>
      </c>
      <c r="D19" s="436">
        <f>D18+('BRA Resource Clearing Results'!E26*'BRA Resource Clearing Results'!C12-'1stIA Resource Clearing Results'!M28*'1stIA Resource Clearing Results'!C12-'2ndIA Resource Clearing Results'!M28*'2ndIA Resource Clearing Results'!C12)/('BRA Resource Clearing Results'!E26-'1stIA Resource Clearing Results'!M28-'2ndIA Resource Clearing Results'!M28)</f>
        <v>60.56453565478667</v>
      </c>
      <c r="E19" s="437">
        <f>('BRA Resource Clearing Results'!C26+'BRA Resource Clearing Results'!D26)*('BRA Resource Clearing Results'!E12-'BRA Resource Clearing Results'!E8)-('1stIA Resource Clearing Results'!K28+'1stIA Resource Clearing Results'!L28)*('1stIA Resource Clearing Results'!E12-'1stIA Resource Clearing Results'!E8)-('2ndIA Resource Clearing Results'!K28+'2ndIA Resource Clearing Results'!L28)*('2ndIA Resource Clearing Results'!E12-'2ndIA Resource Clearing Results'!E8)</f>
        <v>0</v>
      </c>
      <c r="F19" s="436">
        <f>F18+(E19/B19)</f>
        <v>-0.204102225240642</v>
      </c>
      <c r="G19" s="437">
        <f>'BRA Resource Clearing Results'!D26*('BRA Resource Clearing Results'!G12-'BRA Resource Clearing Results'!G8)-'1stIA Resource Clearing Results'!L28*('1stIA Resource Clearing Results'!G12-'1stIA Resource Clearing Results'!G8)-'2ndIA Resource Clearing Results'!L28*('2ndIA Resource Clearing Results'!G12-'2ndIA Resource Clearing Results'!G8)</f>
        <v>0</v>
      </c>
      <c r="H19" s="436">
        <f>H18+(G19/B19)</f>
        <v>0</v>
      </c>
      <c r="I19" s="437">
        <f>'BRA Resource Clearing Results'!J53+'1stIA Resource Clearing Results'!I72+'2ndIA Resource Clearing Results'!I72</f>
        <v>0</v>
      </c>
      <c r="J19" s="511">
        <f>J18+I19/B19</f>
        <v>0</v>
      </c>
      <c r="K19" s="512">
        <f>C19+D19+F19+H19+J19</f>
        <v>120.52293270454037</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1.5" thickBot="1">
      <c r="A23" s="439" t="s">
        <v>194</v>
      </c>
      <c r="B23" s="6"/>
      <c r="C23" s="6" t="s">
        <v>24</v>
      </c>
      <c r="D23" s="66" t="s">
        <v>24</v>
      </c>
      <c r="E23" s="19" t="s">
        <v>24</v>
      </c>
      <c r="F23" s="6"/>
      <c r="G23" s="6"/>
      <c r="H23" s="6"/>
      <c r="I23" s="6"/>
      <c r="J23" s="38" t="s">
        <v>24</v>
      </c>
      <c r="K23" s="53" t="s">
        <v>24</v>
      </c>
      <c r="L23" s="6"/>
      <c r="M23" s="6"/>
    </row>
    <row r="24" spans="1:13" ht="79.5" customHeight="1">
      <c r="A24" s="266" t="s">
        <v>71</v>
      </c>
      <c r="B24" s="585" t="s">
        <v>311</v>
      </c>
      <c r="C24" s="585" t="s">
        <v>329</v>
      </c>
      <c r="D24" s="198" t="s">
        <v>279</v>
      </c>
      <c r="E24" s="585" t="s">
        <v>251</v>
      </c>
      <c r="F24" s="585" t="s">
        <v>252</v>
      </c>
      <c r="G24" s="585" t="s">
        <v>253</v>
      </c>
      <c r="H24" s="585" t="s">
        <v>254</v>
      </c>
      <c r="I24" s="198" t="s">
        <v>280</v>
      </c>
      <c r="J24" s="198" t="s">
        <v>281</v>
      </c>
      <c r="K24" s="199" t="s">
        <v>255</v>
      </c>
      <c r="L24" s="6"/>
      <c r="M24" s="6"/>
    </row>
    <row r="25" spans="1:13" ht="12.75">
      <c r="A25" s="50" t="s">
        <v>45</v>
      </c>
      <c r="B25" s="43"/>
      <c r="C25" s="151">
        <f>'BRA Resource Clearing Results'!E36-'1stIA Resource Clearing Results'!M54-'2ndIA Resource Clearing Results'!M54</f>
        <v>2641.7999999999997</v>
      </c>
      <c r="D25" s="59">
        <f>('BRA Resource Clearing Results'!E23*'BRA Resource Clearing Results'!C9-'1stIA Resource Clearing Results'!M25*'1stIA Resource Clearing Results'!C9-'2ndIA Resource Clearing Results'!M25*'2ndIA Resource Clearing Results'!C9)/('BRA Resource Clearing Results'!E23-'1stIA Resource Clearing Results'!M25-'2ndIA Resource Clearing Results'!M25)</f>
        <v>99.9298496434679</v>
      </c>
      <c r="E25" s="59">
        <f>('BRA Resource Clearing Results'!C36+'BRA Resource Clearing Results'!D36)*('BRA Resource Clearing Results'!E9-'BRA Resource Clearing Results'!E7)-('1stIA Resource Clearing Results'!K54+'1stIA Resource Clearing Results'!L54)*('1stIA Resource Clearing Results'!E9-'1stIA Resource Clearing Results'!E7)-('2ndIA Resource Clearing Results'!K54+'2ndIA Resource Clearing Results'!L54)*('2ndIA Resource Clearing Results'!E9-'2ndIA Resource Clearing Results'!E7)</f>
        <v>0</v>
      </c>
      <c r="F25" s="59"/>
      <c r="G25" s="59">
        <f>'BRA Resource Clearing Results'!D36*('BRA Resource Clearing Results'!G9-'BRA Resource Clearing Results'!G7)-'1stIA Resource Clearing Results'!L54*('1stIA Resource Clearing Results'!G9-'1stIA Resource Clearing Results'!G7)-'2ndIA Resource Clearing Results'!L54*('2ndIA Resource Clearing Results'!G9-'2ndIA Resource Clearing Results'!G7)</f>
        <v>0</v>
      </c>
      <c r="H25" s="59"/>
      <c r="I25" s="152">
        <f>'BRA Resource Clearing Results'!J50+'1stIA Resource Clearing Results'!I69+'2ndIA Resource Clearing Results'!I69</f>
        <v>0</v>
      </c>
      <c r="J25" s="43"/>
      <c r="K25" s="105"/>
      <c r="L25" s="6"/>
      <c r="M25" s="6"/>
    </row>
    <row r="26" spans="1:13" ht="12.75">
      <c r="A26" s="50" t="s">
        <v>42</v>
      </c>
      <c r="B26" s="43"/>
      <c r="C26" s="151">
        <f>'BRA Resource Clearing Results'!E37-'1stIA Resource Clearing Results'!M55-'2ndIA Resource Clearing Results'!M55</f>
        <v>3556.8</v>
      </c>
      <c r="D26" s="59">
        <f>D25+('BRA Resource Clearing Results'!E24*'BRA Resource Clearing Results'!C10-'1stIA Resource Clearing Results'!M26*'1stIA Resource Clearing Results'!C10-'2ndIA Resource Clearing Results'!M26*'2ndIA Resource Clearing Results'!C10)/('BRA Resource Clearing Results'!E24-'1stIA Resource Clearing Results'!M26-'2ndIA Resource Clearing Results'!M26)</f>
        <v>99.91069984589706</v>
      </c>
      <c r="E26" s="59">
        <f>('BRA Resource Clearing Results'!C37+'BRA Resource Clearing Results'!D37)*('BRA Resource Clearing Results'!E10-'BRA Resource Clearing Results'!E7)-('1stIA Resource Clearing Results'!K55+'1stIA Resource Clearing Results'!L55)*('1stIA Resource Clearing Results'!E10-'1stIA Resource Clearing Results'!E7)-('2ndIA Resource Clearing Results'!K55+'2ndIA Resource Clearing Results'!L55)*('2ndIA Resource Clearing Results'!E10-'2ndIA Resource Clearing Results'!E7)</f>
        <v>0</v>
      </c>
      <c r="F26" s="59"/>
      <c r="G26" s="59">
        <f>'BRA Resource Clearing Results'!D37*('BRA Resource Clearing Results'!G10-'BRA Resource Clearing Results'!G7)-'1stIA Resource Clearing Results'!L55*('1stIA Resource Clearing Results'!G10-'1stIA Resource Clearing Results'!G7)-'2ndIA Resource Clearing Results'!L55*('2ndIA Resource Clearing Results'!G10-'2ndIA Resource Clearing Results'!G7)</f>
        <v>0</v>
      </c>
      <c r="H26" s="59"/>
      <c r="I26" s="152">
        <f>'BRA Resource Clearing Results'!J51+'1stIA Resource Clearing Results'!I70+'2ndIA Resource Clearing Results'!I70</f>
        <v>0</v>
      </c>
      <c r="J26" s="43"/>
      <c r="K26" s="105"/>
      <c r="L26" s="6"/>
      <c r="M26" s="6"/>
    </row>
    <row r="27" spans="1:13" ht="12.75">
      <c r="A27" s="300" t="s">
        <v>8</v>
      </c>
      <c r="B27" s="159">
        <f>K17</f>
        <v>120.52293270454037</v>
      </c>
      <c r="C27" s="62">
        <f>C26+C25</f>
        <v>6198.6</v>
      </c>
      <c r="D27" s="160">
        <f>(C26*D26+C25*D25)/C27</f>
        <v>99.91886135579004</v>
      </c>
      <c r="E27" s="441">
        <f>E25+E26</f>
        <v>0</v>
      </c>
      <c r="F27" s="160">
        <f>E27/K57</f>
        <v>0</v>
      </c>
      <c r="G27" s="441">
        <f>G25+G26</f>
        <v>0</v>
      </c>
      <c r="H27" s="160">
        <f>G27/K57</f>
        <v>0</v>
      </c>
      <c r="I27" s="79">
        <f>I25+I26</f>
        <v>0</v>
      </c>
      <c r="J27" s="161">
        <f>I27/K57</f>
        <v>0</v>
      </c>
      <c r="K27" s="155">
        <f>B27+D27+F27+H27+J27</f>
        <v>220.4417940603304</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Results'!M56-'2ndIA Resource Clearing Results'!M56</f>
        <v>1724.6</v>
      </c>
      <c r="D29" s="59">
        <f>('BRA Resource Clearing Results'!E25*'BRA Resource Clearing Results'!C11-'1stIA Resource Clearing Results'!M27*'1stIA Resource Clearing Results'!C11-'2ndIA Resource Clearing Results'!M27*'2ndIA Resource Clearing Results'!C11)/('BRA Resource Clearing Results'!E25-'1stIA Resource Clearing Results'!M27-'2ndIA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Results'!E7)-('2ndIA Resource Clearing Results'!K56+'2ndIA Resource Clearing Results'!L56)*('2ndIA Resource Clearing Results'!E11-'2ndIA Resource Clearing Results'!E7)</f>
        <v>0</v>
      </c>
      <c r="F29" s="78"/>
      <c r="G29" s="59">
        <f>'BRA Resource Clearing Results'!D38*('BRA Resource Clearing Results'!G11-'BRA Resource Clearing Results'!G7)-'1stIA Resource Clearing Results'!L56*('1stIA Resource Clearing Results'!G11-'1stIA Resource Clearing Results'!G7)-'2ndIA Resource Clearing Results'!L56*('2ndIA Resource Clearing Results'!G11-'2ndIA Resource Clearing Results'!G7)</f>
        <v>0</v>
      </c>
      <c r="H29" s="78"/>
      <c r="I29" s="152">
        <f>'BRA Resource Clearing Results'!J52+'1stIA Resource Clearing Results'!I71+'2ndIA Resource Clearing Results'!I71</f>
        <v>0</v>
      </c>
      <c r="J29" s="43"/>
      <c r="K29" s="107"/>
      <c r="L29" s="6"/>
      <c r="M29" s="6"/>
    </row>
    <row r="30" spans="1:13" ht="12.75">
      <c r="A30" s="300" t="s">
        <v>17</v>
      </c>
      <c r="B30" s="159">
        <f>K17</f>
        <v>120.52293270454037</v>
      </c>
      <c r="C30" s="62">
        <f>C28+C29</f>
        <v>4830.5</v>
      </c>
      <c r="D30" s="160">
        <f>(C29*D29+C28*D28)/C30</f>
        <v>0</v>
      </c>
      <c r="E30" s="441">
        <f>E28+E29</f>
        <v>0</v>
      </c>
      <c r="F30" s="160">
        <f>E30/K49</f>
        <v>0</v>
      </c>
      <c r="G30" s="441">
        <f>G28+G29</f>
        <v>0</v>
      </c>
      <c r="H30" s="160">
        <f>G30/K49</f>
        <v>0</v>
      </c>
      <c r="I30" s="79">
        <f>I28+I29</f>
        <v>0</v>
      </c>
      <c r="J30" s="161">
        <f>I30/K49</f>
        <v>0</v>
      </c>
      <c r="K30" s="155">
        <f>B30+D30+F30+H30+J30</f>
        <v>120.52293270454037</v>
      </c>
      <c r="L30" s="181"/>
      <c r="M30" s="181"/>
    </row>
    <row r="31" spans="1:13" ht="12.75">
      <c r="A31" s="492" t="s">
        <v>177</v>
      </c>
      <c r="B31" s="285"/>
      <c r="C31" s="151">
        <f>'BRA Resource Clearing Results'!E40-'1stIA Resource Clearing Results'!M58-'2ndIA Resource Clearing Results'!M58</f>
        <v>5896.099999999999</v>
      </c>
      <c r="D31" s="59">
        <f>('BRA Resource Clearing Results'!E27*'BRA Resource Clearing Results'!C13-'1stIA Resource Clearing Results'!M29*'1stIA Resource Clearing Results'!C13-'2ndIA Resource Clearing Results'!M29*'2ndIA Resource Clearing Results'!C13)/('BRA Resource Clearing Results'!E27-'1stIA Resource Clearing Results'!M29-'2ndIA Resource Clearing Results'!M29)</f>
        <v>34.382305965741274</v>
      </c>
      <c r="E31" s="59">
        <f>('BRA Resource Clearing Results'!C40+'BRA Resource Clearing Results'!D40)*('BRA Resource Clearing Results'!E13-'BRA Resource Clearing Results'!E5)-('1stIA Resource Clearing Results'!K58+'1stIA Resource Clearing Results'!L58)*('1stIA Resource Clearing Results'!E13-'1stIA Resource Clearing Results'!E5)-('2ndIA Resource Clearing Results'!K58+'2ndIA Resource Clearing Results'!L58)*('2ndIA Resource Clearing Results'!E13-'2ndIA Resource Clearing Results'!E5)</f>
        <v>102529.63</v>
      </c>
      <c r="F31" s="290"/>
      <c r="G31" s="59">
        <f>'BRA Resource Clearing Results'!D40*('BRA Resource Clearing Results'!G13-'BRA Resource Clearing Results'!G5)-'1stIA Resource Clearing Results'!L58*('1stIA Resource Clearing Results'!G13-'1stIA Resource Clearing Results'!G5)-'2ndIA Resource Clearing Results'!L58*('2ndIA Resource Clearing Results'!G13-'2ndIA Resource Clearing Results'!G5)</f>
        <v>0</v>
      </c>
      <c r="H31" s="290"/>
      <c r="I31" s="152">
        <f>'BRA Resource Clearing Results'!J54+'1stIA Resource Clearing Results'!I73+'2ndIA Resource Clearing Results'!I73</f>
        <v>0</v>
      </c>
      <c r="J31" s="285"/>
      <c r="K31" s="405"/>
      <c r="L31" s="181"/>
      <c r="M31" s="181"/>
    </row>
    <row r="32" spans="1:13" ht="12.75">
      <c r="A32" s="50" t="s">
        <v>176</v>
      </c>
      <c r="B32" s="43"/>
      <c r="C32" s="151">
        <f>'BRA Resource Clearing Results'!E41-'1stIA Resource Clearing Results'!M59-'2ndIA Resource Clearing Results'!M59</f>
        <v>2568.8999999999996</v>
      </c>
      <c r="D32" s="59">
        <f>D31+('BRA Resource Clearing Results'!E28*'BRA Resource Clearing Results'!C14-'1stIA Resource Clearing Results'!M30*'1stIA Resource Clearing Results'!C14-'2ndIA Resource Clearing Results'!M30*'2ndIA Resource Clearing Results'!C14)/('BRA Resource Clearing Results'!E28-'1stIA Resource Clearing Results'!M30-'2ndIA Resource Clearing Results'!M30)</f>
        <v>34.382305965741274</v>
      </c>
      <c r="E32" s="59">
        <f>('BRA Resource Clearing Results'!C41+'BRA Resource Clearing Results'!D41)*('BRA Resource Clearing Results'!E14-'BRA Resource Clearing Results'!E5)-('1stIA Resource Clearing Results'!K59+'1stIA Resource Clearing Results'!L59)*('1stIA Resource Clearing Results'!E14-'1stIA Resource Clearing Results'!E5)-('2ndIA Resource Clearing Results'!K59+'2ndIA Resource Clearing Results'!L59)*('2ndIA Resource Clearing Results'!E14-'2ndIA Resource Clearing Results'!E5)</f>
        <v>49145.38800000001</v>
      </c>
      <c r="F32" s="78"/>
      <c r="G32" s="59">
        <f>'BRA Resource Clearing Results'!D41*('BRA Resource Clearing Results'!G14-'BRA Resource Clearing Results'!G5)-'1stIA Resource Clearing Results'!L59*('1stIA Resource Clearing Results'!G14-'1stIA Resource Clearing Results'!G5)-'2ndIA Resource Clearing Results'!L59*('2ndIA Resource Clearing Results'!G14-'2ndIA Resource Clearing Results'!G5)</f>
        <v>0</v>
      </c>
      <c r="H32" s="78"/>
      <c r="I32" s="152">
        <f>'BRA Resource Clearing Results'!J55+'1stIA Resource Clearing Results'!I74+'2ndIA Resource Clearing Results'!I74</f>
        <v>0</v>
      </c>
      <c r="J32" s="43"/>
      <c r="K32" s="107"/>
      <c r="L32" s="181"/>
      <c r="M32" s="181"/>
    </row>
    <row r="33" spans="1:13" ht="13.5" thickBot="1">
      <c r="A33" s="442" t="s">
        <v>51</v>
      </c>
      <c r="B33" s="162">
        <f>K15</f>
        <v>60.13247829362869</v>
      </c>
      <c r="C33" s="443">
        <f>C31+C32</f>
        <v>8465</v>
      </c>
      <c r="D33" s="163">
        <f>(C32*D32+C31*D31)/C33</f>
        <v>34.38230596574127</v>
      </c>
      <c r="E33" s="444">
        <f>E31+E32+990.978</f>
        <v>152665.996</v>
      </c>
      <c r="F33" s="163">
        <f>E33/K42</f>
        <v>10.434014157095456</v>
      </c>
      <c r="G33" s="444">
        <f>G31+G32</f>
        <v>0</v>
      </c>
      <c r="H33" s="163">
        <f>G33/K42</f>
        <v>0</v>
      </c>
      <c r="I33" s="164">
        <f>I31+I32</f>
        <v>0</v>
      </c>
      <c r="J33" s="165">
        <f>I33/K42</f>
        <v>0</v>
      </c>
      <c r="K33" s="156">
        <f>B33+D33+F33+H33+J33</f>
        <v>104.94879841646541</v>
      </c>
      <c r="L33" s="181"/>
      <c r="M33" s="181"/>
    </row>
    <row r="34" spans="1:13" ht="12.75">
      <c r="A34" s="698" t="s">
        <v>312</v>
      </c>
      <c r="B34" s="698"/>
      <c r="C34" s="385"/>
      <c r="D34" s="561"/>
      <c r="E34" s="560"/>
      <c r="F34" s="561"/>
      <c r="G34" s="561"/>
      <c r="H34" s="561"/>
      <c r="I34" s="562"/>
      <c r="J34" s="562"/>
      <c r="K34" s="563"/>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t="s">
        <v>24</v>
      </c>
      <c r="H36" s="5"/>
      <c r="I36" s="5"/>
      <c r="J36" s="5"/>
      <c r="K36" s="5"/>
      <c r="L36" s="13"/>
      <c r="M36" s="13"/>
    </row>
    <row r="37" spans="1:13" ht="18" thickBot="1">
      <c r="A37" s="87" t="s">
        <v>256</v>
      </c>
      <c r="B37" s="3"/>
      <c r="C37" s="2"/>
      <c r="D37" s="2"/>
      <c r="E37" s="72"/>
      <c r="F37" s="72"/>
      <c r="G37" s="445"/>
      <c r="H37" s="72"/>
      <c r="I37" s="72"/>
      <c r="J37" s="72"/>
      <c r="K37" s="72"/>
      <c r="L37" s="41"/>
      <c r="M37" s="19" t="s">
        <v>24</v>
      </c>
    </row>
    <row r="38" spans="1:14" ht="69.75" customHeight="1" thickBot="1">
      <c r="A38" s="446" t="s">
        <v>7</v>
      </c>
      <c r="B38" s="447" t="s">
        <v>28</v>
      </c>
      <c r="C38" s="447" t="s">
        <v>27</v>
      </c>
      <c r="D38" s="447" t="s">
        <v>36</v>
      </c>
      <c r="E38" s="447" t="s">
        <v>322</v>
      </c>
      <c r="F38" s="447" t="s">
        <v>22</v>
      </c>
      <c r="G38" s="447" t="s">
        <v>323</v>
      </c>
      <c r="H38" s="447" t="s">
        <v>330</v>
      </c>
      <c r="I38" s="448" t="s">
        <v>23</v>
      </c>
      <c r="J38" s="448" t="s">
        <v>257</v>
      </c>
      <c r="K38" s="448" t="s">
        <v>258</v>
      </c>
      <c r="L38" s="449" t="s">
        <v>259</v>
      </c>
      <c r="M38" s="449" t="s">
        <v>327</v>
      </c>
      <c r="N38" s="605" t="s">
        <v>7</v>
      </c>
    </row>
    <row r="39" spans="1:14" ht="12.75">
      <c r="A39" s="92" t="s">
        <v>16</v>
      </c>
      <c r="B39" s="450" t="s">
        <v>30</v>
      </c>
      <c r="C39" s="450" t="s">
        <v>41</v>
      </c>
      <c r="D39" s="450"/>
      <c r="E39" s="451">
        <v>2610</v>
      </c>
      <c r="F39" s="452">
        <f>G39/E39</f>
        <v>0.9946360153256705</v>
      </c>
      <c r="G39" s="453">
        <v>2596</v>
      </c>
      <c r="H39" s="513">
        <f>0.6*'BRA Load Pricing Results'!H37</f>
        <v>45.49403797857028</v>
      </c>
      <c r="I39" s="454">
        <f>$B$10</f>
        <v>1.0312481043212522</v>
      </c>
      <c r="J39" s="455">
        <f aca="true" t="shared" si="0" ref="J39:J46">I39*F39</f>
        <v>1.0257165052942416</v>
      </c>
      <c r="K39" s="456">
        <f>E39*J39*$B$6+H39</f>
        <v>2962.484075858631</v>
      </c>
      <c r="L39" s="457">
        <f>K17</f>
        <v>120.52293270454037</v>
      </c>
      <c r="M39" s="557">
        <v>120.51423026238608</v>
      </c>
      <c r="N39" s="604" t="s">
        <v>16</v>
      </c>
    </row>
    <row r="40" spans="1:14" ht="12.75">
      <c r="A40" s="50" t="s">
        <v>260</v>
      </c>
      <c r="B40" s="80"/>
      <c r="C40" s="80"/>
      <c r="D40" s="80"/>
      <c r="E40" s="458">
        <f>22760-11800</f>
        <v>10960</v>
      </c>
      <c r="F40" s="459">
        <v>1.0039103690685414</v>
      </c>
      <c r="G40" s="460">
        <f>E40*F40</f>
        <v>11002.857644991213</v>
      </c>
      <c r="H40" s="76">
        <f>0.6*'BRA Load Pricing Results'!H38</f>
        <v>194.68797710916778</v>
      </c>
      <c r="I40" s="461">
        <f aca="true" t="shared" si="1" ref="I40:I58">$B$10</f>
        <v>1.0312481043212522</v>
      </c>
      <c r="J40" s="77">
        <f t="shared" si="0"/>
        <v>1.035280665010382</v>
      </c>
      <c r="K40" s="75">
        <f>E40*J40*$B$6+H40</f>
        <v>12558.02624315379</v>
      </c>
      <c r="L40" s="153">
        <f>K15</f>
        <v>60.13247829362869</v>
      </c>
      <c r="M40" s="558">
        <v>60.12813638622401</v>
      </c>
      <c r="N40" s="211" t="s">
        <v>32</v>
      </c>
    </row>
    <row r="41" spans="1:14" ht="12.75">
      <c r="A41" s="50" t="s">
        <v>19</v>
      </c>
      <c r="B41" s="80" t="s">
        <v>24</v>
      </c>
      <c r="C41" s="80"/>
      <c r="D41" s="80"/>
      <c r="E41" s="458">
        <v>8350</v>
      </c>
      <c r="F41" s="459">
        <f>G41/E41</f>
        <v>1.0208383233532934</v>
      </c>
      <c r="G41" s="460">
        <v>8524</v>
      </c>
      <c r="H41" s="76">
        <f>0.6*'BRA Load Pricing Results'!H39</f>
        <v>143.67743266704474</v>
      </c>
      <c r="I41" s="461">
        <f t="shared" si="1"/>
        <v>1.0312481043212522</v>
      </c>
      <c r="J41" s="77">
        <f t="shared" si="0"/>
        <v>1.0527375857765693</v>
      </c>
      <c r="K41" s="75">
        <f>E41*J41*$B$6+H41</f>
        <v>9721.652426075998</v>
      </c>
      <c r="L41" s="153">
        <f>K15</f>
        <v>60.13247829362869</v>
      </c>
      <c r="M41" s="558">
        <v>60.12813638622401</v>
      </c>
      <c r="N41" s="211" t="s">
        <v>19</v>
      </c>
    </row>
    <row r="42" spans="1:14" ht="12.75">
      <c r="A42" s="50" t="s">
        <v>51</v>
      </c>
      <c r="B42" s="80"/>
      <c r="C42" s="80"/>
      <c r="D42" s="80" t="s">
        <v>51</v>
      </c>
      <c r="E42" s="458">
        <v>12760</v>
      </c>
      <c r="F42" s="459">
        <f>G42/E42</f>
        <v>1.0053291536050157</v>
      </c>
      <c r="G42" s="460">
        <v>12828</v>
      </c>
      <c r="H42" s="76">
        <f>0.6*'BRA Load Pricing Results'!H40</f>
        <v>217.41309666610064</v>
      </c>
      <c r="I42" s="461">
        <f t="shared" si="1"/>
        <v>1.0312481043212522</v>
      </c>
      <c r="J42" s="77">
        <f t="shared" si="0"/>
        <v>1.0367437838740614</v>
      </c>
      <c r="K42" s="75">
        <f>E42*J42*$B$6+H42</f>
        <v>14631.568800027202</v>
      </c>
      <c r="L42" s="153">
        <f>K33</f>
        <v>104.94879841646541</v>
      </c>
      <c r="M42" s="558">
        <v>104.94122051550595</v>
      </c>
      <c r="N42" s="211" t="s">
        <v>51</v>
      </c>
    </row>
    <row r="43" spans="1:14" ht="12.75">
      <c r="A43" s="50" t="s">
        <v>11</v>
      </c>
      <c r="B43" s="80" t="s">
        <v>30</v>
      </c>
      <c r="C43" s="80" t="s">
        <v>5</v>
      </c>
      <c r="D43" s="80"/>
      <c r="E43" s="458">
        <v>6940</v>
      </c>
      <c r="F43" s="459">
        <f>G43/E43</f>
        <v>1.0001440922190201</v>
      </c>
      <c r="G43" s="460">
        <v>6941</v>
      </c>
      <c r="H43" s="76">
        <f>0.6*'BRA Load Pricing Results'!H41</f>
        <v>119.18064298627614</v>
      </c>
      <c r="I43" s="461">
        <f t="shared" si="1"/>
        <v>1.0312481043212522</v>
      </c>
      <c r="J43" s="77">
        <f t="shared" si="0"/>
        <v>1.0313966991489643</v>
      </c>
      <c r="K43" s="75">
        <f aca="true" t="shared" si="2" ref="K43:K58">E43*J43*$B$6+H43</f>
        <v>7918.420956131693</v>
      </c>
      <c r="L43" s="153">
        <f>K18</f>
        <v>120.52293270454037</v>
      </c>
      <c r="M43" s="558">
        <v>120.51423026238609</v>
      </c>
      <c r="N43" s="211" t="s">
        <v>11</v>
      </c>
    </row>
    <row r="44" spans="1:14" ht="12.75">
      <c r="A44" s="50" t="s">
        <v>20</v>
      </c>
      <c r="B44" s="80"/>
      <c r="C44" s="80"/>
      <c r="D44" s="80"/>
      <c r="E44" s="458">
        <v>21970</v>
      </c>
      <c r="F44" s="459">
        <f>G44/E44</f>
        <v>1.0186162949476558</v>
      </c>
      <c r="G44" s="460">
        <v>22379</v>
      </c>
      <c r="H44" s="76">
        <f>0.6*'BRA Load Pricing Results'!H42</f>
        <v>384.3608442301639</v>
      </c>
      <c r="I44" s="461">
        <f t="shared" si="1"/>
        <v>1.0312481043212522</v>
      </c>
      <c r="J44" s="77">
        <f t="shared" si="0"/>
        <v>1.0504461231955076</v>
      </c>
      <c r="K44" s="75">
        <f t="shared" si="2"/>
        <v>25530.4779696993</v>
      </c>
      <c r="L44" s="153">
        <f>K15</f>
        <v>60.13247829362869</v>
      </c>
      <c r="M44" s="558">
        <v>60.12813638622401</v>
      </c>
      <c r="N44" s="211" t="s">
        <v>20</v>
      </c>
    </row>
    <row r="45" spans="1:14" ht="12.75">
      <c r="A45" s="50" t="s">
        <v>21</v>
      </c>
      <c r="B45" s="80"/>
      <c r="C45" s="80"/>
      <c r="D45" s="80"/>
      <c r="E45" s="458">
        <v>3290</v>
      </c>
      <c r="F45" s="459">
        <f>G45/E45</f>
        <v>1.0370820668693008</v>
      </c>
      <c r="G45" s="460">
        <v>3412</v>
      </c>
      <c r="H45" s="76">
        <f>0.6*'BRA Load Pricing Results'!H43</f>
        <v>58.15125774687129</v>
      </c>
      <c r="I45" s="461">
        <f t="shared" si="1"/>
        <v>1.0312481043212522</v>
      </c>
      <c r="J45" s="77">
        <f t="shared" si="0"/>
        <v>1.0694889154845326</v>
      </c>
      <c r="K45" s="75">
        <f t="shared" si="2"/>
        <v>3892.0380101531755</v>
      </c>
      <c r="L45" s="153">
        <f>K15</f>
        <v>60.13247829362869</v>
      </c>
      <c r="M45" s="558">
        <v>60.12813638622401</v>
      </c>
      <c r="N45" s="211" t="s">
        <v>21</v>
      </c>
    </row>
    <row r="46" spans="1:14" ht="12.75">
      <c r="A46" s="50" t="s">
        <v>261</v>
      </c>
      <c r="B46" s="80"/>
      <c r="C46" s="80"/>
      <c r="D46" s="80"/>
      <c r="E46" s="458">
        <f>5310-859.4</f>
        <v>4450.6</v>
      </c>
      <c r="F46" s="459">
        <v>1.0060263653483992</v>
      </c>
      <c r="G46" s="460">
        <f>E46*F46</f>
        <v>4477.420941619585</v>
      </c>
      <c r="H46" s="76">
        <f>0.6*'BRA Load Pricing Results'!H44</f>
        <v>76.49642388215672</v>
      </c>
      <c r="I46" s="461">
        <f t="shared" si="1"/>
        <v>1.0312481043212522</v>
      </c>
      <c r="J46" s="77">
        <f t="shared" si="0"/>
        <v>1.0374627821627362</v>
      </c>
      <c r="K46" s="75">
        <f>E46*J46*$B$6+H46</f>
        <v>5107.5412166787255</v>
      </c>
      <c r="L46" s="153">
        <f>K15</f>
        <v>60.13247829362869</v>
      </c>
      <c r="M46" s="558">
        <v>60.12813638622401</v>
      </c>
      <c r="N46" s="211" t="s">
        <v>65</v>
      </c>
    </row>
    <row r="47" spans="1:14" ht="12.75">
      <c r="A47" s="50" t="s">
        <v>50</v>
      </c>
      <c r="B47" s="80"/>
      <c r="C47" s="80"/>
      <c r="D47" s="80"/>
      <c r="E47" s="458">
        <v>2830</v>
      </c>
      <c r="F47" s="459">
        <f aca="true" t="shared" si="3" ref="F47:F58">G47/E47</f>
        <v>1.0169611307420494</v>
      </c>
      <c r="G47" s="460">
        <v>2878</v>
      </c>
      <c r="H47" s="76">
        <f>0.6*'BRA Load Pricing Results'!H45</f>
        <v>48.99357936153723</v>
      </c>
      <c r="I47" s="461">
        <f t="shared" si="1"/>
        <v>1.0312481043212522</v>
      </c>
      <c r="J47" s="77">
        <f aca="true" t="shared" si="4" ref="J47:J57">I47*F47</f>
        <v>1.0487392382461356</v>
      </c>
      <c r="K47" s="75">
        <f t="shared" si="2"/>
        <v>3282.852334761697</v>
      </c>
      <c r="L47" s="153">
        <f>K15</f>
        <v>60.13247829362869</v>
      </c>
      <c r="M47" s="558">
        <v>60.12813638622401</v>
      </c>
      <c r="N47" s="211" t="s">
        <v>50</v>
      </c>
    </row>
    <row r="48" spans="1:14" ht="12.75">
      <c r="A48" s="50" t="s">
        <v>33</v>
      </c>
      <c r="B48" s="80"/>
      <c r="C48" s="80"/>
      <c r="D48" s="80"/>
      <c r="E48" s="458">
        <v>19090</v>
      </c>
      <c r="F48" s="459">
        <f t="shared" si="3"/>
        <v>1.0374017810371923</v>
      </c>
      <c r="G48" s="460">
        <v>19804</v>
      </c>
      <c r="H48" s="76">
        <f>0.6*'BRA Load Pricing Results'!H46</f>
        <v>333.84643613677656</v>
      </c>
      <c r="I48" s="461">
        <f t="shared" si="1"/>
        <v>1.0312481043212522</v>
      </c>
      <c r="J48" s="77">
        <f t="shared" si="4"/>
        <v>1.0698186201140953</v>
      </c>
      <c r="K48" s="75">
        <f t="shared" si="2"/>
        <v>22586.57013034969</v>
      </c>
      <c r="L48" s="153">
        <f>K15</f>
        <v>60.13247829362869</v>
      </c>
      <c r="M48" s="558">
        <v>60.12813638622401</v>
      </c>
      <c r="N48" s="211" t="s">
        <v>33</v>
      </c>
    </row>
    <row r="49" spans="1:14" ht="12.75">
      <c r="A49" s="50" t="s">
        <v>17</v>
      </c>
      <c r="B49" s="80" t="s">
        <v>30</v>
      </c>
      <c r="C49" s="80" t="s">
        <v>41</v>
      </c>
      <c r="D49" s="80" t="s">
        <v>17</v>
      </c>
      <c r="E49" s="458">
        <v>4020</v>
      </c>
      <c r="F49" s="459">
        <f t="shared" si="3"/>
        <v>1.0159203980099503</v>
      </c>
      <c r="G49" s="460">
        <v>4084</v>
      </c>
      <c r="H49" s="76">
        <f>0.6*'BRA Load Pricing Results'!H47</f>
        <v>68.87882385540547</v>
      </c>
      <c r="I49" s="461">
        <f t="shared" si="1"/>
        <v>1.0312481043212522</v>
      </c>
      <c r="J49" s="77">
        <f t="shared" si="4"/>
        <v>1.0476659845890532</v>
      </c>
      <c r="K49" s="75">
        <f t="shared" si="2"/>
        <v>4657.856988224499</v>
      </c>
      <c r="L49" s="153">
        <f>K30</f>
        <v>120.52293270454037</v>
      </c>
      <c r="M49" s="558">
        <v>120.5142302623861</v>
      </c>
      <c r="N49" s="211" t="s">
        <v>17</v>
      </c>
    </row>
    <row r="50" spans="1:14" ht="12.75">
      <c r="A50" s="50" t="s">
        <v>284</v>
      </c>
      <c r="B50" s="80"/>
      <c r="C50" s="80"/>
      <c r="D50" s="80"/>
      <c r="E50" s="458">
        <v>2124.2</v>
      </c>
      <c r="F50" s="459">
        <v>1.0336898395721925</v>
      </c>
      <c r="G50" s="460">
        <f>E50*F50</f>
        <v>2195.763957219251</v>
      </c>
      <c r="H50" s="76">
        <f>0.6*'BRA Load Pricing Results'!H48</f>
        <v>35.444388314101786</v>
      </c>
      <c r="I50" s="461">
        <f t="shared" si="1"/>
        <v>1.0312481043212522</v>
      </c>
      <c r="J50" s="77">
        <f t="shared" si="4"/>
        <v>1.065990687514963</v>
      </c>
      <c r="K50" s="75">
        <f>E50*J50*$B$6+H50</f>
        <v>2502.7100234237532</v>
      </c>
      <c r="L50" s="153">
        <f>K15</f>
        <v>60.13247829362869</v>
      </c>
      <c r="M50" s="558">
        <v>60.128136386224014</v>
      </c>
      <c r="N50" s="211" t="s">
        <v>185</v>
      </c>
    </row>
    <row r="51" spans="1:14" ht="12.75">
      <c r="A51" s="50" t="s">
        <v>12</v>
      </c>
      <c r="B51" s="80" t="s">
        <v>30</v>
      </c>
      <c r="C51" s="80" t="s">
        <v>41</v>
      </c>
      <c r="D51" s="80"/>
      <c r="E51" s="458">
        <v>6090</v>
      </c>
      <c r="F51" s="459">
        <f t="shared" si="3"/>
        <v>1.0044334975369458</v>
      </c>
      <c r="G51" s="460">
        <v>6117</v>
      </c>
      <c r="H51" s="76">
        <f>0.6*'BRA Load Pricing Results'!H49</f>
        <v>104.34847460145829</v>
      </c>
      <c r="I51" s="461">
        <f t="shared" si="1"/>
        <v>1.0312481043212522</v>
      </c>
      <c r="J51" s="77">
        <f t="shared" si="4"/>
        <v>1.0358201402517404</v>
      </c>
      <c r="K51" s="75">
        <f t="shared" si="2"/>
        <v>6977.702889744882</v>
      </c>
      <c r="L51" s="153">
        <f>K17</f>
        <v>120.52293270454037</v>
      </c>
      <c r="M51" s="558">
        <v>120.5142302623861</v>
      </c>
      <c r="N51" s="211" t="s">
        <v>12</v>
      </c>
    </row>
    <row r="52" spans="1:14" ht="12.75">
      <c r="A52" s="50" t="s">
        <v>13</v>
      </c>
      <c r="B52" s="80" t="s">
        <v>30</v>
      </c>
      <c r="C52" s="80"/>
      <c r="D52" s="80"/>
      <c r="E52" s="458">
        <v>2850</v>
      </c>
      <c r="F52" s="459">
        <f t="shared" si="3"/>
        <v>1.012280701754386</v>
      </c>
      <c r="G52" s="460">
        <v>2885</v>
      </c>
      <c r="H52" s="76">
        <f>0.6*'BRA Load Pricing Results'!H50</f>
        <v>50.17099515393732</v>
      </c>
      <c r="I52" s="461">
        <f t="shared" si="1"/>
        <v>1.0312481043212522</v>
      </c>
      <c r="J52" s="77">
        <f t="shared" si="4"/>
        <v>1.0439125547251975</v>
      </c>
      <c r="K52" s="75">
        <f t="shared" si="2"/>
        <v>3291.8952860953764</v>
      </c>
      <c r="L52" s="153">
        <f>K16</f>
        <v>120.52293270454037</v>
      </c>
      <c r="M52" s="558">
        <v>120.51423026238609</v>
      </c>
      <c r="N52" s="211" t="s">
        <v>13</v>
      </c>
    </row>
    <row r="53" spans="1:14" ht="12.75">
      <c r="A53" s="50" t="s">
        <v>9</v>
      </c>
      <c r="B53" s="80" t="s">
        <v>30</v>
      </c>
      <c r="C53" s="80" t="s">
        <v>41</v>
      </c>
      <c r="D53" s="80"/>
      <c r="E53" s="458">
        <v>8380</v>
      </c>
      <c r="F53" s="459">
        <f t="shared" si="3"/>
        <v>1.0069212410501194</v>
      </c>
      <c r="G53" s="460">
        <v>8438</v>
      </c>
      <c r="H53" s="76">
        <f>0.6*'BRA Load Pricing Results'!H51</f>
        <v>145.67249831527823</v>
      </c>
      <c r="I53" s="461">
        <f t="shared" si="1"/>
        <v>1.0312481043212522</v>
      </c>
      <c r="J53" s="77">
        <f t="shared" si="4"/>
        <v>1.0383856210337383</v>
      </c>
      <c r="K53" s="75">
        <f t="shared" si="2"/>
        <v>9627.013769359944</v>
      </c>
      <c r="L53" s="153">
        <f>K17</f>
        <v>120.52293270454037</v>
      </c>
      <c r="M53" s="558">
        <v>120.51423026238609</v>
      </c>
      <c r="N53" s="211" t="s">
        <v>9</v>
      </c>
    </row>
    <row r="54" spans="1:14" ht="12.75">
      <c r="A54" s="50" t="s">
        <v>14</v>
      </c>
      <c r="B54" s="80" t="s">
        <v>30</v>
      </c>
      <c r="C54" s="80"/>
      <c r="D54" s="80"/>
      <c r="E54" s="458">
        <v>2770</v>
      </c>
      <c r="F54" s="459">
        <f t="shared" si="3"/>
        <v>1.027436823104693</v>
      </c>
      <c r="G54" s="460">
        <v>2846</v>
      </c>
      <c r="H54" s="76">
        <f>0.6*'BRA Load Pricing Results'!H52</f>
        <v>49.77852322313729</v>
      </c>
      <c r="I54" s="461">
        <f t="shared" si="1"/>
        <v>1.0312481043212522</v>
      </c>
      <c r="J54" s="77">
        <f t="shared" si="4"/>
        <v>1.0595422761365645</v>
      </c>
      <c r="K54" s="75">
        <f t="shared" si="2"/>
        <v>3247.680544720307</v>
      </c>
      <c r="L54" s="153">
        <f>K16</f>
        <v>120.52293270454037</v>
      </c>
      <c r="M54" s="558">
        <v>120.51423026238608</v>
      </c>
      <c r="N54" s="211" t="s">
        <v>14</v>
      </c>
    </row>
    <row r="55" spans="1:14" ht="12.75">
      <c r="A55" s="50" t="s">
        <v>15</v>
      </c>
      <c r="B55" s="80" t="s">
        <v>30</v>
      </c>
      <c r="C55" s="80" t="s">
        <v>5</v>
      </c>
      <c r="D55" s="80" t="s">
        <v>15</v>
      </c>
      <c r="E55" s="458">
        <v>6540</v>
      </c>
      <c r="F55" s="459">
        <f t="shared" si="3"/>
        <v>0.9837920489296637</v>
      </c>
      <c r="G55" s="460">
        <v>6434</v>
      </c>
      <c r="H55" s="76">
        <f>0.6*'BRA Load Pricing Results'!H53</f>
        <v>111.20038039334217</v>
      </c>
      <c r="I55" s="461">
        <f t="shared" si="1"/>
        <v>1.0312481043212522</v>
      </c>
      <c r="J55" s="77">
        <f t="shared" si="4"/>
        <v>1.0145336855050362</v>
      </c>
      <c r="K55" s="75">
        <f t="shared" si="2"/>
        <v>7340.751190763261</v>
      </c>
      <c r="L55" s="153">
        <f>K19</f>
        <v>120.52293270454037</v>
      </c>
      <c r="M55" s="558">
        <v>120.5142302623861</v>
      </c>
      <c r="N55" s="211" t="s">
        <v>15</v>
      </c>
    </row>
    <row r="56" spans="1:14" ht="12.75">
      <c r="A56" s="50" t="s">
        <v>10</v>
      </c>
      <c r="B56" s="80" t="s">
        <v>30</v>
      </c>
      <c r="C56" s="80"/>
      <c r="D56" s="80"/>
      <c r="E56" s="458">
        <v>7145</v>
      </c>
      <c r="F56" s="459">
        <f t="shared" si="3"/>
        <v>1.0039188243526942</v>
      </c>
      <c r="G56" s="460">
        <v>7173</v>
      </c>
      <c r="H56" s="76">
        <f>0.6*'BRA Load Pricing Results'!H54</f>
        <v>123.97207114145985</v>
      </c>
      <c r="I56" s="461">
        <f t="shared" si="1"/>
        <v>1.0312481043212522</v>
      </c>
      <c r="J56" s="77">
        <f t="shared" si="4"/>
        <v>1.0352893845061362</v>
      </c>
      <c r="K56" s="75">
        <f t="shared" si="2"/>
        <v>8183.898705083555</v>
      </c>
      <c r="L56" s="153">
        <f>K16</f>
        <v>120.52293270454037</v>
      </c>
      <c r="M56" s="558">
        <v>120.51423026238608</v>
      </c>
      <c r="N56" s="211" t="s">
        <v>10</v>
      </c>
    </row>
    <row r="57" spans="1:14" ht="12.75">
      <c r="A57" s="50" t="s">
        <v>8</v>
      </c>
      <c r="B57" s="80" t="s">
        <v>30</v>
      </c>
      <c r="C57" s="80" t="s">
        <v>41</v>
      </c>
      <c r="D57" s="80" t="s">
        <v>8</v>
      </c>
      <c r="E57" s="458">
        <v>10160</v>
      </c>
      <c r="F57" s="459">
        <f t="shared" si="3"/>
        <v>0.9878937007874016</v>
      </c>
      <c r="G57" s="460">
        <v>10037</v>
      </c>
      <c r="H57" s="76">
        <f>0.6*'BRA Load Pricing Results'!H55</f>
        <v>173.34176943668047</v>
      </c>
      <c r="I57" s="461">
        <f t="shared" si="1"/>
        <v>1.0312481043212522</v>
      </c>
      <c r="J57" s="77">
        <f t="shared" si="4"/>
        <v>1.0187635062079143</v>
      </c>
      <c r="K57" s="75">
        <f t="shared" si="2"/>
        <v>11451.396087696377</v>
      </c>
      <c r="L57" s="153">
        <f>K27</f>
        <v>220.4417940603304</v>
      </c>
      <c r="M57" s="558">
        <v>220.4258769073194</v>
      </c>
      <c r="N57" s="211" t="s">
        <v>8</v>
      </c>
    </row>
    <row r="58" spans="1:14" ht="13.5" thickBot="1">
      <c r="A58" s="51" t="s">
        <v>18</v>
      </c>
      <c r="B58" s="84" t="s">
        <v>30</v>
      </c>
      <c r="C58" s="84" t="s">
        <v>41</v>
      </c>
      <c r="D58" s="84"/>
      <c r="E58" s="462">
        <v>405</v>
      </c>
      <c r="F58" s="463">
        <f t="shared" si="3"/>
        <v>1.0098765432098766</v>
      </c>
      <c r="G58" s="464">
        <v>409</v>
      </c>
      <c r="H58" s="588">
        <f>0.6*'BRA Load Pricing Results'!H56</f>
        <v>6.8028468005338745</v>
      </c>
      <c r="I58" s="465">
        <f t="shared" si="1"/>
        <v>1.0312481043212522</v>
      </c>
      <c r="J58" s="86">
        <f>I58*F58</f>
        <v>1.0414332707836844</v>
      </c>
      <c r="K58" s="209">
        <f t="shared" si="2"/>
        <v>466.37485199812437</v>
      </c>
      <c r="L58" s="154">
        <f>K17</f>
        <v>120.52293270454037</v>
      </c>
      <c r="M58" s="559">
        <v>120.51423026238608</v>
      </c>
      <c r="N58" s="213" t="s">
        <v>18</v>
      </c>
    </row>
    <row r="59" spans="2:14" ht="24.75" customHeight="1" thickBot="1">
      <c r="B59" s="12"/>
      <c r="C59" s="6"/>
      <c r="D59" s="6"/>
      <c r="E59" s="611">
        <f>SUM(E39:E58)</f>
        <v>143734.8</v>
      </c>
      <c r="F59" s="612"/>
      <c r="G59" s="611">
        <f>SUM(G39:G58)</f>
        <v>145461.04254383006</v>
      </c>
      <c r="H59" s="613">
        <f>SUM(H39:H58)</f>
        <v>2491.9125000000004</v>
      </c>
      <c r="I59" s="614"/>
      <c r="J59" s="614"/>
      <c r="K59" s="615">
        <f>SUM(K39:K58)</f>
        <v>165938.91249999995</v>
      </c>
      <c r="L59" s="710" t="s">
        <v>313</v>
      </c>
      <c r="M59" s="711"/>
      <c r="N59" s="712"/>
    </row>
    <row r="60" spans="1:13" ht="12.75">
      <c r="A60" s="470" t="s">
        <v>90</v>
      </c>
      <c r="B60" s="12"/>
      <c r="C60" s="6"/>
      <c r="D60" s="6"/>
      <c r="E60" s="471" t="s">
        <v>24</v>
      </c>
      <c r="F60" s="467"/>
      <c r="G60" s="587" t="s">
        <v>24</v>
      </c>
      <c r="H60" s="301"/>
      <c r="I60" s="4"/>
      <c r="J60" s="4"/>
      <c r="K60" s="472"/>
      <c r="L60" s="473"/>
      <c r="M60" s="473"/>
    </row>
    <row r="61" spans="1:13" ht="12.75">
      <c r="A61" s="694" t="s">
        <v>262</v>
      </c>
      <c r="B61" s="694"/>
      <c r="C61" s="6"/>
      <c r="D61" s="6"/>
      <c r="E61" s="474" t="s">
        <v>24</v>
      </c>
      <c r="F61" s="6"/>
      <c r="G61" s="474" t="s">
        <v>24</v>
      </c>
      <c r="H61" s="6"/>
      <c r="I61" s="6"/>
      <c r="J61" s="6"/>
      <c r="K61" s="6"/>
      <c r="L61" s="473"/>
      <c r="M61" s="473"/>
    </row>
    <row r="62" spans="1:14" ht="12.75">
      <c r="A62" s="699" t="s">
        <v>263</v>
      </c>
      <c r="B62" s="699"/>
      <c r="C62" s="699"/>
      <c r="D62" s="699"/>
      <c r="E62" s="699"/>
      <c r="F62" s="699"/>
      <c r="G62" s="699"/>
      <c r="H62" s="699"/>
      <c r="I62" s="699"/>
      <c r="J62" s="699"/>
      <c r="K62" s="699"/>
      <c r="L62" s="699"/>
      <c r="M62" s="699"/>
      <c r="N62" s="699"/>
    </row>
  </sheetData>
  <sheetProtection/>
  <mergeCells count="4">
    <mergeCell ref="A34:B34"/>
    <mergeCell ref="L59:N59"/>
    <mergeCell ref="A61:B61"/>
    <mergeCell ref="A62:N62"/>
  </mergeCells>
  <printOptions/>
  <pageMargins left="0.45" right="0.45" top="0.5" bottom="0.5" header="0.3" footer="0.3"/>
  <pageSetup fitToHeight="1" fitToWidth="1" horizontalDpi="600" verticalDpi="600" orientation="landscape" paperSize="17" scale="74" r:id="rId1"/>
</worksheet>
</file>

<file path=xl/worksheets/sheet13.xml><?xml version="1.0" encoding="utf-8"?>
<worksheet xmlns="http://schemas.openxmlformats.org/spreadsheetml/2006/main" xmlns:r="http://schemas.openxmlformats.org/officeDocument/2006/relationships">
  <sheetPr>
    <pageSetUpPr fitToPage="1"/>
  </sheetPr>
  <dimension ref="A1:V42"/>
  <sheetViews>
    <sheetView zoomScalePageLayoutView="0" workbookViewId="0" topLeftCell="A1">
      <selection activeCell="A1" sqref="A1"/>
    </sheetView>
  </sheetViews>
  <sheetFormatPr defaultColWidth="9.140625" defaultRowHeight="12.75"/>
  <cols>
    <col min="1" max="22" width="18.7109375" style="0" customWidth="1"/>
  </cols>
  <sheetData>
    <row r="1" spans="1:19" ht="17.25">
      <c r="A1" s="24" t="s">
        <v>318</v>
      </c>
      <c r="B1" s="6"/>
      <c r="C1" s="6"/>
      <c r="D1" s="6"/>
      <c r="E1" s="6"/>
      <c r="F1" s="475" t="s">
        <v>24</v>
      </c>
      <c r="G1" s="6"/>
      <c r="H1" s="6"/>
      <c r="I1" s="6"/>
      <c r="J1" s="6"/>
      <c r="K1" s="6"/>
      <c r="L1" s="6"/>
      <c r="M1" s="6"/>
      <c r="N1" s="6"/>
      <c r="O1" s="6"/>
      <c r="P1" s="6"/>
      <c r="Q1" s="6"/>
      <c r="R1" s="6"/>
      <c r="S1" s="6"/>
    </row>
    <row r="2" spans="1:19" ht="18" thickBot="1">
      <c r="A2" s="1" t="s">
        <v>24</v>
      </c>
      <c r="B2" s="6"/>
      <c r="C2" s="6" t="s">
        <v>24</v>
      </c>
      <c r="D2" s="38" t="s">
        <v>24</v>
      </c>
      <c r="E2" s="476" t="s">
        <v>24</v>
      </c>
      <c r="F2" s="6"/>
      <c r="G2" s="6"/>
      <c r="H2" s="6"/>
      <c r="I2" s="6"/>
      <c r="J2" s="6"/>
      <c r="K2" s="6"/>
      <c r="L2" s="6"/>
      <c r="M2" s="6"/>
      <c r="N2" s="6"/>
      <c r="O2" s="6"/>
      <c r="P2" s="6"/>
      <c r="Q2" s="6"/>
      <c r="R2" s="6"/>
      <c r="S2" s="6"/>
    </row>
    <row r="3" spans="1:19" ht="18" thickBot="1">
      <c r="A3" s="101" t="s">
        <v>85</v>
      </c>
      <c r="B3" s="1"/>
      <c r="C3" s="477" t="s">
        <v>24</v>
      </c>
      <c r="D3" s="1"/>
      <c r="E3" s="328" t="s">
        <v>24</v>
      </c>
      <c r="F3" s="328"/>
      <c r="G3" s="6"/>
      <c r="H3" s="6"/>
      <c r="I3" s="6" t="s">
        <v>24</v>
      </c>
      <c r="J3" s="6"/>
      <c r="K3" s="19"/>
      <c r="L3" s="19"/>
      <c r="S3" s="19"/>
    </row>
    <row r="4" spans="1:18" ht="90" customHeight="1">
      <c r="A4" s="210" t="s">
        <v>3</v>
      </c>
      <c r="B4" s="90" t="s">
        <v>240</v>
      </c>
      <c r="C4" s="90" t="s">
        <v>264</v>
      </c>
      <c r="D4" s="90" t="s">
        <v>324</v>
      </c>
      <c r="E4" s="90" t="s">
        <v>265</v>
      </c>
      <c r="F4" s="89" t="s">
        <v>88</v>
      </c>
      <c r="G4" s="89" t="s">
        <v>266</v>
      </c>
      <c r="H4" s="89" t="s">
        <v>96</v>
      </c>
      <c r="I4" s="89" t="s">
        <v>316</v>
      </c>
      <c r="J4" s="103" t="s">
        <v>267</v>
      </c>
      <c r="K4" s="23"/>
      <c r="N4" s="23"/>
      <c r="O4" s="23"/>
      <c r="P4" s="23"/>
      <c r="Q4" s="23"/>
      <c r="R4" s="23"/>
    </row>
    <row r="5" spans="1:18" ht="12.75">
      <c r="A5" s="211" t="s">
        <v>30</v>
      </c>
      <c r="B5" s="137">
        <f>'2nd IA Load Pricing Results'!B16</f>
        <v>66125.47534567665</v>
      </c>
      <c r="C5" s="75">
        <f>'BRA Resource Clearing Results'!E20-'1stIA Resource Clearing Results'!M22-'2ndIA Resource Clearing Results'!M22</f>
        <v>64166.7</v>
      </c>
      <c r="D5" s="56">
        <f>'2nd IA Load Pricing Results'!H52+'2nd IA Load Pricing Results'!H54+'2nd IA Load Pricing Results'!H56+D6+D7</f>
        <v>998.8410638860794</v>
      </c>
      <c r="E5" s="606">
        <f>B5-C5-D5-80.713373712024</f>
        <v>879.220908078548</v>
      </c>
      <c r="F5" s="336">
        <v>0</v>
      </c>
      <c r="G5" s="56">
        <f aca="true" t="shared" si="0" ref="G5:G11">E5-F5</f>
        <v>879.220908078548</v>
      </c>
      <c r="H5" s="56">
        <f>'2nd IA ICTRs'!C19</f>
        <v>155.84852216776935</v>
      </c>
      <c r="I5" s="56">
        <f>'2nd IA ICTRs'!C12+'2nd IA ICTRs'!C17</f>
        <v>723.3723859107786</v>
      </c>
      <c r="J5" s="423">
        <f aca="true" t="shared" si="1" ref="J5:J11">G5-H5-I5</f>
        <v>0</v>
      </c>
      <c r="K5" s="134"/>
      <c r="N5" s="9"/>
      <c r="O5" s="9"/>
      <c r="P5" s="9"/>
      <c r="Q5" s="9"/>
      <c r="R5" s="9"/>
    </row>
    <row r="6" spans="1:18" ht="12.75">
      <c r="A6" s="211" t="s">
        <v>41</v>
      </c>
      <c r="B6" s="137">
        <f>'2nd IA Load Pricing Results'!B17</f>
        <v>36142.82866288246</v>
      </c>
      <c r="C6" s="75">
        <f>'BRA Resource Clearing Results'!E21-'1stIA Resource Clearing Results'!M23-'2ndIA Resource Clearing Results'!M23</f>
        <v>30813</v>
      </c>
      <c r="D6" s="56">
        <f>'2nd IA Load Pricing Results'!H39+'2nd IA Load Pricing Results'!H49+'2nd IA Load Pricing Results'!H51+'2nd IA Load Pricing Results'!H53+'2nd IA Load Pricing Results'!H57+'2nd IA Load Pricing Results'!H58</f>
        <v>544.5384509879266</v>
      </c>
      <c r="E6" s="607">
        <f>B6-C6-D6-0</f>
        <v>4785.29021189453</v>
      </c>
      <c r="F6" s="336">
        <v>0</v>
      </c>
      <c r="G6" s="57">
        <f t="shared" si="0"/>
        <v>4785.29021189453</v>
      </c>
      <c r="H6" s="56">
        <v>0</v>
      </c>
      <c r="I6" s="56">
        <f>'2nd IA ICTRs'!D12+'2nd IA ICTRs'!D17</f>
        <v>898</v>
      </c>
      <c r="J6" s="212">
        <f t="shared" si="1"/>
        <v>3887.2902118945303</v>
      </c>
      <c r="K6" s="134"/>
      <c r="N6" s="9" t="s">
        <v>24</v>
      </c>
      <c r="O6" s="9"/>
      <c r="P6" s="9"/>
      <c r="Q6" s="9"/>
      <c r="R6" s="9"/>
    </row>
    <row r="7" spans="1:18" ht="12.75">
      <c r="A7" s="211" t="s">
        <v>5</v>
      </c>
      <c r="B7" s="137">
        <f>'2nd IA Load Pricing Results'!B18</f>
        <v>15259.172146894954</v>
      </c>
      <c r="C7" s="75">
        <f>'BRA Resource Clearing Results'!E22-'1stIA Resource Clearing Results'!M24-'2ndIA Resource Clearing Results'!M24</f>
        <v>11216.4</v>
      </c>
      <c r="D7" s="56">
        <f>'2nd IA Load Pricing Results'!H43+'2nd IA Load Pricing Results'!H55</f>
        <v>230.3810233796183</v>
      </c>
      <c r="E7" s="607">
        <f>B7-C7-D7</f>
        <v>3812.3911235153364</v>
      </c>
      <c r="F7" s="336">
        <v>0</v>
      </c>
      <c r="G7" s="57">
        <f t="shared" si="0"/>
        <v>3812.3911235153364</v>
      </c>
      <c r="H7" s="56">
        <v>0</v>
      </c>
      <c r="I7" s="56">
        <f>'2nd IA ICTRs'!E12+'2nd IA ICTRs'!E17</f>
        <v>237</v>
      </c>
      <c r="J7" s="212">
        <f t="shared" si="1"/>
        <v>3575.3911235153364</v>
      </c>
      <c r="K7" s="134"/>
      <c r="N7" s="9"/>
      <c r="O7" s="9"/>
      <c r="P7" s="9"/>
      <c r="Q7" s="9"/>
      <c r="R7" s="9"/>
    </row>
    <row r="8" spans="1:18" ht="12.75">
      <c r="A8" s="211" t="s">
        <v>48</v>
      </c>
      <c r="B8" s="137">
        <f>'2nd IA Load Pricing Results'!K57</f>
        <v>11451.396087696377</v>
      </c>
      <c r="C8" s="75">
        <f>'2nd IA Load Pricing Results'!C27</f>
        <v>6198.6</v>
      </c>
      <c r="D8" s="56">
        <f>'2nd IA Load Pricing Results'!H57</f>
        <v>173.34176943668047</v>
      </c>
      <c r="E8" s="608">
        <f>B8-C8-D8-2.09897307829806</f>
        <v>5077.355345181398</v>
      </c>
      <c r="F8" s="336">
        <v>0</v>
      </c>
      <c r="G8" s="57">
        <f t="shared" si="0"/>
        <v>5077.355345181398</v>
      </c>
      <c r="H8" s="56">
        <v>0</v>
      </c>
      <c r="I8" s="56">
        <f>('2nd IA ICTRs'!C95+'2nd IA ICTRs'!C96)/L16</f>
        <v>499.4549200700635</v>
      </c>
      <c r="J8" s="212">
        <f t="shared" si="1"/>
        <v>4577.900425111335</v>
      </c>
      <c r="K8" s="134"/>
      <c r="N8" s="9"/>
      <c r="O8" s="9"/>
      <c r="P8" s="9"/>
      <c r="Q8" s="9"/>
      <c r="R8" s="9"/>
    </row>
    <row r="9" spans="1:18" ht="12.75">
      <c r="A9" s="211" t="s">
        <v>46</v>
      </c>
      <c r="B9" s="137">
        <f>'2nd IA Load Pricing Results'!K49</f>
        <v>4657.856988224499</v>
      </c>
      <c r="C9" s="75">
        <f>'2nd IA Load Pricing Results'!C30</f>
        <v>4830.5</v>
      </c>
      <c r="D9" s="56">
        <f>'2nd IA Load Pricing Results'!H49</f>
        <v>68.87882385540547</v>
      </c>
      <c r="E9" s="607">
        <f>MAX(0,B9-C9-D9)</f>
        <v>0</v>
      </c>
      <c r="F9" s="336">
        <v>0</v>
      </c>
      <c r="G9" s="411">
        <f t="shared" si="0"/>
        <v>0</v>
      </c>
      <c r="H9" s="56">
        <f>'1st IA ICTRs'!H21</f>
        <v>0</v>
      </c>
      <c r="I9" s="56">
        <v>0</v>
      </c>
      <c r="J9" s="478">
        <f t="shared" si="1"/>
        <v>0</v>
      </c>
      <c r="K9" s="134"/>
      <c r="N9" s="9"/>
      <c r="O9" s="9"/>
      <c r="P9" s="9"/>
      <c r="Q9" s="9"/>
      <c r="R9" s="9"/>
    </row>
    <row r="10" spans="1:18" ht="12.75">
      <c r="A10" s="211" t="s">
        <v>15</v>
      </c>
      <c r="B10" s="137">
        <f>'2nd IA Load Pricing Results'!B19</f>
        <v>7340.751190763261</v>
      </c>
      <c r="C10" s="75">
        <f>'BRA Resource Clearing Results'!E26-'1stIA Resource Clearing Results'!M28-'2ndIA Resource Clearing Results'!M28</f>
        <v>5395.2</v>
      </c>
      <c r="D10" s="56">
        <f>'2nd IA Load Pricing Results'!H55</f>
        <v>111.20038039334217</v>
      </c>
      <c r="E10" s="607">
        <f>B10-C10-D10</f>
        <v>1834.3508103699187</v>
      </c>
      <c r="F10" s="336">
        <v>0</v>
      </c>
      <c r="G10" s="56">
        <f t="shared" si="0"/>
        <v>1834.3508103699187</v>
      </c>
      <c r="H10" s="56">
        <v>0</v>
      </c>
      <c r="I10" s="56">
        <v>0</v>
      </c>
      <c r="J10" s="212">
        <f t="shared" si="1"/>
        <v>1834.3508103699187</v>
      </c>
      <c r="K10" s="134"/>
      <c r="N10" s="9"/>
      <c r="O10" s="9"/>
      <c r="P10" s="9"/>
      <c r="Q10" s="9"/>
      <c r="R10" s="9"/>
    </row>
    <row r="11" spans="1:18" ht="13.5" thickBot="1">
      <c r="A11" s="213" t="s">
        <v>51</v>
      </c>
      <c r="B11" s="214">
        <f>'2nd IA Load Pricing Results'!K42</f>
        <v>14631.568800027202</v>
      </c>
      <c r="C11" s="209">
        <f>'2nd IA Load Pricing Results'!C33</f>
        <v>8465</v>
      </c>
      <c r="D11" s="108">
        <f>'2nd IA Load Pricing Results'!H42</f>
        <v>217.41309666610064</v>
      </c>
      <c r="E11" s="609">
        <f>B11-C11-D11-51.1166412674935</f>
        <v>5898.039062093608</v>
      </c>
      <c r="F11" s="337">
        <v>0</v>
      </c>
      <c r="G11" s="108">
        <f t="shared" si="0"/>
        <v>5898.039062093608</v>
      </c>
      <c r="H11" s="108">
        <v>0</v>
      </c>
      <c r="I11" s="108">
        <v>0</v>
      </c>
      <c r="J11" s="215">
        <f t="shared" si="1"/>
        <v>5898.039062093608</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4.25" thickBot="1">
      <c r="A14" s="704" t="s">
        <v>116</v>
      </c>
      <c r="B14" s="705"/>
      <c r="C14" s="705"/>
      <c r="D14" s="706"/>
      <c r="E14" s="54"/>
      <c r="F14" s="22"/>
      <c r="G14" s="22"/>
      <c r="H14" s="22"/>
      <c r="I14" s="22"/>
      <c r="J14" s="22"/>
      <c r="K14" s="22"/>
      <c r="L14" s="22"/>
      <c r="M14" s="22"/>
      <c r="N14" s="22"/>
      <c r="O14" s="22"/>
      <c r="P14" s="22"/>
      <c r="Q14" s="22"/>
      <c r="R14" s="22"/>
      <c r="S14" s="22"/>
    </row>
    <row r="15" spans="1:21" ht="13.5">
      <c r="A15" s="707"/>
      <c r="B15" s="708"/>
      <c r="C15" s="708"/>
      <c r="D15" s="709"/>
      <c r="E15" s="639" t="s">
        <v>30</v>
      </c>
      <c r="F15" s="700"/>
      <c r="G15" s="700" t="s">
        <v>41</v>
      </c>
      <c r="H15" s="700"/>
      <c r="I15" s="700" t="s">
        <v>5</v>
      </c>
      <c r="J15" s="700"/>
      <c r="K15" s="700" t="s">
        <v>48</v>
      </c>
      <c r="L15" s="700"/>
      <c r="M15" s="700" t="s">
        <v>46</v>
      </c>
      <c r="N15" s="700"/>
      <c r="O15" s="700" t="s">
        <v>15</v>
      </c>
      <c r="P15" s="640"/>
      <c r="Q15" s="700" t="s">
        <v>51</v>
      </c>
      <c r="R15" s="640"/>
      <c r="S15" s="22"/>
      <c r="T15" s="22"/>
      <c r="U15" s="22"/>
    </row>
    <row r="16" spans="1:21" ht="42" thickBot="1">
      <c r="A16" s="707"/>
      <c r="B16" s="708"/>
      <c r="C16" s="708"/>
      <c r="D16" s="709"/>
      <c r="E16" s="480" t="s">
        <v>269</v>
      </c>
      <c r="F16" s="481">
        <f>'2nd IA Load Pricing Results'!D16</f>
        <v>60.56453565478667</v>
      </c>
      <c r="G16" s="482" t="s">
        <v>269</v>
      </c>
      <c r="H16" s="481">
        <f>'2nd IA Load Pricing Results'!D17-'2nd IA Load Pricing Results'!D16</f>
        <v>0</v>
      </c>
      <c r="I16" s="482" t="s">
        <v>269</v>
      </c>
      <c r="J16" s="483">
        <f>'2nd IA Load Pricing Results'!D18-'2nd IA Load Pricing Results'!D16</f>
        <v>0</v>
      </c>
      <c r="K16" s="482" t="s">
        <v>269</v>
      </c>
      <c r="L16" s="481">
        <f>'2nd IA Load Pricing Results'!D27</f>
        <v>99.91886135579004</v>
      </c>
      <c r="M16" s="482" t="s">
        <v>269</v>
      </c>
      <c r="N16" s="481">
        <f>'2nd IA Load Pricing Results'!D30</f>
        <v>0</v>
      </c>
      <c r="O16" s="482" t="s">
        <v>269</v>
      </c>
      <c r="P16" s="484">
        <f>'2nd IA Load Pricing Results'!D19-'2nd IA Load Pricing Results'!D18</f>
        <v>0</v>
      </c>
      <c r="Q16" s="482" t="s">
        <v>269</v>
      </c>
      <c r="R16" s="484">
        <f>'2nd IA Load Pricing Results'!D33</f>
        <v>34.38230596574127</v>
      </c>
      <c r="S16" s="22"/>
      <c r="T16" s="22"/>
      <c r="U16" s="22"/>
    </row>
    <row r="17" spans="1:22" ht="67.5">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2" ht="12.75">
      <c r="A18" s="127" t="s">
        <v>16</v>
      </c>
      <c r="B18" s="80" t="s">
        <v>30</v>
      </c>
      <c r="C18" s="80" t="s">
        <v>41</v>
      </c>
      <c r="D18" s="80"/>
      <c r="E18" s="58">
        <f>IF(B18="MAAC",$J$5*'2nd IA Load Pricing Results'!K39/'2nd IA Load Pricing Results'!$B$16,0)</f>
        <v>0</v>
      </c>
      <c r="F18" s="485">
        <f>E18*$F$16</f>
        <v>0</v>
      </c>
      <c r="G18" s="58">
        <f>IF(C18="EMAAC",$J$6*'2nd IA Load Pricing Results'!K39/'2nd IA Load Pricing Results'!$B$17,0)</f>
        <v>318.6257350909912</v>
      </c>
      <c r="H18" s="485">
        <f>G18*$H$16</f>
        <v>0</v>
      </c>
      <c r="I18" s="58">
        <f>IF(C18="SWMAAC",$J$7*'2nd IA Load Pricing Results'!K39/'2nd IA Load Pricing Results'!$B$18,0)</f>
        <v>0</v>
      </c>
      <c r="J18" s="485">
        <f>I18*$J$16</f>
        <v>0</v>
      </c>
      <c r="K18" s="58">
        <f>IF(D18="PS",$J$8*'2nd IA Load Pricing Results'!K39/'2nd IA Load Pricing Results'!$K$57,0)</f>
        <v>0</v>
      </c>
      <c r="L18" s="485">
        <f>K18*$L$16</f>
        <v>0</v>
      </c>
      <c r="M18" s="58">
        <f>IF(D18="DPL",$J$9*'2nd IA Load Pricing Results'!K39/'2nd IA Load Pricing Results'!$K$49,0)</f>
        <v>0</v>
      </c>
      <c r="N18" s="485">
        <f>M18*$N$16</f>
        <v>0</v>
      </c>
      <c r="O18" s="58">
        <f>IF(D18="PEPCO",$J$10*'2nd IA Load Pricing Results'!K39/'2nd IA Load Pricing Results'!$K$55,0)</f>
        <v>0</v>
      </c>
      <c r="P18" s="485">
        <f>O18*$P$16</f>
        <v>0</v>
      </c>
      <c r="Q18" s="58">
        <f>IF(D18="ATSI",$J$11*'2nd IA Load Pricing Results'!K39/'2nd IA Load Pricing Results'!$K$42,0)</f>
        <v>0</v>
      </c>
      <c r="R18" s="485">
        <f>Q18*$R$16</f>
        <v>0</v>
      </c>
      <c r="S18" s="56">
        <f>MAX(E18,G18,I18,K18,M18,O18,Q18)</f>
        <v>318.6257350909912</v>
      </c>
      <c r="T18" s="59">
        <f>F18+H18+J18+L18+N18+P18+R18</f>
        <v>0</v>
      </c>
      <c r="U18" s="59">
        <f>T18/'2nd IA Load Pricing Results'!K39</f>
        <v>0</v>
      </c>
      <c r="V18" s="228">
        <f>IF(S18=0,0,T18/S18)</f>
        <v>0</v>
      </c>
    </row>
    <row r="19" spans="1:22" ht="12.75">
      <c r="A19" s="127" t="s">
        <v>32</v>
      </c>
      <c r="B19" s="80"/>
      <c r="C19" s="80"/>
      <c r="D19" s="80"/>
      <c r="E19" s="58">
        <f>IF(B19="MAAC",$J$5*'2nd IA Load Pricing Results'!K40/'2nd IA Load Pricing Results'!$B$16,0)</f>
        <v>0</v>
      </c>
      <c r="F19" s="485">
        <f>E19*$F$16</f>
        <v>0</v>
      </c>
      <c r="G19" s="58">
        <f>IF(C19="EMAAC",$J$6*'2nd IA Load Pricing Results'!K40/'2nd IA Load Pricing Results'!$B$17,0)</f>
        <v>0</v>
      </c>
      <c r="H19" s="485">
        <f>G19*$H$16</f>
        <v>0</v>
      </c>
      <c r="I19" s="58">
        <f>IF(C19="SWMAAC",$J$7*'2nd IA Load Pricing Results'!K40/'2nd IA Load Pricing Results'!$B$18,0)</f>
        <v>0</v>
      </c>
      <c r="J19" s="485">
        <f>I19*$J$16</f>
        <v>0</v>
      </c>
      <c r="K19" s="58">
        <f>IF(D19="PS",$J$8*'2nd IA Load Pricing Results'!K40/'2nd IA Load Pricing Results'!$K$57,0)</f>
        <v>0</v>
      </c>
      <c r="L19" s="485">
        <f>K19*$L$16</f>
        <v>0</v>
      </c>
      <c r="M19" s="58">
        <f>IF(D19="DPL",$J$9*'2nd IA Load Pricing Results'!K40/'2nd IA Load Pricing Results'!$K$49,0)</f>
        <v>0</v>
      </c>
      <c r="N19" s="485">
        <f aca="true" t="shared" si="2" ref="N19:N37">M19*$N$16</f>
        <v>0</v>
      </c>
      <c r="O19" s="58">
        <f>IF(D19="PEPCO",$J$10*'2nd IA Load Pricing Results'!K40/'2nd IA Load Pricing Results'!$K$55,0)</f>
        <v>0</v>
      </c>
      <c r="P19" s="485">
        <f>O19*$P$16</f>
        <v>0</v>
      </c>
      <c r="Q19" s="58">
        <f>IF(D19="ATSI",$J$11*'2nd IA Load Pricing Results'!K40/'2nd IA Load Pricing Results'!$K$42,0)</f>
        <v>0</v>
      </c>
      <c r="R19" s="485">
        <f>Q19*$R$16</f>
        <v>0</v>
      </c>
      <c r="S19" s="56">
        <f aca="true" t="shared" si="3" ref="S19:S37">MAX(E19,G19,I19,K19,M19,O19,Q19)</f>
        <v>0</v>
      </c>
      <c r="T19" s="59">
        <f aca="true" t="shared" si="4" ref="T19:T37">F19+H19+J19+L19+N19+P19+R19</f>
        <v>0</v>
      </c>
      <c r="U19" s="59">
        <f>T19/'2nd IA Load Pricing Results'!K40</f>
        <v>0</v>
      </c>
      <c r="V19" s="228">
        <f aca="true" t="shared" si="5" ref="V19:V36">IF(S19=0,0,T19/S19)</f>
        <v>0</v>
      </c>
    </row>
    <row r="20" spans="1:22" ht="12.75">
      <c r="A20" s="127" t="s">
        <v>19</v>
      </c>
      <c r="B20" s="80" t="s">
        <v>24</v>
      </c>
      <c r="C20" s="80"/>
      <c r="D20" s="80"/>
      <c r="E20" s="58">
        <f>IF(B20="MAAC",$J$5*'2nd IA Load Pricing Results'!K41/'2nd IA Load Pricing Results'!$B$16,0)</f>
        <v>0</v>
      </c>
      <c r="F20" s="485">
        <f>E20*$F$16</f>
        <v>0</v>
      </c>
      <c r="G20" s="58">
        <f>IF(C20="EMAAC",$J$6*'2nd IA Load Pricing Results'!K41/'2nd IA Load Pricing Results'!$B$17,0)</f>
        <v>0</v>
      </c>
      <c r="H20" s="485">
        <f>G20*$H$16</f>
        <v>0</v>
      </c>
      <c r="I20" s="58">
        <f>IF(C20="SWMAAC",$J$7*'2nd IA Load Pricing Results'!K41/'2nd IA Load Pricing Results'!$B$18,0)</f>
        <v>0</v>
      </c>
      <c r="J20" s="485">
        <f>I20*$J$16</f>
        <v>0</v>
      </c>
      <c r="K20" s="58">
        <f>IF(D20="PS",$J$8*'2nd IA Load Pricing Results'!K41/'2nd IA Load Pricing Results'!$K$57,0)</f>
        <v>0</v>
      </c>
      <c r="L20" s="485">
        <f>K20*$L$16</f>
        <v>0</v>
      </c>
      <c r="M20" s="58">
        <f>IF(D20="DPL",$J$9*'2nd IA Load Pricing Results'!K41/'2nd IA Load Pricing Results'!$K$49,0)</f>
        <v>0</v>
      </c>
      <c r="N20" s="485">
        <f t="shared" si="2"/>
        <v>0</v>
      </c>
      <c r="O20" s="58">
        <f>IF(D20="PEPCO",$J$10*'2nd IA Load Pricing Results'!K41/'2nd IA Load Pricing Results'!$K$55,0)</f>
        <v>0</v>
      </c>
      <c r="P20" s="485">
        <f aca="true" t="shared" si="6" ref="P20:P33">O20*$P$16</f>
        <v>0</v>
      </c>
      <c r="Q20" s="58">
        <f>IF(D20="ATSI",$J$11*'2nd IA Load Pricing Results'!K41/'2nd IA Load Pricing Results'!$K$42,0)</f>
        <v>0</v>
      </c>
      <c r="R20" s="485">
        <f aca="true" t="shared" si="7" ref="R20:R37">Q20*$R$16</f>
        <v>0</v>
      </c>
      <c r="S20" s="56">
        <f t="shared" si="3"/>
        <v>0</v>
      </c>
      <c r="T20" s="59">
        <f t="shared" si="4"/>
        <v>0</v>
      </c>
      <c r="U20" s="59">
        <f>T20/'2nd IA Load Pricing Results'!K41</f>
        <v>0</v>
      </c>
      <c r="V20" s="228">
        <f t="shared" si="5"/>
        <v>0</v>
      </c>
    </row>
    <row r="21" spans="1:22" ht="12.75">
      <c r="A21" s="127" t="s">
        <v>51</v>
      </c>
      <c r="B21" s="80"/>
      <c r="C21" s="80"/>
      <c r="D21" s="80" t="s">
        <v>51</v>
      </c>
      <c r="E21" s="58">
        <f>IF(B21="MAAC",$J$5*'2nd IA Load Pricing Results'!K42/'2nd IA Load Pricing Results'!$B$16,0)</f>
        <v>0</v>
      </c>
      <c r="F21" s="485">
        <f>E21*$F$16</f>
        <v>0</v>
      </c>
      <c r="G21" s="58">
        <f>IF(C21="EMAAC",$J$6*'2nd IA Load Pricing Results'!K42/'2nd IA Load Pricing Results'!$B$17,0)</f>
        <v>0</v>
      </c>
      <c r="H21" s="485">
        <f>G21*$H$16</f>
        <v>0</v>
      </c>
      <c r="I21" s="58">
        <f>IF(C21="SWMAAC",$J$7*'2nd IA Load Pricing Results'!K42/'2nd IA Load Pricing Results'!$B$18,0)</f>
        <v>0</v>
      </c>
      <c r="J21" s="485">
        <f>I21*$J$16</f>
        <v>0</v>
      </c>
      <c r="K21" s="58">
        <f>IF(D21="PS",$J$8*'2nd IA Load Pricing Results'!K42/'2nd IA Load Pricing Results'!$K$57,0)</f>
        <v>0</v>
      </c>
      <c r="L21" s="485">
        <f aca="true" t="shared" si="8" ref="L21:L35">K21*$L$16</f>
        <v>0</v>
      </c>
      <c r="M21" s="58">
        <f>IF(D21="DPL",$J$9*'2nd IA Load Pricing Results'!K42/'2nd IA Load Pricing Results'!$K$49,0)</f>
        <v>0</v>
      </c>
      <c r="N21" s="485">
        <f t="shared" si="2"/>
        <v>0</v>
      </c>
      <c r="O21" s="58">
        <f>IF(D21="PEPCO",$J$10*'2nd IA Load Pricing Results'!K42/'2nd IA Load Pricing Results'!$K$55,0)</f>
        <v>0</v>
      </c>
      <c r="P21" s="485">
        <f t="shared" si="6"/>
        <v>0</v>
      </c>
      <c r="Q21" s="58">
        <f>IF(D21="ATSI",$J$11*'2nd IA Load Pricing Results'!K42/'2nd IA Load Pricing Results'!$K$42,0)</f>
        <v>5898.039062093608</v>
      </c>
      <c r="R21" s="485">
        <f>Q21*$R$16</f>
        <v>202788.1836307961</v>
      </c>
      <c r="S21" s="56">
        <f>MAX(E21,G21,I21,K21,M21,O21,Q21)</f>
        <v>5898.039062093608</v>
      </c>
      <c r="T21" s="59">
        <f>F21+H21+J21+L21+N21+P21+R21</f>
        <v>202788.1836307961</v>
      </c>
      <c r="U21" s="59">
        <f>T21/'2nd IA Load Pricing Results'!K42</f>
        <v>13.859633673076743</v>
      </c>
      <c r="V21" s="228">
        <f>IF(S21=0,0,T21/S21)</f>
        <v>34.38230596574127</v>
      </c>
    </row>
    <row r="22" spans="1:22" ht="12.75">
      <c r="A22" s="127" t="s">
        <v>11</v>
      </c>
      <c r="B22" s="80" t="s">
        <v>30</v>
      </c>
      <c r="C22" s="80" t="s">
        <v>5</v>
      </c>
      <c r="D22" s="80"/>
      <c r="E22" s="58">
        <f>IF(B22="MAAC",$J$5*'2nd IA Load Pricing Results'!K43/'2nd IA Load Pricing Results'!$B$16,0)</f>
        <v>0</v>
      </c>
      <c r="F22" s="485">
        <f aca="true" t="shared" si="9" ref="F22:F37">E22*$F$16</f>
        <v>0</v>
      </c>
      <c r="G22" s="58">
        <f>IF(C22="EMAAC",$J$6*'2nd IA Load Pricing Results'!K43/'2nd IA Load Pricing Results'!$B$17,0)</f>
        <v>0</v>
      </c>
      <c r="H22" s="485">
        <f aca="true" t="shared" si="10" ref="H22:H35">G22*$H$16</f>
        <v>0</v>
      </c>
      <c r="I22" s="58">
        <f>IF(C22="SWMAAC",$J$7*'2nd IA Load Pricing Results'!K43/'2nd IA Load Pricing Results'!$B$18,0)</f>
        <v>1855.3727375421277</v>
      </c>
      <c r="J22" s="485">
        <f>I22*$J$16</f>
        <v>0</v>
      </c>
      <c r="K22" s="58">
        <f>IF(D22="PS",$J$8*'2nd IA Load Pricing Results'!K43/'2nd IA Load Pricing Results'!$K$57,0)</f>
        <v>0</v>
      </c>
      <c r="L22" s="485">
        <f t="shared" si="8"/>
        <v>0</v>
      </c>
      <c r="M22" s="58">
        <f>IF(D22="DPL",$J$9*'2nd IA Load Pricing Results'!K43/'2nd IA Load Pricing Results'!$K$49,0)</f>
        <v>0</v>
      </c>
      <c r="N22" s="485">
        <f t="shared" si="2"/>
        <v>0</v>
      </c>
      <c r="O22" s="58">
        <f>IF(D22="PEPCO",$J$10*'2nd IA Load Pricing Results'!K43/'2nd IA Load Pricing Results'!$K$55,0)</f>
        <v>0</v>
      </c>
      <c r="P22" s="485">
        <f>O22*$P$16</f>
        <v>0</v>
      </c>
      <c r="Q22" s="58">
        <f>IF(D22="ATSI",$J$11*'2nd IA Load Pricing Results'!K43/'2nd IA Load Pricing Results'!$K$42,0)</f>
        <v>0</v>
      </c>
      <c r="R22" s="485">
        <f t="shared" si="7"/>
        <v>0</v>
      </c>
      <c r="S22" s="56">
        <f>MAX(E22,G22,I22,K22,M22,O22,Q22)</f>
        <v>1855.3727375421277</v>
      </c>
      <c r="T22" s="59">
        <f t="shared" si="4"/>
        <v>0</v>
      </c>
      <c r="U22" s="59">
        <f>T22/'2nd IA Load Pricing Results'!K43</f>
        <v>0</v>
      </c>
      <c r="V22" s="486">
        <f t="shared" si="5"/>
        <v>0</v>
      </c>
    </row>
    <row r="23" spans="1:22" ht="12.75">
      <c r="A23" s="127" t="s">
        <v>20</v>
      </c>
      <c r="B23" s="80"/>
      <c r="C23" s="80"/>
      <c r="D23" s="80"/>
      <c r="E23" s="58">
        <f>IF(B23="MAAC",$J$5*'2nd IA Load Pricing Results'!K44/'2nd IA Load Pricing Results'!$B$16,0)</f>
        <v>0</v>
      </c>
      <c r="F23" s="485">
        <f t="shared" si="9"/>
        <v>0</v>
      </c>
      <c r="G23" s="58">
        <f>IF(C23="EMAAC",$J$6*'2nd IA Load Pricing Results'!K44/'2nd IA Load Pricing Results'!$B$17,0)</f>
        <v>0</v>
      </c>
      <c r="H23" s="485">
        <f t="shared" si="10"/>
        <v>0</v>
      </c>
      <c r="I23" s="58">
        <f>IF(C23="SWMAAC",$J$7*'2nd IA Load Pricing Results'!K44/'2nd IA Load Pricing Results'!$B$18,0)</f>
        <v>0</v>
      </c>
      <c r="J23" s="485">
        <f aca="true" t="shared" si="11" ref="J23:J36">I23*$J$16</f>
        <v>0</v>
      </c>
      <c r="K23" s="58">
        <f>IF(D23="PS",$J$8*'2nd IA Load Pricing Results'!K44/'2nd IA Load Pricing Results'!$K$57,0)</f>
        <v>0</v>
      </c>
      <c r="L23" s="485">
        <f t="shared" si="8"/>
        <v>0</v>
      </c>
      <c r="M23" s="58">
        <f>IF(D23="DPL",$J$9*'2nd IA Load Pricing Results'!K44/'2nd IA Load Pricing Results'!$K$49,0)</f>
        <v>0</v>
      </c>
      <c r="N23" s="485">
        <f t="shared" si="2"/>
        <v>0</v>
      </c>
      <c r="O23" s="58">
        <f>IF(D23="PEPCO",$J$10*'2nd IA Load Pricing Results'!K44/'2nd IA Load Pricing Results'!$K$55,0)</f>
        <v>0</v>
      </c>
      <c r="P23" s="485">
        <f t="shared" si="6"/>
        <v>0</v>
      </c>
      <c r="Q23" s="58">
        <f>IF(D23="ATSI",$J$11*'2nd IA Load Pricing Results'!K44/'2nd IA Load Pricing Results'!$K$42,0)</f>
        <v>0</v>
      </c>
      <c r="R23" s="485">
        <f t="shared" si="7"/>
        <v>0</v>
      </c>
      <c r="S23" s="56">
        <f t="shared" si="3"/>
        <v>0</v>
      </c>
      <c r="T23" s="59">
        <f t="shared" si="4"/>
        <v>0</v>
      </c>
      <c r="U23" s="59">
        <f>T23/'2nd IA Load Pricing Results'!K44</f>
        <v>0</v>
      </c>
      <c r="V23" s="228">
        <f t="shared" si="5"/>
        <v>0</v>
      </c>
    </row>
    <row r="24" spans="1:22" ht="12.75">
      <c r="A24" s="127" t="s">
        <v>21</v>
      </c>
      <c r="B24" s="80"/>
      <c r="C24" s="80"/>
      <c r="D24" s="80"/>
      <c r="E24" s="58">
        <f>IF(B24="MAAC",$J$5*'2nd IA Load Pricing Results'!K45/'2nd IA Load Pricing Results'!$B$16,0)</f>
        <v>0</v>
      </c>
      <c r="F24" s="485">
        <f t="shared" si="9"/>
        <v>0</v>
      </c>
      <c r="G24" s="58">
        <f>IF(C24="EMAAC",$J$6*'2nd IA Load Pricing Results'!K45/'2nd IA Load Pricing Results'!$B$17,0)</f>
        <v>0</v>
      </c>
      <c r="H24" s="485">
        <f>G24*$H$16</f>
        <v>0</v>
      </c>
      <c r="I24" s="58">
        <f>IF(C24="SWMAAC",$J$7*'2nd IA Load Pricing Results'!K45/'2nd IA Load Pricing Results'!$B$18,0)</f>
        <v>0</v>
      </c>
      <c r="J24" s="485">
        <f>I24*$J$16</f>
        <v>0</v>
      </c>
      <c r="K24" s="58">
        <f>IF(D24="PS",$J$8*'2nd IA Load Pricing Results'!K45/'2nd IA Load Pricing Results'!$K$57,0)</f>
        <v>0</v>
      </c>
      <c r="L24" s="485">
        <f t="shared" si="8"/>
        <v>0</v>
      </c>
      <c r="M24" s="58">
        <f>IF(D24="DPL",$J$9*'2nd IA Load Pricing Results'!K45/'2nd IA Load Pricing Results'!$K$49,0)</f>
        <v>0</v>
      </c>
      <c r="N24" s="485">
        <f t="shared" si="2"/>
        <v>0</v>
      </c>
      <c r="O24" s="58">
        <f>IF(D24="PEPCO",$J$10*'2nd IA Load Pricing Results'!K45/'2nd IA Load Pricing Results'!$K$55,0)</f>
        <v>0</v>
      </c>
      <c r="P24" s="485">
        <f t="shared" si="6"/>
        <v>0</v>
      </c>
      <c r="Q24" s="58">
        <f>IF(D24="ATSI",$J$11*'2nd IA Load Pricing Results'!K45/'2nd IA Load Pricing Results'!$K$42,0)</f>
        <v>0</v>
      </c>
      <c r="R24" s="485">
        <f t="shared" si="7"/>
        <v>0</v>
      </c>
      <c r="S24" s="56">
        <f t="shared" si="3"/>
        <v>0</v>
      </c>
      <c r="T24" s="59">
        <f t="shared" si="4"/>
        <v>0</v>
      </c>
      <c r="U24" s="59">
        <f>T24/'2nd IA Load Pricing Results'!K45</f>
        <v>0</v>
      </c>
      <c r="V24" s="228">
        <f t="shared" si="5"/>
        <v>0</v>
      </c>
    </row>
    <row r="25" spans="1:22" ht="12.75">
      <c r="A25" s="127" t="s">
        <v>65</v>
      </c>
      <c r="B25" s="80"/>
      <c r="C25" s="80"/>
      <c r="D25" s="80"/>
      <c r="E25" s="58">
        <f>IF(B25="MAAC",$J$5*'2nd IA Load Pricing Results'!K46/'2nd IA Load Pricing Results'!$B$16,0)</f>
        <v>0</v>
      </c>
      <c r="F25" s="485">
        <f>E25*$F$16</f>
        <v>0</v>
      </c>
      <c r="G25" s="58">
        <f>IF(C25="EMAAC",$J$6*'2nd IA Load Pricing Results'!K46/'2nd IA Load Pricing Results'!$B$17,0)</f>
        <v>0</v>
      </c>
      <c r="H25" s="485">
        <f>G25*$H$16</f>
        <v>0</v>
      </c>
      <c r="I25" s="58">
        <f>IF(C25="SWMAAC",$J$7*'2nd IA Load Pricing Results'!K46/'2nd IA Load Pricing Results'!$B$18,0)</f>
        <v>0</v>
      </c>
      <c r="J25" s="485">
        <f>I25*$J$16</f>
        <v>0</v>
      </c>
      <c r="K25" s="58">
        <f>IF(D25="PS",$J$8*'2nd IA Load Pricing Results'!K46/'2nd IA Load Pricing Results'!$K$57,0)</f>
        <v>0</v>
      </c>
      <c r="L25" s="485">
        <f t="shared" si="8"/>
        <v>0</v>
      </c>
      <c r="M25" s="58">
        <f>IF(D25="DPL",$J$9*'2nd IA Load Pricing Results'!K46/'2nd IA Load Pricing Results'!$K$49,0)</f>
        <v>0</v>
      </c>
      <c r="N25" s="485">
        <f t="shared" si="2"/>
        <v>0</v>
      </c>
      <c r="O25" s="58">
        <f>IF(D25="PEPCO",$J$10*'2nd IA Load Pricing Results'!K46/'2nd IA Load Pricing Results'!$K$55,0)</f>
        <v>0</v>
      </c>
      <c r="P25" s="485">
        <f t="shared" si="6"/>
        <v>0</v>
      </c>
      <c r="Q25" s="58">
        <f>IF(D25="ATSI",$J$11*'2nd IA Load Pricing Results'!K46/'2nd IA Load Pricing Results'!$K$42,0)</f>
        <v>0</v>
      </c>
      <c r="R25" s="485">
        <f t="shared" si="7"/>
        <v>0</v>
      </c>
      <c r="S25" s="56">
        <f t="shared" si="3"/>
        <v>0</v>
      </c>
      <c r="T25" s="59">
        <f t="shared" si="4"/>
        <v>0</v>
      </c>
      <c r="U25" s="59">
        <f>T25/'2nd IA Load Pricing Results'!K46</f>
        <v>0</v>
      </c>
      <c r="V25" s="228">
        <f>IF(S25=0,0,T25/S25)</f>
        <v>0</v>
      </c>
    </row>
    <row r="26" spans="1:22" ht="12.75">
      <c r="A26" s="127" t="s">
        <v>50</v>
      </c>
      <c r="B26" s="80"/>
      <c r="C26" s="80"/>
      <c r="D26" s="80"/>
      <c r="E26" s="58">
        <f>IF(B26="MAAC",$J$5*'2nd IA Load Pricing Results'!K47/'2nd IA Load Pricing Results'!$B$16,0)</f>
        <v>0</v>
      </c>
      <c r="F26" s="485">
        <f t="shared" si="9"/>
        <v>0</v>
      </c>
      <c r="G26" s="58">
        <f>IF(C26="EMAAC",$J$6*'2nd IA Load Pricing Results'!K47/'2nd IA Load Pricing Results'!$B$17,0)</f>
        <v>0</v>
      </c>
      <c r="H26" s="485">
        <f>G26*$H$16</f>
        <v>0</v>
      </c>
      <c r="I26" s="58">
        <f>IF(C26="SWMAAC",$J$7*'2nd IA Load Pricing Results'!K47/'2nd IA Load Pricing Results'!$B$18,0)</f>
        <v>0</v>
      </c>
      <c r="J26" s="485">
        <f>I26*$J$16</f>
        <v>0</v>
      </c>
      <c r="K26" s="58">
        <f>IF(D26="PS",$J$8*'2nd IA Load Pricing Results'!K47/'2nd IA Load Pricing Results'!$K$57,0)</f>
        <v>0</v>
      </c>
      <c r="L26" s="485">
        <f t="shared" si="8"/>
        <v>0</v>
      </c>
      <c r="M26" s="58">
        <f>IF(D26="DPL",$J$9*'2nd IA Load Pricing Results'!K47/'2nd IA Load Pricing Results'!$K$49,0)</f>
        <v>0</v>
      </c>
      <c r="N26" s="485">
        <f t="shared" si="2"/>
        <v>0</v>
      </c>
      <c r="O26" s="58">
        <f>IF(D26="PEPCO",$J$10*'2nd IA Load Pricing Results'!K47/'2nd IA Load Pricing Results'!$K$55,0)</f>
        <v>0</v>
      </c>
      <c r="P26" s="485">
        <f t="shared" si="6"/>
        <v>0</v>
      </c>
      <c r="Q26" s="58">
        <f>IF(D26="ATSI",$J$11*'2nd IA Load Pricing Results'!K47/'2nd IA Load Pricing Results'!$K$42,0)</f>
        <v>0</v>
      </c>
      <c r="R26" s="485">
        <f t="shared" si="7"/>
        <v>0</v>
      </c>
      <c r="S26" s="56">
        <f t="shared" si="3"/>
        <v>0</v>
      </c>
      <c r="T26" s="59">
        <f t="shared" si="4"/>
        <v>0</v>
      </c>
      <c r="U26" s="59">
        <f>T26/'2nd IA Load Pricing Results'!K47</f>
        <v>0</v>
      </c>
      <c r="V26" s="228">
        <f t="shared" si="5"/>
        <v>0</v>
      </c>
    </row>
    <row r="27" spans="1:22" ht="12.75">
      <c r="A27" s="127" t="s">
        <v>33</v>
      </c>
      <c r="B27" s="80"/>
      <c r="C27" s="80"/>
      <c r="D27" s="80"/>
      <c r="E27" s="58">
        <f>IF(B27="MAAC",$J$5*'2nd IA Load Pricing Results'!K48/'2nd IA Load Pricing Results'!$B$16,0)</f>
        <v>0</v>
      </c>
      <c r="F27" s="485">
        <f t="shared" si="9"/>
        <v>0</v>
      </c>
      <c r="G27" s="58">
        <f>IF(C27="EMAAC",$J$6*'2nd IA Load Pricing Results'!K48/'2nd IA Load Pricing Results'!$B$17,0)</f>
        <v>0</v>
      </c>
      <c r="H27" s="485">
        <f t="shared" si="10"/>
        <v>0</v>
      </c>
      <c r="I27" s="58">
        <f>IF(C27="SWMAAC",$J$7*'2nd IA Load Pricing Results'!K48/'2nd IA Load Pricing Results'!$B$18,0)</f>
        <v>0</v>
      </c>
      <c r="J27" s="485">
        <f>I27*$J$16</f>
        <v>0</v>
      </c>
      <c r="K27" s="58">
        <f>IF(D27="PS",$J$8*'2nd IA Load Pricing Results'!K48/'2nd IA Load Pricing Results'!$K$57,0)</f>
        <v>0</v>
      </c>
      <c r="L27" s="485">
        <f t="shared" si="8"/>
        <v>0</v>
      </c>
      <c r="M27" s="58">
        <f>IF(D27="DPL",$J$9*'2nd IA Load Pricing Results'!K48/'2nd IA Load Pricing Results'!$K$49,0)</f>
        <v>0</v>
      </c>
      <c r="N27" s="485">
        <f t="shared" si="2"/>
        <v>0</v>
      </c>
      <c r="O27" s="58">
        <f>IF(D27="PEPCO",$J$10*'2nd IA Load Pricing Results'!K48/'2nd IA Load Pricing Results'!$K$55,0)</f>
        <v>0</v>
      </c>
      <c r="P27" s="485">
        <f t="shared" si="6"/>
        <v>0</v>
      </c>
      <c r="Q27" s="58">
        <f>IF(D27="ATSI",$J$11*'2nd IA Load Pricing Results'!K48/'2nd IA Load Pricing Results'!$K$42,0)</f>
        <v>0</v>
      </c>
      <c r="R27" s="485">
        <f t="shared" si="7"/>
        <v>0</v>
      </c>
      <c r="S27" s="56">
        <f t="shared" si="3"/>
        <v>0</v>
      </c>
      <c r="T27" s="59">
        <f t="shared" si="4"/>
        <v>0</v>
      </c>
      <c r="U27" s="59">
        <f>T27/'2nd IA Load Pricing Results'!K48</f>
        <v>0</v>
      </c>
      <c r="V27" s="228">
        <f t="shared" si="5"/>
        <v>0</v>
      </c>
    </row>
    <row r="28" spans="1:22" ht="12.75">
      <c r="A28" s="127" t="s">
        <v>17</v>
      </c>
      <c r="B28" s="80" t="s">
        <v>30</v>
      </c>
      <c r="C28" s="80" t="s">
        <v>41</v>
      </c>
      <c r="D28" s="80" t="s">
        <v>17</v>
      </c>
      <c r="E28" s="58">
        <f>IF(B28="MAAC",$J$5*'2nd IA Load Pricing Results'!K49/'2nd IA Load Pricing Results'!$B$16,0)</f>
        <v>0</v>
      </c>
      <c r="F28" s="485">
        <f t="shared" si="9"/>
        <v>0</v>
      </c>
      <c r="G28" s="58">
        <f>IF(C28="EMAAC",$J$6*'2nd IA Load Pricing Results'!K49/'2nd IA Load Pricing Results'!$B$17,0)</f>
        <v>500.9691423882486</v>
      </c>
      <c r="H28" s="485">
        <f>G28*$H$16</f>
        <v>0</v>
      </c>
      <c r="I28" s="58">
        <f>IF(C28="SWMAAC",$J$7*'2nd IA Load Pricing Results'!K49/'2nd IA Load Pricing Results'!$B$18,0)</f>
        <v>0</v>
      </c>
      <c r="J28" s="485">
        <f t="shared" si="11"/>
        <v>0</v>
      </c>
      <c r="K28" s="58">
        <f>IF(D28="PS",$J$8*'2nd IA Load Pricing Results'!K49/'2nd IA Load Pricing Results'!$K$57,0)</f>
        <v>0</v>
      </c>
      <c r="L28" s="485">
        <f t="shared" si="8"/>
        <v>0</v>
      </c>
      <c r="M28" s="58">
        <f>IF(D28="DPL",$J$9*'2nd IA Load Pricing Results'!K49/'2nd IA Load Pricing Results'!$K$49,0)</f>
        <v>0</v>
      </c>
      <c r="N28" s="485">
        <f t="shared" si="2"/>
        <v>0</v>
      </c>
      <c r="O28" s="58">
        <f>IF(D28="PEPCO",$J$10*'2nd IA Load Pricing Results'!K49/'2nd IA Load Pricing Results'!$K$55,0)</f>
        <v>0</v>
      </c>
      <c r="P28" s="485">
        <f t="shared" si="6"/>
        <v>0</v>
      </c>
      <c r="Q28" s="58">
        <f>IF(D28="ATSI",$J$11*'2nd IA Load Pricing Results'!K49/'2nd IA Load Pricing Results'!$K$42,0)</f>
        <v>0</v>
      </c>
      <c r="R28" s="485">
        <f t="shared" si="7"/>
        <v>0</v>
      </c>
      <c r="S28" s="56">
        <f t="shared" si="3"/>
        <v>500.9691423882486</v>
      </c>
      <c r="T28" s="59">
        <f t="shared" si="4"/>
        <v>0</v>
      </c>
      <c r="U28" s="59">
        <f>T28/'2nd IA Load Pricing Results'!K49</f>
        <v>0</v>
      </c>
      <c r="V28" s="228">
        <f t="shared" si="5"/>
        <v>0</v>
      </c>
    </row>
    <row r="29" spans="1:22" ht="12.75">
      <c r="A29" s="127" t="s">
        <v>185</v>
      </c>
      <c r="B29" s="80"/>
      <c r="C29" s="80"/>
      <c r="D29" s="80"/>
      <c r="E29" s="58">
        <f>IF(B29="MAAC",$J$5*'2nd IA Load Pricing Results'!K50/'2nd IA Load Pricing Results'!$B$16,0)</f>
        <v>0</v>
      </c>
      <c r="F29" s="485">
        <f>E29*$F$16</f>
        <v>0</v>
      </c>
      <c r="G29" s="58">
        <f>IF(C29="EMAAC",$J$6*'2nd IA Load Pricing Results'!K50/'2nd IA Load Pricing Results'!$B$17,0)</f>
        <v>0</v>
      </c>
      <c r="H29" s="485">
        <f>G29*$H$16</f>
        <v>0</v>
      </c>
      <c r="I29" s="58">
        <f>IF(C29="SWMAAC",$J$7*'2nd IA Load Pricing Results'!K50/'2nd IA Load Pricing Results'!$B$18,0)</f>
        <v>0</v>
      </c>
      <c r="J29" s="485">
        <f>I29*$J$16</f>
        <v>0</v>
      </c>
      <c r="K29" s="58">
        <f>IF(D29="PS",$J$8*'2nd IA Load Pricing Results'!K50/'2nd IA Load Pricing Results'!$K$57,0)</f>
        <v>0</v>
      </c>
      <c r="L29" s="485">
        <f>K29*$L$16</f>
        <v>0</v>
      </c>
      <c r="M29" s="58">
        <f>IF(D29="DPL",$J$9*'2nd IA Load Pricing Results'!K50/'2nd IA Load Pricing Results'!$K$49,0)</f>
        <v>0</v>
      </c>
      <c r="N29" s="485">
        <f t="shared" si="2"/>
        <v>0</v>
      </c>
      <c r="O29" s="58">
        <f>IF(D29="PEPCO",$J$10*'2nd IA Load Pricing Results'!K50/'2nd IA Load Pricing Results'!$K$55,0)</f>
        <v>0</v>
      </c>
      <c r="P29" s="485">
        <f>O29*$P$16</f>
        <v>0</v>
      </c>
      <c r="Q29" s="58">
        <f>IF(D29="ATSI",$J$11*'2nd IA Load Pricing Results'!K50/'2nd IA Load Pricing Results'!$K$42,0)</f>
        <v>0</v>
      </c>
      <c r="R29" s="485">
        <f>Q29*$R$16</f>
        <v>0</v>
      </c>
      <c r="S29" s="56">
        <f>MAX(E29,G29,I29,K29,M29,O29,Q29)</f>
        <v>0</v>
      </c>
      <c r="T29" s="59">
        <f>F29+H29+J29+L29+N29+P29+R29</f>
        <v>0</v>
      </c>
      <c r="U29" s="59">
        <f>T29/'2nd IA Load Pricing Results'!K50</f>
        <v>0</v>
      </c>
      <c r="V29" s="228">
        <f>IF(S29=0,0,T29/S29)</f>
        <v>0</v>
      </c>
    </row>
    <row r="30" spans="1:22" ht="12.75">
      <c r="A30" s="127" t="s">
        <v>12</v>
      </c>
      <c r="B30" s="80" t="s">
        <v>30</v>
      </c>
      <c r="C30" s="80" t="s">
        <v>41</v>
      </c>
      <c r="D30" s="80"/>
      <c r="E30" s="58">
        <f>IF(B30="MAAC",$J$5*'2nd IA Load Pricing Results'!K51/'2nd IA Load Pricing Results'!$B$16,0)</f>
        <v>0</v>
      </c>
      <c r="F30" s="485">
        <f t="shared" si="9"/>
        <v>0</v>
      </c>
      <c r="G30" s="58">
        <f>IF(C30="EMAAC",$J$6*'2nd IA Load Pricing Results'!K51/'2nd IA Load Pricing Results'!$B$17,0)</f>
        <v>750.476848334489</v>
      </c>
      <c r="H30" s="485">
        <f>G30*$H$16</f>
        <v>0</v>
      </c>
      <c r="I30" s="58">
        <f>IF(C30="SWMAAC",$J$7*'2nd IA Load Pricing Results'!K51/'2nd IA Load Pricing Results'!$B$18,0)</f>
        <v>0</v>
      </c>
      <c r="J30" s="485">
        <f t="shared" si="11"/>
        <v>0</v>
      </c>
      <c r="K30" s="58">
        <f>IF(D30="PS",$J$8*'2nd IA Load Pricing Results'!K51/'2nd IA Load Pricing Results'!$K$57,0)</f>
        <v>0</v>
      </c>
      <c r="L30" s="485">
        <f t="shared" si="8"/>
        <v>0</v>
      </c>
      <c r="M30" s="58">
        <f>IF(D30="DPL",$J$9*'2nd IA Load Pricing Results'!K51/'2nd IA Load Pricing Results'!$K$49,0)</f>
        <v>0</v>
      </c>
      <c r="N30" s="485">
        <f t="shared" si="2"/>
        <v>0</v>
      </c>
      <c r="O30" s="58">
        <f>IF(D30="PEPCO",$J$10*'2nd IA Load Pricing Results'!K51/'2nd IA Load Pricing Results'!$K$55,0)</f>
        <v>0</v>
      </c>
      <c r="P30" s="485">
        <f t="shared" si="6"/>
        <v>0</v>
      </c>
      <c r="Q30" s="58">
        <f>IF(D30="ATSI",$J$11*'2nd IA Load Pricing Results'!K51/'2nd IA Load Pricing Results'!$K$42,0)</f>
        <v>0</v>
      </c>
      <c r="R30" s="485">
        <f t="shared" si="7"/>
        <v>0</v>
      </c>
      <c r="S30" s="56">
        <f t="shared" si="3"/>
        <v>750.476848334489</v>
      </c>
      <c r="T30" s="59">
        <f t="shared" si="4"/>
        <v>0</v>
      </c>
      <c r="U30" s="59">
        <f>T30/'2nd IA Load Pricing Results'!K51</f>
        <v>0</v>
      </c>
      <c r="V30" s="228">
        <f t="shared" si="5"/>
        <v>0</v>
      </c>
    </row>
    <row r="31" spans="1:22" ht="12.75">
      <c r="A31" s="127" t="s">
        <v>13</v>
      </c>
      <c r="B31" s="80" t="s">
        <v>30</v>
      </c>
      <c r="C31" s="80"/>
      <c r="D31" s="80"/>
      <c r="E31" s="58">
        <f>IF(B31="MAAC",$J$5*'2nd IA Load Pricing Results'!K52/'2nd IA Load Pricing Results'!$B$16,0)</f>
        <v>0</v>
      </c>
      <c r="F31" s="485">
        <f t="shared" si="9"/>
        <v>0</v>
      </c>
      <c r="G31" s="58">
        <f>IF(C31="EMAAC",$J$6*'2nd IA Load Pricing Results'!K52/'2nd IA Load Pricing Results'!$B$17,0)</f>
        <v>0</v>
      </c>
      <c r="H31" s="485">
        <f t="shared" si="10"/>
        <v>0</v>
      </c>
      <c r="I31" s="58">
        <f>IF(C31="SWMAAC",$J$7*'2nd IA Load Pricing Results'!K52/'2nd IA Load Pricing Results'!$B$18,0)</f>
        <v>0</v>
      </c>
      <c r="J31" s="485">
        <f t="shared" si="11"/>
        <v>0</v>
      </c>
      <c r="K31" s="58">
        <f>IF(D31="PS",$J$8*'2nd IA Load Pricing Results'!K52/'2nd IA Load Pricing Results'!$K$57,0)</f>
        <v>0</v>
      </c>
      <c r="L31" s="485">
        <f t="shared" si="8"/>
        <v>0</v>
      </c>
      <c r="M31" s="58">
        <f>IF(D31="DPL",$J$9*'2nd IA Load Pricing Results'!K52/'2nd IA Load Pricing Results'!$K$49,0)</f>
        <v>0</v>
      </c>
      <c r="N31" s="485">
        <f>M31*$N$16</f>
        <v>0</v>
      </c>
      <c r="O31" s="58">
        <f>IF(D31="PEPCO",$J$10*'2nd IA Load Pricing Results'!K52/'2nd IA Load Pricing Results'!$K$55,0)</f>
        <v>0</v>
      </c>
      <c r="P31" s="485">
        <f t="shared" si="6"/>
        <v>0</v>
      </c>
      <c r="Q31" s="58">
        <f>IF(D31="ATSI",$J$11*'2nd IA Load Pricing Results'!K52/'2nd IA Load Pricing Results'!$K$42,0)</f>
        <v>0</v>
      </c>
      <c r="R31" s="485">
        <f t="shared" si="7"/>
        <v>0</v>
      </c>
      <c r="S31" s="56">
        <f t="shared" si="3"/>
        <v>0</v>
      </c>
      <c r="T31" s="59">
        <f t="shared" si="4"/>
        <v>0</v>
      </c>
      <c r="U31" s="59">
        <f>T31/'2nd IA Load Pricing Results'!K52</f>
        <v>0</v>
      </c>
      <c r="V31" s="228">
        <f t="shared" si="5"/>
        <v>0</v>
      </c>
    </row>
    <row r="32" spans="1:22" ht="12.75">
      <c r="A32" s="127" t="s">
        <v>9</v>
      </c>
      <c r="B32" s="80" t="s">
        <v>30</v>
      </c>
      <c r="C32" s="80" t="s">
        <v>41</v>
      </c>
      <c r="D32" s="80"/>
      <c r="E32" s="58">
        <f>IF(B32="MAAC",$J$5*'2nd IA Load Pricing Results'!K53/'2nd IA Load Pricing Results'!$B$16,0)</f>
        <v>0</v>
      </c>
      <c r="F32" s="485">
        <f t="shared" si="9"/>
        <v>0</v>
      </c>
      <c r="G32" s="58">
        <f>IF(C32="EMAAC",$J$6*'2nd IA Load Pricing Results'!K53/'2nd IA Load Pricing Results'!$B$17,0)</f>
        <v>1035.4196884938067</v>
      </c>
      <c r="H32" s="485">
        <f>G32*$H$16</f>
        <v>0</v>
      </c>
      <c r="I32" s="58">
        <f>IF(C32="SWMAAC",$J$7*'2nd IA Load Pricing Results'!K53/'2nd IA Load Pricing Results'!$B$18,0)</f>
        <v>0</v>
      </c>
      <c r="J32" s="485">
        <f t="shared" si="11"/>
        <v>0</v>
      </c>
      <c r="K32" s="58">
        <f>IF(D32="PS",$J$8*'2nd IA Load Pricing Results'!K53/'2nd IA Load Pricing Results'!$K$57,0)</f>
        <v>0</v>
      </c>
      <c r="L32" s="485">
        <f t="shared" si="8"/>
        <v>0</v>
      </c>
      <c r="M32" s="58">
        <f>IF(D32="DPL",$J$9*'2nd IA Load Pricing Results'!K53/'2nd IA Load Pricing Results'!$K$49,0)</f>
        <v>0</v>
      </c>
      <c r="N32" s="485">
        <f t="shared" si="2"/>
        <v>0</v>
      </c>
      <c r="O32" s="58">
        <f>IF(D32="PEPCO",$J$10*'2nd IA Load Pricing Results'!K53/'2nd IA Load Pricing Results'!$K$55,0)</f>
        <v>0</v>
      </c>
      <c r="P32" s="485">
        <f t="shared" si="6"/>
        <v>0</v>
      </c>
      <c r="Q32" s="58">
        <f>IF(D32="ATSI",$J$11*'2nd IA Load Pricing Results'!K53/'2nd IA Load Pricing Results'!$K$42,0)</f>
        <v>0</v>
      </c>
      <c r="R32" s="485">
        <f t="shared" si="7"/>
        <v>0</v>
      </c>
      <c r="S32" s="56">
        <f t="shared" si="3"/>
        <v>1035.4196884938067</v>
      </c>
      <c r="T32" s="59">
        <f t="shared" si="4"/>
        <v>0</v>
      </c>
      <c r="U32" s="59">
        <f>T32/'2nd IA Load Pricing Results'!K53</f>
        <v>0</v>
      </c>
      <c r="V32" s="228">
        <f t="shared" si="5"/>
        <v>0</v>
      </c>
    </row>
    <row r="33" spans="1:22" ht="12.75">
      <c r="A33" s="127" t="s">
        <v>14</v>
      </c>
      <c r="B33" s="80" t="s">
        <v>30</v>
      </c>
      <c r="C33" s="80"/>
      <c r="D33" s="80"/>
      <c r="E33" s="58">
        <f>IF(B33="MAAC",$J$5*'2nd IA Load Pricing Results'!K54/'2nd IA Load Pricing Results'!$B$16,0)</f>
        <v>0</v>
      </c>
      <c r="F33" s="485">
        <f t="shared" si="9"/>
        <v>0</v>
      </c>
      <c r="G33" s="58">
        <f>IF(C33="EMAAC",$J$6*'2nd IA Load Pricing Results'!K54/'2nd IA Load Pricing Results'!$B$17,0)</f>
        <v>0</v>
      </c>
      <c r="H33" s="485">
        <f t="shared" si="10"/>
        <v>0</v>
      </c>
      <c r="I33" s="58">
        <f>IF(C33="SWMAAC",$J$7*'2nd IA Load Pricing Results'!K54/'2nd IA Load Pricing Results'!$B$18,0)</f>
        <v>0</v>
      </c>
      <c r="J33" s="485">
        <f t="shared" si="11"/>
        <v>0</v>
      </c>
      <c r="K33" s="58">
        <f>IF(D33="PS",$J$8*'2nd IA Load Pricing Results'!K54/'2nd IA Load Pricing Results'!$K$57,0)</f>
        <v>0</v>
      </c>
      <c r="L33" s="485">
        <f t="shared" si="8"/>
        <v>0</v>
      </c>
      <c r="M33" s="58">
        <f>IF(D33="DPL",$J$9*'2nd IA Load Pricing Results'!K54/'2nd IA Load Pricing Results'!$K$49,0)</f>
        <v>0</v>
      </c>
      <c r="N33" s="485">
        <f t="shared" si="2"/>
        <v>0</v>
      </c>
      <c r="O33" s="58">
        <f>IF(D33="PEPCO",$J$10*'2nd IA Load Pricing Results'!K54/'2nd IA Load Pricing Results'!$K$55,0)</f>
        <v>0</v>
      </c>
      <c r="P33" s="485">
        <f t="shared" si="6"/>
        <v>0</v>
      </c>
      <c r="Q33" s="58">
        <f>IF(D33="ATSI",$J$11*'2nd IA Load Pricing Results'!K54/'2nd IA Load Pricing Results'!$K$42,0)</f>
        <v>0</v>
      </c>
      <c r="R33" s="485">
        <f t="shared" si="7"/>
        <v>0</v>
      </c>
      <c r="S33" s="56">
        <f t="shared" si="3"/>
        <v>0</v>
      </c>
      <c r="T33" s="59">
        <f t="shared" si="4"/>
        <v>0</v>
      </c>
      <c r="U33" s="59">
        <f>T33/'2nd IA Load Pricing Results'!K54</f>
        <v>0</v>
      </c>
      <c r="V33" s="228">
        <f t="shared" si="5"/>
        <v>0</v>
      </c>
    </row>
    <row r="34" spans="1:22" ht="12.75">
      <c r="A34" s="127" t="s">
        <v>15</v>
      </c>
      <c r="B34" s="80" t="s">
        <v>30</v>
      </c>
      <c r="C34" s="80" t="s">
        <v>5</v>
      </c>
      <c r="D34" s="80" t="s">
        <v>15</v>
      </c>
      <c r="E34" s="58">
        <f>IF(B34="MAAC",$J$5*'2nd IA Load Pricing Results'!K55/'2nd IA Load Pricing Results'!$B$16,0)</f>
        <v>0</v>
      </c>
      <c r="F34" s="485">
        <f t="shared" si="9"/>
        <v>0</v>
      </c>
      <c r="G34" s="58">
        <f>IF(C34="EMAAC",$J$6*'2nd IA Load Pricing Results'!K55/'2nd IA Load Pricing Results'!$B$17,0)</f>
        <v>0</v>
      </c>
      <c r="H34" s="485">
        <f t="shared" si="10"/>
        <v>0</v>
      </c>
      <c r="I34" s="58">
        <f>IF(C34="SWMAAC",$J$7*'2nd IA Load Pricing Results'!K55/'2nd IA Load Pricing Results'!$B$18,0)</f>
        <v>1720.0183859732085</v>
      </c>
      <c r="J34" s="485">
        <f t="shared" si="11"/>
        <v>0</v>
      </c>
      <c r="K34" s="58">
        <f>IF(D34="PS",$J$8*'2nd IA Load Pricing Results'!K55/'2nd IA Load Pricing Results'!$K$57,0)</f>
        <v>0</v>
      </c>
      <c r="L34" s="485">
        <f t="shared" si="8"/>
        <v>0</v>
      </c>
      <c r="M34" s="58">
        <f>IF(D34="DPL",$J$9*'2nd IA Load Pricing Results'!K55/'2nd IA Load Pricing Results'!$K$49,0)</f>
        <v>0</v>
      </c>
      <c r="N34" s="485">
        <f t="shared" si="2"/>
        <v>0</v>
      </c>
      <c r="O34" s="58">
        <f>IF(D34="PEPCO",$J$10*'2nd IA Load Pricing Results'!K55/'2nd IA Load Pricing Results'!$K$55,0)</f>
        <v>1834.3508103699187</v>
      </c>
      <c r="P34" s="485">
        <f>O34*$P$16</f>
        <v>0</v>
      </c>
      <c r="Q34" s="58">
        <f>IF(D34="ATSI",$J$11*'2nd IA Load Pricing Results'!K55/'2nd IA Load Pricing Results'!$K$42,0)</f>
        <v>0</v>
      </c>
      <c r="R34" s="485">
        <f t="shared" si="7"/>
        <v>0</v>
      </c>
      <c r="S34" s="56">
        <f t="shared" si="3"/>
        <v>1834.3508103699187</v>
      </c>
      <c r="T34" s="59">
        <f t="shared" si="4"/>
        <v>0</v>
      </c>
      <c r="U34" s="59">
        <f>T34/'2nd IA Load Pricing Results'!K55</f>
        <v>0</v>
      </c>
      <c r="V34" s="228">
        <f t="shared" si="5"/>
        <v>0</v>
      </c>
    </row>
    <row r="35" spans="1:22" ht="12.75">
      <c r="A35" s="127" t="s">
        <v>10</v>
      </c>
      <c r="B35" s="80" t="s">
        <v>30</v>
      </c>
      <c r="C35" s="80"/>
      <c r="D35" s="80"/>
      <c r="E35" s="58">
        <f>IF(B35="MAAC",$J$5*'2nd IA Load Pricing Results'!K56/'2nd IA Load Pricing Results'!$B$16,0)</f>
        <v>0</v>
      </c>
      <c r="F35" s="485">
        <f t="shared" si="9"/>
        <v>0</v>
      </c>
      <c r="G35" s="58">
        <f>IF(C35="EMAAC",$J$6*'2nd IA Load Pricing Results'!K56/'2nd IA Load Pricing Results'!$B$17,0)</f>
        <v>0</v>
      </c>
      <c r="H35" s="485">
        <f t="shared" si="10"/>
        <v>0</v>
      </c>
      <c r="I35" s="58">
        <f>IF(C35="SWMAAC",$J$7*'2nd IA Load Pricing Results'!K56/'2nd IA Load Pricing Results'!$B$18,0)</f>
        <v>0</v>
      </c>
      <c r="J35" s="485">
        <f t="shared" si="11"/>
        <v>0</v>
      </c>
      <c r="K35" s="58">
        <f>IF(D35="PS",$J$8*'2nd IA Load Pricing Results'!K56/'2nd IA Load Pricing Results'!$K$57,0)</f>
        <v>0</v>
      </c>
      <c r="L35" s="485">
        <f t="shared" si="8"/>
        <v>0</v>
      </c>
      <c r="M35" s="58">
        <f>IF(D35="DPL",$J$9*'2nd IA Load Pricing Results'!K56/'2nd IA Load Pricing Results'!$K$49,0)</f>
        <v>0</v>
      </c>
      <c r="N35" s="485">
        <f t="shared" si="2"/>
        <v>0</v>
      </c>
      <c r="O35" s="58">
        <f>IF(D35="PEPCO",$J$10*'2nd IA Load Pricing Results'!K56/'2nd IA Load Pricing Results'!$K$55,0)</f>
        <v>0</v>
      </c>
      <c r="P35" s="485">
        <f>O35*$P$16</f>
        <v>0</v>
      </c>
      <c r="Q35" s="58">
        <f>IF(D35="ATSI",$J$11*'2nd IA Load Pricing Results'!K56/'2nd IA Load Pricing Results'!$K$42,0)</f>
        <v>0</v>
      </c>
      <c r="R35" s="485">
        <f t="shared" si="7"/>
        <v>0</v>
      </c>
      <c r="S35" s="56">
        <f t="shared" si="3"/>
        <v>0</v>
      </c>
      <c r="T35" s="59">
        <f t="shared" si="4"/>
        <v>0</v>
      </c>
      <c r="U35" s="59">
        <f>T35/'2nd IA Load Pricing Results'!K56</f>
        <v>0</v>
      </c>
      <c r="V35" s="228">
        <f t="shared" si="5"/>
        <v>0</v>
      </c>
    </row>
    <row r="36" spans="1:22" ht="12.75">
      <c r="A36" s="127" t="s">
        <v>8</v>
      </c>
      <c r="B36" s="80" t="s">
        <v>30</v>
      </c>
      <c r="C36" s="80" t="s">
        <v>41</v>
      </c>
      <c r="D36" s="80" t="s">
        <v>8</v>
      </c>
      <c r="E36" s="58">
        <f>IF(B36="MAAC",$J$5*'2nd IA Load Pricing Results'!K57/'2nd IA Load Pricing Results'!$B$16,0)</f>
        <v>0</v>
      </c>
      <c r="F36" s="485">
        <f t="shared" si="9"/>
        <v>0</v>
      </c>
      <c r="G36" s="58">
        <f>IF(C36="EMAAC",$J$6*'2nd IA Load Pricing Results'!K57/'2nd IA Load Pricing Results'!$B$17,0)</f>
        <v>1231.638517821513</v>
      </c>
      <c r="H36" s="485">
        <f>G36*$H$16</f>
        <v>0</v>
      </c>
      <c r="I36" s="58">
        <f>IF(C36="SWMAAC",$J$7*'2nd IA Load Pricing Results'!K57/'2nd IA Load Pricing Results'!$B$18,0)</f>
        <v>0</v>
      </c>
      <c r="J36" s="485">
        <f t="shared" si="11"/>
        <v>0</v>
      </c>
      <c r="K36" s="58">
        <f>IF(D36="PS",$J$8*'2nd IA Load Pricing Results'!K57/'2nd IA Load Pricing Results'!$K$57,0)</f>
        <v>4577.900425111335</v>
      </c>
      <c r="L36" s="485">
        <f>K36*$L$16</f>
        <v>457418.59787731175</v>
      </c>
      <c r="M36" s="58">
        <f>IF(D36="DPL",$J$9*'2nd IA Load Pricing Results'!K57/'2nd IA Load Pricing Results'!$K$49,0)</f>
        <v>0</v>
      </c>
      <c r="N36" s="485">
        <f t="shared" si="2"/>
        <v>0</v>
      </c>
      <c r="O36" s="58">
        <f>IF(D36="PEPCO",$J$10*'2nd IA Load Pricing Results'!K57/'2nd IA Load Pricing Results'!$K$55,0)</f>
        <v>0</v>
      </c>
      <c r="P36" s="485">
        <f>O36*$P$16</f>
        <v>0</v>
      </c>
      <c r="Q36" s="58">
        <f>IF(D36="ATSI",$J$11*'2nd IA Load Pricing Results'!K57/'2nd IA Load Pricing Results'!$K$42,0)</f>
        <v>0</v>
      </c>
      <c r="R36" s="485">
        <f t="shared" si="7"/>
        <v>0</v>
      </c>
      <c r="S36" s="56">
        <f t="shared" si="3"/>
        <v>4577.900425111335</v>
      </c>
      <c r="T36" s="59">
        <f>F36+H36+J36+L36+N36+P36+R36</f>
        <v>457418.59787731175</v>
      </c>
      <c r="U36" s="59">
        <f>T36/'2nd IA Load Pricing Results'!K57</f>
        <v>39.94435214486835</v>
      </c>
      <c r="V36" s="228">
        <f t="shared" si="5"/>
        <v>99.91886135579004</v>
      </c>
    </row>
    <row r="37" spans="1:22" ht="13.5" thickBot="1">
      <c r="A37" s="487" t="s">
        <v>18</v>
      </c>
      <c r="B37" s="488" t="s">
        <v>30</v>
      </c>
      <c r="C37" s="488" t="s">
        <v>41</v>
      </c>
      <c r="D37" s="488"/>
      <c r="E37" s="58">
        <f>IF(B37="MAAC",$J$5*'2nd IA Load Pricing Results'!K58/'2nd IA Load Pricing Results'!$B$16,0)</f>
        <v>0</v>
      </c>
      <c r="F37" s="489">
        <f t="shared" si="9"/>
        <v>0</v>
      </c>
      <c r="G37" s="58">
        <f>IF(C37="EMAAC",$J$6*'2nd IA Load Pricing Results'!K58/'2nd IA Load Pricing Results'!$B$17,0)</f>
        <v>50.16027976548209</v>
      </c>
      <c r="H37" s="489">
        <f>G37*$H$16</f>
        <v>0</v>
      </c>
      <c r="I37" s="58">
        <f>IF(C37="SWMAAC",$J$7*'2nd IA Load Pricing Results'!K58/'2nd IA Load Pricing Results'!$B$18,0)</f>
        <v>0</v>
      </c>
      <c r="J37" s="489">
        <f>I37*$J$16</f>
        <v>0</v>
      </c>
      <c r="K37" s="58">
        <f>IF(D37="PS",$J$8*'2nd IA Load Pricing Results'!K58/'2nd IA Load Pricing Results'!$K$57,0)</f>
        <v>0</v>
      </c>
      <c r="L37" s="489">
        <f>K37*$L$16</f>
        <v>0</v>
      </c>
      <c r="M37" s="58">
        <f>IF(D37="DPL",$J$9*'2nd IA Load Pricing Results'!K58/'2nd IA Load Pricing Results'!$K$49,0)</f>
        <v>0</v>
      </c>
      <c r="N37" s="485">
        <f t="shared" si="2"/>
        <v>0</v>
      </c>
      <c r="O37" s="58">
        <f>IF(D37="PEPCO",$J$10*'2nd IA Load Pricing Results'!K58/'2nd IA Load Pricing Results'!$K$55,0)</f>
        <v>0</v>
      </c>
      <c r="P37" s="489">
        <f>O37*$P$16</f>
        <v>0</v>
      </c>
      <c r="Q37" s="58">
        <f>IF(D37="ATSI",$J$11*'2nd IA Load Pricing Results'!K58/'2nd IA Load Pricing Results'!$K$42,0)</f>
        <v>0</v>
      </c>
      <c r="R37" s="485">
        <f t="shared" si="7"/>
        <v>0</v>
      </c>
      <c r="S37" s="56">
        <f t="shared" si="3"/>
        <v>50.16027976548209</v>
      </c>
      <c r="T37" s="59">
        <f t="shared" si="4"/>
        <v>0</v>
      </c>
      <c r="U37" s="59">
        <f>T37/'2nd IA Load Pricing Results'!K58</f>
        <v>0</v>
      </c>
      <c r="V37" s="249">
        <f>IF(S37=0,0,T37/S37)</f>
        <v>0</v>
      </c>
    </row>
    <row r="38" spans="1:22" ht="13.5" thickBot="1">
      <c r="A38" s="701" t="s">
        <v>89</v>
      </c>
      <c r="B38" s="702"/>
      <c r="C38" s="702"/>
      <c r="D38" s="703"/>
      <c r="E38" s="490">
        <f aca="true" t="shared" si="12" ref="E38:Q38">SUM(E18:E37)</f>
        <v>0</v>
      </c>
      <c r="F38" s="253">
        <f>SUM(F18:F37)</f>
        <v>0</v>
      </c>
      <c r="G38" s="490">
        <f t="shared" si="12"/>
        <v>3887.2902118945312</v>
      </c>
      <c r="H38" s="253">
        <f t="shared" si="12"/>
        <v>0</v>
      </c>
      <c r="I38" s="490">
        <f t="shared" si="12"/>
        <v>3575.3911235153364</v>
      </c>
      <c r="J38" s="253">
        <f>SUM(J18:J37)</f>
        <v>0</v>
      </c>
      <c r="K38" s="490">
        <f>SUM(K18:K37)</f>
        <v>4577.900425111335</v>
      </c>
      <c r="L38" s="253">
        <f>SUM(L18:L37)</f>
        <v>457418.59787731175</v>
      </c>
      <c r="M38" s="490">
        <f t="shared" si="12"/>
        <v>0</v>
      </c>
      <c r="N38" s="253">
        <f>SUM(N18:N37)</f>
        <v>0</v>
      </c>
      <c r="O38" s="490">
        <f>SUM(O18:O37)</f>
        <v>1834.3508103699187</v>
      </c>
      <c r="P38" s="253">
        <f t="shared" si="12"/>
        <v>0</v>
      </c>
      <c r="Q38" s="490">
        <f t="shared" si="12"/>
        <v>5898.039062093608</v>
      </c>
      <c r="R38" s="253">
        <f>SUM(R18:R37)</f>
        <v>202788.1836307961</v>
      </c>
      <c r="S38" s="491"/>
      <c r="T38" s="253">
        <f>SUM(T18:T37)</f>
        <v>660206.7815081079</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paperSize="17" scale="50" r:id="rId1"/>
</worksheet>
</file>

<file path=xl/worksheets/sheet14.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5.7109375" style="0" customWidth="1"/>
    <col min="2" max="20" width="15.7109375" style="0" customWidth="1"/>
  </cols>
  <sheetData>
    <row r="1" spans="1:2" ht="17.25">
      <c r="A1" s="3" t="s">
        <v>317</v>
      </c>
      <c r="B1" s="19" t="s">
        <v>24</v>
      </c>
    </row>
    <row r="2" spans="1:3" ht="15" customHeight="1" thickBot="1">
      <c r="A2" s="3"/>
      <c r="C2" s="66"/>
    </row>
    <row r="3" spans="1:9" ht="15" customHeight="1" thickBot="1">
      <c r="A3" s="661" t="s">
        <v>79</v>
      </c>
      <c r="C3" s="265" t="s">
        <v>332</v>
      </c>
      <c r="H3" s="265" t="s">
        <v>333</v>
      </c>
      <c r="I3" s="186" t="s">
        <v>24</v>
      </c>
    </row>
    <row r="4" spans="1:17" ht="15" customHeight="1" thickBot="1">
      <c r="A4" s="662"/>
      <c r="B4" s="205" t="s">
        <v>30</v>
      </c>
      <c r="C4" s="205" t="s">
        <v>30</v>
      </c>
      <c r="D4" s="191" t="s">
        <v>41</v>
      </c>
      <c r="E4" s="191" t="s">
        <v>5</v>
      </c>
      <c r="F4" s="191" t="s">
        <v>8</v>
      </c>
      <c r="G4" s="191" t="s">
        <v>42</v>
      </c>
      <c r="H4" s="191" t="s">
        <v>42</v>
      </c>
      <c r="I4" s="191" t="s">
        <v>43</v>
      </c>
      <c r="J4" s="516" t="s">
        <v>24</v>
      </c>
      <c r="K4" s="516" t="s">
        <v>24</v>
      </c>
      <c r="L4" s="111"/>
      <c r="M4" s="111"/>
      <c r="N4" s="111"/>
      <c r="O4" s="111"/>
      <c r="P4" s="111"/>
      <c r="Q4" s="111"/>
    </row>
    <row r="5" spans="1:18" ht="15" customHeight="1">
      <c r="A5" s="311" t="s">
        <v>144</v>
      </c>
      <c r="B5" s="188" t="s">
        <v>158</v>
      </c>
      <c r="C5" s="188" t="s">
        <v>158</v>
      </c>
      <c r="D5" s="189" t="s">
        <v>158</v>
      </c>
      <c r="E5" s="189" t="s">
        <v>158</v>
      </c>
      <c r="F5" s="189" t="s">
        <v>158</v>
      </c>
      <c r="G5" s="189" t="s">
        <v>158</v>
      </c>
      <c r="H5" s="189" t="s">
        <v>158</v>
      </c>
      <c r="I5" s="189" t="s">
        <v>158</v>
      </c>
      <c r="J5" s="130" t="s">
        <v>24</v>
      </c>
      <c r="K5" s="130" t="s">
        <v>24</v>
      </c>
      <c r="L5" s="111"/>
      <c r="M5" s="111"/>
      <c r="N5" s="111"/>
      <c r="O5" s="111"/>
      <c r="P5" s="111"/>
      <c r="Q5" s="111"/>
      <c r="R5" s="40"/>
    </row>
    <row r="6" spans="1:18" ht="15" customHeight="1">
      <c r="A6" s="312" t="s">
        <v>145</v>
      </c>
      <c r="B6" s="313"/>
      <c r="C6" s="313"/>
      <c r="D6" s="314"/>
      <c r="E6" s="314"/>
      <c r="F6" s="314"/>
      <c r="G6" s="314"/>
      <c r="H6" s="314"/>
      <c r="I6" s="314"/>
      <c r="J6" s="610"/>
      <c r="K6" s="517" t="s">
        <v>24</v>
      </c>
      <c r="L6" s="111"/>
      <c r="M6" s="111"/>
      <c r="N6" s="111"/>
      <c r="O6" s="111"/>
      <c r="P6" s="111"/>
      <c r="Q6" s="111"/>
      <c r="R6" s="40"/>
    </row>
    <row r="7" spans="1:18" ht="15" customHeight="1">
      <c r="A7" s="315" t="s">
        <v>135</v>
      </c>
      <c r="B7" s="316">
        <v>160</v>
      </c>
      <c r="C7" s="316">
        <f>B7*'2nd IA CTRs'!$G$5/('2nd IA ICTRs'!$B$12+'2nd IA ICTRs'!$B$17+'2nd IA ICTRs'!$B$21)</f>
        <v>156.82870155247232</v>
      </c>
      <c r="D7" s="317">
        <v>0</v>
      </c>
      <c r="E7" s="317">
        <v>0</v>
      </c>
      <c r="F7" s="317">
        <v>0</v>
      </c>
      <c r="G7" s="317">
        <v>0</v>
      </c>
      <c r="H7" s="317">
        <v>0</v>
      </c>
      <c r="I7" s="317">
        <v>0</v>
      </c>
      <c r="J7" s="435" t="s">
        <v>24</v>
      </c>
      <c r="K7" s="435" t="s">
        <v>24</v>
      </c>
      <c r="L7" s="112"/>
      <c r="M7" s="112"/>
      <c r="N7" s="112"/>
      <c r="O7" s="112"/>
      <c r="P7" s="112"/>
      <c r="Q7" s="112"/>
      <c r="R7" s="40"/>
    </row>
    <row r="8" spans="1:18" ht="15" customHeight="1">
      <c r="A8" s="315" t="s">
        <v>136</v>
      </c>
      <c r="B8" s="316">
        <v>106</v>
      </c>
      <c r="C8" s="316">
        <f>B8*'2nd IA CTRs'!$G$5/('2nd IA ICTRs'!$B$12+'2nd IA ICTRs'!$B$17+'2nd IA ICTRs'!$B$21)</f>
        <v>103.8990147785129</v>
      </c>
      <c r="D8" s="317">
        <v>0</v>
      </c>
      <c r="E8" s="317">
        <v>0</v>
      </c>
      <c r="F8" s="317">
        <v>0</v>
      </c>
      <c r="G8" s="317">
        <v>0</v>
      </c>
      <c r="H8" s="317">
        <v>0</v>
      </c>
      <c r="I8" s="317">
        <v>0</v>
      </c>
      <c r="J8" s="435" t="s">
        <v>24</v>
      </c>
      <c r="K8" s="435" t="s">
        <v>24</v>
      </c>
      <c r="L8" s="112"/>
      <c r="M8" s="112"/>
      <c r="N8" s="112"/>
      <c r="O8" s="112"/>
      <c r="P8" s="112"/>
      <c r="Q8" s="112"/>
      <c r="R8" s="40"/>
    </row>
    <row r="9" spans="1:18" ht="15" customHeight="1">
      <c r="A9" s="315" t="s">
        <v>140</v>
      </c>
      <c r="B9" s="316">
        <v>117</v>
      </c>
      <c r="C9" s="316">
        <f>B9*'2nd IA CTRs'!$G$5/('2nd IA ICTRs'!$B$12+'2nd IA ICTRs'!$B$17+'2nd IA ICTRs'!$B$21)</f>
        <v>114.68098801024539</v>
      </c>
      <c r="D9" s="317">
        <v>0</v>
      </c>
      <c r="E9" s="317">
        <v>0</v>
      </c>
      <c r="F9" s="317">
        <v>0</v>
      </c>
      <c r="G9" s="317">
        <v>0</v>
      </c>
      <c r="H9" s="317">
        <v>0</v>
      </c>
      <c r="I9" s="317">
        <v>0</v>
      </c>
      <c r="J9" s="435" t="s">
        <v>24</v>
      </c>
      <c r="K9" s="435" t="s">
        <v>24</v>
      </c>
      <c r="L9" s="112"/>
      <c r="M9" s="112"/>
      <c r="N9" s="112"/>
      <c r="O9" s="112"/>
      <c r="P9" s="112"/>
      <c r="Q9" s="112"/>
      <c r="R9" s="40"/>
    </row>
    <row r="10" spans="1:18" ht="30" customHeight="1">
      <c r="A10" s="315" t="s">
        <v>141</v>
      </c>
      <c r="B10" s="316">
        <v>0</v>
      </c>
      <c r="C10" s="316">
        <f>B10*'2nd IA CTRs'!$G$5/('2nd IA ICTRs'!$B$12+'2nd IA ICTRs'!$B$17+'2nd IA ICTRs'!$B$21)</f>
        <v>0</v>
      </c>
      <c r="D10" s="317">
        <v>898</v>
      </c>
      <c r="E10" s="317">
        <v>0</v>
      </c>
      <c r="F10" s="317">
        <v>68.9</v>
      </c>
      <c r="G10" s="317">
        <v>105.5</v>
      </c>
      <c r="H10" s="317">
        <v>0</v>
      </c>
      <c r="I10" s="317">
        <v>0</v>
      </c>
      <c r="J10" s="435" t="s">
        <v>24</v>
      </c>
      <c r="K10" s="435" t="s">
        <v>24</v>
      </c>
      <c r="L10" s="112"/>
      <c r="M10" s="112"/>
      <c r="N10" s="112"/>
      <c r="O10" s="112"/>
      <c r="P10" s="112"/>
      <c r="Q10" s="112"/>
      <c r="R10" s="40"/>
    </row>
    <row r="11" spans="1:18" ht="15" customHeight="1">
      <c r="A11" s="315" t="s">
        <v>193</v>
      </c>
      <c r="B11" s="316">
        <v>339</v>
      </c>
      <c r="C11" s="316">
        <f>B11*'2nd IA CTRs'!$G$5/('2nd IA ICTRs'!$B$12+'2nd IA ICTRs'!$B$17+'2nd IA ICTRs'!$B$21)</f>
        <v>332.28081141430073</v>
      </c>
      <c r="D11" s="317">
        <v>0</v>
      </c>
      <c r="E11" s="317">
        <v>0</v>
      </c>
      <c r="F11" s="317">
        <v>0</v>
      </c>
      <c r="G11" s="317">
        <v>0</v>
      </c>
      <c r="H11" s="317">
        <v>0</v>
      </c>
      <c r="I11" s="317">
        <v>0</v>
      </c>
      <c r="J11" s="435" t="s">
        <v>24</v>
      </c>
      <c r="K11" s="435" t="s">
        <v>24</v>
      </c>
      <c r="L11" s="112"/>
      <c r="M11" s="112"/>
      <c r="N11" s="112"/>
      <c r="O11" s="112"/>
      <c r="P11" s="112"/>
      <c r="Q11" s="112"/>
      <c r="R11" s="40"/>
    </row>
    <row r="12" spans="1:18" ht="15" customHeight="1">
      <c r="A12" s="190" t="s">
        <v>147</v>
      </c>
      <c r="B12" s="318">
        <f aca="true" t="shared" si="0" ref="B12:I12">SUM(B7:B11)</f>
        <v>722</v>
      </c>
      <c r="C12" s="318">
        <f>SUM(C7:C11)</f>
        <v>707.6895157555314</v>
      </c>
      <c r="D12" s="319">
        <f t="shared" si="0"/>
        <v>898</v>
      </c>
      <c r="E12" s="319">
        <f t="shared" si="0"/>
        <v>0</v>
      </c>
      <c r="F12" s="319">
        <f t="shared" si="0"/>
        <v>68.9</v>
      </c>
      <c r="G12" s="319">
        <f>SUM(G7:G11)</f>
        <v>105.5</v>
      </c>
      <c r="H12" s="319">
        <f t="shared" si="0"/>
        <v>0</v>
      </c>
      <c r="I12" s="319">
        <f t="shared" si="0"/>
        <v>0</v>
      </c>
      <c r="J12" s="520" t="s">
        <v>24</v>
      </c>
      <c r="K12" s="520" t="s">
        <v>24</v>
      </c>
      <c r="L12" s="310" t="s">
        <v>24</v>
      </c>
      <c r="M12" s="112"/>
      <c r="N12" s="112"/>
      <c r="O12" s="112"/>
      <c r="P12" s="112"/>
      <c r="Q12" s="112"/>
      <c r="R12" s="40"/>
    </row>
    <row r="13" spans="1:18" ht="15" customHeight="1">
      <c r="A13" s="312" t="s">
        <v>146</v>
      </c>
      <c r="B13" s="316" t="s">
        <v>24</v>
      </c>
      <c r="C13" s="316" t="s">
        <v>24</v>
      </c>
      <c r="D13" s="317"/>
      <c r="E13" s="317"/>
      <c r="F13" s="317"/>
      <c r="G13" s="317"/>
      <c r="H13" s="317"/>
      <c r="I13" s="317"/>
      <c r="J13" s="435" t="s">
        <v>24</v>
      </c>
      <c r="K13" s="435" t="s">
        <v>24</v>
      </c>
      <c r="L13" s="113"/>
      <c r="M13" s="114"/>
      <c r="N13" s="113"/>
      <c r="O13" s="113"/>
      <c r="P13" s="113"/>
      <c r="Q13" s="114"/>
      <c r="R13" s="40"/>
    </row>
    <row r="14" spans="1:18" ht="30" customHeight="1">
      <c r="A14" s="315" t="s">
        <v>137</v>
      </c>
      <c r="B14" s="316">
        <v>16</v>
      </c>
      <c r="C14" s="316">
        <f>B14*'2nd IA CTRs'!$G$5/('2nd IA ICTRs'!$B$12+'2nd IA ICTRs'!$B$17+'2nd IA ICTRs'!$B$21)</f>
        <v>15.682870155247231</v>
      </c>
      <c r="D14" s="317">
        <v>0</v>
      </c>
      <c r="E14" s="317">
        <v>237</v>
      </c>
      <c r="F14" s="317">
        <v>0</v>
      </c>
      <c r="G14" s="317">
        <v>0</v>
      </c>
      <c r="H14" s="317">
        <v>0</v>
      </c>
      <c r="I14" s="317">
        <v>0</v>
      </c>
      <c r="J14" s="435" t="s">
        <v>24</v>
      </c>
      <c r="K14" s="435" t="s">
        <v>24</v>
      </c>
      <c r="L14" s="113"/>
      <c r="M14" s="114"/>
      <c r="N14" s="113"/>
      <c r="O14" s="113"/>
      <c r="P14" s="113"/>
      <c r="Q14" s="114"/>
      <c r="R14" s="40"/>
    </row>
    <row r="15" spans="1:18" ht="30" customHeight="1">
      <c r="A15" s="315" t="s">
        <v>174</v>
      </c>
      <c r="B15" s="316">
        <v>0</v>
      </c>
      <c r="C15" s="316">
        <f>B15*'2nd IA CTRs'!$G$5/('2nd IA ICTRs'!$B$12+'2nd IA ICTRs'!$B$17+'2nd IA ICTRs'!$B$21)</f>
        <v>0</v>
      </c>
      <c r="D15" s="317">
        <v>0</v>
      </c>
      <c r="E15" s="317">
        <v>0</v>
      </c>
      <c r="F15" s="317">
        <v>340.2</v>
      </c>
      <c r="G15" s="317">
        <v>494.5</v>
      </c>
      <c r="H15" s="317">
        <v>0</v>
      </c>
      <c r="I15" s="317">
        <v>0</v>
      </c>
      <c r="J15" s="435" t="s">
        <v>24</v>
      </c>
      <c r="K15" s="435" t="s">
        <v>24</v>
      </c>
      <c r="L15" s="113"/>
      <c r="M15" s="114"/>
      <c r="N15" s="113"/>
      <c r="O15" s="113"/>
      <c r="P15" s="113"/>
      <c r="Q15" s="114"/>
      <c r="R15" s="40"/>
    </row>
    <row r="16" spans="1:18" ht="30" customHeight="1">
      <c r="A16" s="315" t="s">
        <v>138</v>
      </c>
      <c r="B16" s="316">
        <v>0</v>
      </c>
      <c r="C16" s="316">
        <f>B16*'2nd IA CTRs'!$G$5/('2nd IA ICTRs'!$B$12+'2nd IA ICTRs'!$B$17+'2nd IA ICTRs'!$B$21)</f>
        <v>0</v>
      </c>
      <c r="D16" s="317">
        <v>0</v>
      </c>
      <c r="E16" s="317">
        <v>0</v>
      </c>
      <c r="F16" s="317">
        <v>90.3</v>
      </c>
      <c r="G16" s="317">
        <v>0</v>
      </c>
      <c r="H16" s="317">
        <v>0</v>
      </c>
      <c r="I16" s="317">
        <v>0</v>
      </c>
      <c r="J16" s="435" t="s">
        <v>24</v>
      </c>
      <c r="K16" s="435" t="s">
        <v>24</v>
      </c>
      <c r="L16" s="113"/>
      <c r="M16" s="114"/>
      <c r="N16" s="113"/>
      <c r="O16" s="113"/>
      <c r="P16" s="113"/>
      <c r="Q16" s="114"/>
      <c r="R16" s="40"/>
    </row>
    <row r="17" spans="1:18" ht="15" customHeight="1">
      <c r="A17" s="190" t="s">
        <v>148</v>
      </c>
      <c r="B17" s="318">
        <f aca="true" t="shared" si="1" ref="B17:I17">SUM(B14:B16)</f>
        <v>16</v>
      </c>
      <c r="C17" s="318">
        <f>SUM(C14:C16)</f>
        <v>15.682870155247231</v>
      </c>
      <c r="D17" s="319">
        <f t="shared" si="1"/>
        <v>0</v>
      </c>
      <c r="E17" s="319">
        <f t="shared" si="1"/>
        <v>237</v>
      </c>
      <c r="F17" s="319">
        <f t="shared" si="1"/>
        <v>430.5</v>
      </c>
      <c r="G17" s="319">
        <f>SUM(G14:G16)</f>
        <v>494.5</v>
      </c>
      <c r="H17" s="319">
        <f t="shared" si="1"/>
        <v>0</v>
      </c>
      <c r="I17" s="319">
        <f t="shared" si="1"/>
        <v>0</v>
      </c>
      <c r="J17" s="520" t="s">
        <v>24</v>
      </c>
      <c r="K17" s="520" t="s">
        <v>24</v>
      </c>
      <c r="L17" s="310" t="s">
        <v>24</v>
      </c>
      <c r="M17" s="114"/>
      <c r="N17" s="113"/>
      <c r="O17" s="113"/>
      <c r="P17" s="113"/>
      <c r="Q17" s="114"/>
      <c r="R17" s="40"/>
    </row>
    <row r="18" spans="1:18" ht="15" customHeight="1">
      <c r="A18" s="167" t="s">
        <v>314</v>
      </c>
      <c r="B18" s="320"/>
      <c r="C18" s="320"/>
      <c r="D18" s="321"/>
      <c r="E18" s="321"/>
      <c r="F18" s="321"/>
      <c r="G18" s="321"/>
      <c r="H18" s="321"/>
      <c r="I18" s="321"/>
      <c r="J18" s="518" t="s">
        <v>24</v>
      </c>
      <c r="K18" s="518" t="s">
        <v>24</v>
      </c>
      <c r="L18" s="113"/>
      <c r="M18" s="114"/>
      <c r="N18" s="113"/>
      <c r="O18" s="113"/>
      <c r="P18" s="113"/>
      <c r="Q18" s="114"/>
      <c r="R18" s="40"/>
    </row>
    <row r="19" spans="1:18" ht="15" customHeight="1">
      <c r="A19" s="315" t="s">
        <v>139</v>
      </c>
      <c r="B19" s="316">
        <v>159</v>
      </c>
      <c r="C19" s="316">
        <f>B19*'2nd IA CTRs'!$G$5/('2nd IA ICTRs'!$B$12+'2nd IA ICTRs'!$B$17+'2nd IA ICTRs'!$B$21)</f>
        <v>155.84852216776935</v>
      </c>
      <c r="D19" s="317">
        <v>0</v>
      </c>
      <c r="E19" s="317">
        <v>0</v>
      </c>
      <c r="F19" s="317">
        <v>0</v>
      </c>
      <c r="G19" s="317">
        <v>0</v>
      </c>
      <c r="H19" s="317">
        <v>0</v>
      </c>
      <c r="I19" s="317">
        <v>0</v>
      </c>
      <c r="J19" s="435" t="s">
        <v>24</v>
      </c>
      <c r="K19" s="435" t="s">
        <v>24</v>
      </c>
      <c r="L19" s="113"/>
      <c r="M19" s="114"/>
      <c r="N19" s="113"/>
      <c r="O19" s="113"/>
      <c r="P19" s="113"/>
      <c r="Q19" s="114"/>
      <c r="R19" s="40"/>
    </row>
    <row r="20" spans="1:18" ht="15" customHeight="1">
      <c r="A20" s="326" t="s">
        <v>192</v>
      </c>
      <c r="B20" s="316">
        <v>0</v>
      </c>
      <c r="C20" s="316">
        <f>B20*'2nd IA CTRs'!$G$5/('2nd IA ICTRs'!$B$12+'2nd IA ICTRs'!$B$17+'2nd IA ICTRs'!$B$21)</f>
        <v>0</v>
      </c>
      <c r="D20" s="317">
        <v>0</v>
      </c>
      <c r="E20" s="317">
        <v>0</v>
      </c>
      <c r="F20" s="317">
        <v>0</v>
      </c>
      <c r="G20" s="317">
        <v>0</v>
      </c>
      <c r="H20" s="317">
        <v>0</v>
      </c>
      <c r="I20" s="317">
        <v>37</v>
      </c>
      <c r="J20" s="435" t="s">
        <v>24</v>
      </c>
      <c r="K20" s="435" t="s">
        <v>24</v>
      </c>
      <c r="L20" s="113"/>
      <c r="M20" s="114"/>
      <c r="N20" s="113"/>
      <c r="O20" s="113"/>
      <c r="P20" s="113"/>
      <c r="Q20" s="114"/>
      <c r="R20" s="40"/>
    </row>
    <row r="21" spans="1:18" ht="15" customHeight="1">
      <c r="A21" s="190" t="s">
        <v>114</v>
      </c>
      <c r="B21" s="318">
        <f aca="true" t="shared" si="2" ref="B21:I21">SUM(B19:B20)</f>
        <v>159</v>
      </c>
      <c r="C21" s="318">
        <f>SUM(C19:C20)</f>
        <v>155.84852216776935</v>
      </c>
      <c r="D21" s="318">
        <f t="shared" si="2"/>
        <v>0</v>
      </c>
      <c r="E21" s="318">
        <f t="shared" si="2"/>
        <v>0</v>
      </c>
      <c r="F21" s="318">
        <f t="shared" si="2"/>
        <v>0</v>
      </c>
      <c r="G21" s="318">
        <f>SUM(G19:G20)</f>
        <v>0</v>
      </c>
      <c r="H21" s="318">
        <f t="shared" si="2"/>
        <v>0</v>
      </c>
      <c r="I21" s="519">
        <f t="shared" si="2"/>
        <v>37</v>
      </c>
      <c r="J21" s="521" t="s">
        <v>24</v>
      </c>
      <c r="K21" s="521" t="s">
        <v>24</v>
      </c>
      <c r="L21" s="310" t="s">
        <v>24</v>
      </c>
      <c r="M21" s="114"/>
      <c r="N21" s="113"/>
      <c r="O21" s="113"/>
      <c r="P21" s="113"/>
      <c r="Q21" s="114"/>
      <c r="R21" s="40"/>
    </row>
    <row r="22" spans="1:18" ht="15" customHeight="1" thickBot="1">
      <c r="A22" s="564"/>
      <c r="B22" s="565"/>
      <c r="C22" s="565"/>
      <c r="D22" s="566"/>
      <c r="E22" s="566"/>
      <c r="F22" s="566"/>
      <c r="G22" s="566"/>
      <c r="H22" s="566"/>
      <c r="I22" s="566"/>
      <c r="J22" s="522" t="s">
        <v>24</v>
      </c>
      <c r="K22" s="522" t="s">
        <v>24</v>
      </c>
      <c r="L22" s="113"/>
      <c r="M22" s="114"/>
      <c r="N22" s="113"/>
      <c r="O22" s="113"/>
      <c r="P22" s="113"/>
      <c r="Q22" s="114"/>
      <c r="R22" s="40"/>
    </row>
    <row r="23" spans="1:18" ht="15" customHeight="1" thickBot="1">
      <c r="A23" s="567" t="s">
        <v>115</v>
      </c>
      <c r="B23" s="568">
        <f aca="true" t="shared" si="3" ref="B23:I23">B12+B17+B21</f>
        <v>897</v>
      </c>
      <c r="C23" s="568">
        <f>C12+C17+C21</f>
        <v>879.220908078548</v>
      </c>
      <c r="D23" s="569">
        <f t="shared" si="3"/>
        <v>898</v>
      </c>
      <c r="E23" s="569">
        <f t="shared" si="3"/>
        <v>237</v>
      </c>
      <c r="F23" s="569">
        <f t="shared" si="3"/>
        <v>499.4</v>
      </c>
      <c r="G23" s="569">
        <f>G12+G17+G21</f>
        <v>600</v>
      </c>
      <c r="H23" s="569">
        <f t="shared" si="3"/>
        <v>0</v>
      </c>
      <c r="I23" s="569">
        <f t="shared" si="3"/>
        <v>37</v>
      </c>
      <c r="J23" s="521" t="s">
        <v>24</v>
      </c>
      <c r="K23" s="521" t="s">
        <v>24</v>
      </c>
      <c r="L23" s="116"/>
      <c r="M23" s="112"/>
      <c r="N23" s="116"/>
      <c r="O23" s="116"/>
      <c r="P23" s="116"/>
      <c r="Q23" s="112"/>
      <c r="R23" s="40"/>
    </row>
    <row r="24" spans="1:20" ht="30" customHeight="1">
      <c r="A24" s="634" t="s">
        <v>335</v>
      </c>
      <c r="B24" s="635"/>
      <c r="C24" s="635"/>
      <c r="D24" s="635"/>
      <c r="E24" s="635"/>
      <c r="F24" s="635"/>
      <c r="G24" s="635"/>
      <c r="H24" s="635"/>
      <c r="I24" s="120"/>
      <c r="J24" s="119"/>
      <c r="K24" s="119"/>
      <c r="L24" s="119"/>
      <c r="M24" s="120"/>
      <c r="N24" s="40"/>
      <c r="O24" s="40"/>
      <c r="P24" s="40"/>
      <c r="Q24" s="40"/>
      <c r="R24" s="40"/>
      <c r="S24" s="40"/>
      <c r="T24" s="40"/>
    </row>
    <row r="25" spans="1:20" ht="15" customHeight="1">
      <c r="A25" s="239" t="s">
        <v>334</v>
      </c>
      <c r="B25" s="117"/>
      <c r="C25" s="117"/>
      <c r="D25" s="118"/>
      <c r="E25" s="119"/>
      <c r="F25" s="119"/>
      <c r="G25" s="119"/>
      <c r="H25" s="119"/>
      <c r="I25" s="120"/>
      <c r="J25" s="119"/>
      <c r="K25" s="119"/>
      <c r="L25" s="119"/>
      <c r="M25" s="120"/>
      <c r="N25" s="40"/>
      <c r="O25" s="40"/>
      <c r="P25" s="40"/>
      <c r="Q25" s="40"/>
      <c r="R25" s="40"/>
      <c r="S25" s="40"/>
      <c r="T25" s="40"/>
    </row>
    <row r="26" spans="1:20" ht="15" customHeight="1" thickBot="1">
      <c r="A26" s="115"/>
      <c r="B26" s="117"/>
      <c r="C26" s="117"/>
      <c r="D26" s="118"/>
      <c r="E26" s="119"/>
      <c r="F26" s="119"/>
      <c r="G26" s="119"/>
      <c r="H26" s="119"/>
      <c r="I26" s="120"/>
      <c r="J26" s="119"/>
      <c r="K26" s="119"/>
      <c r="L26" s="119"/>
      <c r="M26" s="120"/>
      <c r="N26" s="40"/>
      <c r="O26" s="40"/>
      <c r="P26" s="40"/>
      <c r="Q26" s="40"/>
      <c r="R26" s="40"/>
      <c r="S26" s="40"/>
      <c r="T26" s="40"/>
    </row>
    <row r="27" spans="1:13" ht="49.5" customHeight="1" thickBot="1">
      <c r="A27" s="122" t="s">
        <v>149</v>
      </c>
      <c r="B27" s="183" t="s">
        <v>24</v>
      </c>
      <c r="C27" s="183" t="s">
        <v>24</v>
      </c>
      <c r="D27" s="39"/>
      <c r="E27" s="119"/>
      <c r="F27" s="119"/>
      <c r="G27" s="556"/>
      <c r="H27" s="545"/>
      <c r="I27" s="545"/>
      <c r="J27" s="546"/>
      <c r="K27" s="547"/>
      <c r="L27" s="547"/>
      <c r="M27" s="120"/>
    </row>
    <row r="28" spans="1:13" ht="64.5" customHeight="1">
      <c r="A28" s="196" t="s">
        <v>76</v>
      </c>
      <c r="B28" s="195" t="s">
        <v>145</v>
      </c>
      <c r="C28" s="192" t="s">
        <v>150</v>
      </c>
      <c r="D28" s="192" t="s">
        <v>151</v>
      </c>
      <c r="E28" s="192" t="s">
        <v>152</v>
      </c>
      <c r="F28" s="119"/>
      <c r="G28" s="549"/>
      <c r="H28" s="550"/>
      <c r="I28" s="551"/>
      <c r="J28" s="551"/>
      <c r="K28" s="551"/>
      <c r="L28" s="551"/>
      <c r="M28" s="120"/>
    </row>
    <row r="29" spans="1:16" ht="15" customHeight="1">
      <c r="A29" s="50" t="s">
        <v>16</v>
      </c>
      <c r="B29" s="60">
        <v>0.0173</v>
      </c>
      <c r="C29" s="60">
        <v>0.0896</v>
      </c>
      <c r="D29" s="60">
        <v>0.0021</v>
      </c>
      <c r="E29" s="60">
        <v>0</v>
      </c>
      <c r="F29" s="119"/>
      <c r="G29" s="552"/>
      <c r="H29" s="553"/>
      <c r="I29" s="553"/>
      <c r="J29" s="553"/>
      <c r="K29" s="553"/>
      <c r="L29" s="553"/>
      <c r="M29" s="570"/>
      <c r="N29" s="570"/>
      <c r="O29" s="570"/>
      <c r="P29" s="570"/>
    </row>
    <row r="30" spans="1:16" ht="15" customHeight="1">
      <c r="A30" s="50" t="s">
        <v>32</v>
      </c>
      <c r="B30" s="60">
        <v>0.1441</v>
      </c>
      <c r="C30" s="60">
        <v>0</v>
      </c>
      <c r="D30" s="60">
        <v>0</v>
      </c>
      <c r="E30" s="60">
        <v>0</v>
      </c>
      <c r="F30" s="119"/>
      <c r="G30" s="552"/>
      <c r="H30" s="553"/>
      <c r="I30" s="553"/>
      <c r="J30" s="553"/>
      <c r="K30" s="553"/>
      <c r="L30" s="553"/>
      <c r="M30" s="570"/>
      <c r="N30" s="570"/>
      <c r="O30" s="570"/>
      <c r="P30" s="570"/>
    </row>
    <row r="31" spans="1:16" ht="15" customHeight="1">
      <c r="A31" s="50" t="s">
        <v>19</v>
      </c>
      <c r="B31" s="60">
        <v>0.0547</v>
      </c>
      <c r="C31" s="60">
        <v>0</v>
      </c>
      <c r="D31" s="60">
        <v>0</v>
      </c>
      <c r="E31" s="60">
        <v>0</v>
      </c>
      <c r="F31" s="119"/>
      <c r="G31" s="552"/>
      <c r="H31" s="553"/>
      <c r="I31" s="553"/>
      <c r="J31" s="553"/>
      <c r="K31" s="553"/>
      <c r="L31" s="553"/>
      <c r="M31" s="570"/>
      <c r="N31" s="570"/>
      <c r="O31" s="570"/>
      <c r="P31" s="570"/>
    </row>
    <row r="32" spans="1:20" ht="15" customHeight="1">
      <c r="A32" s="50" t="s">
        <v>51</v>
      </c>
      <c r="B32" s="60">
        <v>0.0829</v>
      </c>
      <c r="C32" s="60">
        <v>0</v>
      </c>
      <c r="D32" s="60">
        <v>0</v>
      </c>
      <c r="E32" s="60">
        <v>0</v>
      </c>
      <c r="F32" s="40"/>
      <c r="G32" s="552"/>
      <c r="H32" s="553"/>
      <c r="I32" s="553"/>
      <c r="J32" s="553"/>
      <c r="K32" s="553"/>
      <c r="L32" s="553"/>
      <c r="M32" s="570"/>
      <c r="N32" s="570"/>
      <c r="O32" s="570"/>
      <c r="P32" s="570"/>
      <c r="Q32" s="40"/>
      <c r="R32" s="40"/>
      <c r="S32" s="40"/>
      <c r="T32" s="40"/>
    </row>
    <row r="33" spans="1:20" ht="15" customHeight="1">
      <c r="A33" s="50" t="s">
        <v>11</v>
      </c>
      <c r="B33" s="60">
        <v>0.0431</v>
      </c>
      <c r="C33" s="60">
        <v>0</v>
      </c>
      <c r="D33" s="60">
        <v>0.0088</v>
      </c>
      <c r="E33" s="60">
        <v>0</v>
      </c>
      <c r="F33" s="40"/>
      <c r="G33" s="552"/>
      <c r="H33" s="553"/>
      <c r="I33" s="553"/>
      <c r="J33" s="553"/>
      <c r="K33" s="553"/>
      <c r="L33" s="553"/>
      <c r="M33" s="570"/>
      <c r="N33" s="570"/>
      <c r="O33" s="570"/>
      <c r="P33" s="570"/>
      <c r="Q33" s="40"/>
      <c r="R33" s="40"/>
      <c r="S33" s="40"/>
      <c r="T33" s="40"/>
    </row>
    <row r="34" spans="1:20" ht="15" customHeight="1">
      <c r="A34" s="50" t="s">
        <v>20</v>
      </c>
      <c r="B34" s="60">
        <v>0.1404</v>
      </c>
      <c r="C34" s="60">
        <v>0</v>
      </c>
      <c r="D34" s="60">
        <v>0.0211</v>
      </c>
      <c r="E34" s="60">
        <v>0</v>
      </c>
      <c r="F34" s="40"/>
      <c r="G34" s="552"/>
      <c r="H34" s="553"/>
      <c r="I34" s="553"/>
      <c r="J34" s="553"/>
      <c r="K34" s="553"/>
      <c r="L34" s="553"/>
      <c r="M34" s="570"/>
      <c r="N34" s="570"/>
      <c r="O34" s="570"/>
      <c r="P34" s="570"/>
      <c r="Q34" s="40"/>
      <c r="R34" s="40"/>
      <c r="S34" s="40"/>
      <c r="T34" s="40"/>
    </row>
    <row r="35" spans="1:16" ht="15" customHeight="1">
      <c r="A35" s="50" t="s">
        <v>21</v>
      </c>
      <c r="B35" s="60">
        <v>0.0215</v>
      </c>
      <c r="C35" s="60">
        <v>0</v>
      </c>
      <c r="D35" s="60">
        <v>0.0012</v>
      </c>
      <c r="E35" s="60">
        <v>0</v>
      </c>
      <c r="F35" s="40"/>
      <c r="G35" s="552"/>
      <c r="H35" s="553"/>
      <c r="I35" s="553"/>
      <c r="J35" s="553"/>
      <c r="K35" s="553"/>
      <c r="L35" s="553"/>
      <c r="M35" s="570"/>
      <c r="N35" s="570"/>
      <c r="O35" s="570"/>
      <c r="P35" s="570"/>
    </row>
    <row r="36" spans="1:16" ht="15" customHeight="1">
      <c r="A36" s="50" t="s">
        <v>65</v>
      </c>
      <c r="B36" s="60">
        <v>0.0325</v>
      </c>
      <c r="C36" s="60">
        <v>0</v>
      </c>
      <c r="D36" s="60">
        <v>0</v>
      </c>
      <c r="E36" s="60">
        <v>0</v>
      </c>
      <c r="F36" s="40"/>
      <c r="G36" s="552"/>
      <c r="H36" s="553"/>
      <c r="I36" s="553"/>
      <c r="J36" s="553"/>
      <c r="K36" s="553"/>
      <c r="L36" s="553"/>
      <c r="M36" s="570"/>
      <c r="N36" s="570"/>
      <c r="O36" s="570"/>
      <c r="P36" s="570"/>
    </row>
    <row r="37" spans="1:16" ht="15" customHeight="1">
      <c r="A37" s="50" t="s">
        <v>50</v>
      </c>
      <c r="B37" s="60">
        <v>0.0186</v>
      </c>
      <c r="C37" s="60">
        <v>0</v>
      </c>
      <c r="D37" s="60">
        <v>0</v>
      </c>
      <c r="E37" s="60">
        <v>0</v>
      </c>
      <c r="F37" s="40"/>
      <c r="G37" s="552"/>
      <c r="H37" s="553"/>
      <c r="I37" s="553"/>
      <c r="J37" s="553"/>
      <c r="K37" s="553"/>
      <c r="L37" s="553"/>
      <c r="M37" s="570"/>
      <c r="N37" s="570"/>
      <c r="O37" s="570"/>
      <c r="P37" s="570"/>
    </row>
    <row r="38" spans="1:16" ht="15" customHeight="1">
      <c r="A38" s="50" t="s">
        <v>33</v>
      </c>
      <c r="B38" s="60">
        <v>0.1183</v>
      </c>
      <c r="C38" s="60">
        <v>0</v>
      </c>
      <c r="D38" s="60">
        <v>0</v>
      </c>
      <c r="E38" s="60">
        <v>0</v>
      </c>
      <c r="F38" s="40"/>
      <c r="G38" s="552"/>
      <c r="H38" s="553"/>
      <c r="I38" s="553"/>
      <c r="J38" s="553"/>
      <c r="K38" s="553"/>
      <c r="L38" s="553"/>
      <c r="M38" s="570"/>
      <c r="N38" s="570"/>
      <c r="O38" s="570"/>
      <c r="P38" s="570"/>
    </row>
    <row r="39" spans="1:16" ht="15" customHeight="1">
      <c r="A39" s="50" t="s">
        <v>17</v>
      </c>
      <c r="B39" s="60">
        <v>0.0253</v>
      </c>
      <c r="C39" s="60">
        <v>0.1677</v>
      </c>
      <c r="D39" s="60">
        <v>0</v>
      </c>
      <c r="E39" s="60">
        <v>0</v>
      </c>
      <c r="F39" s="40"/>
      <c r="G39" s="552"/>
      <c r="H39" s="553"/>
      <c r="I39" s="553"/>
      <c r="J39" s="553"/>
      <c r="K39" s="553"/>
      <c r="L39" s="553"/>
      <c r="M39" s="570"/>
      <c r="N39" s="570"/>
      <c r="O39" s="570"/>
      <c r="P39" s="570"/>
    </row>
    <row r="40" spans="1:16" ht="15" customHeight="1">
      <c r="A40" s="50" t="s">
        <v>185</v>
      </c>
      <c r="B40" s="60">
        <v>0</v>
      </c>
      <c r="C40" s="60">
        <v>0</v>
      </c>
      <c r="D40" s="60">
        <v>0</v>
      </c>
      <c r="E40" s="60">
        <v>0</v>
      </c>
      <c r="F40" s="40"/>
      <c r="G40" s="552"/>
      <c r="H40" s="553"/>
      <c r="I40" s="553"/>
      <c r="J40" s="553"/>
      <c r="K40" s="553"/>
      <c r="L40" s="553"/>
      <c r="M40" s="570"/>
      <c r="N40" s="570"/>
      <c r="O40" s="570"/>
      <c r="P40" s="570"/>
    </row>
    <row r="41" spans="1:16" ht="15" customHeight="1">
      <c r="A41" s="50" t="s">
        <v>12</v>
      </c>
      <c r="B41" s="60">
        <v>0.0402</v>
      </c>
      <c r="C41" s="60">
        <v>0.0959</v>
      </c>
      <c r="D41" s="60">
        <v>0.0106</v>
      </c>
      <c r="E41" s="60">
        <v>0.1282</v>
      </c>
      <c r="F41" s="40"/>
      <c r="G41" s="552"/>
      <c r="H41" s="553"/>
      <c r="I41" s="553"/>
      <c r="J41" s="553"/>
      <c r="K41" s="553"/>
      <c r="L41" s="553"/>
      <c r="M41" s="570"/>
      <c r="N41" s="570"/>
      <c r="O41" s="570"/>
      <c r="P41" s="570"/>
    </row>
    <row r="42" spans="1:16" ht="15" customHeight="1">
      <c r="A42" s="50" t="s">
        <v>13</v>
      </c>
      <c r="B42" s="60">
        <v>0.019</v>
      </c>
      <c r="C42" s="60">
        <v>0.0147</v>
      </c>
      <c r="D42" s="60">
        <v>0</v>
      </c>
      <c r="E42" s="60">
        <v>0</v>
      </c>
      <c r="F42" s="40"/>
      <c r="G42" s="552"/>
      <c r="H42" s="553"/>
      <c r="I42" s="553"/>
      <c r="J42" s="553"/>
      <c r="K42" s="553"/>
      <c r="L42" s="553"/>
      <c r="M42" s="570"/>
      <c r="N42" s="570"/>
      <c r="O42" s="570"/>
      <c r="P42" s="570"/>
    </row>
    <row r="43" spans="1:16" ht="15" customHeight="1">
      <c r="A43" s="50" t="s">
        <v>9</v>
      </c>
      <c r="B43" s="60">
        <v>0.0543</v>
      </c>
      <c r="C43" s="60">
        <v>0.3064</v>
      </c>
      <c r="D43" s="60">
        <v>0</v>
      </c>
      <c r="E43" s="60">
        <v>0.5108</v>
      </c>
      <c r="F43" s="40"/>
      <c r="G43" s="552"/>
      <c r="H43" s="553"/>
      <c r="I43" s="553"/>
      <c r="J43" s="553"/>
      <c r="K43" s="553"/>
      <c r="L43" s="553"/>
      <c r="M43" s="570"/>
      <c r="N43" s="570"/>
      <c r="O43" s="570"/>
      <c r="P43" s="570"/>
    </row>
    <row r="44" spans="1:16" ht="15" customHeight="1">
      <c r="A44" s="50" t="s">
        <v>14</v>
      </c>
      <c r="B44" s="60">
        <v>0.0195</v>
      </c>
      <c r="C44" s="60">
        <v>0</v>
      </c>
      <c r="D44" s="60">
        <v>0.027</v>
      </c>
      <c r="E44" s="60">
        <v>0</v>
      </c>
      <c r="F44" s="40"/>
      <c r="G44" s="552"/>
      <c r="H44" s="553"/>
      <c r="I44" s="553"/>
      <c r="J44" s="553"/>
      <c r="K44" s="553"/>
      <c r="L44" s="553"/>
      <c r="M44" s="570"/>
      <c r="N44" s="570"/>
      <c r="O44" s="570"/>
      <c r="P44" s="570"/>
    </row>
    <row r="45" spans="1:16" ht="15" customHeight="1">
      <c r="A45" s="50" t="s">
        <v>15</v>
      </c>
      <c r="B45" s="60">
        <v>0.0412</v>
      </c>
      <c r="C45" s="60">
        <v>0</v>
      </c>
      <c r="D45" s="60">
        <v>0.0095</v>
      </c>
      <c r="E45" s="60">
        <v>0.0057</v>
      </c>
      <c r="F45" s="40"/>
      <c r="G45" s="552"/>
      <c r="H45" s="553"/>
      <c r="I45" s="553"/>
      <c r="J45" s="553"/>
      <c r="K45" s="553"/>
      <c r="L45" s="553"/>
      <c r="M45" s="570"/>
      <c r="N45" s="570"/>
      <c r="O45" s="570"/>
      <c r="P45" s="570"/>
    </row>
    <row r="46" spans="1:16" ht="15" customHeight="1">
      <c r="A46" s="50" t="s">
        <v>10</v>
      </c>
      <c r="B46" s="60">
        <v>0.0466</v>
      </c>
      <c r="C46" s="60">
        <v>0.1633</v>
      </c>
      <c r="D46" s="60">
        <v>0</v>
      </c>
      <c r="E46" s="60">
        <v>0</v>
      </c>
      <c r="F46" s="40"/>
      <c r="G46" s="552"/>
      <c r="H46" s="553"/>
      <c r="I46" s="553"/>
      <c r="J46" s="553"/>
      <c r="K46" s="553"/>
      <c r="L46" s="553"/>
      <c r="M46" s="570"/>
      <c r="N46" s="570"/>
      <c r="O46" s="570"/>
      <c r="P46" s="570"/>
    </row>
    <row r="47" spans="1:16" ht="15" customHeight="1">
      <c r="A47" s="50" t="s">
        <v>8</v>
      </c>
      <c r="B47" s="60">
        <v>0.0657</v>
      </c>
      <c r="C47" s="60">
        <v>0.14</v>
      </c>
      <c r="D47" s="60">
        <v>0.6381</v>
      </c>
      <c r="E47" s="60">
        <v>0.3146</v>
      </c>
      <c r="F47" s="40"/>
      <c r="G47" s="552"/>
      <c r="H47" s="553"/>
      <c r="I47" s="553"/>
      <c r="J47" s="553"/>
      <c r="K47" s="553"/>
      <c r="L47" s="553"/>
      <c r="M47" s="570"/>
      <c r="N47" s="570"/>
      <c r="O47" s="570"/>
      <c r="P47" s="570"/>
    </row>
    <row r="48" spans="1:16" ht="15" customHeight="1">
      <c r="A48" s="50" t="s">
        <v>18</v>
      </c>
      <c r="B48" s="60">
        <v>0.0028</v>
      </c>
      <c r="C48" s="60">
        <v>0.0052</v>
      </c>
      <c r="D48" s="60">
        <v>0.0253</v>
      </c>
      <c r="E48" s="60">
        <v>0.0125</v>
      </c>
      <c r="F48" s="40"/>
      <c r="G48" s="552"/>
      <c r="H48" s="553"/>
      <c r="I48" s="553"/>
      <c r="J48" s="553"/>
      <c r="K48" s="553"/>
      <c r="L48" s="553"/>
      <c r="M48" s="570"/>
      <c r="N48" s="570"/>
      <c r="O48" s="570"/>
      <c r="P48" s="570"/>
    </row>
    <row r="49" spans="1:20" ht="15" customHeight="1">
      <c r="A49" s="50" t="s">
        <v>163</v>
      </c>
      <c r="B49" s="60">
        <v>0.0057</v>
      </c>
      <c r="C49" s="60">
        <v>0.0049</v>
      </c>
      <c r="D49" s="60">
        <v>0.0905</v>
      </c>
      <c r="E49" s="60">
        <v>0</v>
      </c>
      <c r="F49" s="40"/>
      <c r="G49" s="552"/>
      <c r="H49" s="553"/>
      <c r="I49" s="553"/>
      <c r="J49" s="553"/>
      <c r="K49" s="553"/>
      <c r="L49" s="553"/>
      <c r="M49" s="570"/>
      <c r="N49" s="570"/>
      <c r="O49" s="570"/>
      <c r="P49" s="570"/>
      <c r="Q49" s="40"/>
      <c r="R49" s="40"/>
      <c r="S49" s="40"/>
      <c r="T49" s="40"/>
    </row>
    <row r="50" spans="1:16" ht="15" customHeight="1">
      <c r="A50" s="50" t="s">
        <v>164</v>
      </c>
      <c r="B50" s="60">
        <v>0.0042</v>
      </c>
      <c r="C50" s="60">
        <v>0.0094</v>
      </c>
      <c r="D50" s="60">
        <v>0.0006</v>
      </c>
      <c r="E50" s="60">
        <v>0.0118</v>
      </c>
      <c r="G50" s="552"/>
      <c r="H50" s="553"/>
      <c r="I50" s="553"/>
      <c r="J50" s="553"/>
      <c r="K50" s="553"/>
      <c r="L50" s="553"/>
      <c r="M50" s="570"/>
      <c r="N50" s="570"/>
      <c r="O50" s="570"/>
      <c r="P50" s="570"/>
    </row>
    <row r="51" spans="1:16" ht="15" customHeight="1">
      <c r="A51" s="50" t="s">
        <v>142</v>
      </c>
      <c r="B51" s="60">
        <v>0.002</v>
      </c>
      <c r="C51" s="60">
        <v>0.0029</v>
      </c>
      <c r="D51" s="60">
        <v>0.0192</v>
      </c>
      <c r="E51" s="60">
        <v>0.0085</v>
      </c>
      <c r="G51" s="552"/>
      <c r="H51" s="553"/>
      <c r="I51" s="553"/>
      <c r="J51" s="553"/>
      <c r="K51" s="553"/>
      <c r="L51" s="553"/>
      <c r="M51" s="570"/>
      <c r="N51" s="570"/>
      <c r="O51" s="570"/>
      <c r="P51" s="570"/>
    </row>
    <row r="52" spans="1:16" ht="15" customHeight="1">
      <c r="A52" s="50" t="s">
        <v>143</v>
      </c>
      <c r="B52" s="60">
        <v>0.0001</v>
      </c>
      <c r="C52" s="60">
        <v>0</v>
      </c>
      <c r="D52" s="60">
        <v>0.146</v>
      </c>
      <c r="E52" s="60">
        <v>0.0079</v>
      </c>
      <c r="G52" s="552"/>
      <c r="H52" s="553"/>
      <c r="I52" s="553"/>
      <c r="J52" s="553"/>
      <c r="K52" s="553"/>
      <c r="L52" s="553"/>
      <c r="M52" s="570"/>
      <c r="N52" s="570"/>
      <c r="O52" s="570"/>
      <c r="P52" s="570"/>
    </row>
    <row r="53" spans="1:16" ht="15" customHeight="1">
      <c r="A53" s="135"/>
      <c r="B53" s="193">
        <f>SUM(B29:B52)</f>
        <v>0.9999999999999999</v>
      </c>
      <c r="C53" s="193">
        <f>SUM(C29:C52)</f>
        <v>0.9999999999999999</v>
      </c>
      <c r="D53" s="193">
        <f>SUM(D29:D52)</f>
        <v>1</v>
      </c>
      <c r="E53" s="193">
        <f>SUM(E29:E52)</f>
        <v>1</v>
      </c>
      <c r="G53" s="554"/>
      <c r="H53" s="555"/>
      <c r="I53" s="555"/>
      <c r="J53" s="555"/>
      <c r="K53" s="555"/>
      <c r="L53" s="555"/>
      <c r="M53" s="570"/>
      <c r="N53" s="570"/>
      <c r="O53" s="570"/>
      <c r="P53" s="570"/>
    </row>
    <row r="54" spans="1:12" ht="30" customHeight="1">
      <c r="A54" s="663" t="s">
        <v>328</v>
      </c>
      <c r="B54" s="663"/>
      <c r="C54" s="663"/>
      <c r="D54" s="121"/>
      <c r="F54" s="40"/>
      <c r="G54" s="548"/>
      <c r="H54" s="548"/>
      <c r="I54" s="548"/>
      <c r="J54" s="548"/>
      <c r="K54" s="548"/>
      <c r="L54" s="548"/>
    </row>
    <row r="55" spans="1:4" ht="15" customHeight="1">
      <c r="A55" s="12"/>
      <c r="B55" s="121"/>
      <c r="C55" s="121"/>
      <c r="D55" s="121"/>
    </row>
    <row r="56" spans="1:4" ht="15" customHeight="1" thickBot="1">
      <c r="A56" s="12"/>
      <c r="B56" s="121"/>
      <c r="C56" s="121"/>
      <c r="D56" s="121"/>
    </row>
    <row r="57" spans="1:6" ht="15" customHeight="1" thickBot="1">
      <c r="A57" s="664" t="s">
        <v>78</v>
      </c>
      <c r="B57" s="117"/>
      <c r="C57" s="117"/>
      <c r="D57" s="118"/>
      <c r="F57" s="19" t="s">
        <v>24</v>
      </c>
    </row>
    <row r="58" spans="1:20" ht="15" customHeight="1" thickBot="1">
      <c r="A58" s="665"/>
      <c r="B58" s="653" t="s">
        <v>30</v>
      </c>
      <c r="C58" s="654"/>
      <c r="D58" s="654"/>
      <c r="E58" s="655"/>
      <c r="F58" s="670" t="s">
        <v>41</v>
      </c>
      <c r="G58" s="671"/>
      <c r="H58" s="653" t="s">
        <v>5</v>
      </c>
      <c r="I58" s="655"/>
      <c r="J58" s="653" t="s">
        <v>8</v>
      </c>
      <c r="K58" s="654"/>
      <c r="L58" s="654"/>
      <c r="M58" s="654"/>
      <c r="N58" s="655"/>
      <c r="O58" s="653" t="s">
        <v>42</v>
      </c>
      <c r="P58" s="654"/>
      <c r="Q58" s="654"/>
      <c r="R58" s="655"/>
      <c r="S58" s="653" t="s">
        <v>43</v>
      </c>
      <c r="T58" s="655"/>
    </row>
    <row r="59" spans="1:20" ht="39.75" customHeight="1" thickBot="1">
      <c r="A59" s="666"/>
      <c r="B59" s="656" t="s">
        <v>269</v>
      </c>
      <c r="C59" s="657"/>
      <c r="D59" s="658"/>
      <c r="E59" s="258">
        <f>'2nd IA CTRs'!F16</f>
        <v>60.56453565478667</v>
      </c>
      <c r="F59" s="262" t="s">
        <v>269</v>
      </c>
      <c r="G59" s="258">
        <f>'2nd IA CTRs'!H16</f>
        <v>0</v>
      </c>
      <c r="H59" s="262" t="s">
        <v>269</v>
      </c>
      <c r="I59" s="258">
        <f>'2nd IA CTRs'!J16</f>
        <v>0</v>
      </c>
      <c r="J59" s="656" t="s">
        <v>269</v>
      </c>
      <c r="K59" s="657"/>
      <c r="L59" s="657"/>
      <c r="M59" s="658"/>
      <c r="N59" s="258">
        <f>'2nd IA Load Pricing Results'!D25</f>
        <v>99.9298496434679</v>
      </c>
      <c r="O59" s="656" t="s">
        <v>269</v>
      </c>
      <c r="P59" s="657"/>
      <c r="Q59" s="658"/>
      <c r="R59" s="258">
        <f>'2nd IA Load Pricing Results'!D26-'2nd IA Load Pricing Results'!D25</f>
        <v>-0.019149797570847227</v>
      </c>
      <c r="S59" s="262" t="s">
        <v>269</v>
      </c>
      <c r="T59" s="258">
        <f>'2nd IA Load Pricing Results'!D29</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59" t="s">
        <v>212</v>
      </c>
      <c r="T60" s="660"/>
    </row>
    <row r="61" spans="1:18" ht="15" customHeight="1">
      <c r="A61" s="257" t="s">
        <v>16</v>
      </c>
      <c r="B61" s="224">
        <f>B29*$C$12</f>
        <v>12.243028622570693</v>
      </c>
      <c r="C61" s="58">
        <f>C29*$C$14</f>
        <v>1.405185165910152</v>
      </c>
      <c r="D61" s="58">
        <f>B61+C61</f>
        <v>13.648213788480845</v>
      </c>
      <c r="E61" s="107">
        <f>D61*$E$59</f>
        <v>826.5977306165992</v>
      </c>
      <c r="F61" s="224">
        <f aca="true" t="shared" si="4" ref="F61:F84">B29*$D$12</f>
        <v>15.5354</v>
      </c>
      <c r="G61" s="228">
        <f>F61*$G$59</f>
        <v>0</v>
      </c>
      <c r="H61" s="224">
        <f aca="true" t="shared" si="5" ref="H61:H84">C29*$E$14</f>
        <v>21.2352</v>
      </c>
      <c r="I61" s="228">
        <f>H61*$I$59</f>
        <v>0</v>
      </c>
      <c r="J61" s="224">
        <f aca="true" t="shared" si="6" ref="J61:J84">B29*$F$12</f>
        <v>1.19197</v>
      </c>
      <c r="K61" s="58">
        <f aca="true" t="shared" si="7" ref="K61:K84">D29*$F$15</f>
        <v>0.7144199999999999</v>
      </c>
      <c r="L61" s="58">
        <f aca="true" t="shared" si="8" ref="L61:L84">E29*$F$16</f>
        <v>0</v>
      </c>
      <c r="M61" s="58">
        <f>J61+K61+L61</f>
        <v>1.90639</v>
      </c>
      <c r="N61" s="107">
        <f>M61*$N$59</f>
        <v>190.50526606181077</v>
      </c>
      <c r="O61" s="224">
        <f>B29*$H$12</f>
        <v>0</v>
      </c>
      <c r="P61" s="58">
        <f>D29*$H$15</f>
        <v>0</v>
      </c>
      <c r="Q61" s="58">
        <f aca="true" t="shared" si="9" ref="Q61:Q83">O61+P61</f>
        <v>0</v>
      </c>
      <c r="R61" s="107">
        <f>Q61*$R$59</f>
        <v>0</v>
      </c>
    </row>
    <row r="62" spans="1:18" ht="15" customHeight="1">
      <c r="A62" s="257" t="s">
        <v>32</v>
      </c>
      <c r="B62" s="224">
        <f aca="true" t="shared" si="10" ref="B62:B84">B30*$C$12</f>
        <v>101.97805922037207</v>
      </c>
      <c r="C62" s="58">
        <f aca="true" t="shared" si="11" ref="C62:C84">C30*$C$14</f>
        <v>0</v>
      </c>
      <c r="D62" s="58">
        <f>B62+C62</f>
        <v>101.97805922037207</v>
      </c>
      <c r="E62" s="107">
        <f>D62*$E$59</f>
        <v>6176.253803658171</v>
      </c>
      <c r="F62" s="224">
        <f t="shared" si="4"/>
        <v>129.4018</v>
      </c>
      <c r="G62" s="228">
        <f aca="true" t="shared" si="12" ref="G62:G84">F62*$G$59</f>
        <v>0</v>
      </c>
      <c r="H62" s="224">
        <f t="shared" si="5"/>
        <v>0</v>
      </c>
      <c r="I62" s="228">
        <f aca="true" t="shared" si="13" ref="I62:I84">H62*$I$59</f>
        <v>0</v>
      </c>
      <c r="J62" s="224">
        <f t="shared" si="6"/>
        <v>9.928490000000002</v>
      </c>
      <c r="K62" s="58">
        <f t="shared" si="7"/>
        <v>0</v>
      </c>
      <c r="L62" s="58">
        <f t="shared" si="8"/>
        <v>0</v>
      </c>
      <c r="M62" s="58">
        <f aca="true" t="shared" si="14" ref="M62:M84">J62+K62+L62</f>
        <v>9.928490000000002</v>
      </c>
      <c r="N62" s="107">
        <f aca="true" t="shared" si="15" ref="N62:N84">M62*$N$59</f>
        <v>992.1525128866748</v>
      </c>
      <c r="O62" s="224">
        <f aca="true" t="shared" si="16" ref="O62:O84">B30*$H$12</f>
        <v>0</v>
      </c>
      <c r="P62" s="58">
        <f aca="true" t="shared" si="17" ref="P62:P84">D30*$H$15</f>
        <v>0</v>
      </c>
      <c r="Q62" s="58">
        <f t="shared" si="9"/>
        <v>0</v>
      </c>
      <c r="R62" s="107">
        <f aca="true" t="shared" si="18" ref="R62:R84">Q62*$R$59</f>
        <v>0</v>
      </c>
    </row>
    <row r="63" spans="1:18" ht="15" customHeight="1">
      <c r="A63" s="257" t="s">
        <v>19</v>
      </c>
      <c r="B63" s="224">
        <f t="shared" si="10"/>
        <v>38.71061651182757</v>
      </c>
      <c r="C63" s="58">
        <f t="shared" si="11"/>
        <v>0</v>
      </c>
      <c r="D63" s="58">
        <f>B63+C63</f>
        <v>38.71061651182757</v>
      </c>
      <c r="E63" s="107">
        <f aca="true" t="shared" si="19" ref="E63:E83">D63*$E$59</f>
        <v>2344.490513949354</v>
      </c>
      <c r="F63" s="224">
        <f t="shared" si="4"/>
        <v>49.120599999999996</v>
      </c>
      <c r="G63" s="228">
        <f t="shared" si="12"/>
        <v>0</v>
      </c>
      <c r="H63" s="224">
        <f t="shared" si="5"/>
        <v>0</v>
      </c>
      <c r="I63" s="228">
        <f t="shared" si="13"/>
        <v>0</v>
      </c>
      <c r="J63" s="224">
        <f t="shared" si="6"/>
        <v>3.7688300000000003</v>
      </c>
      <c r="K63" s="58">
        <f t="shared" si="7"/>
        <v>0</v>
      </c>
      <c r="L63" s="58">
        <f t="shared" si="8"/>
        <v>0</v>
      </c>
      <c r="M63" s="58">
        <f t="shared" si="14"/>
        <v>3.7688300000000003</v>
      </c>
      <c r="N63" s="107">
        <f t="shared" si="15"/>
        <v>376.6186152317912</v>
      </c>
      <c r="O63" s="224">
        <f t="shared" si="16"/>
        <v>0</v>
      </c>
      <c r="P63" s="58">
        <f t="shared" si="17"/>
        <v>0</v>
      </c>
      <c r="Q63" s="58">
        <f t="shared" si="9"/>
        <v>0</v>
      </c>
      <c r="R63" s="107">
        <f t="shared" si="18"/>
        <v>0</v>
      </c>
    </row>
    <row r="64" spans="1:18" ht="15" customHeight="1">
      <c r="A64" s="257" t="s">
        <v>51</v>
      </c>
      <c r="B64" s="224">
        <f t="shared" si="10"/>
        <v>58.66746085613355</v>
      </c>
      <c r="C64" s="58">
        <f t="shared" si="11"/>
        <v>0</v>
      </c>
      <c r="D64" s="58">
        <f aca="true" t="shared" si="20" ref="D64:D83">B64+C64</f>
        <v>58.66746085613355</v>
      </c>
      <c r="E64" s="107">
        <f t="shared" si="19"/>
        <v>3553.1675247971016</v>
      </c>
      <c r="F64" s="224">
        <f t="shared" si="4"/>
        <v>74.4442</v>
      </c>
      <c r="G64" s="228">
        <f t="shared" si="12"/>
        <v>0</v>
      </c>
      <c r="H64" s="224">
        <f t="shared" si="5"/>
        <v>0</v>
      </c>
      <c r="I64" s="228">
        <f t="shared" si="13"/>
        <v>0</v>
      </c>
      <c r="J64" s="224">
        <f t="shared" si="6"/>
        <v>5.711810000000001</v>
      </c>
      <c r="K64" s="58">
        <f t="shared" si="7"/>
        <v>0</v>
      </c>
      <c r="L64" s="58">
        <f t="shared" si="8"/>
        <v>0</v>
      </c>
      <c r="M64" s="58">
        <f t="shared" si="14"/>
        <v>5.711810000000001</v>
      </c>
      <c r="N64" s="107">
        <f t="shared" si="15"/>
        <v>570.7803144920565</v>
      </c>
      <c r="O64" s="224">
        <f t="shared" si="16"/>
        <v>0</v>
      </c>
      <c r="P64" s="58">
        <f t="shared" si="17"/>
        <v>0</v>
      </c>
      <c r="Q64" s="58">
        <f t="shared" si="9"/>
        <v>0</v>
      </c>
      <c r="R64" s="107">
        <f t="shared" si="18"/>
        <v>0</v>
      </c>
    </row>
    <row r="65" spans="1:18" ht="15" customHeight="1">
      <c r="A65" s="257" t="s">
        <v>11</v>
      </c>
      <c r="B65" s="224">
        <f t="shared" si="10"/>
        <v>30.501418129063403</v>
      </c>
      <c r="C65" s="58">
        <f t="shared" si="11"/>
        <v>0</v>
      </c>
      <c r="D65" s="58">
        <f t="shared" si="20"/>
        <v>30.501418129063403</v>
      </c>
      <c r="E65" s="107">
        <f t="shared" si="19"/>
        <v>1847.304225799217</v>
      </c>
      <c r="F65" s="224">
        <f t="shared" si="4"/>
        <v>38.7038</v>
      </c>
      <c r="G65" s="228">
        <f t="shared" si="12"/>
        <v>0</v>
      </c>
      <c r="H65" s="224">
        <f t="shared" si="5"/>
        <v>0</v>
      </c>
      <c r="I65" s="228">
        <f t="shared" si="13"/>
        <v>0</v>
      </c>
      <c r="J65" s="224">
        <f t="shared" si="6"/>
        <v>2.96959</v>
      </c>
      <c r="K65" s="58">
        <f t="shared" si="7"/>
        <v>2.99376</v>
      </c>
      <c r="L65" s="58">
        <f t="shared" si="8"/>
        <v>0</v>
      </c>
      <c r="M65" s="58">
        <f t="shared" si="14"/>
        <v>5.96335</v>
      </c>
      <c r="N65" s="107">
        <f t="shared" si="15"/>
        <v>595.9166688713743</v>
      </c>
      <c r="O65" s="224">
        <f t="shared" si="16"/>
        <v>0</v>
      </c>
      <c r="P65" s="58">
        <f t="shared" si="17"/>
        <v>0</v>
      </c>
      <c r="Q65" s="58">
        <f t="shared" si="9"/>
        <v>0</v>
      </c>
      <c r="R65" s="107">
        <f t="shared" si="18"/>
        <v>0</v>
      </c>
    </row>
    <row r="66" spans="1:18" ht="15" customHeight="1">
      <c r="A66" s="257" t="s">
        <v>20</v>
      </c>
      <c r="B66" s="224">
        <f t="shared" si="10"/>
        <v>99.3596080120766</v>
      </c>
      <c r="C66" s="58">
        <f t="shared" si="11"/>
        <v>0</v>
      </c>
      <c r="D66" s="58">
        <f t="shared" si="20"/>
        <v>99.3596080120766</v>
      </c>
      <c r="E66" s="107">
        <f t="shared" si="19"/>
        <v>6017.66852209304</v>
      </c>
      <c r="F66" s="224">
        <f t="shared" si="4"/>
        <v>126.0792</v>
      </c>
      <c r="G66" s="228">
        <f t="shared" si="12"/>
        <v>0</v>
      </c>
      <c r="H66" s="224">
        <f t="shared" si="5"/>
        <v>0</v>
      </c>
      <c r="I66" s="228">
        <f t="shared" si="13"/>
        <v>0</v>
      </c>
      <c r="J66" s="224">
        <f t="shared" si="6"/>
        <v>9.67356</v>
      </c>
      <c r="K66" s="58">
        <f t="shared" si="7"/>
        <v>7.17822</v>
      </c>
      <c r="L66" s="58">
        <f t="shared" si="8"/>
        <v>0</v>
      </c>
      <c r="M66" s="58">
        <f t="shared" si="14"/>
        <v>16.851779999999998</v>
      </c>
      <c r="N66" s="107">
        <f t="shared" si="15"/>
        <v>1683.9958416247994</v>
      </c>
      <c r="O66" s="224">
        <f t="shared" si="16"/>
        <v>0</v>
      </c>
      <c r="P66" s="58">
        <f t="shared" si="17"/>
        <v>0</v>
      </c>
      <c r="Q66" s="58">
        <f t="shared" si="9"/>
        <v>0</v>
      </c>
      <c r="R66" s="107">
        <f t="shared" si="18"/>
        <v>0</v>
      </c>
    </row>
    <row r="67" spans="1:18" ht="15" customHeight="1">
      <c r="A67" s="257" t="s">
        <v>21</v>
      </c>
      <c r="B67" s="224">
        <f t="shared" si="10"/>
        <v>15.215324588743924</v>
      </c>
      <c r="C67" s="58">
        <f t="shared" si="11"/>
        <v>0</v>
      </c>
      <c r="D67" s="58">
        <f t="shared" si="20"/>
        <v>15.215324588743924</v>
      </c>
      <c r="E67" s="107">
        <f t="shared" si="19"/>
        <v>921.5090685541336</v>
      </c>
      <c r="F67" s="224">
        <f t="shared" si="4"/>
        <v>19.307</v>
      </c>
      <c r="G67" s="228">
        <f t="shared" si="12"/>
        <v>0</v>
      </c>
      <c r="H67" s="224">
        <f t="shared" si="5"/>
        <v>0</v>
      </c>
      <c r="I67" s="228">
        <f t="shared" si="13"/>
        <v>0</v>
      </c>
      <c r="J67" s="224">
        <f t="shared" si="6"/>
        <v>1.48135</v>
      </c>
      <c r="K67" s="58">
        <f t="shared" si="7"/>
        <v>0.40823999999999994</v>
      </c>
      <c r="L67" s="58">
        <f t="shared" si="8"/>
        <v>0</v>
      </c>
      <c r="M67" s="58">
        <f t="shared" si="14"/>
        <v>1.8895899999999999</v>
      </c>
      <c r="N67" s="107">
        <f t="shared" si="15"/>
        <v>188.8264445878005</v>
      </c>
      <c r="O67" s="224">
        <f t="shared" si="16"/>
        <v>0</v>
      </c>
      <c r="P67" s="58">
        <f t="shared" si="17"/>
        <v>0</v>
      </c>
      <c r="Q67" s="58">
        <f t="shared" si="9"/>
        <v>0</v>
      </c>
      <c r="R67" s="107">
        <f t="shared" si="18"/>
        <v>0</v>
      </c>
    </row>
    <row r="68" spans="1:18" ht="15" customHeight="1">
      <c r="A68" s="257" t="s">
        <v>65</v>
      </c>
      <c r="B68" s="224">
        <f t="shared" si="10"/>
        <v>22.99990926205477</v>
      </c>
      <c r="C68" s="58">
        <f t="shared" si="11"/>
        <v>0</v>
      </c>
      <c r="D68" s="58">
        <f t="shared" si="20"/>
        <v>22.99990926205477</v>
      </c>
      <c r="E68" s="107">
        <f t="shared" si="19"/>
        <v>1392.9788245585744</v>
      </c>
      <c r="F68" s="224">
        <f t="shared" si="4"/>
        <v>29.185000000000002</v>
      </c>
      <c r="G68" s="228">
        <f t="shared" si="12"/>
        <v>0</v>
      </c>
      <c r="H68" s="224">
        <f t="shared" si="5"/>
        <v>0</v>
      </c>
      <c r="I68" s="228">
        <f t="shared" si="13"/>
        <v>0</v>
      </c>
      <c r="J68" s="224">
        <f t="shared" si="6"/>
        <v>2.23925</v>
      </c>
      <c r="K68" s="58">
        <f t="shared" si="7"/>
        <v>0</v>
      </c>
      <c r="L68" s="58">
        <f t="shared" si="8"/>
        <v>0</v>
      </c>
      <c r="M68" s="58">
        <f t="shared" si="14"/>
        <v>2.23925</v>
      </c>
      <c r="N68" s="107">
        <f t="shared" si="15"/>
        <v>223.76791581413553</v>
      </c>
      <c r="O68" s="224">
        <f t="shared" si="16"/>
        <v>0</v>
      </c>
      <c r="P68" s="58">
        <f t="shared" si="17"/>
        <v>0</v>
      </c>
      <c r="Q68" s="58">
        <f t="shared" si="9"/>
        <v>0</v>
      </c>
      <c r="R68" s="107">
        <f t="shared" si="18"/>
        <v>0</v>
      </c>
    </row>
    <row r="69" spans="1:18" ht="15" customHeight="1">
      <c r="A69" s="257" t="s">
        <v>50</v>
      </c>
      <c r="B69" s="224">
        <f t="shared" si="10"/>
        <v>13.163024993052883</v>
      </c>
      <c r="C69" s="58">
        <f t="shared" si="11"/>
        <v>0</v>
      </c>
      <c r="D69" s="58">
        <f t="shared" si="20"/>
        <v>13.163024993052883</v>
      </c>
      <c r="E69" s="107">
        <f t="shared" si="19"/>
        <v>797.2124965165993</v>
      </c>
      <c r="F69" s="224">
        <f t="shared" si="4"/>
        <v>16.7028</v>
      </c>
      <c r="G69" s="228">
        <f t="shared" si="12"/>
        <v>0</v>
      </c>
      <c r="H69" s="224">
        <f t="shared" si="5"/>
        <v>0</v>
      </c>
      <c r="I69" s="228">
        <f t="shared" si="13"/>
        <v>0</v>
      </c>
      <c r="J69" s="224">
        <f t="shared" si="6"/>
        <v>1.28154</v>
      </c>
      <c r="K69" s="58">
        <f t="shared" si="7"/>
        <v>0</v>
      </c>
      <c r="L69" s="58">
        <f t="shared" si="8"/>
        <v>0</v>
      </c>
      <c r="M69" s="58">
        <f t="shared" si="14"/>
        <v>1.28154</v>
      </c>
      <c r="N69" s="107">
        <f t="shared" si="15"/>
        <v>128.06409951208985</v>
      </c>
      <c r="O69" s="224">
        <f t="shared" si="16"/>
        <v>0</v>
      </c>
      <c r="P69" s="58">
        <f t="shared" si="17"/>
        <v>0</v>
      </c>
      <c r="Q69" s="58">
        <f t="shared" si="9"/>
        <v>0</v>
      </c>
      <c r="R69" s="107">
        <f t="shared" si="18"/>
        <v>0</v>
      </c>
    </row>
    <row r="70" spans="1:18" ht="15" customHeight="1">
      <c r="A70" s="257" t="s">
        <v>33</v>
      </c>
      <c r="B70" s="224">
        <f t="shared" si="10"/>
        <v>83.71966971387937</v>
      </c>
      <c r="C70" s="58">
        <f t="shared" si="11"/>
        <v>0</v>
      </c>
      <c r="D70" s="58">
        <f t="shared" si="20"/>
        <v>83.71966971387937</v>
      </c>
      <c r="E70" s="107">
        <f t="shared" si="19"/>
        <v>5070.442921393211</v>
      </c>
      <c r="F70" s="224">
        <f t="shared" si="4"/>
        <v>106.2334</v>
      </c>
      <c r="G70" s="228">
        <f t="shared" si="12"/>
        <v>0</v>
      </c>
      <c r="H70" s="224">
        <f t="shared" si="5"/>
        <v>0</v>
      </c>
      <c r="I70" s="228">
        <f t="shared" si="13"/>
        <v>0</v>
      </c>
      <c r="J70" s="224">
        <f t="shared" si="6"/>
        <v>8.150870000000001</v>
      </c>
      <c r="K70" s="58">
        <f t="shared" si="7"/>
        <v>0</v>
      </c>
      <c r="L70" s="58">
        <f t="shared" si="8"/>
        <v>0</v>
      </c>
      <c r="M70" s="58">
        <f t="shared" si="14"/>
        <v>8.150870000000001</v>
      </c>
      <c r="N70" s="107">
        <f t="shared" si="15"/>
        <v>814.5152135634534</v>
      </c>
      <c r="O70" s="224">
        <f t="shared" si="16"/>
        <v>0</v>
      </c>
      <c r="P70" s="58">
        <f t="shared" si="17"/>
        <v>0</v>
      </c>
      <c r="Q70" s="58">
        <f t="shared" si="9"/>
        <v>0</v>
      </c>
      <c r="R70" s="107">
        <f t="shared" si="18"/>
        <v>0</v>
      </c>
    </row>
    <row r="71" spans="1:18" ht="15" customHeight="1">
      <c r="A71" s="257" t="s">
        <v>17</v>
      </c>
      <c r="B71" s="224">
        <f t="shared" si="10"/>
        <v>17.904544748614942</v>
      </c>
      <c r="C71" s="58">
        <f t="shared" si="11"/>
        <v>2.6300173250349603</v>
      </c>
      <c r="D71" s="58">
        <f t="shared" si="20"/>
        <v>20.5345620736499</v>
      </c>
      <c r="E71" s="107">
        <f t="shared" si="19"/>
        <v>1243.6662168649996</v>
      </c>
      <c r="F71" s="224">
        <f t="shared" si="4"/>
        <v>22.7194</v>
      </c>
      <c r="G71" s="228">
        <f t="shared" si="12"/>
        <v>0</v>
      </c>
      <c r="H71" s="224">
        <f t="shared" si="5"/>
        <v>39.744899999999994</v>
      </c>
      <c r="I71" s="228">
        <f t="shared" si="13"/>
        <v>0</v>
      </c>
      <c r="J71" s="224">
        <f t="shared" si="6"/>
        <v>1.74317</v>
      </c>
      <c r="K71" s="58">
        <f t="shared" si="7"/>
        <v>0</v>
      </c>
      <c r="L71" s="58">
        <f t="shared" si="8"/>
        <v>0</v>
      </c>
      <c r="M71" s="58">
        <f t="shared" si="14"/>
        <v>1.74317</v>
      </c>
      <c r="N71" s="107">
        <f t="shared" si="15"/>
        <v>174.19471600300395</v>
      </c>
      <c r="O71" s="224">
        <f t="shared" si="16"/>
        <v>0</v>
      </c>
      <c r="P71" s="58">
        <f t="shared" si="17"/>
        <v>0</v>
      </c>
      <c r="Q71" s="58">
        <f t="shared" si="9"/>
        <v>0</v>
      </c>
      <c r="R71" s="107">
        <f t="shared" si="18"/>
        <v>0</v>
      </c>
    </row>
    <row r="72" spans="1:18" ht="15" customHeight="1">
      <c r="A72" s="257" t="s">
        <v>185</v>
      </c>
      <c r="B72" s="224">
        <f t="shared" si="10"/>
        <v>0</v>
      </c>
      <c r="C72" s="58">
        <f t="shared" si="11"/>
        <v>0</v>
      </c>
      <c r="D72" s="58">
        <f>B72+C72</f>
        <v>0</v>
      </c>
      <c r="E72" s="107">
        <f>D72*$E$59</f>
        <v>0</v>
      </c>
      <c r="F72" s="224">
        <f t="shared" si="4"/>
        <v>0</v>
      </c>
      <c r="G72" s="228">
        <f>F72*$G$59</f>
        <v>0</v>
      </c>
      <c r="H72" s="224">
        <f t="shared" si="5"/>
        <v>0</v>
      </c>
      <c r="I72" s="228">
        <f>H72*$I$59</f>
        <v>0</v>
      </c>
      <c r="J72" s="224">
        <f t="shared" si="6"/>
        <v>0</v>
      </c>
      <c r="K72" s="58">
        <f t="shared" si="7"/>
        <v>0</v>
      </c>
      <c r="L72" s="58">
        <f t="shared" si="8"/>
        <v>0</v>
      </c>
      <c r="M72" s="58">
        <f>J72+K72+L72</f>
        <v>0</v>
      </c>
      <c r="N72" s="107">
        <f>M72*$N$59</f>
        <v>0</v>
      </c>
      <c r="O72" s="224">
        <f t="shared" si="16"/>
        <v>0</v>
      </c>
      <c r="P72" s="58">
        <f t="shared" si="17"/>
        <v>0</v>
      </c>
      <c r="Q72" s="58">
        <f>O72+P72</f>
        <v>0</v>
      </c>
      <c r="R72" s="107">
        <f>Q72*$R$59</f>
        <v>0</v>
      </c>
    </row>
    <row r="73" spans="1:18" ht="15" customHeight="1">
      <c r="A73" s="257" t="s">
        <v>12</v>
      </c>
      <c r="B73" s="224">
        <f t="shared" si="10"/>
        <v>28.44911853337236</v>
      </c>
      <c r="C73" s="58">
        <f t="shared" si="11"/>
        <v>1.5039872478882095</v>
      </c>
      <c r="D73" s="58">
        <f t="shared" si="20"/>
        <v>29.953105781260568</v>
      </c>
      <c r="E73" s="107">
        <f t="shared" si="19"/>
        <v>1814.0959430607522</v>
      </c>
      <c r="F73" s="224">
        <f t="shared" si="4"/>
        <v>36.0996</v>
      </c>
      <c r="G73" s="228">
        <f t="shared" si="12"/>
        <v>0</v>
      </c>
      <c r="H73" s="224">
        <f t="shared" si="5"/>
        <v>22.7283</v>
      </c>
      <c r="I73" s="228">
        <f t="shared" si="13"/>
        <v>0</v>
      </c>
      <c r="J73" s="224">
        <f t="shared" si="6"/>
        <v>2.7697800000000004</v>
      </c>
      <c r="K73" s="58">
        <f t="shared" si="7"/>
        <v>3.6061199999999998</v>
      </c>
      <c r="L73" s="58">
        <f t="shared" si="8"/>
        <v>11.57646</v>
      </c>
      <c r="M73" s="58">
        <f t="shared" si="14"/>
        <v>17.95236</v>
      </c>
      <c r="N73" s="107">
        <f t="shared" si="15"/>
        <v>1793.9766355454074</v>
      </c>
      <c r="O73" s="224">
        <f t="shared" si="16"/>
        <v>0</v>
      </c>
      <c r="P73" s="58">
        <f t="shared" si="17"/>
        <v>0</v>
      </c>
      <c r="Q73" s="58">
        <f t="shared" si="9"/>
        <v>0</v>
      </c>
      <c r="R73" s="107">
        <f t="shared" si="18"/>
        <v>0</v>
      </c>
    </row>
    <row r="74" spans="1:18" ht="15" customHeight="1">
      <c r="A74" s="257" t="s">
        <v>13</v>
      </c>
      <c r="B74" s="224">
        <f t="shared" si="10"/>
        <v>13.446100799355095</v>
      </c>
      <c r="C74" s="58">
        <f t="shared" si="11"/>
        <v>0.2305381912821343</v>
      </c>
      <c r="D74" s="58">
        <f t="shared" si="20"/>
        <v>13.67663899063723</v>
      </c>
      <c r="E74" s="107">
        <f t="shared" si="19"/>
        <v>828.319289786094</v>
      </c>
      <c r="F74" s="224">
        <f t="shared" si="4"/>
        <v>17.062</v>
      </c>
      <c r="G74" s="228">
        <f t="shared" si="12"/>
        <v>0</v>
      </c>
      <c r="H74" s="224">
        <f t="shared" si="5"/>
        <v>3.4838999999999998</v>
      </c>
      <c r="I74" s="228">
        <f t="shared" si="13"/>
        <v>0</v>
      </c>
      <c r="J74" s="224">
        <f t="shared" si="6"/>
        <v>1.3091000000000002</v>
      </c>
      <c r="K74" s="58">
        <f t="shared" si="7"/>
        <v>0</v>
      </c>
      <c r="L74" s="58">
        <f t="shared" si="8"/>
        <v>0</v>
      </c>
      <c r="M74" s="58">
        <f t="shared" si="14"/>
        <v>1.3091000000000002</v>
      </c>
      <c r="N74" s="107">
        <f t="shared" si="15"/>
        <v>130.81816616826384</v>
      </c>
      <c r="O74" s="224">
        <f t="shared" si="16"/>
        <v>0</v>
      </c>
      <c r="P74" s="58">
        <f t="shared" si="17"/>
        <v>0</v>
      </c>
      <c r="Q74" s="58">
        <f t="shared" si="9"/>
        <v>0</v>
      </c>
      <c r="R74" s="107">
        <f t="shared" si="18"/>
        <v>0</v>
      </c>
    </row>
    <row r="75" spans="1:18" ht="15" customHeight="1">
      <c r="A75" s="257" t="s">
        <v>9</v>
      </c>
      <c r="B75" s="224">
        <f t="shared" si="10"/>
        <v>38.42754070552535</v>
      </c>
      <c r="C75" s="58">
        <f t="shared" si="11"/>
        <v>4.805231415567752</v>
      </c>
      <c r="D75" s="58">
        <f t="shared" si="20"/>
        <v>43.232772121093106</v>
      </c>
      <c r="E75" s="107">
        <f t="shared" si="19"/>
        <v>2618.3727685832105</v>
      </c>
      <c r="F75" s="224">
        <f t="shared" si="4"/>
        <v>48.7614</v>
      </c>
      <c r="G75" s="228">
        <f t="shared" si="12"/>
        <v>0</v>
      </c>
      <c r="H75" s="224">
        <f t="shared" si="5"/>
        <v>72.6168</v>
      </c>
      <c r="I75" s="228">
        <f t="shared" si="13"/>
        <v>0</v>
      </c>
      <c r="J75" s="224">
        <f t="shared" si="6"/>
        <v>3.7412700000000005</v>
      </c>
      <c r="K75" s="58">
        <f t="shared" si="7"/>
        <v>0</v>
      </c>
      <c r="L75" s="58">
        <f t="shared" si="8"/>
        <v>46.12524</v>
      </c>
      <c r="M75" s="58">
        <f t="shared" si="14"/>
        <v>49.86651</v>
      </c>
      <c r="N75" s="107">
        <f t="shared" si="15"/>
        <v>4983.152846544488</v>
      </c>
      <c r="O75" s="224">
        <f t="shared" si="16"/>
        <v>0</v>
      </c>
      <c r="P75" s="58">
        <f t="shared" si="17"/>
        <v>0</v>
      </c>
      <c r="Q75" s="58">
        <f t="shared" si="9"/>
        <v>0</v>
      </c>
      <c r="R75" s="107">
        <f t="shared" si="18"/>
        <v>0</v>
      </c>
    </row>
    <row r="76" spans="1:18" ht="15" customHeight="1">
      <c r="A76" s="257" t="s">
        <v>14</v>
      </c>
      <c r="B76" s="224">
        <f t="shared" si="10"/>
        <v>13.799945557232862</v>
      </c>
      <c r="C76" s="58">
        <f t="shared" si="11"/>
        <v>0</v>
      </c>
      <c r="D76" s="58">
        <f t="shared" si="20"/>
        <v>13.799945557232862</v>
      </c>
      <c r="E76" s="107">
        <f t="shared" si="19"/>
        <v>835.7872947351445</v>
      </c>
      <c r="F76" s="224">
        <f t="shared" si="4"/>
        <v>17.511</v>
      </c>
      <c r="G76" s="228">
        <f t="shared" si="12"/>
        <v>0</v>
      </c>
      <c r="H76" s="224">
        <f t="shared" si="5"/>
        <v>0</v>
      </c>
      <c r="I76" s="228">
        <f t="shared" si="13"/>
        <v>0</v>
      </c>
      <c r="J76" s="224">
        <f t="shared" si="6"/>
        <v>1.34355</v>
      </c>
      <c r="K76" s="58">
        <f t="shared" si="7"/>
        <v>9.1854</v>
      </c>
      <c r="L76" s="58">
        <f t="shared" si="8"/>
        <v>0</v>
      </c>
      <c r="M76" s="58">
        <f t="shared" si="14"/>
        <v>10.52895</v>
      </c>
      <c r="N76" s="107">
        <f t="shared" si="15"/>
        <v>1052.1563904035913</v>
      </c>
      <c r="O76" s="224">
        <f t="shared" si="16"/>
        <v>0</v>
      </c>
      <c r="P76" s="58">
        <f t="shared" si="17"/>
        <v>0</v>
      </c>
      <c r="Q76" s="58">
        <f t="shared" si="9"/>
        <v>0</v>
      </c>
      <c r="R76" s="107">
        <f t="shared" si="18"/>
        <v>0</v>
      </c>
    </row>
    <row r="77" spans="1:18" ht="15" customHeight="1">
      <c r="A77" s="257" t="s">
        <v>15</v>
      </c>
      <c r="B77" s="224">
        <f t="shared" si="10"/>
        <v>29.156808049127893</v>
      </c>
      <c r="C77" s="58">
        <f t="shared" si="11"/>
        <v>0</v>
      </c>
      <c r="D77" s="58">
        <f t="shared" si="20"/>
        <v>29.156808049127893</v>
      </c>
      <c r="E77" s="107">
        <f t="shared" si="19"/>
        <v>1765.8685406711772</v>
      </c>
      <c r="F77" s="224">
        <f t="shared" si="4"/>
        <v>36.9976</v>
      </c>
      <c r="G77" s="228">
        <f t="shared" si="12"/>
        <v>0</v>
      </c>
      <c r="H77" s="224">
        <f t="shared" si="5"/>
        <v>0</v>
      </c>
      <c r="I77" s="228">
        <f t="shared" si="13"/>
        <v>0</v>
      </c>
      <c r="J77" s="224">
        <f t="shared" si="6"/>
        <v>2.83868</v>
      </c>
      <c r="K77" s="58">
        <f t="shared" si="7"/>
        <v>3.2319</v>
      </c>
      <c r="L77" s="58">
        <f t="shared" si="8"/>
        <v>0.51471</v>
      </c>
      <c r="M77" s="58">
        <f t="shared" si="14"/>
        <v>6.58529</v>
      </c>
      <c r="N77" s="107">
        <f t="shared" si="15"/>
        <v>658.0670395586327</v>
      </c>
      <c r="O77" s="224">
        <f t="shared" si="16"/>
        <v>0</v>
      </c>
      <c r="P77" s="58">
        <f t="shared" si="17"/>
        <v>0</v>
      </c>
      <c r="Q77" s="58">
        <f t="shared" si="9"/>
        <v>0</v>
      </c>
      <c r="R77" s="107">
        <f t="shared" si="18"/>
        <v>0</v>
      </c>
    </row>
    <row r="78" spans="1:18" ht="15" customHeight="1">
      <c r="A78" s="257" t="s">
        <v>10</v>
      </c>
      <c r="B78" s="224">
        <f t="shared" si="10"/>
        <v>32.97833143420777</v>
      </c>
      <c r="C78" s="58">
        <f t="shared" si="11"/>
        <v>2.561012696351873</v>
      </c>
      <c r="D78" s="58">
        <f t="shared" si="20"/>
        <v>35.53934413055964</v>
      </c>
      <c r="E78" s="107">
        <f t="shared" si="19"/>
        <v>2152.4238747430127</v>
      </c>
      <c r="F78" s="224">
        <f t="shared" si="4"/>
        <v>41.8468</v>
      </c>
      <c r="G78" s="228">
        <f t="shared" si="12"/>
        <v>0</v>
      </c>
      <c r="H78" s="224">
        <f t="shared" si="5"/>
        <v>38.7021</v>
      </c>
      <c r="I78" s="228">
        <f t="shared" si="13"/>
        <v>0</v>
      </c>
      <c r="J78" s="224">
        <f t="shared" si="6"/>
        <v>3.2107400000000004</v>
      </c>
      <c r="K78" s="58">
        <f t="shared" si="7"/>
        <v>0</v>
      </c>
      <c r="L78" s="58">
        <f t="shared" si="8"/>
        <v>0</v>
      </c>
      <c r="M78" s="58">
        <f t="shared" si="14"/>
        <v>3.2107400000000004</v>
      </c>
      <c r="N78" s="107">
        <f t="shared" si="15"/>
        <v>320.84876544426817</v>
      </c>
      <c r="O78" s="224">
        <f t="shared" si="16"/>
        <v>0</v>
      </c>
      <c r="P78" s="58">
        <f t="shared" si="17"/>
        <v>0</v>
      </c>
      <c r="Q78" s="58">
        <f t="shared" si="9"/>
        <v>0</v>
      </c>
      <c r="R78" s="107">
        <f t="shared" si="18"/>
        <v>0</v>
      </c>
    </row>
    <row r="79" spans="1:18" ht="15" customHeight="1">
      <c r="A79" s="257" t="s">
        <v>8</v>
      </c>
      <c r="B79" s="224">
        <f t="shared" si="10"/>
        <v>46.495201185138406</v>
      </c>
      <c r="C79" s="58">
        <f t="shared" si="11"/>
        <v>2.1956018217346127</v>
      </c>
      <c r="D79" s="58">
        <f t="shared" si="20"/>
        <v>48.69080300687302</v>
      </c>
      <c r="E79" s="107">
        <f t="shared" si="19"/>
        <v>2948.935874769955</v>
      </c>
      <c r="F79" s="224">
        <f t="shared" si="4"/>
        <v>58.998599999999996</v>
      </c>
      <c r="G79" s="228">
        <f t="shared" si="12"/>
        <v>0</v>
      </c>
      <c r="H79" s="224">
        <f t="shared" si="5"/>
        <v>33.18</v>
      </c>
      <c r="I79" s="228">
        <f t="shared" si="13"/>
        <v>0</v>
      </c>
      <c r="J79" s="224">
        <f t="shared" si="6"/>
        <v>4.52673</v>
      </c>
      <c r="K79" s="58">
        <f t="shared" si="7"/>
        <v>217.08162</v>
      </c>
      <c r="L79" s="58">
        <f t="shared" si="8"/>
        <v>28.408379999999998</v>
      </c>
      <c r="M79" s="58">
        <f t="shared" si="14"/>
        <v>250.01672999999997</v>
      </c>
      <c r="N79" s="107">
        <f t="shared" si="15"/>
        <v>24984.134237251506</v>
      </c>
      <c r="O79" s="224">
        <f t="shared" si="16"/>
        <v>0</v>
      </c>
      <c r="P79" s="58">
        <f t="shared" si="17"/>
        <v>0</v>
      </c>
      <c r="Q79" s="58">
        <f t="shared" si="9"/>
        <v>0</v>
      </c>
      <c r="R79" s="107">
        <f t="shared" si="18"/>
        <v>0</v>
      </c>
    </row>
    <row r="80" spans="1:18" ht="15" customHeight="1">
      <c r="A80" s="257" t="s">
        <v>18</v>
      </c>
      <c r="B80" s="224">
        <f t="shared" si="10"/>
        <v>1.9815306441154878</v>
      </c>
      <c r="C80" s="58">
        <f t="shared" si="11"/>
        <v>0.0815509248072856</v>
      </c>
      <c r="D80" s="58">
        <f t="shared" si="20"/>
        <v>2.0630815689227733</v>
      </c>
      <c r="E80" s="107">
        <f t="shared" si="19"/>
        <v>124.94957723975652</v>
      </c>
      <c r="F80" s="224">
        <f t="shared" si="4"/>
        <v>2.5144</v>
      </c>
      <c r="G80" s="228">
        <f t="shared" si="12"/>
        <v>0</v>
      </c>
      <c r="H80" s="224">
        <f t="shared" si="5"/>
        <v>1.2324</v>
      </c>
      <c r="I80" s="228">
        <f t="shared" si="13"/>
        <v>0</v>
      </c>
      <c r="J80" s="224">
        <f t="shared" si="6"/>
        <v>0.19292</v>
      </c>
      <c r="K80" s="58">
        <f t="shared" si="7"/>
        <v>8.607059999999999</v>
      </c>
      <c r="L80" s="58">
        <f t="shared" si="8"/>
        <v>1.12875</v>
      </c>
      <c r="M80" s="58">
        <f t="shared" si="14"/>
        <v>9.92873</v>
      </c>
      <c r="N80" s="107">
        <f t="shared" si="15"/>
        <v>992.1764960505891</v>
      </c>
      <c r="O80" s="224">
        <f t="shared" si="16"/>
        <v>0</v>
      </c>
      <c r="P80" s="58">
        <f t="shared" si="17"/>
        <v>0</v>
      </c>
      <c r="Q80" s="58">
        <f t="shared" si="9"/>
        <v>0</v>
      </c>
      <c r="R80" s="107">
        <f t="shared" si="18"/>
        <v>0</v>
      </c>
    </row>
    <row r="81" spans="1:18" ht="15" customHeight="1">
      <c r="A81" s="257" t="s">
        <v>163</v>
      </c>
      <c r="B81" s="224">
        <f t="shared" si="10"/>
        <v>4.033830239806529</v>
      </c>
      <c r="C81" s="58">
        <f t="shared" si="11"/>
        <v>0.07684606376071143</v>
      </c>
      <c r="D81" s="58">
        <f>B81+C81</f>
        <v>4.1106763035672405</v>
      </c>
      <c r="E81" s="107">
        <f>D81*$E$59</f>
        <v>248.9612015526848</v>
      </c>
      <c r="F81" s="224">
        <f t="shared" si="4"/>
        <v>5.1186</v>
      </c>
      <c r="G81" s="228">
        <f>F81*$G$59</f>
        <v>0</v>
      </c>
      <c r="H81" s="224">
        <f t="shared" si="5"/>
        <v>1.1613</v>
      </c>
      <c r="I81" s="228">
        <f>H81*$I$59</f>
        <v>0</v>
      </c>
      <c r="J81" s="224">
        <f t="shared" si="6"/>
        <v>0.39273</v>
      </c>
      <c r="K81" s="58">
        <f t="shared" si="7"/>
        <v>30.788099999999996</v>
      </c>
      <c r="L81" s="58">
        <f t="shared" si="8"/>
        <v>0</v>
      </c>
      <c r="M81" s="58">
        <f>J81+K81+L81</f>
        <v>31.180829999999997</v>
      </c>
      <c r="N81" s="107">
        <f>M81*$N$59</f>
        <v>3115.895653658533</v>
      </c>
      <c r="O81" s="224">
        <f t="shared" si="16"/>
        <v>0</v>
      </c>
      <c r="P81" s="58">
        <f t="shared" si="17"/>
        <v>0</v>
      </c>
      <c r="Q81" s="58">
        <f>O81+P81</f>
        <v>0</v>
      </c>
      <c r="R81" s="107">
        <f>Q81*$R$59</f>
        <v>0</v>
      </c>
    </row>
    <row r="82" spans="1:18" ht="15" customHeight="1">
      <c r="A82" s="257" t="s">
        <v>164</v>
      </c>
      <c r="B82" s="224">
        <f t="shared" si="10"/>
        <v>2.9722959661732316</v>
      </c>
      <c r="C82" s="58">
        <f t="shared" si="11"/>
        <v>0.14741897945932397</v>
      </c>
      <c r="D82" s="58">
        <f t="shared" si="20"/>
        <v>3.1197149456325555</v>
      </c>
      <c r="E82" s="107">
        <f t="shared" si="19"/>
        <v>188.94408705753375</v>
      </c>
      <c r="F82" s="224">
        <f t="shared" si="4"/>
        <v>3.7716</v>
      </c>
      <c r="G82" s="228">
        <f t="shared" si="12"/>
        <v>0</v>
      </c>
      <c r="H82" s="224">
        <f t="shared" si="5"/>
        <v>2.2278000000000002</v>
      </c>
      <c r="I82" s="228">
        <f t="shared" si="13"/>
        <v>0</v>
      </c>
      <c r="J82" s="224">
        <f t="shared" si="6"/>
        <v>0.28938</v>
      </c>
      <c r="K82" s="58">
        <f t="shared" si="7"/>
        <v>0.20411999999999997</v>
      </c>
      <c r="L82" s="58">
        <f t="shared" si="8"/>
        <v>1.06554</v>
      </c>
      <c r="M82" s="58">
        <f t="shared" si="14"/>
        <v>1.55904</v>
      </c>
      <c r="N82" s="107">
        <f t="shared" si="15"/>
        <v>155.7946327881522</v>
      </c>
      <c r="O82" s="224">
        <f t="shared" si="16"/>
        <v>0</v>
      </c>
      <c r="P82" s="58">
        <f t="shared" si="17"/>
        <v>0</v>
      </c>
      <c r="Q82" s="58">
        <f t="shared" si="9"/>
        <v>0</v>
      </c>
      <c r="R82" s="107">
        <f t="shared" si="18"/>
        <v>0</v>
      </c>
    </row>
    <row r="83" spans="1:18" ht="15" customHeight="1">
      <c r="A83" s="257" t="s">
        <v>142</v>
      </c>
      <c r="B83" s="224">
        <f t="shared" si="10"/>
        <v>1.4153790315110628</v>
      </c>
      <c r="C83" s="58">
        <f t="shared" si="11"/>
        <v>0.04548032345021697</v>
      </c>
      <c r="D83" s="58">
        <f t="shared" si="20"/>
        <v>1.4608593549612798</v>
      </c>
      <c r="E83" s="107">
        <f t="shared" si="19"/>
        <v>88.47626849018108</v>
      </c>
      <c r="F83" s="224">
        <f t="shared" si="4"/>
        <v>1.796</v>
      </c>
      <c r="G83" s="228">
        <f t="shared" si="12"/>
        <v>0</v>
      </c>
      <c r="H83" s="224">
        <f t="shared" si="5"/>
        <v>0.6872999999999999</v>
      </c>
      <c r="I83" s="228">
        <f t="shared" si="13"/>
        <v>0</v>
      </c>
      <c r="J83" s="224">
        <f t="shared" si="6"/>
        <v>0.1378</v>
      </c>
      <c r="K83" s="58">
        <f t="shared" si="7"/>
        <v>6.531839999999999</v>
      </c>
      <c r="L83" s="58">
        <f t="shared" si="8"/>
        <v>0.7675500000000001</v>
      </c>
      <c r="M83" s="58">
        <f t="shared" si="14"/>
        <v>7.437189999999999</v>
      </c>
      <c r="N83" s="107">
        <f t="shared" si="15"/>
        <v>743.197278469903</v>
      </c>
      <c r="O83" s="224">
        <f t="shared" si="16"/>
        <v>0</v>
      </c>
      <c r="P83" s="58">
        <f t="shared" si="17"/>
        <v>0</v>
      </c>
      <c r="Q83" s="58">
        <f t="shared" si="9"/>
        <v>0</v>
      </c>
      <c r="R83" s="107">
        <f t="shared" si="18"/>
        <v>0</v>
      </c>
    </row>
    <row r="84" spans="1:18" ht="15" customHeight="1" thickBot="1">
      <c r="A84" s="264" t="s">
        <v>143</v>
      </c>
      <c r="B84" s="224">
        <f t="shared" si="10"/>
        <v>0.07076895157555314</v>
      </c>
      <c r="C84" s="58">
        <f t="shared" si="11"/>
        <v>0</v>
      </c>
      <c r="D84" s="58">
        <f>B84+C84</f>
        <v>0.07076895157555314</v>
      </c>
      <c r="E84" s="107">
        <f>D84*$E$59</f>
        <v>4.28608869094946</v>
      </c>
      <c r="F84" s="224">
        <f t="shared" si="4"/>
        <v>0.0898</v>
      </c>
      <c r="G84" s="228">
        <f t="shared" si="12"/>
        <v>0</v>
      </c>
      <c r="H84" s="224">
        <f t="shared" si="5"/>
        <v>0</v>
      </c>
      <c r="I84" s="228">
        <f t="shared" si="13"/>
        <v>0</v>
      </c>
      <c r="J84" s="224">
        <f t="shared" si="6"/>
        <v>0.006890000000000001</v>
      </c>
      <c r="K84" s="58">
        <f t="shared" si="7"/>
        <v>49.6692</v>
      </c>
      <c r="L84" s="58">
        <f t="shared" si="8"/>
        <v>0.7133700000000001</v>
      </c>
      <c r="M84" s="58">
        <f t="shared" si="14"/>
        <v>50.38945999999999</v>
      </c>
      <c r="N84" s="107">
        <f t="shared" si="15"/>
        <v>5035.411161415539</v>
      </c>
      <c r="O84" s="224">
        <f t="shared" si="16"/>
        <v>0</v>
      </c>
      <c r="P84" s="58">
        <f t="shared" si="17"/>
        <v>0</v>
      </c>
      <c r="Q84" s="58">
        <f>O84+P84</f>
        <v>0</v>
      </c>
      <c r="R84" s="107">
        <f t="shared" si="18"/>
        <v>0</v>
      </c>
    </row>
    <row r="85" spans="1:18" ht="15" customHeight="1" thickBot="1">
      <c r="A85" s="265" t="s">
        <v>56</v>
      </c>
      <c r="B85" s="226">
        <f>SUM(B61:B84)</f>
        <v>707.6895157555314</v>
      </c>
      <c r="C85" s="260">
        <f aca="true" t="shared" si="21" ref="C85:R85">SUM(C61:C84)</f>
        <v>15.682870155247233</v>
      </c>
      <c r="D85" s="260">
        <f t="shared" si="21"/>
        <v>723.3723859107788</v>
      </c>
      <c r="E85" s="261">
        <f t="shared" si="21"/>
        <v>43810.712658181445</v>
      </c>
      <c r="F85" s="226">
        <f t="shared" si="21"/>
        <v>898.0000000000001</v>
      </c>
      <c r="G85" s="261">
        <f t="shared" si="21"/>
        <v>0</v>
      </c>
      <c r="H85" s="226">
        <f t="shared" si="21"/>
        <v>237.00000000000003</v>
      </c>
      <c r="I85" s="261">
        <f t="shared" si="21"/>
        <v>0</v>
      </c>
      <c r="J85" s="226">
        <f t="shared" si="21"/>
        <v>68.89999999999999</v>
      </c>
      <c r="K85" s="260">
        <f t="shared" si="21"/>
        <v>340.19999999999993</v>
      </c>
      <c r="L85" s="260">
        <f t="shared" si="21"/>
        <v>90.3</v>
      </c>
      <c r="M85" s="260">
        <f t="shared" si="21"/>
        <v>499.39999999999986</v>
      </c>
      <c r="N85" s="261">
        <f t="shared" si="21"/>
        <v>49904.96691194787</v>
      </c>
      <c r="O85" s="226">
        <f t="shared" si="21"/>
        <v>0</v>
      </c>
      <c r="P85" s="260">
        <f t="shared" si="21"/>
        <v>0</v>
      </c>
      <c r="Q85" s="260">
        <f t="shared" si="21"/>
        <v>0</v>
      </c>
      <c r="R85" s="261">
        <f t="shared" si="21"/>
        <v>0</v>
      </c>
    </row>
    <row r="86" spans="1:7" ht="15" customHeight="1">
      <c r="A86" s="136" t="s">
        <v>90</v>
      </c>
      <c r="B86" s="25"/>
      <c r="C86" s="25"/>
      <c r="D86" s="25"/>
      <c r="E86" s="9"/>
      <c r="F86" s="25"/>
      <c r="G86" s="9"/>
    </row>
    <row r="87" spans="1:4" ht="15" customHeight="1">
      <c r="A87" s="54" t="s">
        <v>95</v>
      </c>
      <c r="B87" s="117"/>
      <c r="C87" s="117"/>
      <c r="D87" s="118"/>
    </row>
    <row r="88" spans="1:4" ht="15" customHeight="1">
      <c r="A88" s="54" t="s">
        <v>98</v>
      </c>
      <c r="B88" s="117"/>
      <c r="C88" s="117"/>
      <c r="D88" s="118"/>
    </row>
    <row r="89" ht="15" customHeight="1" thickBot="1"/>
    <row r="90" spans="1:2" ht="15" customHeight="1" thickBot="1">
      <c r="A90" s="267" t="s">
        <v>80</v>
      </c>
      <c r="B90" s="6"/>
    </row>
    <row r="91" spans="1:4" ht="49.5" customHeight="1">
      <c r="A91" s="266" t="s">
        <v>3</v>
      </c>
      <c r="B91" s="89" t="s">
        <v>99</v>
      </c>
      <c r="C91" s="103" t="s">
        <v>157</v>
      </c>
      <c r="D91" s="68"/>
    </row>
    <row r="92" spans="1:3" ht="15" customHeight="1">
      <c r="A92" s="50" t="s">
        <v>30</v>
      </c>
      <c r="B92" s="123">
        <f>C21*E59</f>
        <v>9438.893377575676</v>
      </c>
      <c r="C92" s="126">
        <f>E85</f>
        <v>43810.712658181445</v>
      </c>
    </row>
    <row r="93" spans="1:3" ht="15" customHeight="1">
      <c r="A93" s="50" t="s">
        <v>41</v>
      </c>
      <c r="B93" s="123">
        <f>D21*G59</f>
        <v>0</v>
      </c>
      <c r="C93" s="126">
        <f>G85</f>
        <v>0</v>
      </c>
    </row>
    <row r="94" spans="1:3" ht="15" customHeight="1">
      <c r="A94" s="50" t="s">
        <v>5</v>
      </c>
      <c r="B94" s="123">
        <f>E21*I59</f>
        <v>0</v>
      </c>
      <c r="C94" s="126">
        <f>I85</f>
        <v>0</v>
      </c>
    </row>
    <row r="95" spans="1:3" ht="15" customHeight="1">
      <c r="A95" s="201" t="s">
        <v>8</v>
      </c>
      <c r="B95" s="123">
        <f>F21*N59</f>
        <v>0</v>
      </c>
      <c r="C95" s="126">
        <f>N85</f>
        <v>49904.96691194787</v>
      </c>
    </row>
    <row r="96" spans="1:3" ht="15" customHeight="1">
      <c r="A96" s="201" t="s">
        <v>42</v>
      </c>
      <c r="B96" s="123">
        <f>H21*R59</f>
        <v>0</v>
      </c>
      <c r="C96" s="126">
        <f>R85</f>
        <v>0</v>
      </c>
    </row>
    <row r="97" spans="1:3" ht="15" customHeight="1">
      <c r="A97" s="201" t="s">
        <v>43</v>
      </c>
      <c r="B97" s="184">
        <f>I21*T59</f>
        <v>0</v>
      </c>
      <c r="C97" s="126">
        <f>(I12+I17)*T59</f>
        <v>0</v>
      </c>
    </row>
    <row r="98" spans="1:3" ht="15" customHeight="1" thickBot="1">
      <c r="A98" s="104" t="s">
        <v>56</v>
      </c>
      <c r="B98" s="202">
        <f>SUM(B92:B97)</f>
        <v>9438.893377575676</v>
      </c>
      <c r="C98" s="203">
        <f>SUM(C92:C97)</f>
        <v>93715.67957012932</v>
      </c>
    </row>
  </sheetData>
  <sheetProtection/>
  <mergeCells count="14">
    <mergeCell ref="A3:A4"/>
    <mergeCell ref="A24:H24"/>
    <mergeCell ref="A54:C54"/>
    <mergeCell ref="A57:A59"/>
    <mergeCell ref="B58:E58"/>
    <mergeCell ref="F58:G58"/>
    <mergeCell ref="H58:I58"/>
    <mergeCell ref="S60:T60"/>
    <mergeCell ref="J58:N58"/>
    <mergeCell ref="O58:R58"/>
    <mergeCell ref="S58:T58"/>
    <mergeCell ref="B59:D59"/>
    <mergeCell ref="J59:M59"/>
    <mergeCell ref="O59:Q59"/>
  </mergeCells>
  <printOptions/>
  <pageMargins left="0.45" right="0.45" top="0.5" bottom="0.5" header="0.3" footer="0.3"/>
  <pageSetup fitToHeight="1" fitToWidth="1" horizontalDpi="600" verticalDpi="600" orientation="landscape" paperSize="17" scale="42" r:id="rId1"/>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A1" sqref="A1:E1"/>
    </sheetView>
  </sheetViews>
  <sheetFormatPr defaultColWidth="9.140625" defaultRowHeight="12.75"/>
  <cols>
    <col min="1" max="1" width="16.7109375" style="0" customWidth="1"/>
    <col min="2" max="7" width="15.7109375" style="0" customWidth="1"/>
    <col min="8" max="8" width="16.7109375" style="0" customWidth="1"/>
    <col min="9" max="13" width="15.7109375" style="0" customWidth="1"/>
    <col min="14" max="14" width="16.7109375" style="0" customWidth="1"/>
  </cols>
  <sheetData>
    <row r="1" spans="1:6" ht="17.25">
      <c r="A1" s="629" t="s">
        <v>325</v>
      </c>
      <c r="B1" s="629"/>
      <c r="C1" s="629"/>
      <c r="D1" s="629"/>
      <c r="E1" s="629"/>
      <c r="F1" s="571" t="s">
        <v>24</v>
      </c>
    </row>
    <row r="2" ht="12.75">
      <c r="A2" s="6" t="s">
        <v>24</v>
      </c>
    </row>
    <row r="3" spans="1:10" ht="15">
      <c r="A3" s="273" t="s">
        <v>69</v>
      </c>
      <c r="B3" s="270"/>
      <c r="C3" s="270"/>
      <c r="D3" s="270"/>
      <c r="E3" s="270"/>
      <c r="F3" s="523"/>
      <c r="G3" s="523"/>
      <c r="H3" s="523"/>
      <c r="I3" s="270"/>
      <c r="J3" s="523"/>
    </row>
    <row r="4" spans="1:10" ht="15">
      <c r="A4" s="273"/>
      <c r="B4" s="633" t="s">
        <v>170</v>
      </c>
      <c r="C4" s="633"/>
      <c r="D4" s="633"/>
      <c r="E4" s="631" t="s">
        <v>289</v>
      </c>
      <c r="F4" s="631"/>
      <c r="G4" s="631"/>
      <c r="H4" s="625" t="s">
        <v>326</v>
      </c>
      <c r="I4" s="625"/>
      <c r="J4" s="625"/>
    </row>
    <row r="5" spans="1:10" ht="15">
      <c r="A5" s="273"/>
      <c r="B5" s="633" t="s">
        <v>290</v>
      </c>
      <c r="C5" s="633"/>
      <c r="D5" s="633"/>
      <c r="E5" s="631" t="s">
        <v>290</v>
      </c>
      <c r="F5" s="631"/>
      <c r="G5" s="631"/>
      <c r="H5" s="625" t="s">
        <v>290</v>
      </c>
      <c r="I5" s="625"/>
      <c r="J5" s="625"/>
    </row>
    <row r="6" spans="1:11" ht="39">
      <c r="A6" s="536" t="s">
        <v>3</v>
      </c>
      <c r="B6" s="534" t="s">
        <v>291</v>
      </c>
      <c r="C6" s="534" t="s">
        <v>292</v>
      </c>
      <c r="D6" s="534" t="s">
        <v>293</v>
      </c>
      <c r="E6" s="535" t="s">
        <v>291</v>
      </c>
      <c r="F6" s="535" t="s">
        <v>292</v>
      </c>
      <c r="G6" s="535" t="s">
        <v>293</v>
      </c>
      <c r="H6" s="589" t="s">
        <v>291</v>
      </c>
      <c r="I6" s="589" t="s">
        <v>292</v>
      </c>
      <c r="J6" s="589" t="s">
        <v>293</v>
      </c>
      <c r="K6" s="601" t="s">
        <v>3</v>
      </c>
    </row>
    <row r="7" spans="1:11" ht="12.75">
      <c r="A7" s="272" t="s">
        <v>6</v>
      </c>
      <c r="B7" s="524">
        <f>'BRA Resource Clearing Results'!D5</f>
        <v>59.37</v>
      </c>
      <c r="C7" s="524">
        <f>'BRA Resource Clearing Results'!F5</f>
        <v>59.37</v>
      </c>
      <c r="D7" s="524">
        <f>'BRA Resource Clearing Results'!H5</f>
        <v>59.37</v>
      </c>
      <c r="E7" s="525">
        <f>'1stIA Resource Clearing Results'!D5</f>
        <v>53.93</v>
      </c>
      <c r="F7" s="525">
        <f>'1stIA Resource Clearing Results'!F5</f>
        <v>60</v>
      </c>
      <c r="G7" s="525">
        <f>'1stIA Resource Clearing Results'!H5</f>
        <v>60</v>
      </c>
      <c r="H7" s="590">
        <f>'2ndIA Resource Clearing Results'!D5</f>
        <v>31</v>
      </c>
      <c r="I7" s="590">
        <f>'2ndIA Resource Clearing Results'!F5</f>
        <v>31</v>
      </c>
      <c r="J7" s="590">
        <f>'2ndIA Resource Clearing Results'!H5</f>
        <v>31</v>
      </c>
      <c r="K7" s="600" t="s">
        <v>6</v>
      </c>
    </row>
    <row r="8" spans="1:11" ht="12.75">
      <c r="A8" s="272" t="s">
        <v>30</v>
      </c>
      <c r="B8" s="524">
        <f>'BRA Resource Clearing Results'!D6</f>
        <v>119.13</v>
      </c>
      <c r="C8" s="524">
        <f>'BRA Resource Clearing Results'!F6</f>
        <v>119.13</v>
      </c>
      <c r="D8" s="524">
        <f>'BRA Resource Clearing Results'!H6</f>
        <v>119.13</v>
      </c>
      <c r="E8" s="525">
        <f>'1stIA Resource Clearing Results'!D6</f>
        <v>89.35</v>
      </c>
      <c r="F8" s="525">
        <f>'1stIA Resource Clearing Results'!F6</f>
        <v>119.13</v>
      </c>
      <c r="G8" s="525">
        <f>'1stIA Resource Clearing Results'!H6</f>
        <v>119.13</v>
      </c>
      <c r="H8" s="590">
        <f>'2ndIA Resource Clearing Results'!D6</f>
        <v>71</v>
      </c>
      <c r="I8" s="590">
        <f>'2ndIA Resource Clearing Results'!F6</f>
        <v>71</v>
      </c>
      <c r="J8" s="590">
        <f>'2ndIA Resource Clearing Results'!H6</f>
        <v>71</v>
      </c>
      <c r="K8" s="600" t="s">
        <v>30</v>
      </c>
    </row>
    <row r="9" spans="1:11" ht="12.75">
      <c r="A9" s="272" t="s">
        <v>41</v>
      </c>
      <c r="B9" s="524">
        <f>'BRA Resource Clearing Results'!D7</f>
        <v>119.13</v>
      </c>
      <c r="C9" s="524">
        <f>'BRA Resource Clearing Results'!F7</f>
        <v>119.13</v>
      </c>
      <c r="D9" s="524">
        <f>'BRA Resource Clearing Results'!H7</f>
        <v>119.13</v>
      </c>
      <c r="E9" s="525">
        <f>'1stIA Resource Clearing Results'!D7</f>
        <v>89.35</v>
      </c>
      <c r="F9" s="525">
        <f>'1stIA Resource Clearing Results'!F7</f>
        <v>119.13</v>
      </c>
      <c r="G9" s="525">
        <f>'1stIA Resource Clearing Results'!H7</f>
        <v>119.13</v>
      </c>
      <c r="H9" s="590">
        <f>'2ndIA Resource Clearing Results'!D7</f>
        <v>71</v>
      </c>
      <c r="I9" s="590">
        <f>'2ndIA Resource Clearing Results'!F7</f>
        <v>71</v>
      </c>
      <c r="J9" s="590">
        <f>'2ndIA Resource Clearing Results'!H7</f>
        <v>71</v>
      </c>
      <c r="K9" s="600" t="s">
        <v>41</v>
      </c>
    </row>
    <row r="10" spans="1:11" ht="12.75">
      <c r="A10" s="272" t="s">
        <v>5</v>
      </c>
      <c r="B10" s="524">
        <f>'BRA Resource Clearing Results'!D8</f>
        <v>119.13</v>
      </c>
      <c r="C10" s="524">
        <f>'BRA Resource Clearing Results'!F8</f>
        <v>119.13</v>
      </c>
      <c r="D10" s="524">
        <f>'BRA Resource Clearing Results'!H8</f>
        <v>119.13</v>
      </c>
      <c r="E10" s="525">
        <f>'1stIA Resource Clearing Results'!D8</f>
        <v>89.35</v>
      </c>
      <c r="F10" s="525">
        <f>'1stIA Resource Clearing Results'!F8</f>
        <v>119.13</v>
      </c>
      <c r="G10" s="525">
        <f>'1stIA Resource Clearing Results'!H8</f>
        <v>119.13</v>
      </c>
      <c r="H10" s="590">
        <f>'2ndIA Resource Clearing Results'!D8</f>
        <v>71</v>
      </c>
      <c r="I10" s="590">
        <f>'2ndIA Resource Clearing Results'!F8</f>
        <v>71</v>
      </c>
      <c r="J10" s="590">
        <f>'2ndIA Resource Clearing Results'!H8</f>
        <v>71</v>
      </c>
      <c r="K10" s="600" t="s">
        <v>5</v>
      </c>
    </row>
    <row r="11" spans="1:11" ht="12.75">
      <c r="A11" s="272" t="s">
        <v>8</v>
      </c>
      <c r="B11" s="524">
        <f>'BRA Resource Clearing Results'!D9</f>
        <v>219</v>
      </c>
      <c r="C11" s="524">
        <f>'BRA Resource Clearing Results'!F9</f>
        <v>219</v>
      </c>
      <c r="D11" s="524">
        <f>'BRA Resource Clearing Results'!H9</f>
        <v>219</v>
      </c>
      <c r="E11" s="525">
        <f>'1stIA Resource Clearing Results'!D9</f>
        <v>214.44</v>
      </c>
      <c r="F11" s="525">
        <f>'1stIA Resource Clearing Results'!F9</f>
        <v>244.22</v>
      </c>
      <c r="G11" s="525">
        <f>'1stIA Resource Clearing Results'!H9</f>
        <v>244.22</v>
      </c>
      <c r="H11" s="590">
        <f>'2ndIA Resource Clearing Results'!D9</f>
        <v>99.01</v>
      </c>
      <c r="I11" s="590">
        <f>'2ndIA Resource Clearing Results'!F9</f>
        <v>99.01</v>
      </c>
      <c r="J11" s="590">
        <f>'2ndIA Resource Clearing Results'!H9</f>
        <v>99.01</v>
      </c>
      <c r="K11" s="600" t="s">
        <v>8</v>
      </c>
    </row>
    <row r="12" spans="1:11" ht="12.75">
      <c r="A12" s="272" t="s">
        <v>42</v>
      </c>
      <c r="B12" s="524">
        <f>'BRA Resource Clearing Results'!D10</f>
        <v>219</v>
      </c>
      <c r="C12" s="524">
        <f>'BRA Resource Clearing Results'!F10</f>
        <v>219</v>
      </c>
      <c r="D12" s="524">
        <f>'BRA Resource Clearing Results'!H10</f>
        <v>219</v>
      </c>
      <c r="E12" s="525">
        <f>'1stIA Resource Clearing Results'!D10</f>
        <v>214.44</v>
      </c>
      <c r="F12" s="525">
        <f>'1stIA Resource Clearing Results'!F10</f>
        <v>244.22</v>
      </c>
      <c r="G12" s="525">
        <f>'1stIA Resource Clearing Results'!H10</f>
        <v>244.22</v>
      </c>
      <c r="H12" s="590">
        <f>'2ndIA Resource Clearing Results'!D10</f>
        <v>212.53</v>
      </c>
      <c r="I12" s="590">
        <f>'2ndIA Resource Clearing Results'!F10</f>
        <v>212.53</v>
      </c>
      <c r="J12" s="590">
        <f>'2ndIA Resource Clearing Results'!H10</f>
        <v>212.53</v>
      </c>
      <c r="K12" s="600" t="s">
        <v>42</v>
      </c>
    </row>
    <row r="13" spans="1:11" ht="12.75">
      <c r="A13" s="272" t="s">
        <v>43</v>
      </c>
      <c r="B13" s="524">
        <f>'BRA Resource Clearing Results'!D11</f>
        <v>119.13</v>
      </c>
      <c r="C13" s="524">
        <f>'BRA Resource Clearing Results'!F11</f>
        <v>119.13</v>
      </c>
      <c r="D13" s="524">
        <f>'BRA Resource Clearing Results'!H11</f>
        <v>119.13</v>
      </c>
      <c r="E13" s="525">
        <f>'1stIA Resource Clearing Results'!D11</f>
        <v>89.35</v>
      </c>
      <c r="F13" s="525">
        <f>'1stIA Resource Clearing Results'!F11</f>
        <v>119.13</v>
      </c>
      <c r="G13" s="525">
        <f>'1stIA Resource Clearing Results'!H11</f>
        <v>119.13</v>
      </c>
      <c r="H13" s="590">
        <f>'2ndIA Resource Clearing Results'!D11</f>
        <v>71</v>
      </c>
      <c r="I13" s="590">
        <f>'2ndIA Resource Clearing Results'!F11</f>
        <v>71</v>
      </c>
      <c r="J13" s="590">
        <f>'2ndIA Resource Clearing Results'!H11</f>
        <v>71</v>
      </c>
      <c r="K13" s="600" t="s">
        <v>43</v>
      </c>
    </row>
    <row r="14" spans="1:11" ht="12.75">
      <c r="A14" s="272" t="s">
        <v>15</v>
      </c>
      <c r="B14" s="524">
        <f>'BRA Resource Clearing Results'!D12</f>
        <v>119.13</v>
      </c>
      <c r="C14" s="524">
        <f>'BRA Resource Clearing Results'!F12</f>
        <v>119.13</v>
      </c>
      <c r="D14" s="524">
        <f>'BRA Resource Clearing Results'!H12</f>
        <v>119.13</v>
      </c>
      <c r="E14" s="525">
        <f>'1stIA Resource Clearing Results'!D12</f>
        <v>89.35</v>
      </c>
      <c r="F14" s="525">
        <f>'1stIA Resource Clearing Results'!F12</f>
        <v>119.13</v>
      </c>
      <c r="G14" s="525">
        <f>'1stIA Resource Clearing Results'!H12</f>
        <v>119.13</v>
      </c>
      <c r="H14" s="590">
        <f>'2ndIA Resource Clearing Results'!D12</f>
        <v>71</v>
      </c>
      <c r="I14" s="590">
        <f>'2ndIA Resource Clearing Results'!F12</f>
        <v>71</v>
      </c>
      <c r="J14" s="590">
        <f>'2ndIA Resource Clearing Results'!H12</f>
        <v>71</v>
      </c>
      <c r="K14" s="600" t="s">
        <v>15</v>
      </c>
    </row>
    <row r="15" spans="1:11" ht="12.75">
      <c r="A15" s="272" t="s">
        <v>51</v>
      </c>
      <c r="B15" s="524">
        <f>'BRA Resource Clearing Results'!D13</f>
        <v>94.44999999999999</v>
      </c>
      <c r="C15" s="524">
        <f>'BRA Resource Clearing Results'!F13</f>
        <v>114.22999999999999</v>
      </c>
      <c r="D15" s="524">
        <f>'BRA Resource Clearing Results'!H13</f>
        <v>114.22999999999999</v>
      </c>
      <c r="E15" s="525">
        <f>'1stIA Resource Clearing Results'!D13</f>
        <v>94.45</v>
      </c>
      <c r="F15" s="525">
        <f>'1stIA Resource Clearing Results'!F13</f>
        <v>100.52000000000001</v>
      </c>
      <c r="G15" s="525">
        <f>'1stIA Resource Clearing Results'!H13</f>
        <v>100.52000000000001</v>
      </c>
      <c r="H15" s="590">
        <f>'2ndIA Resource Clearing Results'!D13</f>
        <v>101.5</v>
      </c>
      <c r="I15" s="590">
        <f>'2ndIA Resource Clearing Results'!F13</f>
        <v>101.5</v>
      </c>
      <c r="J15" s="590">
        <f>'2ndIA Resource Clearing Results'!H13</f>
        <v>101.5</v>
      </c>
      <c r="K15" s="600" t="s">
        <v>51</v>
      </c>
    </row>
    <row r="16" spans="1:11" ht="12.75">
      <c r="A16" s="272" t="s">
        <v>176</v>
      </c>
      <c r="B16" s="524">
        <f>'BRA Resource Clearing Results'!D14</f>
        <v>94.44999999999999</v>
      </c>
      <c r="C16" s="524">
        <f>'BRA Resource Clearing Results'!F14</f>
        <v>114.22999999999999</v>
      </c>
      <c r="D16" s="524">
        <f>'BRA Resource Clearing Results'!H14</f>
        <v>114.22999999999999</v>
      </c>
      <c r="E16" s="525">
        <f>'1stIA Resource Clearing Results'!D14</f>
        <v>94.45</v>
      </c>
      <c r="F16" s="525">
        <f>'1stIA Resource Clearing Results'!F14</f>
        <v>100.52000000000001</v>
      </c>
      <c r="G16" s="525">
        <f>'1stIA Resource Clearing Results'!H14</f>
        <v>100.52000000000001</v>
      </c>
      <c r="H16" s="590">
        <f>'2ndIA Resource Clearing Results'!D14</f>
        <v>101.5</v>
      </c>
      <c r="I16" s="590">
        <f>'2ndIA Resource Clearing Results'!F14</f>
        <v>101.5</v>
      </c>
      <c r="J16" s="590">
        <f>'2ndIA Resource Clearing Results'!H14</f>
        <v>101.5</v>
      </c>
      <c r="K16" s="600" t="s">
        <v>176</v>
      </c>
    </row>
    <row r="17" spans="1:5" ht="15">
      <c r="A17" s="273" t="s">
        <v>294</v>
      </c>
      <c r="B17" s="186"/>
      <c r="C17" s="186"/>
      <c r="D17" s="186"/>
      <c r="E17" s="186"/>
    </row>
    <row r="18" spans="1:13" ht="12.75">
      <c r="A18" s="526"/>
      <c r="B18" s="627" t="s">
        <v>170</v>
      </c>
      <c r="C18" s="627"/>
      <c r="D18" s="627"/>
      <c r="E18" s="627"/>
      <c r="F18" s="628" t="s">
        <v>289</v>
      </c>
      <c r="G18" s="628"/>
      <c r="H18" s="628"/>
      <c r="I18" s="628"/>
      <c r="J18" s="626" t="s">
        <v>326</v>
      </c>
      <c r="K18" s="626"/>
      <c r="L18" s="626"/>
      <c r="M18" s="626"/>
    </row>
    <row r="19" spans="1:13" ht="15" customHeight="1">
      <c r="A19" s="526"/>
      <c r="B19" s="627" t="s">
        <v>219</v>
      </c>
      <c r="C19" s="627"/>
      <c r="D19" s="627"/>
      <c r="E19" s="627"/>
      <c r="F19" s="628" t="s">
        <v>295</v>
      </c>
      <c r="G19" s="628"/>
      <c r="H19" s="628"/>
      <c r="I19" s="628"/>
      <c r="J19" s="626" t="s">
        <v>295</v>
      </c>
      <c r="K19" s="626"/>
      <c r="L19" s="626"/>
      <c r="M19" s="626"/>
    </row>
    <row r="20" spans="1:14" ht="54.75" customHeight="1">
      <c r="A20" s="536" t="s">
        <v>3</v>
      </c>
      <c r="B20" s="538" t="s">
        <v>222</v>
      </c>
      <c r="C20" s="538" t="s">
        <v>223</v>
      </c>
      <c r="D20" s="538" t="s">
        <v>224</v>
      </c>
      <c r="E20" s="538" t="s">
        <v>296</v>
      </c>
      <c r="F20" s="535" t="s">
        <v>222</v>
      </c>
      <c r="G20" s="535" t="s">
        <v>223</v>
      </c>
      <c r="H20" s="535" t="s">
        <v>224</v>
      </c>
      <c r="I20" s="535" t="s">
        <v>296</v>
      </c>
      <c r="J20" s="589" t="s">
        <v>222</v>
      </c>
      <c r="K20" s="589" t="s">
        <v>223</v>
      </c>
      <c r="L20" s="589" t="s">
        <v>224</v>
      </c>
      <c r="M20" s="589" t="s">
        <v>296</v>
      </c>
      <c r="N20" s="601" t="s">
        <v>3</v>
      </c>
    </row>
    <row r="21" spans="1:14" ht="12.75">
      <c r="A21" s="272" t="s">
        <v>6</v>
      </c>
      <c r="B21" s="527">
        <f>'BRA Resource Clearing Results'!B19</f>
        <v>9849.5</v>
      </c>
      <c r="C21" s="527">
        <f>'BRA Resource Clearing Results'!C19</f>
        <v>2470</v>
      </c>
      <c r="D21" s="527">
        <f>'BRA Resource Clearing Results'!D19</f>
        <v>156840.2</v>
      </c>
      <c r="E21" s="527">
        <f>B21+C21+D21</f>
        <v>169159.7</v>
      </c>
      <c r="F21" s="528">
        <f>'1stIA Resource Clearing Results'!J21</f>
        <v>598.3</v>
      </c>
      <c r="G21" s="528">
        <f>'1stIA Resource Clearing Results'!K21</f>
        <v>587.9</v>
      </c>
      <c r="H21" s="528">
        <f>'1stIA Resource Clearing Results'!L21</f>
        <v>232.80000000000018</v>
      </c>
      <c r="I21" s="528">
        <f>F21+G21+H21</f>
        <v>1419</v>
      </c>
      <c r="J21" s="591">
        <f>'2ndIA Resource Clearing Results'!J21</f>
        <v>587.0999999999999</v>
      </c>
      <c r="K21" s="591">
        <f>'2ndIA Resource Clearing Results'!K21</f>
        <v>562.7</v>
      </c>
      <c r="L21" s="591">
        <f>'2ndIA Resource Clearing Results'!L21</f>
        <v>3143.9</v>
      </c>
      <c r="M21" s="591">
        <f>J21+K21+L21</f>
        <v>4293.7</v>
      </c>
      <c r="N21" s="600" t="s">
        <v>6</v>
      </c>
    </row>
    <row r="22" spans="1:14" ht="12.75">
      <c r="A22" s="272" t="s">
        <v>30</v>
      </c>
      <c r="B22" s="527">
        <f>'BRA Resource Clearing Results'!B20</f>
        <v>4264.3</v>
      </c>
      <c r="C22" s="527">
        <f>'BRA Resource Clearing Results'!C20</f>
        <v>1053.4</v>
      </c>
      <c r="D22" s="527">
        <f>'BRA Resource Clearing Results'!D20</f>
        <v>61228.7</v>
      </c>
      <c r="E22" s="527">
        <f aca="true" t="shared" si="0" ref="E22:E29">B22+C22+D22</f>
        <v>66546.4</v>
      </c>
      <c r="F22" s="528">
        <f>'1stIA Resource Clearing Results'!J22</f>
        <v>519.2</v>
      </c>
      <c r="G22" s="528">
        <f>'1stIA Resource Clearing Results'!K22</f>
        <v>304</v>
      </c>
      <c r="H22" s="528">
        <f>'1stIA Resource Clearing Results'!L22</f>
        <v>181.5</v>
      </c>
      <c r="I22" s="528">
        <f aca="true" t="shared" si="1" ref="I22:I30">F22+G22+H22</f>
        <v>1004.7</v>
      </c>
      <c r="J22" s="591">
        <f>'2ndIA Resource Clearing Results'!J22</f>
        <v>434.2</v>
      </c>
      <c r="K22" s="591">
        <f>'2ndIA Resource Clearing Results'!K22</f>
        <v>36.4</v>
      </c>
      <c r="L22" s="591">
        <f>'2ndIA Resource Clearing Results'!L22</f>
        <v>904.4000000000001</v>
      </c>
      <c r="M22" s="591">
        <f aca="true" t="shared" si="2" ref="M22:M30">J22+K22+L22</f>
        <v>1375</v>
      </c>
      <c r="N22" s="600" t="s">
        <v>30</v>
      </c>
    </row>
    <row r="23" spans="1:14" ht="12.75">
      <c r="A23" s="272" t="s">
        <v>41</v>
      </c>
      <c r="B23" s="527">
        <f>'BRA Resource Clearing Results'!B21</f>
        <v>1547.3</v>
      </c>
      <c r="C23" s="527">
        <f>'BRA Resource Clearing Results'!C21</f>
        <v>437.7</v>
      </c>
      <c r="D23" s="527">
        <f>'BRA Resource Clearing Results'!D21</f>
        <v>29536.7</v>
      </c>
      <c r="E23" s="527">
        <f t="shared" si="0"/>
        <v>31521.7</v>
      </c>
      <c r="F23" s="528">
        <f>'1stIA Resource Clearing Results'!J23</f>
        <v>335.4</v>
      </c>
      <c r="G23" s="528">
        <f>'1stIA Resource Clearing Results'!K23</f>
        <v>121.2</v>
      </c>
      <c r="H23" s="528">
        <f>'1stIA Resource Clearing Results'!L23</f>
        <v>-112.79999999999995</v>
      </c>
      <c r="I23" s="528">
        <f t="shared" si="1"/>
        <v>343.8</v>
      </c>
      <c r="J23" s="591">
        <f>'2ndIA Resource Clearing Results'!J23</f>
        <v>144.7</v>
      </c>
      <c r="K23" s="591">
        <f>'2ndIA Resource Clearing Results'!K23</f>
        <v>9</v>
      </c>
      <c r="L23" s="591">
        <f>'2ndIA Resource Clearing Results'!L23</f>
        <v>211.20000000000002</v>
      </c>
      <c r="M23" s="591">
        <f t="shared" si="2"/>
        <v>364.9</v>
      </c>
      <c r="N23" s="600" t="s">
        <v>41</v>
      </c>
    </row>
    <row r="24" spans="1:14" ht="12.75">
      <c r="A24" s="272" t="s">
        <v>5</v>
      </c>
      <c r="B24" s="527">
        <f>'BRA Resource Clearing Results'!B22</f>
        <v>1173.3</v>
      </c>
      <c r="C24" s="527">
        <f>'BRA Resource Clearing Results'!C22</f>
        <v>426.2</v>
      </c>
      <c r="D24" s="527">
        <f>'BRA Resource Clearing Results'!D22</f>
        <v>10450.5</v>
      </c>
      <c r="E24" s="527">
        <f t="shared" si="0"/>
        <v>12050</v>
      </c>
      <c r="F24" s="528">
        <f>'1stIA Resource Clearing Results'!J24</f>
        <v>18.1</v>
      </c>
      <c r="G24" s="528">
        <f>'1stIA Resource Clearing Results'!K24</f>
        <v>88.9</v>
      </c>
      <c r="H24" s="528">
        <f>'1stIA Resource Clearing Results'!L24</f>
        <v>71.69999999999999</v>
      </c>
      <c r="I24" s="528">
        <f t="shared" si="1"/>
        <v>178.7</v>
      </c>
      <c r="J24" s="591">
        <f>'2ndIA Resource Clearing Results'!J24</f>
        <v>95</v>
      </c>
      <c r="K24" s="591">
        <f>'2ndIA Resource Clearing Results'!K24</f>
        <v>0</v>
      </c>
      <c r="L24" s="591">
        <f>'2ndIA Resource Clearing Results'!L24</f>
        <v>559.9</v>
      </c>
      <c r="M24" s="591">
        <f t="shared" si="2"/>
        <v>654.9</v>
      </c>
      <c r="N24" s="600" t="s">
        <v>5</v>
      </c>
    </row>
    <row r="25" spans="1:14" ht="12.75">
      <c r="A25" s="272" t="s">
        <v>8</v>
      </c>
      <c r="B25" s="527">
        <f>'BRA Resource Clearing Results'!B23</f>
        <v>550.4</v>
      </c>
      <c r="C25" s="527">
        <f>'BRA Resource Clearing Results'!C23</f>
        <v>61.8</v>
      </c>
      <c r="D25" s="527">
        <f>'BRA Resource Clearing Results'!D23</f>
        <v>5686.4</v>
      </c>
      <c r="E25" s="527">
        <f t="shared" si="0"/>
        <v>6298.599999999999</v>
      </c>
      <c r="F25" s="528">
        <f>'1stIA Resource Clearing Results'!J25</f>
        <v>169.7</v>
      </c>
      <c r="G25" s="528">
        <f>'1stIA Resource Clearing Results'!K25</f>
        <v>-0.1</v>
      </c>
      <c r="H25" s="528">
        <f>'1stIA Resource Clearing Results'!L25</f>
        <v>-99.39999999999998</v>
      </c>
      <c r="I25" s="528">
        <f t="shared" si="1"/>
        <v>70.20000000000002</v>
      </c>
      <c r="J25" s="591">
        <f>'2ndIA Resource Clearing Results'!J25</f>
        <v>30</v>
      </c>
      <c r="K25" s="591">
        <f>'2ndIA Resource Clearing Results'!K25</f>
        <v>9</v>
      </c>
      <c r="L25" s="591">
        <f>'2ndIA Resource Clearing Results'!L25</f>
        <v>-9.2</v>
      </c>
      <c r="M25" s="591">
        <f t="shared" si="2"/>
        <v>29.8</v>
      </c>
      <c r="N25" s="600" t="s">
        <v>8</v>
      </c>
    </row>
    <row r="26" spans="1:14" ht="12.75">
      <c r="A26" s="272" t="s">
        <v>42</v>
      </c>
      <c r="B26" s="527">
        <f>'BRA Resource Clearing Results'!B24</f>
        <v>211.3</v>
      </c>
      <c r="C26" s="527">
        <f>'BRA Resource Clearing Results'!C24</f>
        <v>15.3</v>
      </c>
      <c r="D26" s="527">
        <f>'BRA Resource Clearing Results'!D24</f>
        <v>3475.5</v>
      </c>
      <c r="E26" s="527">
        <f t="shared" si="0"/>
        <v>3702.1</v>
      </c>
      <c r="F26" s="528">
        <f>'1stIA Resource Clearing Results'!J26</f>
        <v>35.4</v>
      </c>
      <c r="G26" s="528">
        <f>'1stIA Resource Clearing Results'!K26</f>
        <v>-0.1</v>
      </c>
      <c r="H26" s="528">
        <f>'1stIA Resource Clearing Results'!L26</f>
        <v>109.39999999999999</v>
      </c>
      <c r="I26" s="528">
        <f t="shared" si="1"/>
        <v>144.7</v>
      </c>
      <c r="J26" s="591">
        <f>'2ndIA Resource Clearing Results'!J26</f>
        <v>4.5</v>
      </c>
      <c r="K26" s="591">
        <f>'2ndIA Resource Clearing Results'!K26</f>
        <v>0.6</v>
      </c>
      <c r="L26" s="591">
        <f>'2ndIA Resource Clearing Results'!L26</f>
        <v>-4.5</v>
      </c>
      <c r="M26" s="591">
        <f t="shared" si="2"/>
        <v>0.5999999999999996</v>
      </c>
      <c r="N26" s="600" t="s">
        <v>42</v>
      </c>
    </row>
    <row r="27" spans="1:14" ht="12.75">
      <c r="A27" s="272" t="s">
        <v>43</v>
      </c>
      <c r="B27" s="527">
        <f>'BRA Resource Clearing Results'!B25</f>
        <v>98.8</v>
      </c>
      <c r="C27" s="527">
        <f>'BRA Resource Clearing Results'!C25</f>
        <v>6.9</v>
      </c>
      <c r="D27" s="527">
        <f>'BRA Resource Clearing Results'!D25</f>
        <v>1640.3</v>
      </c>
      <c r="E27" s="527">
        <f t="shared" si="0"/>
        <v>1746</v>
      </c>
      <c r="F27" s="528">
        <f>'1stIA Resource Clearing Results'!J27</f>
        <v>7.9</v>
      </c>
      <c r="G27" s="528">
        <f>'1stIA Resource Clearing Results'!K27</f>
        <v>6.9</v>
      </c>
      <c r="H27" s="528">
        <f>'1stIA Resource Clearing Results'!L27</f>
        <v>3.1</v>
      </c>
      <c r="I27" s="528">
        <f t="shared" si="1"/>
        <v>17.900000000000002</v>
      </c>
      <c r="J27" s="591">
        <f>'2ndIA Resource Clearing Results'!J27</f>
        <v>3.5</v>
      </c>
      <c r="K27" s="591">
        <f>'2ndIA Resource Clearing Results'!K27</f>
        <v>0</v>
      </c>
      <c r="L27" s="591">
        <f>'2ndIA Resource Clearing Results'!L27</f>
        <v>0</v>
      </c>
      <c r="M27" s="591">
        <f t="shared" si="2"/>
        <v>3.5</v>
      </c>
      <c r="N27" s="600" t="s">
        <v>43</v>
      </c>
    </row>
    <row r="28" spans="1:14" ht="12.75">
      <c r="A28" s="272" t="s">
        <v>15</v>
      </c>
      <c r="B28" s="527">
        <f>'BRA Resource Clearing Results'!B26</f>
        <v>290</v>
      </c>
      <c r="C28" s="527">
        <f>'BRA Resource Clearing Results'!C26</f>
        <v>373.9</v>
      </c>
      <c r="D28" s="527">
        <f>'BRA Resource Clearing Results'!D26</f>
        <v>5429.8</v>
      </c>
      <c r="E28" s="527">
        <f t="shared" si="0"/>
        <v>6093.7</v>
      </c>
      <c r="F28" s="528">
        <f>'1stIA Resource Clearing Results'!J28</f>
        <v>0</v>
      </c>
      <c r="G28" s="528">
        <f>'1stIA Resource Clearing Results'!K28</f>
        <v>32.699999999999996</v>
      </c>
      <c r="H28" s="528">
        <f>'1stIA Resource Clearing Results'!L28</f>
        <v>-8.5</v>
      </c>
      <c r="I28" s="528">
        <f t="shared" si="1"/>
        <v>24.199999999999996</v>
      </c>
      <c r="J28" s="591">
        <f>'2ndIA Resource Clearing Results'!J28</f>
        <v>67</v>
      </c>
      <c r="K28" s="591">
        <f>'2ndIA Resource Clearing Results'!K28</f>
        <v>0</v>
      </c>
      <c r="L28" s="591">
        <f>'2ndIA Resource Clearing Results'!L28</f>
        <v>607.3</v>
      </c>
      <c r="M28" s="591">
        <f t="shared" si="2"/>
        <v>674.3</v>
      </c>
      <c r="N28" s="600" t="s">
        <v>15</v>
      </c>
    </row>
    <row r="29" spans="1:14" ht="12.75">
      <c r="A29" s="272" t="s">
        <v>51</v>
      </c>
      <c r="B29" s="527">
        <f>'BRA Resource Clearing Results'!B27</f>
        <v>1004.1</v>
      </c>
      <c r="C29" s="527">
        <f>'BRA Resource Clearing Results'!C27</f>
        <v>799.3</v>
      </c>
      <c r="D29" s="527">
        <f>'BRA Resource Clearing Results'!D27</f>
        <v>6868.8</v>
      </c>
      <c r="E29" s="527">
        <f t="shared" si="0"/>
        <v>8672.2</v>
      </c>
      <c r="F29" s="528">
        <f>'1stIA Resource Clearing Results'!J29</f>
        <v>94.9</v>
      </c>
      <c r="G29" s="528">
        <f>'1stIA Resource Clearing Results'!K29</f>
        <v>451.40000000000003</v>
      </c>
      <c r="H29" s="528">
        <f>'1stIA Resource Clearing Results'!L29</f>
        <v>-498.5</v>
      </c>
      <c r="I29" s="528">
        <f t="shared" si="1"/>
        <v>47.80000000000007</v>
      </c>
      <c r="J29" s="591">
        <f>'2ndIA Resource Clearing Results'!J29</f>
        <v>-16.3</v>
      </c>
      <c r="K29" s="591">
        <f>'2ndIA Resource Clearing Results'!K29</f>
        <v>35.8</v>
      </c>
      <c r="L29" s="591">
        <f>'2ndIA Resource Clearing Results'!L29</f>
        <v>139.9</v>
      </c>
      <c r="M29" s="591">
        <f t="shared" si="2"/>
        <v>159.4</v>
      </c>
      <c r="N29" s="600" t="s">
        <v>51</v>
      </c>
    </row>
    <row r="30" spans="1:14" ht="12.75">
      <c r="A30" s="272" t="s">
        <v>176</v>
      </c>
      <c r="B30" s="527">
        <f>'BRA Resource Clearing Results'!B28</f>
        <v>365.4</v>
      </c>
      <c r="C30" s="527">
        <f>'BRA Resource Clearing Results'!C28</f>
        <v>103.3</v>
      </c>
      <c r="D30" s="527">
        <f>'BRA Resource Clearing Results'!D28</f>
        <v>2381.3</v>
      </c>
      <c r="E30" s="527">
        <f>B30+C30+D30</f>
        <v>2850</v>
      </c>
      <c r="F30" s="528">
        <f>'1stIA Resource Clearing Results'!J30</f>
        <v>96.5</v>
      </c>
      <c r="G30" s="528">
        <f>'1stIA Resource Clearing Results'!K30</f>
        <v>76.2</v>
      </c>
      <c r="H30" s="528">
        <f>'1stIA Resource Clearing Results'!L30</f>
        <v>0.6</v>
      </c>
      <c r="I30" s="528">
        <f t="shared" si="1"/>
        <v>173.29999999999998</v>
      </c>
      <c r="J30" s="591">
        <f>'2ndIA Resource Clearing Results'!J30</f>
        <v>0</v>
      </c>
      <c r="K30" s="591">
        <f>'2ndIA Resource Clearing Results'!K30</f>
        <v>2.6</v>
      </c>
      <c r="L30" s="591">
        <f>'2ndIA Resource Clearing Results'!L30</f>
        <v>105.2</v>
      </c>
      <c r="M30" s="591">
        <f t="shared" si="2"/>
        <v>107.8</v>
      </c>
      <c r="N30" s="600" t="s">
        <v>176</v>
      </c>
    </row>
    <row r="31" spans="1:10" ht="12.75">
      <c r="A31" s="276" t="s">
        <v>297</v>
      </c>
      <c r="B31" s="270"/>
      <c r="C31" s="270"/>
      <c r="D31" s="270"/>
      <c r="E31" s="270"/>
      <c r="F31" s="523"/>
      <c r="G31" s="523"/>
      <c r="H31" s="523"/>
      <c r="I31" s="270"/>
      <c r="J31" s="523"/>
    </row>
    <row r="32" spans="1:10" ht="12.75">
      <c r="A32" s="276" t="s">
        <v>298</v>
      </c>
      <c r="B32" s="270"/>
      <c r="C32" s="270"/>
      <c r="D32" s="270"/>
      <c r="E32" s="270"/>
      <c r="F32" s="523"/>
      <c r="G32" s="523"/>
      <c r="H32" s="523"/>
      <c r="I32" s="270"/>
      <c r="J32" s="523"/>
    </row>
    <row r="33" spans="1:10" ht="12.75">
      <c r="A33" s="276"/>
      <c r="B33" s="270"/>
      <c r="C33" s="270"/>
      <c r="D33" s="270"/>
      <c r="E33" s="270"/>
      <c r="F33" s="523"/>
      <c r="G33" s="523"/>
      <c r="H33" s="523"/>
      <c r="I33" s="270"/>
      <c r="J33" s="523"/>
    </row>
    <row r="34" spans="1:10" ht="15">
      <c r="A34" s="273" t="s">
        <v>227</v>
      </c>
      <c r="B34" s="270"/>
      <c r="C34" s="270"/>
      <c r="D34" s="270"/>
      <c r="E34" s="270"/>
      <c r="F34" s="523"/>
      <c r="G34" s="523"/>
      <c r="H34" s="523"/>
      <c r="I34" s="270"/>
      <c r="J34" s="523"/>
    </row>
    <row r="35" spans="1:13" ht="15">
      <c r="A35" s="273"/>
      <c r="B35" s="630" t="s">
        <v>170</v>
      </c>
      <c r="C35" s="630"/>
      <c r="D35" s="630"/>
      <c r="E35" s="630"/>
      <c r="F35" s="631" t="s">
        <v>289</v>
      </c>
      <c r="G35" s="631"/>
      <c r="H35" s="631"/>
      <c r="I35" s="631"/>
      <c r="J35" s="625" t="s">
        <v>326</v>
      </c>
      <c r="K35" s="625"/>
      <c r="L35" s="625"/>
      <c r="M35" s="625"/>
    </row>
    <row r="36" spans="1:13" ht="15">
      <c r="A36" s="273"/>
      <c r="B36" s="632" t="s">
        <v>299</v>
      </c>
      <c r="C36" s="632"/>
      <c r="D36" s="632"/>
      <c r="E36" s="632"/>
      <c r="F36" s="631" t="s">
        <v>300</v>
      </c>
      <c r="G36" s="631"/>
      <c r="H36" s="631"/>
      <c r="I36" s="631"/>
      <c r="J36" s="625" t="s">
        <v>300</v>
      </c>
      <c r="K36" s="625"/>
      <c r="L36" s="625"/>
      <c r="M36" s="625"/>
    </row>
    <row r="37" spans="1:14" ht="52.5">
      <c r="A37" s="539" t="s">
        <v>3</v>
      </c>
      <c r="B37" s="632"/>
      <c r="C37" s="632"/>
      <c r="D37" s="632"/>
      <c r="E37" s="632"/>
      <c r="F37" s="535" t="s">
        <v>126</v>
      </c>
      <c r="G37" s="535" t="s">
        <v>62</v>
      </c>
      <c r="H37" s="535" t="s">
        <v>60</v>
      </c>
      <c r="I37" s="535" t="s">
        <v>63</v>
      </c>
      <c r="J37" s="589" t="s">
        <v>126</v>
      </c>
      <c r="K37" s="589" t="s">
        <v>62</v>
      </c>
      <c r="L37" s="589" t="s">
        <v>60</v>
      </c>
      <c r="M37" s="589" t="s">
        <v>63</v>
      </c>
      <c r="N37" s="601" t="s">
        <v>3</v>
      </c>
    </row>
    <row r="38" spans="1:14" ht="12.75">
      <c r="A38" s="537" t="s">
        <v>6</v>
      </c>
      <c r="B38" s="632"/>
      <c r="C38" s="632"/>
      <c r="D38" s="632"/>
      <c r="E38" s="632"/>
      <c r="F38" s="528">
        <f>'1stIA Resource Clearing Results'!J36</f>
        <v>-598.3</v>
      </c>
      <c r="G38" s="528">
        <f>'1stIA Resource Clearing Results'!K36</f>
        <v>0</v>
      </c>
      <c r="H38" s="528">
        <f>'1stIA Resource Clearing Results'!L36</f>
        <v>-820.7</v>
      </c>
      <c r="I38" s="528">
        <f>F38+G38+H38</f>
        <v>-1419</v>
      </c>
      <c r="J38" s="591">
        <f>'2ndIA Resource Clearing Results'!J36</f>
        <v>14</v>
      </c>
      <c r="K38" s="591">
        <f>'2ndIA Resource Clearing Results'!K36</f>
        <v>0</v>
      </c>
      <c r="L38" s="591">
        <f>'2ndIA Resource Clearing Results'!L36</f>
        <v>-4307.7</v>
      </c>
      <c r="M38" s="591">
        <f>J38+K38+L38</f>
        <v>-4293.7</v>
      </c>
      <c r="N38" s="600" t="s">
        <v>6</v>
      </c>
    </row>
    <row r="39" spans="1:14" ht="12.75">
      <c r="A39" s="537" t="s">
        <v>30</v>
      </c>
      <c r="B39" s="632"/>
      <c r="C39" s="632"/>
      <c r="D39" s="632"/>
      <c r="E39" s="632"/>
      <c r="F39" s="528">
        <f>'1stIA Resource Clearing Results'!J37</f>
        <v>-550.5</v>
      </c>
      <c r="G39" s="528">
        <f>'1stIA Resource Clearing Results'!K37</f>
        <v>0</v>
      </c>
      <c r="H39" s="528">
        <f>'1stIA Resource Clearing Results'!L37</f>
        <v>-454.20000000000005</v>
      </c>
      <c r="I39" s="528">
        <f aca="true" t="shared" si="3" ref="I39:I47">F39+G39+H39</f>
        <v>-1004.7</v>
      </c>
      <c r="J39" s="591">
        <f>'2ndIA Resource Clearing Results'!J37</f>
        <v>14</v>
      </c>
      <c r="K39" s="591">
        <f>'2ndIA Resource Clearing Results'!K37</f>
        <v>0</v>
      </c>
      <c r="L39" s="591">
        <f>'2ndIA Resource Clearing Results'!L37</f>
        <v>-1389</v>
      </c>
      <c r="M39" s="591">
        <f aca="true" t="shared" si="4" ref="M39:M47">J39+K39+L39</f>
        <v>-1375</v>
      </c>
      <c r="N39" s="600" t="s">
        <v>30</v>
      </c>
    </row>
    <row r="40" spans="1:14" ht="12.75">
      <c r="A40" s="537" t="s">
        <v>41</v>
      </c>
      <c r="B40" s="632"/>
      <c r="C40" s="632"/>
      <c r="D40" s="632"/>
      <c r="E40" s="632"/>
      <c r="F40" s="528">
        <f>'1stIA Resource Clearing Results'!J38</f>
        <v>-335.1</v>
      </c>
      <c r="G40" s="528">
        <f>'1stIA Resource Clearing Results'!K38</f>
        <v>0</v>
      </c>
      <c r="H40" s="528">
        <f>'1stIA Resource Clearing Results'!L38</f>
        <v>0</v>
      </c>
      <c r="I40" s="528">
        <f t="shared" si="3"/>
        <v>-335.1</v>
      </c>
      <c r="J40" s="591">
        <f>'2ndIA Resource Clearing Results'!J38</f>
        <v>14</v>
      </c>
      <c r="K40" s="591">
        <f>'2ndIA Resource Clearing Results'!K38</f>
        <v>0</v>
      </c>
      <c r="L40" s="591">
        <f>'2ndIA Resource Clearing Results'!L38</f>
        <v>-758.8</v>
      </c>
      <c r="M40" s="591">
        <f t="shared" si="4"/>
        <v>-744.8</v>
      </c>
      <c r="N40" s="600" t="s">
        <v>41</v>
      </c>
    </row>
    <row r="41" spans="1:14" ht="12.75">
      <c r="A41" s="537" t="s">
        <v>5</v>
      </c>
      <c r="B41" s="632"/>
      <c r="C41" s="632"/>
      <c r="D41" s="632"/>
      <c r="E41" s="632"/>
      <c r="F41" s="528">
        <f>'1stIA Resource Clearing Results'!J39</f>
        <v>0</v>
      </c>
      <c r="G41" s="528">
        <f>'1stIA Resource Clearing Results'!K39</f>
        <v>0</v>
      </c>
      <c r="H41" s="528">
        <f>'1stIA Resource Clearing Results'!L39</f>
        <v>-454.20000000000005</v>
      </c>
      <c r="I41" s="528">
        <f t="shared" si="3"/>
        <v>-454.20000000000005</v>
      </c>
      <c r="J41" s="591">
        <f>'2ndIA Resource Clearing Results'!J39</f>
        <v>0</v>
      </c>
      <c r="K41" s="591">
        <f>'2ndIA Resource Clearing Results'!K39</f>
        <v>0</v>
      </c>
      <c r="L41" s="591">
        <f>'2ndIA Resource Clearing Results'!L39</f>
        <v>-461.5</v>
      </c>
      <c r="M41" s="591">
        <f t="shared" si="4"/>
        <v>-461.5</v>
      </c>
      <c r="N41" s="600" t="s">
        <v>5</v>
      </c>
    </row>
    <row r="42" spans="1:14" ht="12.75">
      <c r="A42" s="537" t="s">
        <v>8</v>
      </c>
      <c r="B42" s="632"/>
      <c r="C42" s="632"/>
      <c r="D42" s="632"/>
      <c r="E42" s="632"/>
      <c r="F42" s="528">
        <f>'1stIA Resource Clearing Results'!J40</f>
        <v>-70.19999999999999</v>
      </c>
      <c r="G42" s="528">
        <f>'1stIA Resource Clearing Results'!K40</f>
        <v>0</v>
      </c>
      <c r="H42" s="528">
        <f>'1stIA Resource Clearing Results'!L40</f>
        <v>0</v>
      </c>
      <c r="I42" s="528">
        <f t="shared" si="3"/>
        <v>-70.19999999999999</v>
      </c>
      <c r="J42" s="591">
        <f>'2ndIA Resource Clearing Results'!J40</f>
        <v>14</v>
      </c>
      <c r="K42" s="591">
        <f>'2ndIA Resource Clearing Results'!K40</f>
        <v>0</v>
      </c>
      <c r="L42" s="591">
        <f>'2ndIA Resource Clearing Results'!L40</f>
        <v>-43.8</v>
      </c>
      <c r="M42" s="591">
        <f t="shared" si="4"/>
        <v>-29.799999999999997</v>
      </c>
      <c r="N42" s="600" t="s">
        <v>8</v>
      </c>
    </row>
    <row r="43" spans="1:14" ht="12.75">
      <c r="A43" s="537" t="s">
        <v>42</v>
      </c>
      <c r="B43" s="632"/>
      <c r="C43" s="632"/>
      <c r="D43" s="632"/>
      <c r="E43" s="632"/>
      <c r="F43" s="528">
        <f>'1stIA Resource Clearing Results'!J41</f>
        <v>29.6</v>
      </c>
      <c r="G43" s="528">
        <f>'1stIA Resource Clearing Results'!K41</f>
        <v>0</v>
      </c>
      <c r="H43" s="528">
        <f>'1stIA Resource Clearing Results'!L41</f>
        <v>0</v>
      </c>
      <c r="I43" s="528">
        <f t="shared" si="3"/>
        <v>29.6</v>
      </c>
      <c r="J43" s="591">
        <f>'2ndIA Resource Clearing Results'!J41</f>
        <v>14</v>
      </c>
      <c r="K43" s="591">
        <f>'2ndIA Resource Clearing Results'!K41</f>
        <v>0</v>
      </c>
      <c r="L43" s="591">
        <f>'2ndIA Resource Clearing Results'!L41</f>
        <v>0</v>
      </c>
      <c r="M43" s="591">
        <f t="shared" si="4"/>
        <v>14</v>
      </c>
      <c r="N43" s="600" t="s">
        <v>42</v>
      </c>
    </row>
    <row r="44" spans="1:14" ht="12.75">
      <c r="A44" s="537" t="s">
        <v>43</v>
      </c>
      <c r="B44" s="632"/>
      <c r="C44" s="632"/>
      <c r="D44" s="632"/>
      <c r="E44" s="632"/>
      <c r="F44" s="528">
        <f>'1stIA Resource Clearing Results'!J42</f>
        <v>49.3</v>
      </c>
      <c r="G44" s="528">
        <f>'1stIA Resource Clearing Results'!K42</f>
        <v>0</v>
      </c>
      <c r="H44" s="528">
        <f>'1stIA Resource Clearing Results'!L42</f>
        <v>0</v>
      </c>
      <c r="I44" s="528">
        <f t="shared" si="3"/>
        <v>49.3</v>
      </c>
      <c r="J44" s="591">
        <f>'2ndIA Resource Clearing Results'!J42</f>
        <v>0</v>
      </c>
      <c r="K44" s="591">
        <f>'2ndIA Resource Clearing Results'!K42</f>
        <v>0</v>
      </c>
      <c r="L44" s="591">
        <f>'2ndIA Resource Clearing Results'!L42</f>
        <v>-84.9</v>
      </c>
      <c r="M44" s="591">
        <f t="shared" si="4"/>
        <v>-84.9</v>
      </c>
      <c r="N44" s="600" t="s">
        <v>43</v>
      </c>
    </row>
    <row r="45" spans="1:14" ht="12.75">
      <c r="A45" s="537" t="s">
        <v>15</v>
      </c>
      <c r="B45" s="632"/>
      <c r="C45" s="632"/>
      <c r="D45" s="632"/>
      <c r="E45" s="632"/>
      <c r="F45" s="528">
        <f>'1stIA Resource Clearing Results'!J43</f>
        <v>0</v>
      </c>
      <c r="G45" s="528">
        <f>'1stIA Resource Clearing Results'!K43</f>
        <v>0</v>
      </c>
      <c r="H45" s="528">
        <f>'1stIA Resource Clearing Results'!L43</f>
        <v>-242.9</v>
      </c>
      <c r="I45" s="528">
        <f t="shared" si="3"/>
        <v>-242.9</v>
      </c>
      <c r="J45" s="591">
        <f>'2ndIA Resource Clearing Results'!J43</f>
        <v>0</v>
      </c>
      <c r="K45" s="591">
        <f>'2ndIA Resource Clearing Results'!K43</f>
        <v>0</v>
      </c>
      <c r="L45" s="591">
        <f>'2ndIA Resource Clearing Results'!L43</f>
        <v>-278.5</v>
      </c>
      <c r="M45" s="591">
        <f t="shared" si="4"/>
        <v>-278.5</v>
      </c>
      <c r="N45" s="600" t="s">
        <v>15</v>
      </c>
    </row>
    <row r="46" spans="1:14" ht="12.75">
      <c r="A46" s="537" t="s">
        <v>51</v>
      </c>
      <c r="B46" s="632"/>
      <c r="C46" s="632"/>
      <c r="D46" s="632"/>
      <c r="E46" s="632"/>
      <c r="F46" s="528">
        <f>'1stIA Resource Clearing Results'!J44</f>
        <v>-47.79999999999998</v>
      </c>
      <c r="G46" s="528">
        <f>'1stIA Resource Clearing Results'!K44</f>
        <v>0</v>
      </c>
      <c r="H46" s="528">
        <f>'1stIA Resource Clearing Results'!L44</f>
        <v>0</v>
      </c>
      <c r="I46" s="528">
        <f t="shared" si="3"/>
        <v>-47.79999999999998</v>
      </c>
      <c r="J46" s="591">
        <f>'2ndIA Resource Clearing Results'!J44</f>
        <v>0</v>
      </c>
      <c r="K46" s="591">
        <f>'2ndIA Resource Clearing Results'!K44</f>
        <v>0</v>
      </c>
      <c r="L46" s="591">
        <f>'2ndIA Resource Clearing Results'!L44</f>
        <v>-159.4</v>
      </c>
      <c r="M46" s="591">
        <f t="shared" si="4"/>
        <v>-159.4</v>
      </c>
      <c r="N46" s="600" t="s">
        <v>51</v>
      </c>
    </row>
    <row r="47" spans="1:14" ht="12.75">
      <c r="A47" s="272" t="s">
        <v>176</v>
      </c>
      <c r="B47" s="632"/>
      <c r="C47" s="632"/>
      <c r="D47" s="632"/>
      <c r="E47" s="632"/>
      <c r="F47" s="528">
        <f>'1stIA Resource Clearing Results'!J45</f>
        <v>125.9</v>
      </c>
      <c r="G47" s="528">
        <f>'1stIA Resource Clearing Results'!K45</f>
        <v>0</v>
      </c>
      <c r="H47" s="528">
        <f>'1stIA Resource Clearing Results'!L45</f>
        <v>0</v>
      </c>
      <c r="I47" s="528">
        <f t="shared" si="3"/>
        <v>125.9</v>
      </c>
      <c r="J47" s="591">
        <f>'2ndIA Resource Clearing Results'!J45</f>
        <v>0</v>
      </c>
      <c r="K47" s="591">
        <f>'2ndIA Resource Clearing Results'!K45</f>
        <v>0</v>
      </c>
      <c r="L47" s="591">
        <f>'2ndIA Resource Clearing Results'!L45</f>
        <v>-49.9</v>
      </c>
      <c r="M47" s="591">
        <f t="shared" si="4"/>
        <v>-49.9</v>
      </c>
      <c r="N47" s="600" t="s">
        <v>176</v>
      </c>
    </row>
    <row r="48" spans="1:14" ht="12.75">
      <c r="A48" s="276" t="s">
        <v>301</v>
      </c>
      <c r="B48" s="270"/>
      <c r="C48" s="270"/>
      <c r="D48" s="270"/>
      <c r="E48" s="270"/>
      <c r="F48" s="523"/>
      <c r="G48" s="523"/>
      <c r="H48" s="523"/>
      <c r="I48" s="270"/>
      <c r="N48" s="523"/>
    </row>
    <row r="49" spans="1:14" ht="12.75">
      <c r="A49" s="276" t="s">
        <v>302</v>
      </c>
      <c r="B49" s="270"/>
      <c r="C49" s="270"/>
      <c r="D49" s="270"/>
      <c r="E49" s="270"/>
      <c r="F49" s="523"/>
      <c r="G49" s="523"/>
      <c r="H49" s="523"/>
      <c r="I49" s="270"/>
      <c r="N49" s="523"/>
    </row>
    <row r="50" spans="1:14" ht="12.75">
      <c r="A50" s="276"/>
      <c r="B50" s="270"/>
      <c r="C50" s="270"/>
      <c r="D50" s="270"/>
      <c r="E50" s="270"/>
      <c r="F50" s="523"/>
      <c r="G50" s="523"/>
      <c r="H50" s="523"/>
      <c r="I50" s="270"/>
      <c r="N50" s="523"/>
    </row>
    <row r="51" spans="1:6" ht="15">
      <c r="A51" s="273" t="s">
        <v>171</v>
      </c>
      <c r="B51" s="274"/>
      <c r="C51" s="274"/>
      <c r="D51" s="274"/>
      <c r="E51" s="274"/>
      <c r="F51" s="275"/>
    </row>
    <row r="52" spans="1:13" ht="12.75">
      <c r="A52" s="526"/>
      <c r="B52" s="627" t="s">
        <v>170</v>
      </c>
      <c r="C52" s="627"/>
      <c r="D52" s="627"/>
      <c r="E52" s="627"/>
      <c r="F52" s="628" t="s">
        <v>289</v>
      </c>
      <c r="G52" s="628"/>
      <c r="H52" s="628"/>
      <c r="I52" s="628"/>
      <c r="J52" s="626" t="s">
        <v>326</v>
      </c>
      <c r="K52" s="626"/>
      <c r="L52" s="626"/>
      <c r="M52" s="626"/>
    </row>
    <row r="53" spans="1:14" ht="52.5">
      <c r="A53" s="602" t="s">
        <v>7</v>
      </c>
      <c r="B53" s="538" t="s">
        <v>303</v>
      </c>
      <c r="C53" s="538" t="s">
        <v>304</v>
      </c>
      <c r="D53" s="538" t="s">
        <v>172</v>
      </c>
      <c r="E53" s="538" t="s">
        <v>305</v>
      </c>
      <c r="F53" s="535" t="s">
        <v>306</v>
      </c>
      <c r="G53" s="535" t="s">
        <v>307</v>
      </c>
      <c r="H53" s="535" t="s">
        <v>309</v>
      </c>
      <c r="I53" s="535" t="s">
        <v>308</v>
      </c>
      <c r="J53" s="589" t="s">
        <v>306</v>
      </c>
      <c r="K53" s="589" t="s">
        <v>307</v>
      </c>
      <c r="L53" s="589" t="s">
        <v>309</v>
      </c>
      <c r="M53" s="589" t="s">
        <v>308</v>
      </c>
      <c r="N53" s="602" t="s">
        <v>7</v>
      </c>
    </row>
    <row r="54" spans="1:14" ht="12.75">
      <c r="A54" s="272" t="s">
        <v>16</v>
      </c>
      <c r="B54" s="540">
        <f>'BRA Load Pricing Results'!K37</f>
        <v>3164.1171534316227</v>
      </c>
      <c r="C54" s="529">
        <f>'BRA Load Pricing Results'!L37</f>
        <v>119.13</v>
      </c>
      <c r="D54" s="529">
        <f>'BRA CTRs'!U18</f>
        <v>0.24053015200786307</v>
      </c>
      <c r="E54" s="541">
        <f>C54-D54</f>
        <v>118.88946984799213</v>
      </c>
      <c r="F54" s="542">
        <f>'1st IA Load Pricing Results'!K39</f>
        <v>3113.1675446151876</v>
      </c>
      <c r="G54" s="525">
        <f>'1st IA Load Pricing Results'!M39</f>
        <v>119.34365379777387</v>
      </c>
      <c r="H54" s="530">
        <f>'1st IA CTRs'!U18</f>
        <v>0.6112079177928258</v>
      </c>
      <c r="I54" s="543">
        <f>G54-H54</f>
        <v>118.73244587998104</v>
      </c>
      <c r="J54" s="592">
        <f>'2nd IA Load Pricing Results'!K39</f>
        <v>2962.484075858631</v>
      </c>
      <c r="K54" s="590">
        <f>'2nd IA Load Pricing Results'!M39</f>
        <v>120.51423026238608</v>
      </c>
      <c r="L54" s="593">
        <f>'2nd IA CTRs'!U18</f>
        <v>0</v>
      </c>
      <c r="M54" s="594">
        <f>K54-L54</f>
        <v>120.51423026238608</v>
      </c>
      <c r="N54" s="600" t="s">
        <v>16</v>
      </c>
    </row>
    <row r="55" spans="1:14" ht="12.75">
      <c r="A55" s="272" t="s">
        <v>57</v>
      </c>
      <c r="B55" s="540">
        <f>'BRA Load Pricing Results'!K38</f>
        <v>13540.577959428254</v>
      </c>
      <c r="C55" s="529">
        <f>'BRA Load Pricing Results'!L38</f>
        <v>59.37</v>
      </c>
      <c r="D55" s="529">
        <f>'BRA CTRs'!U19</f>
        <v>0</v>
      </c>
      <c r="E55" s="541">
        <f>C55-D55</f>
        <v>59.37</v>
      </c>
      <c r="F55" s="542">
        <f>'1st IA Load Pricing Results'!K40</f>
        <v>12814.931469619332</v>
      </c>
      <c r="G55" s="525">
        <f>'1st IA Load Pricing Results'!M40</f>
        <v>59.38270416857256</v>
      </c>
      <c r="H55" s="530">
        <f>'1st IA CTRs'!U19</f>
        <v>0</v>
      </c>
      <c r="I55" s="543">
        <f aca="true" t="shared" si="5" ref="I55:I73">G55-H55</f>
        <v>59.38270416857256</v>
      </c>
      <c r="J55" s="592">
        <f>'2nd IA Load Pricing Results'!K40</f>
        <v>12558.02624315379</v>
      </c>
      <c r="K55" s="590">
        <f>'2nd IA Load Pricing Results'!M40</f>
        <v>60.12813638622401</v>
      </c>
      <c r="L55" s="593">
        <f>'2nd IA CTRs'!U19</f>
        <v>0</v>
      </c>
      <c r="M55" s="594">
        <f>K55-L55</f>
        <v>60.12813638622401</v>
      </c>
      <c r="N55" s="600" t="s">
        <v>57</v>
      </c>
    </row>
    <row r="56" spans="1:14" ht="12.75">
      <c r="A56" s="272" t="s">
        <v>19</v>
      </c>
      <c r="B56" s="540">
        <f>'BRA Load Pricing Results'!K39</f>
        <v>9992.786955445808</v>
      </c>
      <c r="C56" s="529">
        <f>'BRA Load Pricing Results'!L39</f>
        <v>59.37</v>
      </c>
      <c r="D56" s="529">
        <f>'BRA CTRs'!U20</f>
        <v>0</v>
      </c>
      <c r="E56" s="541">
        <f>C56-D56</f>
        <v>59.37</v>
      </c>
      <c r="F56" s="542">
        <f>'1st IA Load Pricing Results'!K41</f>
        <v>9991.376475319767</v>
      </c>
      <c r="G56" s="525">
        <f>'1st IA Load Pricing Results'!M41</f>
        <v>59.38270416857255</v>
      </c>
      <c r="H56" s="530">
        <f>'1st IA CTRs'!U20</f>
        <v>0</v>
      </c>
      <c r="I56" s="543">
        <f t="shared" si="5"/>
        <v>59.38270416857255</v>
      </c>
      <c r="J56" s="592">
        <f>'2nd IA Load Pricing Results'!K41</f>
        <v>9721.652426075998</v>
      </c>
      <c r="K56" s="590">
        <f>'2nd IA Load Pricing Results'!M41</f>
        <v>60.12813638622401</v>
      </c>
      <c r="L56" s="593">
        <f>'2nd IA CTRs'!U20</f>
        <v>0</v>
      </c>
      <c r="M56" s="594">
        <f>K56-L56</f>
        <v>60.12813638622401</v>
      </c>
      <c r="N56" s="600" t="s">
        <v>19</v>
      </c>
    </row>
    <row r="57" spans="1:14" ht="12.75">
      <c r="A57" s="272" t="s">
        <v>51</v>
      </c>
      <c r="B57" s="540">
        <f>'BRA Load Pricing Results'!K40</f>
        <v>15121.11342734487</v>
      </c>
      <c r="C57" s="529">
        <f>'BRA Load Pricing Results'!L40</f>
        <v>104.4806778815449</v>
      </c>
      <c r="D57" s="529">
        <f>'BRA CTRs'!U21</f>
        <v>13.938654649489141</v>
      </c>
      <c r="E57" s="541">
        <f aca="true" t="shared" si="6" ref="E57:E72">C57-D57</f>
        <v>90.54202323205577</v>
      </c>
      <c r="F57" s="542">
        <f>'1st IA Load Pricing Results'!K42</f>
        <v>14850.843575292307</v>
      </c>
      <c r="G57" s="525">
        <f>'1st IA Load Pricing Results'!M42</f>
        <v>104.70930684061129</v>
      </c>
      <c r="H57" s="530">
        <f>'1st IA CTRs'!U21</f>
        <v>13.892679207240484</v>
      </c>
      <c r="I57" s="543">
        <f t="shared" si="5"/>
        <v>90.81662763337081</v>
      </c>
      <c r="J57" s="592">
        <f>'2nd IA Load Pricing Results'!K42</f>
        <v>14631.568800027202</v>
      </c>
      <c r="K57" s="590">
        <f>'2nd IA Load Pricing Results'!M42</f>
        <v>104.94122051550595</v>
      </c>
      <c r="L57" s="593">
        <f>'2nd IA CTRs'!U21</f>
        <v>13.859633673076743</v>
      </c>
      <c r="M57" s="594">
        <f>K57-L57</f>
        <v>91.0815868424292</v>
      </c>
      <c r="N57" s="600" t="s">
        <v>51</v>
      </c>
    </row>
    <row r="58" spans="1:14" ht="12.75">
      <c r="A58" s="272" t="s">
        <v>11</v>
      </c>
      <c r="B58" s="540">
        <f>'BRA Load Pricing Results'!K41</f>
        <v>8289.031565136473</v>
      </c>
      <c r="C58" s="529">
        <f>'BRA Load Pricing Results'!L41</f>
        <v>119.13</v>
      </c>
      <c r="D58" s="529">
        <f>'BRA CTRs'!U22</f>
        <v>0.24053015200786307</v>
      </c>
      <c r="E58" s="541">
        <f t="shared" si="6"/>
        <v>118.88946984799213</v>
      </c>
      <c r="F58" s="542">
        <f>'1st IA Load Pricing Results'!K43</f>
        <v>8160.553647184364</v>
      </c>
      <c r="G58" s="525">
        <f>'1st IA Load Pricing Results'!M43</f>
        <v>119.34365379777388</v>
      </c>
      <c r="H58" s="530">
        <f>'1st IA CTRs'!U22</f>
        <v>0.6112079177928258</v>
      </c>
      <c r="I58" s="543">
        <f t="shared" si="5"/>
        <v>118.73244587998106</v>
      </c>
      <c r="J58" s="592">
        <f>'2nd IA Load Pricing Results'!K43</f>
        <v>7918.420956131693</v>
      </c>
      <c r="K58" s="590">
        <f>'2nd IA Load Pricing Results'!M43</f>
        <v>120.51423026238609</v>
      </c>
      <c r="L58" s="593">
        <f>'2nd IA CTRs'!U22</f>
        <v>0</v>
      </c>
      <c r="M58" s="594">
        <f aca="true" t="shared" si="7" ref="M58:M73">K58-L58</f>
        <v>120.51423026238609</v>
      </c>
      <c r="N58" s="600" t="s">
        <v>11</v>
      </c>
    </row>
    <row r="59" spans="1:14" ht="12.75">
      <c r="A59" s="272" t="s">
        <v>20</v>
      </c>
      <c r="B59" s="540">
        <f>'BRA Load Pricing Results'!K42</f>
        <v>26732.354268244737</v>
      </c>
      <c r="C59" s="529">
        <f>'BRA Load Pricing Results'!L42</f>
        <v>59.37</v>
      </c>
      <c r="D59" s="529">
        <f>'BRA CTRs'!U23</f>
        <v>0</v>
      </c>
      <c r="E59" s="541">
        <f t="shared" si="6"/>
        <v>59.37</v>
      </c>
      <c r="F59" s="542">
        <f>'1st IA Load Pricing Results'!K44</f>
        <v>26422.999602619777</v>
      </c>
      <c r="G59" s="525">
        <f>'1st IA Load Pricing Results'!M44</f>
        <v>59.38270416857256</v>
      </c>
      <c r="H59" s="530">
        <f>'1st IA CTRs'!U23</f>
        <v>0</v>
      </c>
      <c r="I59" s="543">
        <f t="shared" si="5"/>
        <v>59.38270416857256</v>
      </c>
      <c r="J59" s="592">
        <f>'2nd IA Load Pricing Results'!K44</f>
        <v>25530.4779696993</v>
      </c>
      <c r="K59" s="590">
        <f>'2nd IA Load Pricing Results'!M44</f>
        <v>60.12813638622401</v>
      </c>
      <c r="L59" s="593">
        <f>'2nd IA CTRs'!U23</f>
        <v>0</v>
      </c>
      <c r="M59" s="594">
        <f t="shared" si="7"/>
        <v>60.12813638622401</v>
      </c>
      <c r="N59" s="600" t="s">
        <v>20</v>
      </c>
    </row>
    <row r="60" spans="1:14" ht="12.75">
      <c r="A60" s="272" t="s">
        <v>21</v>
      </c>
      <c r="B60" s="540">
        <f>'BRA Load Pricing Results'!K43</f>
        <v>4044.4286835380485</v>
      </c>
      <c r="C60" s="529">
        <f>'BRA Load Pricing Results'!L43</f>
        <v>59.37</v>
      </c>
      <c r="D60" s="529">
        <f>'BRA CTRs'!U24</f>
        <v>0</v>
      </c>
      <c r="E60" s="541">
        <f t="shared" si="6"/>
        <v>59.37</v>
      </c>
      <c r="F60" s="542">
        <f>'1st IA Load Pricing Results'!K45</f>
        <v>3949.118786903238</v>
      </c>
      <c r="G60" s="525">
        <f>'1st IA Load Pricing Results'!M45</f>
        <v>59.38270416857256</v>
      </c>
      <c r="H60" s="530">
        <f>'1st IA CTRs'!U24</f>
        <v>0</v>
      </c>
      <c r="I60" s="543">
        <f t="shared" si="5"/>
        <v>59.38270416857256</v>
      </c>
      <c r="J60" s="592">
        <f>'2nd IA Load Pricing Results'!K45</f>
        <v>3892.0380101531755</v>
      </c>
      <c r="K60" s="590">
        <f>'2nd IA Load Pricing Results'!M45</f>
        <v>60.12813638622401</v>
      </c>
      <c r="L60" s="593">
        <f>'2nd IA CTRs'!U24</f>
        <v>0</v>
      </c>
      <c r="M60" s="594">
        <f t="shared" si="7"/>
        <v>60.12813638622401</v>
      </c>
      <c r="N60" s="600" t="s">
        <v>21</v>
      </c>
    </row>
    <row r="61" spans="1:14" ht="12.75">
      <c r="A61" s="272" t="s">
        <v>64</v>
      </c>
      <c r="B61" s="540">
        <f>'BRA Load Pricing Results'!K44</f>
        <v>5320.337735149425</v>
      </c>
      <c r="C61" s="529">
        <f>'BRA Load Pricing Results'!L44</f>
        <v>59.37</v>
      </c>
      <c r="D61" s="529">
        <f>'BRA CTRs'!U25</f>
        <v>0</v>
      </c>
      <c r="E61" s="541">
        <f>C61-D61</f>
        <v>59.37</v>
      </c>
      <c r="F61" s="542">
        <f>'1st IA Load Pricing Results'!K46</f>
        <v>5236.966086036048</v>
      </c>
      <c r="G61" s="525">
        <f>'1st IA Load Pricing Results'!M46</f>
        <v>59.38270416857255</v>
      </c>
      <c r="H61" s="530">
        <f>'1st IA CTRs'!U25</f>
        <v>0</v>
      </c>
      <c r="I61" s="543">
        <f t="shared" si="5"/>
        <v>59.38270416857255</v>
      </c>
      <c r="J61" s="592">
        <f>'2nd IA Load Pricing Results'!K46</f>
        <v>5107.5412166787255</v>
      </c>
      <c r="K61" s="590">
        <f>'2nd IA Load Pricing Results'!M46</f>
        <v>60.12813638622401</v>
      </c>
      <c r="L61" s="593">
        <f>'2nd IA CTRs'!U25</f>
        <v>0</v>
      </c>
      <c r="M61" s="594">
        <f t="shared" si="7"/>
        <v>60.12813638622401</v>
      </c>
      <c r="N61" s="600" t="s">
        <v>64</v>
      </c>
    </row>
    <row r="62" spans="1:14" ht="12.75">
      <c r="A62" s="272" t="s">
        <v>50</v>
      </c>
      <c r="B62" s="540">
        <f>'BRA Load Pricing Results'!K45</f>
        <v>3407.5107806186707</v>
      </c>
      <c r="C62" s="529">
        <f>'BRA Load Pricing Results'!L45</f>
        <v>59.37</v>
      </c>
      <c r="D62" s="529">
        <f>'BRA CTRs'!U26</f>
        <v>0</v>
      </c>
      <c r="E62" s="541">
        <f t="shared" si="6"/>
        <v>59.37</v>
      </c>
      <c r="F62" s="542">
        <f>'1st IA Load Pricing Results'!K47</f>
        <v>3364.00366651106</v>
      </c>
      <c r="G62" s="525">
        <f>'1st IA Load Pricing Results'!M47</f>
        <v>59.38270416857256</v>
      </c>
      <c r="H62" s="530">
        <f>'1st IA CTRs'!U26</f>
        <v>0</v>
      </c>
      <c r="I62" s="543">
        <f t="shared" si="5"/>
        <v>59.38270416857256</v>
      </c>
      <c r="J62" s="592">
        <f>'2nd IA Load Pricing Results'!K47</f>
        <v>3282.852334761697</v>
      </c>
      <c r="K62" s="590">
        <f>'2nd IA Load Pricing Results'!M47</f>
        <v>60.12813638622401</v>
      </c>
      <c r="L62" s="593">
        <f>'2nd IA CTRs'!U26</f>
        <v>0</v>
      </c>
      <c r="M62" s="594">
        <f t="shared" si="7"/>
        <v>60.12813638622401</v>
      </c>
      <c r="N62" s="600" t="s">
        <v>50</v>
      </c>
    </row>
    <row r="63" spans="1:14" ht="12.75">
      <c r="A63" s="272" t="s">
        <v>33</v>
      </c>
      <c r="B63" s="540">
        <f>'BRA Load Pricing Results'!K46</f>
        <v>23219.069621605526</v>
      </c>
      <c r="C63" s="529">
        <f>'BRA Load Pricing Results'!L46</f>
        <v>59.37</v>
      </c>
      <c r="D63" s="529">
        <f>'BRA CTRs'!U27</f>
        <v>0</v>
      </c>
      <c r="E63" s="541">
        <f t="shared" si="6"/>
        <v>59.37</v>
      </c>
      <c r="F63" s="542">
        <f>'1st IA Load Pricing Results'!K48</f>
        <v>23477.695187585286</v>
      </c>
      <c r="G63" s="525">
        <f>'1st IA Load Pricing Results'!M48</f>
        <v>59.382704168572566</v>
      </c>
      <c r="H63" s="530">
        <f>'1st IA CTRs'!U27</f>
        <v>0</v>
      </c>
      <c r="I63" s="543">
        <f t="shared" si="5"/>
        <v>59.382704168572566</v>
      </c>
      <c r="J63" s="592">
        <f>'2nd IA Load Pricing Results'!K48</f>
        <v>22586.57013034969</v>
      </c>
      <c r="K63" s="590">
        <f>'2nd IA Load Pricing Results'!M48</f>
        <v>60.12813638622401</v>
      </c>
      <c r="L63" s="593">
        <f>'2nd IA CTRs'!U27</f>
        <v>0</v>
      </c>
      <c r="M63" s="594">
        <f t="shared" si="7"/>
        <v>60.12813638622401</v>
      </c>
      <c r="N63" s="600" t="s">
        <v>33</v>
      </c>
    </row>
    <row r="64" spans="1:14" ht="12.75">
      <c r="A64" s="272" t="s">
        <v>17</v>
      </c>
      <c r="B64" s="540">
        <f>'BRA Load Pricing Results'!K47</f>
        <v>4790.532512672177</v>
      </c>
      <c r="C64" s="529">
        <f>'BRA Load Pricing Results'!L47</f>
        <v>119.13</v>
      </c>
      <c r="D64" s="529">
        <f>'BRA CTRs'!U28</f>
        <v>0.2405301520078631</v>
      </c>
      <c r="E64" s="541">
        <f>C64-D64</f>
        <v>118.88946984799213</v>
      </c>
      <c r="F64" s="542">
        <f>'1st IA Load Pricing Results'!K49</f>
        <v>4725.4304603601695</v>
      </c>
      <c r="G64" s="525">
        <f>'1st IA Load Pricing Results'!M49</f>
        <v>119.34365379777387</v>
      </c>
      <c r="H64" s="530">
        <f>'1st IA CTRs'!U28</f>
        <v>0.6112079177928258</v>
      </c>
      <c r="I64" s="543">
        <f t="shared" si="5"/>
        <v>118.73244587998104</v>
      </c>
      <c r="J64" s="592">
        <f>'2nd IA Load Pricing Results'!K49</f>
        <v>4657.856988224499</v>
      </c>
      <c r="K64" s="590">
        <f>'2nd IA Load Pricing Results'!M49</f>
        <v>120.5142302623861</v>
      </c>
      <c r="L64" s="593">
        <f>'2nd IA CTRs'!U28</f>
        <v>0</v>
      </c>
      <c r="M64" s="594">
        <f t="shared" si="7"/>
        <v>120.5142302623861</v>
      </c>
      <c r="N64" s="600" t="s">
        <v>17</v>
      </c>
    </row>
    <row r="65" spans="1:14" ht="12.75">
      <c r="A65" s="272" t="s">
        <v>183</v>
      </c>
      <c r="B65" s="540">
        <f>'BRA Load Pricing Results'!K48</f>
        <v>2465.1625144896684</v>
      </c>
      <c r="C65" s="529">
        <f>'BRA Load Pricing Results'!L48</f>
        <v>59.37</v>
      </c>
      <c r="D65" s="529">
        <f>'BRA CTRs'!U29</f>
        <v>0</v>
      </c>
      <c r="E65" s="541">
        <f>C65-D65</f>
        <v>59.37</v>
      </c>
      <c r="F65" s="542">
        <f>'1st IA Load Pricing Results'!K50</f>
        <v>2406.7903474226814</v>
      </c>
      <c r="G65" s="525">
        <f>'1st IA Load Pricing Results'!M50</f>
        <v>59.38270416857256</v>
      </c>
      <c r="H65" s="530">
        <f>'1st IA CTRs'!U29</f>
        <v>0</v>
      </c>
      <c r="I65" s="543">
        <f t="shared" si="5"/>
        <v>59.38270416857256</v>
      </c>
      <c r="J65" s="592">
        <f>'2nd IA Load Pricing Results'!K50</f>
        <v>2502.7100234237532</v>
      </c>
      <c r="K65" s="590">
        <f>'2nd IA Load Pricing Results'!M50</f>
        <v>60.128136386224014</v>
      </c>
      <c r="L65" s="593">
        <f>'2nd IA CTRs'!U29</f>
        <v>0</v>
      </c>
      <c r="M65" s="594">
        <f t="shared" si="7"/>
        <v>60.128136386224014</v>
      </c>
      <c r="N65" s="600" t="s">
        <v>183</v>
      </c>
    </row>
    <row r="66" spans="1:14" ht="12.75">
      <c r="A66" s="272" t="s">
        <v>12</v>
      </c>
      <c r="B66" s="540">
        <f>'BRA Load Pricing Results'!K49</f>
        <v>7257.452033086694</v>
      </c>
      <c r="C66" s="529">
        <f>'BRA Load Pricing Results'!L49</f>
        <v>119.13</v>
      </c>
      <c r="D66" s="529">
        <f>'BRA CTRs'!U30</f>
        <v>0.2405301520078631</v>
      </c>
      <c r="E66" s="541">
        <f t="shared" si="6"/>
        <v>118.88946984799213</v>
      </c>
      <c r="F66" s="542">
        <f>'1st IA Load Pricing Results'!K51</f>
        <v>7206.45012398938</v>
      </c>
      <c r="G66" s="525">
        <f>'1st IA Load Pricing Results'!M51</f>
        <v>119.34365379777388</v>
      </c>
      <c r="H66" s="530">
        <f>'1st IA CTRs'!U30</f>
        <v>0.6112079177928259</v>
      </c>
      <c r="I66" s="543">
        <f t="shared" si="5"/>
        <v>118.73244587998106</v>
      </c>
      <c r="J66" s="592">
        <f>'2nd IA Load Pricing Results'!K51</f>
        <v>6977.702889744882</v>
      </c>
      <c r="K66" s="590">
        <f>'2nd IA Load Pricing Results'!M51</f>
        <v>120.5142302623861</v>
      </c>
      <c r="L66" s="593">
        <f>'2nd IA CTRs'!U30</f>
        <v>0</v>
      </c>
      <c r="M66" s="594">
        <f t="shared" si="7"/>
        <v>120.5142302623861</v>
      </c>
      <c r="N66" s="600" t="s">
        <v>12</v>
      </c>
    </row>
    <row r="67" spans="1:14" ht="12.75">
      <c r="A67" s="272" t="s">
        <v>13</v>
      </c>
      <c r="B67" s="540">
        <f>'BRA Load Pricing Results'!K50</f>
        <v>3489.400225279733</v>
      </c>
      <c r="C67" s="529">
        <f>'BRA Load Pricing Results'!L50</f>
        <v>119.13</v>
      </c>
      <c r="D67" s="529">
        <f>'BRA CTRs'!U31</f>
        <v>0.2405301520078631</v>
      </c>
      <c r="E67" s="541">
        <f t="shared" si="6"/>
        <v>118.88946984799213</v>
      </c>
      <c r="F67" s="542">
        <f>'1st IA Load Pricing Results'!K52</f>
        <v>3440.5435290985556</v>
      </c>
      <c r="G67" s="525">
        <f>'1st IA Load Pricing Results'!M52</f>
        <v>119.34365379777387</v>
      </c>
      <c r="H67" s="530">
        <f>'1st IA CTRs'!U31</f>
        <v>0.6112079177928258</v>
      </c>
      <c r="I67" s="543">
        <f t="shared" si="5"/>
        <v>118.73244587998104</v>
      </c>
      <c r="J67" s="592">
        <f>'2nd IA Load Pricing Results'!K52</f>
        <v>3291.8952860953764</v>
      </c>
      <c r="K67" s="590">
        <f>'2nd IA Load Pricing Results'!M52</f>
        <v>120.51423026238609</v>
      </c>
      <c r="L67" s="593">
        <f>'2nd IA CTRs'!U31</f>
        <v>0</v>
      </c>
      <c r="M67" s="594">
        <f t="shared" si="7"/>
        <v>120.51423026238609</v>
      </c>
      <c r="N67" s="600" t="s">
        <v>13</v>
      </c>
    </row>
    <row r="68" spans="1:14" ht="12.75">
      <c r="A68" s="272" t="s">
        <v>9</v>
      </c>
      <c r="B68" s="540">
        <f>'BRA Load Pricing Results'!K51</f>
        <v>10131.544070010386</v>
      </c>
      <c r="C68" s="529">
        <f>'BRA Load Pricing Results'!L51</f>
        <v>119.13</v>
      </c>
      <c r="D68" s="529">
        <f>'BRA CTRs'!U32</f>
        <v>0.2405301520078631</v>
      </c>
      <c r="E68" s="541">
        <f t="shared" si="6"/>
        <v>118.88946984799213</v>
      </c>
      <c r="F68" s="542">
        <f>'1st IA Load Pricing Results'!K53</f>
        <v>10010.820885581556</v>
      </c>
      <c r="G68" s="525">
        <f>'1st IA Load Pricing Results'!M53</f>
        <v>119.34365379777385</v>
      </c>
      <c r="H68" s="530">
        <f>'1st IA CTRs'!U32</f>
        <v>0.6112079177928259</v>
      </c>
      <c r="I68" s="543">
        <f t="shared" si="5"/>
        <v>118.73244587998103</v>
      </c>
      <c r="J68" s="592">
        <f>'2nd IA Load Pricing Results'!K53</f>
        <v>9627.013769359944</v>
      </c>
      <c r="K68" s="590">
        <f>'2nd IA Load Pricing Results'!M53</f>
        <v>120.51423026238609</v>
      </c>
      <c r="L68" s="593">
        <f>'2nd IA CTRs'!U32</f>
        <v>0</v>
      </c>
      <c r="M68" s="594">
        <f t="shared" si="7"/>
        <v>120.51423026238609</v>
      </c>
      <c r="N68" s="600" t="s">
        <v>9</v>
      </c>
    </row>
    <row r="69" spans="1:14" ht="12.75">
      <c r="A69" s="272" t="s">
        <v>14</v>
      </c>
      <c r="B69" s="540">
        <f>'BRA Load Pricing Results'!K52</f>
        <v>3462.103743726045</v>
      </c>
      <c r="C69" s="529">
        <f>'BRA Load Pricing Results'!L52</f>
        <v>119.13</v>
      </c>
      <c r="D69" s="529">
        <f>'BRA CTRs'!U33</f>
        <v>0.24053015200786304</v>
      </c>
      <c r="E69" s="541">
        <f t="shared" si="6"/>
        <v>118.88946984799213</v>
      </c>
      <c r="F69" s="542">
        <f>'1st IA Load Pricing Results'!K54</f>
        <v>3396.3809940907095</v>
      </c>
      <c r="G69" s="525">
        <f>'1st IA Load Pricing Results'!M54</f>
        <v>119.34365379777388</v>
      </c>
      <c r="H69" s="530">
        <f>'1st IA CTRs'!U33</f>
        <v>0.6112079177928258</v>
      </c>
      <c r="I69" s="543">
        <f t="shared" si="5"/>
        <v>118.73244587998106</v>
      </c>
      <c r="J69" s="592">
        <f>'2nd IA Load Pricing Results'!K54</f>
        <v>3247.680544720307</v>
      </c>
      <c r="K69" s="590">
        <f>'2nd IA Load Pricing Results'!M54</f>
        <v>120.51423026238608</v>
      </c>
      <c r="L69" s="593">
        <f>'2nd IA CTRs'!U33</f>
        <v>0</v>
      </c>
      <c r="M69" s="594">
        <f t="shared" si="7"/>
        <v>120.51423026238608</v>
      </c>
      <c r="N69" s="600" t="s">
        <v>14</v>
      </c>
    </row>
    <row r="70" spans="1:14" ht="12.75">
      <c r="A70" s="272" t="s">
        <v>15</v>
      </c>
      <c r="B70" s="540">
        <f>'BRA Load Pricing Results'!K53</f>
        <v>7734.003106878157</v>
      </c>
      <c r="C70" s="529">
        <f>'BRA Load Pricing Results'!L53</f>
        <v>119.13</v>
      </c>
      <c r="D70" s="529">
        <f>'BRA CTRs'!U34</f>
        <v>0.24053015200786312</v>
      </c>
      <c r="E70" s="541">
        <f t="shared" si="6"/>
        <v>118.88946984799213</v>
      </c>
      <c r="F70" s="542">
        <f>'1st IA Load Pricing Results'!K55</f>
        <v>7650.859434530962</v>
      </c>
      <c r="G70" s="525">
        <f>'1st IA Load Pricing Results'!M55</f>
        <v>119.34365379777387</v>
      </c>
      <c r="H70" s="530">
        <f>'1st IA CTRs'!U34</f>
        <v>0.6112079177928258</v>
      </c>
      <c r="I70" s="543">
        <f t="shared" si="5"/>
        <v>118.73244587998104</v>
      </c>
      <c r="J70" s="592">
        <f>'2nd IA Load Pricing Results'!K55</f>
        <v>7340.751190763261</v>
      </c>
      <c r="K70" s="590">
        <f>'2nd IA Load Pricing Results'!M55</f>
        <v>120.5142302623861</v>
      </c>
      <c r="L70" s="593">
        <f>'2nd IA CTRs'!U34</f>
        <v>0</v>
      </c>
      <c r="M70" s="594">
        <f t="shared" si="7"/>
        <v>120.5142302623861</v>
      </c>
      <c r="N70" s="600" t="s">
        <v>15</v>
      </c>
    </row>
    <row r="71" spans="1:14" ht="12.75">
      <c r="A71" s="272" t="s">
        <v>10</v>
      </c>
      <c r="B71" s="540">
        <f>'BRA Load Pricing Results'!K54</f>
        <v>8622.276110771076</v>
      </c>
      <c r="C71" s="529">
        <f>'BRA Load Pricing Results'!L54</f>
        <v>119.13</v>
      </c>
      <c r="D71" s="529">
        <f>'BRA CTRs'!U35</f>
        <v>0.24053015200786307</v>
      </c>
      <c r="E71" s="541">
        <f t="shared" si="6"/>
        <v>118.88946984799213</v>
      </c>
      <c r="F71" s="542">
        <f>'1st IA Load Pricing Results'!K56</f>
        <v>8488.08225964082</v>
      </c>
      <c r="G71" s="525">
        <f>'1st IA Load Pricing Results'!M56</f>
        <v>119.34365379777387</v>
      </c>
      <c r="H71" s="530">
        <f>'1st IA CTRs'!U35</f>
        <v>0.6112079177928258</v>
      </c>
      <c r="I71" s="543">
        <f t="shared" si="5"/>
        <v>118.73244587998104</v>
      </c>
      <c r="J71" s="592">
        <f>'2nd IA Load Pricing Results'!K56</f>
        <v>8183.898705083555</v>
      </c>
      <c r="K71" s="590">
        <f>'2nd IA Load Pricing Results'!M56</f>
        <v>120.51423026238608</v>
      </c>
      <c r="L71" s="593">
        <f>'2nd IA CTRs'!U35</f>
        <v>0</v>
      </c>
      <c r="M71" s="594">
        <f t="shared" si="7"/>
        <v>120.51423026238608</v>
      </c>
      <c r="N71" s="600" t="s">
        <v>10</v>
      </c>
    </row>
    <row r="72" spans="1:14" ht="12.75">
      <c r="A72" s="272" t="s">
        <v>8</v>
      </c>
      <c r="B72" s="540">
        <f>'BRA Load Pricing Results'!K55</f>
        <v>12055.946019545365</v>
      </c>
      <c r="C72" s="529">
        <f>'BRA Load Pricing Results'!L55</f>
        <v>219</v>
      </c>
      <c r="D72" s="529">
        <f>'BRA CTRs'!U36</f>
        <v>41.38608634851499</v>
      </c>
      <c r="E72" s="541">
        <f t="shared" si="6"/>
        <v>177.613913651485</v>
      </c>
      <c r="F72" s="542">
        <f>'1st IA Load Pricing Results'!K57</f>
        <v>11886.156063525084</v>
      </c>
      <c r="G72" s="525">
        <f>'1st IA Load Pricing Results'!M57</f>
        <v>218.92236788321196</v>
      </c>
      <c r="H72" s="530">
        <f>'1st IA CTRs'!U36</f>
        <v>41.875391005585364</v>
      </c>
      <c r="I72" s="543">
        <f t="shared" si="5"/>
        <v>177.0469768776266</v>
      </c>
      <c r="J72" s="592">
        <f>'2nd IA Load Pricing Results'!K57</f>
        <v>11451.396087696377</v>
      </c>
      <c r="K72" s="590">
        <f>'2nd IA Load Pricing Results'!M57</f>
        <v>220.4258769073194</v>
      </c>
      <c r="L72" s="593">
        <f>'2nd IA CTRs'!U36</f>
        <v>39.94435214486835</v>
      </c>
      <c r="M72" s="594">
        <f t="shared" si="7"/>
        <v>180.48152476245104</v>
      </c>
      <c r="N72" s="600" t="s">
        <v>8</v>
      </c>
    </row>
    <row r="73" spans="1:14" ht="12.75">
      <c r="A73" s="272" t="s">
        <v>18</v>
      </c>
      <c r="B73" s="540">
        <f>'BRA Load Pricing Results'!K56</f>
        <v>473.1390135972519</v>
      </c>
      <c r="C73" s="529">
        <f>'BRA Load Pricing Results'!L56</f>
        <v>119.13</v>
      </c>
      <c r="D73" s="529">
        <f>'BRA CTRs'!U37</f>
        <v>0.24053015200786307</v>
      </c>
      <c r="E73" s="541">
        <f>C73-D73</f>
        <v>118.88946984799213</v>
      </c>
      <c r="F73" s="542">
        <f>'1st IA Load Pricing Results'!K58</f>
        <v>470.0798600736943</v>
      </c>
      <c r="G73" s="525">
        <f>'1st IA Load Pricing Results'!M58</f>
        <v>119.34365379777387</v>
      </c>
      <c r="H73" s="530">
        <f>'1st IA CTRs'!U37</f>
        <v>0.6112079177928257</v>
      </c>
      <c r="I73" s="543">
        <f t="shared" si="5"/>
        <v>118.73244587998104</v>
      </c>
      <c r="J73" s="592">
        <f>'2nd IA Load Pricing Results'!K58</f>
        <v>466.37485199812437</v>
      </c>
      <c r="K73" s="590">
        <f>'2nd IA Load Pricing Results'!M58</f>
        <v>120.51423026238608</v>
      </c>
      <c r="L73" s="593">
        <f>'2nd IA CTRs'!U37</f>
        <v>0</v>
      </c>
      <c r="M73" s="594">
        <f t="shared" si="7"/>
        <v>120.51423026238608</v>
      </c>
      <c r="N73" s="600" t="s">
        <v>18</v>
      </c>
    </row>
    <row r="74" spans="2:10" ht="12.75">
      <c r="B74" s="531">
        <f>SUM(B54:B73)</f>
        <v>173312.8875</v>
      </c>
      <c r="C74" s="40"/>
      <c r="D74" s="40"/>
      <c r="E74" s="40"/>
      <c r="F74" s="532">
        <f>SUM(F54:F73)</f>
        <v>171063.24999999997</v>
      </c>
      <c r="J74" s="595">
        <f>SUM(J54:J73)</f>
        <v>165938.91249999995</v>
      </c>
    </row>
    <row r="75" spans="2:6" ht="12.75">
      <c r="B75" s="533"/>
      <c r="C75" s="40"/>
      <c r="D75" s="40"/>
      <c r="E75" s="40"/>
      <c r="F75" s="533"/>
    </row>
    <row r="76" spans="1:14" ht="30.75" customHeight="1">
      <c r="A76" s="634" t="s">
        <v>331</v>
      </c>
      <c r="B76" s="635"/>
      <c r="C76" s="635"/>
      <c r="D76" s="635"/>
      <c r="E76" s="635"/>
      <c r="F76" s="635"/>
      <c r="G76" s="635"/>
      <c r="H76" s="635"/>
      <c r="I76" s="635"/>
      <c r="J76" s="635"/>
      <c r="K76" s="635"/>
      <c r="L76" s="635"/>
      <c r="M76" s="635"/>
      <c r="N76" s="635"/>
    </row>
    <row r="77" spans="1:14" ht="12.75">
      <c r="A77" s="636" t="s">
        <v>173</v>
      </c>
      <c r="B77" s="620"/>
      <c r="C77" s="620"/>
      <c r="D77" s="620"/>
      <c r="E77" s="620"/>
      <c r="F77" s="620"/>
      <c r="G77" s="620"/>
      <c r="H77" s="620"/>
      <c r="I77" s="620"/>
      <c r="J77" s="620"/>
      <c r="K77" s="620"/>
      <c r="L77" s="620"/>
      <c r="M77" s="620"/>
      <c r="N77" s="620"/>
    </row>
  </sheetData>
  <sheetProtection/>
  <mergeCells count="24">
    <mergeCell ref="A76:N76"/>
    <mergeCell ref="A77:N77"/>
    <mergeCell ref="B52:E52"/>
    <mergeCell ref="F52:I52"/>
    <mergeCell ref="A1:E1"/>
    <mergeCell ref="B35:E35"/>
    <mergeCell ref="F35:I35"/>
    <mergeCell ref="B36:E47"/>
    <mergeCell ref="F36:I36"/>
    <mergeCell ref="B4:D4"/>
    <mergeCell ref="B5:D5"/>
    <mergeCell ref="E5:G5"/>
    <mergeCell ref="E4:G4"/>
    <mergeCell ref="F19:I19"/>
    <mergeCell ref="H4:J4"/>
    <mergeCell ref="J35:M35"/>
    <mergeCell ref="J36:M36"/>
    <mergeCell ref="J52:M52"/>
    <mergeCell ref="B18:E18"/>
    <mergeCell ref="F18:I18"/>
    <mergeCell ref="B19:E19"/>
    <mergeCell ref="H5:J5"/>
    <mergeCell ref="J18:M18"/>
    <mergeCell ref="J19:M19"/>
  </mergeCells>
  <printOptions/>
  <pageMargins left="0.45" right="0.45" top="0.5" bottom="0.5" header="0.3" footer="0.3"/>
  <pageSetup fitToHeight="1" fitToWidth="1" horizontalDpi="600" verticalDpi="600" orientation="landscape" paperSize="17" scale="61" r:id="rId1"/>
</worksheet>
</file>

<file path=xl/worksheets/sheet3.xml><?xml version="1.0" encoding="utf-8"?>
<worksheet xmlns="http://schemas.openxmlformats.org/spreadsheetml/2006/main" xmlns:r="http://schemas.openxmlformats.org/officeDocument/2006/relationships">
  <sheetPr>
    <pageSetUpPr fitToPage="1"/>
  </sheetPr>
  <dimension ref="A1:Z73"/>
  <sheetViews>
    <sheetView zoomScale="80" zoomScaleNormal="80"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3.7109375" style="6" customWidth="1"/>
    <col min="2" max="2" width="18.28125" style="6" customWidth="1"/>
    <col min="3" max="3" width="15.7109375" style="6" customWidth="1"/>
    <col min="4" max="4" width="16.421875" style="6" customWidth="1"/>
    <col min="5" max="5" width="15.7109375" style="6" customWidth="1"/>
    <col min="6" max="6" width="18.7109375" style="6" customWidth="1"/>
    <col min="7" max="7" width="16.7109375" style="6" customWidth="1"/>
    <col min="8" max="8" width="18.421875" style="6" bestFit="1" customWidth="1"/>
    <col min="9" max="9" width="18.28125" style="6" customWidth="1"/>
    <col min="10" max="10" width="19.140625" style="6" customWidth="1"/>
    <col min="11" max="12" width="16.7109375" style="6" customWidth="1"/>
    <col min="13" max="19" width="15.7109375" style="6" customWidth="1"/>
    <col min="20" max="20" width="16.421875" style="6" customWidth="1"/>
    <col min="21" max="25" width="15.7109375" style="6" customWidth="1"/>
    <col min="26" max="26" width="12.7109375" style="6" customWidth="1"/>
    <col min="27" max="30" width="9.140625" style="6" customWidth="1"/>
    <col min="31" max="16384" width="9.140625" style="6" customWidth="1"/>
  </cols>
  <sheetData>
    <row r="1" spans="1:7" ht="17.25">
      <c r="A1" s="3" t="s">
        <v>175</v>
      </c>
      <c r="B1" s="10"/>
      <c r="D1" s="6" t="s">
        <v>24</v>
      </c>
      <c r="E1" s="328" t="s">
        <v>24</v>
      </c>
      <c r="F1" s="327" t="s">
        <v>24</v>
      </c>
      <c r="G1" s="52" t="s">
        <v>24</v>
      </c>
    </row>
    <row r="2" spans="1:26" ht="19.5" customHeight="1" thickBot="1">
      <c r="A2" s="21" t="s">
        <v>24</v>
      </c>
      <c r="B2" s="10"/>
      <c r="D2" s="12" t="s">
        <v>24</v>
      </c>
      <c r="E2" s="332" t="s">
        <v>24</v>
      </c>
      <c r="F2" s="4" t="s">
        <v>24</v>
      </c>
      <c r="G2" s="7"/>
      <c r="H2" s="28" t="s">
        <v>24</v>
      </c>
      <c r="M2" s="6" t="s">
        <v>24</v>
      </c>
      <c r="T2" s="10"/>
      <c r="U2" s="10"/>
      <c r="V2" s="10"/>
      <c r="W2" s="10"/>
      <c r="X2" s="10"/>
      <c r="Y2" s="10"/>
      <c r="Z2" s="10"/>
    </row>
    <row r="3" spans="1:25" s="2" customFormat="1" ht="18" thickBot="1">
      <c r="A3" s="101" t="s">
        <v>69</v>
      </c>
      <c r="B3" s="73"/>
      <c r="C3" s="73"/>
      <c r="D3" s="73"/>
      <c r="E3" s="73"/>
      <c r="F3" s="73"/>
      <c r="G3" s="73"/>
      <c r="H3" s="73"/>
      <c r="I3" s="73"/>
      <c r="J3" s="73"/>
      <c r="K3" s="73"/>
      <c r="L3" s="73"/>
      <c r="M3" s="73"/>
      <c r="N3" s="73"/>
      <c r="O3" s="73"/>
      <c r="P3" s="73"/>
      <c r="Q3" s="73"/>
      <c r="R3" s="45"/>
      <c r="S3" s="45"/>
      <c r="T3" s="45"/>
      <c r="U3" s="45"/>
      <c r="V3" s="45"/>
      <c r="W3" s="45"/>
      <c r="Y3" s="45"/>
    </row>
    <row r="4" spans="1:25" s="8" customFormat="1" ht="66" customHeight="1">
      <c r="A4" s="88" t="s">
        <v>3</v>
      </c>
      <c r="B4" s="89" t="s">
        <v>73</v>
      </c>
      <c r="C4" s="89" t="s">
        <v>168</v>
      </c>
      <c r="D4" s="145" t="s">
        <v>61</v>
      </c>
      <c r="E4" s="89" t="s">
        <v>169</v>
      </c>
      <c r="F4" s="145" t="s">
        <v>166</v>
      </c>
      <c r="G4" s="89" t="s">
        <v>167</v>
      </c>
      <c r="H4" s="146" t="s">
        <v>59</v>
      </c>
      <c r="I4" s="49"/>
      <c r="J4" s="49"/>
      <c r="K4" s="49"/>
      <c r="L4" s="49"/>
      <c r="M4" s="49"/>
      <c r="N4" s="49"/>
      <c r="O4" s="49"/>
      <c r="P4" s="49"/>
      <c r="Q4" s="49"/>
      <c r="R4" s="23"/>
      <c r="S4" s="23"/>
      <c r="T4" s="23"/>
      <c r="U4" s="23"/>
      <c r="V4" s="23"/>
      <c r="W4" s="49"/>
      <c r="Y4" s="49"/>
    </row>
    <row r="5" spans="1:25" ht="12.75">
      <c r="A5" s="50" t="s">
        <v>6</v>
      </c>
      <c r="B5" s="59">
        <v>59.37</v>
      </c>
      <c r="C5" s="59">
        <v>0</v>
      </c>
      <c r="D5" s="144">
        <f>B5+C5</f>
        <v>59.37</v>
      </c>
      <c r="E5" s="59">
        <v>0</v>
      </c>
      <c r="F5" s="144">
        <f aca="true" t="shared" si="0" ref="F5:F14">D5+E5</f>
        <v>59.37</v>
      </c>
      <c r="G5" s="59">
        <v>0</v>
      </c>
      <c r="H5" s="147">
        <f aca="true" t="shared" si="1" ref="H5:H12">F5+G5</f>
        <v>59.37</v>
      </c>
      <c r="I5" s="10"/>
      <c r="J5" s="10"/>
      <c r="K5" s="10"/>
      <c r="L5" s="10"/>
      <c r="M5" s="10"/>
      <c r="N5" s="10"/>
      <c r="O5" s="10"/>
      <c r="P5" s="10"/>
      <c r="Q5" s="10"/>
      <c r="R5" s="74"/>
      <c r="S5" s="74"/>
      <c r="T5" s="74"/>
      <c r="U5" s="74"/>
      <c r="V5" s="74"/>
      <c r="W5" s="10"/>
      <c r="Y5" s="10"/>
    </row>
    <row r="6" spans="1:25" ht="12.75">
      <c r="A6" s="50" t="s">
        <v>30</v>
      </c>
      <c r="B6" s="59">
        <f>$B$5</f>
        <v>59.37</v>
      </c>
      <c r="C6" s="59">
        <v>59.76</v>
      </c>
      <c r="D6" s="144">
        <f>B6+C6</f>
        <v>119.13</v>
      </c>
      <c r="E6" s="59">
        <v>0</v>
      </c>
      <c r="F6" s="144">
        <f t="shared" si="0"/>
        <v>119.13</v>
      </c>
      <c r="G6" s="59">
        <v>0</v>
      </c>
      <c r="H6" s="147">
        <f t="shared" si="1"/>
        <v>119.13</v>
      </c>
      <c r="I6" s="10"/>
      <c r="J6" s="10"/>
      <c r="K6" s="10"/>
      <c r="L6" s="10"/>
      <c r="M6" s="10"/>
      <c r="N6" s="10"/>
      <c r="O6" s="10"/>
      <c r="P6" s="10"/>
      <c r="Q6" s="10"/>
      <c r="R6" s="74"/>
      <c r="S6" s="74"/>
      <c r="T6" s="74"/>
      <c r="U6" s="34"/>
      <c r="V6" s="74"/>
      <c r="W6" s="10"/>
      <c r="Y6" s="10"/>
    </row>
    <row r="7" spans="1:25" ht="12.75">
      <c r="A7" s="50" t="s">
        <v>41</v>
      </c>
      <c r="B7" s="59">
        <f aca="true" t="shared" si="2" ref="B7:B14">$B$5</f>
        <v>59.37</v>
      </c>
      <c r="C7" s="59">
        <v>0</v>
      </c>
      <c r="D7" s="144">
        <f>B7+C6+C7</f>
        <v>119.13</v>
      </c>
      <c r="E7" s="59">
        <v>0</v>
      </c>
      <c r="F7" s="144">
        <f t="shared" si="0"/>
        <v>119.13</v>
      </c>
      <c r="G7" s="59">
        <v>0</v>
      </c>
      <c r="H7" s="147">
        <f t="shared" si="1"/>
        <v>119.13</v>
      </c>
      <c r="I7" s="10"/>
      <c r="J7" s="10"/>
      <c r="K7" s="10"/>
      <c r="L7" s="10"/>
      <c r="M7" s="10"/>
      <c r="N7" s="10"/>
      <c r="O7" s="10"/>
      <c r="P7" s="10"/>
      <c r="Q7" s="10"/>
      <c r="R7" s="74"/>
      <c r="S7" s="74"/>
      <c r="T7" s="74"/>
      <c r="U7" s="34"/>
      <c r="V7" s="74"/>
      <c r="W7" s="10"/>
      <c r="Y7" s="10"/>
    </row>
    <row r="8" spans="1:25" ht="12.75">
      <c r="A8" s="50" t="s">
        <v>5</v>
      </c>
      <c r="B8" s="59">
        <f t="shared" si="2"/>
        <v>59.37</v>
      </c>
      <c r="C8" s="59">
        <v>0</v>
      </c>
      <c r="D8" s="144">
        <f>B8+C6+C8</f>
        <v>119.13</v>
      </c>
      <c r="E8" s="59">
        <v>0</v>
      </c>
      <c r="F8" s="144">
        <f t="shared" si="0"/>
        <v>119.13</v>
      </c>
      <c r="G8" s="59">
        <v>0</v>
      </c>
      <c r="H8" s="147">
        <f t="shared" si="1"/>
        <v>119.13</v>
      </c>
      <c r="I8" s="10"/>
      <c r="J8" s="10"/>
      <c r="K8" s="10"/>
      <c r="L8" s="10"/>
      <c r="M8" s="10"/>
      <c r="N8" s="10"/>
      <c r="O8" s="10"/>
      <c r="P8" s="10"/>
      <c r="Q8" s="10"/>
      <c r="R8" s="74"/>
      <c r="S8" s="74"/>
      <c r="T8" s="74"/>
      <c r="U8" s="34"/>
      <c r="V8" s="74"/>
      <c r="W8" s="10"/>
      <c r="Y8" s="10"/>
    </row>
    <row r="9" spans="1:25" ht="12.75">
      <c r="A9" s="50" t="s">
        <v>8</v>
      </c>
      <c r="B9" s="59">
        <f t="shared" si="2"/>
        <v>59.37</v>
      </c>
      <c r="C9" s="59">
        <v>99.87</v>
      </c>
      <c r="D9" s="144">
        <f>B9+C6+C7+C9</f>
        <v>219</v>
      </c>
      <c r="E9" s="59">
        <v>0</v>
      </c>
      <c r="F9" s="144">
        <f t="shared" si="0"/>
        <v>219</v>
      </c>
      <c r="G9" s="59">
        <v>0</v>
      </c>
      <c r="H9" s="147">
        <f t="shared" si="1"/>
        <v>219</v>
      </c>
      <c r="I9" s="10"/>
      <c r="J9" s="10"/>
      <c r="K9" s="10"/>
      <c r="L9" s="10"/>
      <c r="M9" s="10"/>
      <c r="N9" s="10"/>
      <c r="O9" s="10"/>
      <c r="P9" s="10"/>
      <c r="Q9" s="10"/>
      <c r="R9" s="74"/>
      <c r="S9" s="74"/>
      <c r="T9" s="74"/>
      <c r="U9" s="34"/>
      <c r="V9" s="34"/>
      <c r="W9" s="10"/>
      <c r="Y9" s="10"/>
    </row>
    <row r="10" spans="1:25" ht="12.75">
      <c r="A10" s="50" t="s">
        <v>42</v>
      </c>
      <c r="B10" s="59">
        <f t="shared" si="2"/>
        <v>59.37</v>
      </c>
      <c r="C10" s="59">
        <v>0</v>
      </c>
      <c r="D10" s="144">
        <f>B10+C6+C7+C9+C10</f>
        <v>219</v>
      </c>
      <c r="E10" s="59">
        <v>0</v>
      </c>
      <c r="F10" s="144">
        <f t="shared" si="0"/>
        <v>219</v>
      </c>
      <c r="G10" s="59">
        <v>0</v>
      </c>
      <c r="H10" s="147">
        <f t="shared" si="1"/>
        <v>219</v>
      </c>
      <c r="I10" s="10"/>
      <c r="J10" s="10"/>
      <c r="K10" s="10"/>
      <c r="L10" s="10"/>
      <c r="M10" s="10"/>
      <c r="N10" s="10"/>
      <c r="O10" s="10"/>
      <c r="P10" s="10"/>
      <c r="Q10" s="10"/>
      <c r="R10" s="74"/>
      <c r="S10" s="74"/>
      <c r="T10" s="74"/>
      <c r="U10" s="34"/>
      <c r="V10" s="34"/>
      <c r="W10" s="10"/>
      <c r="Y10" s="10"/>
    </row>
    <row r="11" spans="1:25" ht="12.75">
      <c r="A11" s="50" t="s">
        <v>43</v>
      </c>
      <c r="B11" s="59">
        <f t="shared" si="2"/>
        <v>59.37</v>
      </c>
      <c r="C11" s="59">
        <v>0</v>
      </c>
      <c r="D11" s="144">
        <f>B11+C6+C7+C11</f>
        <v>119.13</v>
      </c>
      <c r="E11" s="59">
        <v>0</v>
      </c>
      <c r="F11" s="144">
        <f t="shared" si="0"/>
        <v>119.13</v>
      </c>
      <c r="G11" s="59">
        <v>0</v>
      </c>
      <c r="H11" s="147">
        <f t="shared" si="1"/>
        <v>119.13</v>
      </c>
      <c r="I11" s="10" t="s">
        <v>24</v>
      </c>
      <c r="J11" s="10"/>
      <c r="K11" s="10"/>
      <c r="L11" s="10"/>
      <c r="M11" s="10"/>
      <c r="N11" s="10"/>
      <c r="O11" s="10"/>
      <c r="P11" s="10"/>
      <c r="Q11" s="10"/>
      <c r="R11" s="74"/>
      <c r="S11" s="74"/>
      <c r="T11" s="74"/>
      <c r="U11" s="34"/>
      <c r="V11" s="34"/>
      <c r="W11" s="10"/>
      <c r="Y11" s="10"/>
    </row>
    <row r="12" spans="1:25" ht="12.75">
      <c r="A12" s="127" t="s">
        <v>15</v>
      </c>
      <c r="B12" s="59">
        <f t="shared" si="2"/>
        <v>59.37</v>
      </c>
      <c r="C12" s="152">
        <v>0</v>
      </c>
      <c r="D12" s="144">
        <f>B12+C6+C8+C12</f>
        <v>119.13</v>
      </c>
      <c r="E12" s="59">
        <v>0</v>
      </c>
      <c r="F12" s="144">
        <f t="shared" si="0"/>
        <v>119.13</v>
      </c>
      <c r="G12" s="59">
        <v>0</v>
      </c>
      <c r="H12" s="147">
        <f t="shared" si="1"/>
        <v>119.13</v>
      </c>
      <c r="I12" s="10"/>
      <c r="J12" s="10"/>
      <c r="K12" s="10"/>
      <c r="L12" s="10"/>
      <c r="M12" s="10"/>
      <c r="N12" s="10"/>
      <c r="O12" s="10"/>
      <c r="P12" s="10"/>
      <c r="Q12" s="10"/>
      <c r="R12" s="74"/>
      <c r="S12" s="74"/>
      <c r="T12" s="74"/>
      <c r="U12" s="74"/>
      <c r="V12" s="74"/>
      <c r="W12" s="10"/>
      <c r="Y12" s="10"/>
    </row>
    <row r="13" spans="1:25" ht="12.75">
      <c r="A13" s="127" t="s">
        <v>51</v>
      </c>
      <c r="B13" s="59">
        <f t="shared" si="2"/>
        <v>59.37</v>
      </c>
      <c r="C13" s="152">
        <v>35.08</v>
      </c>
      <c r="D13" s="144">
        <f>B13+C13</f>
        <v>94.44999999999999</v>
      </c>
      <c r="E13" s="59">
        <v>19.78</v>
      </c>
      <c r="F13" s="144">
        <f t="shared" si="0"/>
        <v>114.22999999999999</v>
      </c>
      <c r="G13" s="59">
        <v>0</v>
      </c>
      <c r="H13" s="147">
        <f>F13+G13</f>
        <v>114.22999999999999</v>
      </c>
      <c r="I13" s="10"/>
      <c r="J13" s="10"/>
      <c r="K13" s="10"/>
      <c r="L13" s="10"/>
      <c r="M13" s="10"/>
      <c r="N13" s="10"/>
      <c r="O13" s="10"/>
      <c r="P13" s="10"/>
      <c r="Q13" s="10"/>
      <c r="R13" s="74"/>
      <c r="S13" s="74"/>
      <c r="T13" s="74"/>
      <c r="U13" s="74"/>
      <c r="V13" s="74"/>
      <c r="W13" s="10"/>
      <c r="Y13" s="10"/>
    </row>
    <row r="14" spans="1:25" ht="13.5" thickBot="1">
      <c r="A14" s="171" t="s">
        <v>176</v>
      </c>
      <c r="B14" s="172">
        <f t="shared" si="2"/>
        <v>59.37</v>
      </c>
      <c r="C14" s="173">
        <v>0</v>
      </c>
      <c r="D14" s="174">
        <f>B14+C13+C14</f>
        <v>94.44999999999999</v>
      </c>
      <c r="E14" s="172">
        <v>19.78</v>
      </c>
      <c r="F14" s="174">
        <f t="shared" si="0"/>
        <v>114.22999999999999</v>
      </c>
      <c r="G14" s="172">
        <v>0</v>
      </c>
      <c r="H14" s="175">
        <f>F14+G14</f>
        <v>114.22999999999999</v>
      </c>
      <c r="I14" s="10"/>
      <c r="J14" s="10"/>
      <c r="K14" s="10"/>
      <c r="L14" s="10"/>
      <c r="M14" s="10"/>
      <c r="N14" s="10"/>
      <c r="O14" s="10"/>
      <c r="P14" s="10"/>
      <c r="Q14" s="10"/>
      <c r="R14" s="74"/>
      <c r="S14" s="74"/>
      <c r="T14" s="74"/>
      <c r="U14" s="74"/>
      <c r="V14" s="74"/>
      <c r="W14" s="10"/>
      <c r="Y14" s="10"/>
    </row>
    <row r="15" spans="1:25" ht="12.75">
      <c r="A15" s="12" t="s">
        <v>29</v>
      </c>
      <c r="B15" s="34"/>
      <c r="C15" s="34"/>
      <c r="D15" s="34"/>
      <c r="E15" s="35"/>
      <c r="F15" s="25"/>
      <c r="G15" s="25"/>
      <c r="H15" s="25"/>
      <c r="I15" s="63" t="s">
        <v>24</v>
      </c>
      <c r="J15" s="63"/>
      <c r="K15" s="63"/>
      <c r="L15" s="47" t="s">
        <v>24</v>
      </c>
      <c r="M15" s="10"/>
      <c r="N15" s="10"/>
      <c r="O15" s="10"/>
      <c r="P15" s="10"/>
      <c r="Q15" s="10"/>
      <c r="R15" s="47"/>
      <c r="S15" s="47"/>
      <c r="T15" s="47"/>
      <c r="U15" s="47"/>
      <c r="V15" s="47"/>
      <c r="W15" s="10"/>
      <c r="Y15" s="10" t="s">
        <v>24</v>
      </c>
    </row>
    <row r="16" spans="1:25" ht="13.5" thickBot="1">
      <c r="A16" s="12"/>
      <c r="B16" s="34"/>
      <c r="C16" s="34"/>
      <c r="D16" s="34"/>
      <c r="E16" s="35"/>
      <c r="F16" s="25"/>
      <c r="G16" s="25"/>
      <c r="H16" s="25"/>
      <c r="I16" s="63"/>
      <c r="J16" s="63"/>
      <c r="K16" s="63"/>
      <c r="L16" s="47"/>
      <c r="R16" s="47"/>
      <c r="S16" s="47"/>
      <c r="T16" s="47"/>
      <c r="U16" s="47"/>
      <c r="V16" s="47"/>
      <c r="Y16" s="10"/>
    </row>
    <row r="17" spans="1:25" ht="15.75" thickBot="1">
      <c r="A17" s="286" t="s">
        <v>70</v>
      </c>
      <c r="B17" s="34"/>
      <c r="C17" s="34"/>
      <c r="D17" s="34"/>
      <c r="E17" s="35"/>
      <c r="F17" s="25"/>
      <c r="G17" s="25"/>
      <c r="H17" s="25"/>
      <c r="I17" s="63"/>
      <c r="J17" s="63"/>
      <c r="K17" s="63"/>
      <c r="L17" s="47"/>
      <c r="R17" s="47"/>
      <c r="S17" s="47"/>
      <c r="T17" s="47"/>
      <c r="U17" s="47"/>
      <c r="V17" s="47"/>
      <c r="Y17" s="10"/>
    </row>
    <row r="18" spans="1:25" ht="69" customHeight="1" thickBot="1">
      <c r="A18" s="138" t="s">
        <v>3</v>
      </c>
      <c r="B18" s="139" t="s">
        <v>126</v>
      </c>
      <c r="C18" s="139" t="s">
        <v>62</v>
      </c>
      <c r="D18" s="139" t="s">
        <v>60</v>
      </c>
      <c r="E18" s="139" t="s">
        <v>63</v>
      </c>
      <c r="F18" s="139" t="s">
        <v>127</v>
      </c>
      <c r="G18" s="139" t="s">
        <v>108</v>
      </c>
      <c r="H18" s="139" t="s">
        <v>109</v>
      </c>
      <c r="I18" s="140" t="s">
        <v>110</v>
      </c>
      <c r="J18" s="130"/>
      <c r="R18" s="47"/>
      <c r="S18" s="47"/>
      <c r="T18" s="47"/>
      <c r="U18" s="47"/>
      <c r="V18" s="47"/>
      <c r="Y18" s="10"/>
    </row>
    <row r="19" spans="1:25" ht="12.75">
      <c r="A19" s="92" t="s">
        <v>6</v>
      </c>
      <c r="B19" s="168">
        <v>9849.5</v>
      </c>
      <c r="C19" s="168">
        <v>2470</v>
      </c>
      <c r="D19" s="169">
        <v>156840.2</v>
      </c>
      <c r="E19" s="131">
        <f>B19+C19+D19</f>
        <v>169159.7</v>
      </c>
      <c r="F19" s="132">
        <v>0</v>
      </c>
      <c r="G19" s="132">
        <v>0</v>
      </c>
      <c r="H19" s="132">
        <v>0</v>
      </c>
      <c r="I19" s="133">
        <f aca="true" t="shared" si="3" ref="I19:I26">F19+G19+H19</f>
        <v>0</v>
      </c>
      <c r="J19" s="10"/>
      <c r="K19" s="7"/>
      <c r="M19" s="149"/>
      <c r="R19" s="47"/>
      <c r="S19" s="47"/>
      <c r="T19" s="47"/>
      <c r="U19" s="47"/>
      <c r="V19" s="47"/>
      <c r="Y19" s="10"/>
    </row>
    <row r="20" spans="1:25" ht="12.75">
      <c r="A20" s="50" t="s">
        <v>30</v>
      </c>
      <c r="B20" s="57">
        <v>4264.3</v>
      </c>
      <c r="C20" s="57">
        <v>1053.4</v>
      </c>
      <c r="D20" s="170">
        <v>61228.7</v>
      </c>
      <c r="E20" s="62">
        <f aca="true" t="shared" si="4" ref="E20:E25">B20+C20+D20</f>
        <v>66546.4</v>
      </c>
      <c r="F20" s="43">
        <v>0</v>
      </c>
      <c r="G20" s="43">
        <v>0</v>
      </c>
      <c r="H20" s="43">
        <v>0</v>
      </c>
      <c r="I20" s="105">
        <f t="shared" si="3"/>
        <v>0</v>
      </c>
      <c r="J20" s="10"/>
      <c r="K20" s="7"/>
      <c r="M20" s="7"/>
      <c r="R20" s="47"/>
      <c r="S20" s="47"/>
      <c r="T20" s="47"/>
      <c r="U20" s="47"/>
      <c r="V20" s="47"/>
      <c r="Y20" s="10"/>
    </row>
    <row r="21" spans="1:25" ht="12.75">
      <c r="A21" s="50" t="s">
        <v>41</v>
      </c>
      <c r="B21" s="57">
        <v>1547.3</v>
      </c>
      <c r="C21" s="57">
        <v>437.7</v>
      </c>
      <c r="D21" s="170">
        <v>29536.7</v>
      </c>
      <c r="E21" s="62">
        <f t="shared" si="4"/>
        <v>31521.7</v>
      </c>
      <c r="F21" s="43">
        <v>0</v>
      </c>
      <c r="G21" s="43">
        <v>0</v>
      </c>
      <c r="H21" s="43">
        <v>0</v>
      </c>
      <c r="I21" s="105">
        <f t="shared" si="3"/>
        <v>0</v>
      </c>
      <c r="J21" s="10"/>
      <c r="K21" s="7"/>
      <c r="M21" s="150"/>
      <c r="R21" s="47"/>
      <c r="S21" s="47"/>
      <c r="T21" s="47"/>
      <c r="U21" s="47"/>
      <c r="V21" s="47"/>
      <c r="Y21" s="10"/>
    </row>
    <row r="22" spans="1:25" ht="12.75">
      <c r="A22" s="50" t="s">
        <v>5</v>
      </c>
      <c r="B22" s="57">
        <v>1173.3</v>
      </c>
      <c r="C22" s="57">
        <v>426.2</v>
      </c>
      <c r="D22" s="170">
        <v>10450.5</v>
      </c>
      <c r="E22" s="62">
        <f t="shared" si="4"/>
        <v>12050</v>
      </c>
      <c r="F22" s="43">
        <v>0</v>
      </c>
      <c r="G22" s="43">
        <v>0</v>
      </c>
      <c r="H22" s="43">
        <v>0</v>
      </c>
      <c r="I22" s="105">
        <f t="shared" si="3"/>
        <v>0</v>
      </c>
      <c r="J22" s="10"/>
      <c r="K22" s="7"/>
      <c r="R22" s="47"/>
      <c r="S22" s="47"/>
      <c r="T22" s="47"/>
      <c r="U22" s="47"/>
      <c r="V22" s="47"/>
      <c r="Y22" s="10"/>
    </row>
    <row r="23" spans="1:25" ht="12.75">
      <c r="A23" s="50" t="s">
        <v>8</v>
      </c>
      <c r="B23" s="57">
        <v>550.4</v>
      </c>
      <c r="C23" s="57">
        <v>61.8</v>
      </c>
      <c r="D23" s="170">
        <v>5686.4</v>
      </c>
      <c r="E23" s="62">
        <f t="shared" si="4"/>
        <v>6298.599999999999</v>
      </c>
      <c r="F23" s="43">
        <v>0</v>
      </c>
      <c r="G23" s="43">
        <v>0</v>
      </c>
      <c r="H23" s="43">
        <v>0</v>
      </c>
      <c r="I23" s="105">
        <f t="shared" si="3"/>
        <v>0</v>
      </c>
      <c r="J23" s="10"/>
      <c r="K23" s="7"/>
      <c r="R23" s="47"/>
      <c r="S23" s="47"/>
      <c r="T23" s="47"/>
      <c r="U23" s="47"/>
      <c r="V23" s="47"/>
      <c r="Y23" s="10"/>
    </row>
    <row r="24" spans="1:25" ht="12.75">
      <c r="A24" s="50" t="s">
        <v>42</v>
      </c>
      <c r="B24" s="57">
        <v>211.3</v>
      </c>
      <c r="C24" s="57">
        <v>15.3</v>
      </c>
      <c r="D24" s="151">
        <v>3475.5</v>
      </c>
      <c r="E24" s="62">
        <f t="shared" si="4"/>
        <v>3702.1</v>
      </c>
      <c r="F24" s="43">
        <v>0</v>
      </c>
      <c r="G24" s="43">
        <v>0</v>
      </c>
      <c r="H24" s="43">
        <v>0</v>
      </c>
      <c r="I24" s="105">
        <f t="shared" si="3"/>
        <v>0</v>
      </c>
      <c r="J24" s="10"/>
      <c r="K24" s="7"/>
      <c r="R24" s="47"/>
      <c r="S24" s="47"/>
      <c r="T24" s="47"/>
      <c r="U24" s="47"/>
      <c r="V24" s="47"/>
      <c r="Y24" s="10"/>
    </row>
    <row r="25" spans="1:25" ht="12.75">
      <c r="A25" s="50" t="s">
        <v>43</v>
      </c>
      <c r="B25" s="57">
        <v>98.8</v>
      </c>
      <c r="C25" s="57">
        <v>6.9</v>
      </c>
      <c r="D25" s="151">
        <v>1640.3</v>
      </c>
      <c r="E25" s="62">
        <f t="shared" si="4"/>
        <v>1746</v>
      </c>
      <c r="F25" s="43">
        <v>0</v>
      </c>
      <c r="G25" s="43">
        <v>0</v>
      </c>
      <c r="H25" s="43">
        <v>0</v>
      </c>
      <c r="I25" s="105">
        <f t="shared" si="3"/>
        <v>0</v>
      </c>
      <c r="J25" s="10"/>
      <c r="K25" s="7"/>
      <c r="R25" s="47"/>
      <c r="S25" s="47"/>
      <c r="T25" s="47"/>
      <c r="U25" s="47"/>
      <c r="V25" s="47"/>
      <c r="Y25" s="10"/>
    </row>
    <row r="26" spans="1:25" ht="12.75">
      <c r="A26" s="127" t="s">
        <v>15</v>
      </c>
      <c r="B26" s="151">
        <v>290</v>
      </c>
      <c r="C26" s="170">
        <v>373.9</v>
      </c>
      <c r="D26" s="151">
        <v>5429.8</v>
      </c>
      <c r="E26" s="62">
        <f>B26+C26+D26</f>
        <v>6093.7</v>
      </c>
      <c r="F26" s="43">
        <v>0</v>
      </c>
      <c r="G26" s="43">
        <v>0</v>
      </c>
      <c r="H26" s="43">
        <v>0</v>
      </c>
      <c r="I26" s="105">
        <f t="shared" si="3"/>
        <v>0</v>
      </c>
      <c r="J26" s="10"/>
      <c r="K26" s="7"/>
      <c r="R26" s="47"/>
      <c r="S26" s="47"/>
      <c r="T26" s="47"/>
      <c r="U26" s="47"/>
      <c r="V26" s="47"/>
      <c r="Y26" s="10"/>
    </row>
    <row r="27" spans="1:25" ht="12.75">
      <c r="A27" s="127" t="s">
        <v>51</v>
      </c>
      <c r="B27" s="151">
        <v>1004.1</v>
      </c>
      <c r="C27" s="170">
        <v>799.3</v>
      </c>
      <c r="D27" s="151">
        <v>6868.8</v>
      </c>
      <c r="E27" s="62">
        <f>B27+C27+D27</f>
        <v>8672.2</v>
      </c>
      <c r="F27" s="43">
        <v>0</v>
      </c>
      <c r="G27" s="43">
        <v>0</v>
      </c>
      <c r="H27" s="43">
        <v>0</v>
      </c>
      <c r="I27" s="105">
        <f>F27+G27+H27</f>
        <v>0</v>
      </c>
      <c r="J27" s="10"/>
      <c r="K27" s="7"/>
      <c r="R27" s="47"/>
      <c r="S27" s="47"/>
      <c r="T27" s="47"/>
      <c r="U27" s="47"/>
      <c r="V27" s="47"/>
      <c r="Y27" s="10"/>
    </row>
    <row r="28" spans="1:25" ht="13.5" thickBot="1">
      <c r="A28" s="171" t="s">
        <v>176</v>
      </c>
      <c r="B28" s="176">
        <v>365.4</v>
      </c>
      <c r="C28" s="177">
        <v>103.3</v>
      </c>
      <c r="D28" s="176">
        <v>2381.3</v>
      </c>
      <c r="E28" s="178">
        <f>B28+C28+D28</f>
        <v>2850</v>
      </c>
      <c r="F28" s="179">
        <v>0</v>
      </c>
      <c r="G28" s="179">
        <v>0</v>
      </c>
      <c r="H28" s="179">
        <v>0</v>
      </c>
      <c r="I28" s="180">
        <f>F28+G28+H28</f>
        <v>0</v>
      </c>
      <c r="J28" s="10"/>
      <c r="K28" s="7"/>
      <c r="R28" s="47"/>
      <c r="S28" s="47"/>
      <c r="T28" s="47"/>
      <c r="U28" s="47"/>
      <c r="V28" s="47"/>
      <c r="Y28" s="10"/>
    </row>
    <row r="29" spans="1:25" ht="13.5" thickBot="1">
      <c r="A29" s="12"/>
      <c r="B29" s="34"/>
      <c r="C29" s="34"/>
      <c r="D29" s="34"/>
      <c r="E29" s="35"/>
      <c r="F29" s="25"/>
      <c r="G29" s="25"/>
      <c r="H29" s="25"/>
      <c r="I29" s="63"/>
      <c r="J29" s="63"/>
      <c r="K29" s="63"/>
      <c r="L29" s="47"/>
      <c r="R29" s="47"/>
      <c r="S29" s="47"/>
      <c r="T29" s="47"/>
      <c r="U29" s="47"/>
      <c r="V29" s="47"/>
      <c r="Y29" s="10"/>
    </row>
    <row r="30" spans="1:25" ht="15.75" thickBot="1">
      <c r="A30" s="106" t="s">
        <v>67</v>
      </c>
      <c r="B30" s="281"/>
      <c r="C30" s="281"/>
      <c r="D30" s="281"/>
      <c r="E30" s="282"/>
      <c r="F30" s="283"/>
      <c r="G30" s="283"/>
      <c r="H30" s="283"/>
      <c r="I30" s="284"/>
      <c r="J30" s="63"/>
      <c r="K30" s="63"/>
      <c r="L30" s="47"/>
      <c r="M30" s="47"/>
      <c r="N30" s="47"/>
      <c r="O30" s="47"/>
      <c r="P30" s="47"/>
      <c r="Q30" s="47"/>
      <c r="R30" s="47"/>
      <c r="Y30" s="10"/>
    </row>
    <row r="31" spans="1:25" ht="84.75" customHeight="1">
      <c r="A31" s="88" t="s">
        <v>3</v>
      </c>
      <c r="B31" s="89" t="s">
        <v>126</v>
      </c>
      <c r="C31" s="89" t="s">
        <v>62</v>
      </c>
      <c r="D31" s="89" t="s">
        <v>60</v>
      </c>
      <c r="E31" s="89" t="s">
        <v>63</v>
      </c>
      <c r="F31" s="90" t="s">
        <v>122</v>
      </c>
      <c r="G31" s="90" t="s">
        <v>123</v>
      </c>
      <c r="H31" s="90" t="s">
        <v>124</v>
      </c>
      <c r="I31" s="91" t="s">
        <v>66</v>
      </c>
      <c r="K31" s="130"/>
      <c r="L31" s="130"/>
      <c r="M31" s="130"/>
      <c r="N31" s="130"/>
      <c r="O31" s="130"/>
      <c r="P31" s="130"/>
      <c r="R31" s="47"/>
      <c r="Y31" s="10"/>
    </row>
    <row r="32" spans="1:25" ht="12.75">
      <c r="A32" s="50" t="s">
        <v>52</v>
      </c>
      <c r="B32" s="56">
        <f>B19-B20-B27</f>
        <v>4581.099999999999</v>
      </c>
      <c r="C32" s="56">
        <f>C19-C20-C27</f>
        <v>617.3</v>
      </c>
      <c r="D32" s="56">
        <f>D19-D20-D27</f>
        <v>88742.70000000001</v>
      </c>
      <c r="E32" s="48">
        <f>B32+C32+D32</f>
        <v>93941.1</v>
      </c>
      <c r="F32" s="124">
        <f>B32*D5</f>
        <v>271979.90699999995</v>
      </c>
      <c r="G32" s="124">
        <f aca="true" t="shared" si="5" ref="G32:G41">C32*F5</f>
        <v>36649.100999999995</v>
      </c>
      <c r="H32" s="124">
        <f>D32*H5</f>
        <v>5268654.099</v>
      </c>
      <c r="I32" s="107">
        <f>F32+G32+H32</f>
        <v>5577283.107000001</v>
      </c>
      <c r="K32" s="74"/>
      <c r="L32" s="74"/>
      <c r="M32" s="46"/>
      <c r="N32" s="46"/>
      <c r="O32" s="74"/>
      <c r="P32" s="46"/>
      <c r="R32" s="47"/>
      <c r="Y32" s="10"/>
    </row>
    <row r="33" spans="1:25" ht="12.75">
      <c r="A33" s="50" t="s">
        <v>55</v>
      </c>
      <c r="B33" s="56">
        <f>B20-B21-B22</f>
        <v>1543.7</v>
      </c>
      <c r="C33" s="56">
        <f>C20-C21-C22</f>
        <v>189.50000000000006</v>
      </c>
      <c r="D33" s="56">
        <f>D20-D21-D22</f>
        <v>21241.499999999996</v>
      </c>
      <c r="E33" s="48">
        <f aca="true" t="shared" si="6" ref="E33:E39">B33+C33+D33</f>
        <v>22974.699999999997</v>
      </c>
      <c r="F33" s="124">
        <f aca="true" t="shared" si="7" ref="F33:F39">B33*D6</f>
        <v>183900.981</v>
      </c>
      <c r="G33" s="124">
        <f t="shared" si="5"/>
        <v>22575.135000000006</v>
      </c>
      <c r="H33" s="124">
        <f>D33*H6</f>
        <v>2530499.8949999996</v>
      </c>
      <c r="I33" s="107">
        <f aca="true" t="shared" si="8" ref="I33:I40">F33+G33+H33</f>
        <v>2736976.0109999995</v>
      </c>
      <c r="K33" s="74"/>
      <c r="L33" s="74"/>
      <c r="M33" s="46"/>
      <c r="N33" s="46"/>
      <c r="O33" s="74"/>
      <c r="P33" s="46"/>
      <c r="R33" s="47"/>
      <c r="Y33" s="10"/>
    </row>
    <row r="34" spans="1:25" ht="12.75">
      <c r="A34" s="50" t="s">
        <v>54</v>
      </c>
      <c r="B34" s="56">
        <f>B21-B23-B25</f>
        <v>898.1</v>
      </c>
      <c r="C34" s="56">
        <f>C21-C23-C25</f>
        <v>369</v>
      </c>
      <c r="D34" s="56">
        <f>D21-D23-D25</f>
        <v>22210.000000000004</v>
      </c>
      <c r="E34" s="48">
        <f t="shared" si="6"/>
        <v>23477.100000000002</v>
      </c>
      <c r="F34" s="124">
        <f t="shared" si="7"/>
        <v>106990.653</v>
      </c>
      <c r="G34" s="124">
        <f t="shared" si="5"/>
        <v>43958.97</v>
      </c>
      <c r="H34" s="124">
        <f aca="true" t="shared" si="9" ref="H34:H40">D34*H7</f>
        <v>2645877.3000000003</v>
      </c>
      <c r="I34" s="107">
        <f t="shared" si="8"/>
        <v>2796826.9230000004</v>
      </c>
      <c r="K34" s="74"/>
      <c r="L34" s="74"/>
      <c r="M34" s="46"/>
      <c r="N34" s="46"/>
      <c r="O34" s="74"/>
      <c r="P34" s="46"/>
      <c r="R34" s="47"/>
      <c r="Y34" s="10"/>
    </row>
    <row r="35" spans="1:25" ht="12.75">
      <c r="A35" s="50" t="s">
        <v>53</v>
      </c>
      <c r="B35" s="56">
        <f>B22-B26</f>
        <v>883.3</v>
      </c>
      <c r="C35" s="56">
        <f>C22-C26</f>
        <v>52.30000000000001</v>
      </c>
      <c r="D35" s="56">
        <f>D22-D26</f>
        <v>5020.7</v>
      </c>
      <c r="E35" s="48">
        <f t="shared" si="6"/>
        <v>5956.299999999999</v>
      </c>
      <c r="F35" s="124">
        <f t="shared" si="7"/>
        <v>105227.529</v>
      </c>
      <c r="G35" s="124">
        <f t="shared" si="5"/>
        <v>6230.499000000001</v>
      </c>
      <c r="H35" s="124">
        <f t="shared" si="9"/>
        <v>598115.9909999999</v>
      </c>
      <c r="I35" s="107">
        <f t="shared" si="8"/>
        <v>709574.0189999999</v>
      </c>
      <c r="K35" s="74"/>
      <c r="L35" s="74"/>
      <c r="M35" s="46"/>
      <c r="N35" s="46"/>
      <c r="O35" s="74"/>
      <c r="P35" s="46"/>
      <c r="R35" s="47"/>
      <c r="Y35" s="10"/>
    </row>
    <row r="36" spans="1:25" ht="12.75">
      <c r="A36" s="50" t="s">
        <v>45</v>
      </c>
      <c r="B36" s="56">
        <f>B23-B24</f>
        <v>339.09999999999997</v>
      </c>
      <c r="C36" s="56">
        <f>C23-C24</f>
        <v>46.5</v>
      </c>
      <c r="D36" s="56">
        <f>D23-D24</f>
        <v>2210.8999999999996</v>
      </c>
      <c r="E36" s="48">
        <f t="shared" si="6"/>
        <v>2596.4999999999995</v>
      </c>
      <c r="F36" s="124">
        <f t="shared" si="7"/>
        <v>74262.9</v>
      </c>
      <c r="G36" s="124">
        <f t="shared" si="5"/>
        <v>10183.5</v>
      </c>
      <c r="H36" s="124">
        <f t="shared" si="9"/>
        <v>484187.0999999999</v>
      </c>
      <c r="I36" s="107">
        <f t="shared" si="8"/>
        <v>568633.4999999999</v>
      </c>
      <c r="K36" s="74"/>
      <c r="L36" s="74"/>
      <c r="M36" s="46"/>
      <c r="N36" s="46"/>
      <c r="O36" s="74"/>
      <c r="P36" s="46"/>
      <c r="R36" s="47"/>
      <c r="Y36" s="10"/>
    </row>
    <row r="37" spans="1:25" ht="12.75">
      <c r="A37" s="50" t="s">
        <v>42</v>
      </c>
      <c r="B37" s="56">
        <f>B24</f>
        <v>211.3</v>
      </c>
      <c r="C37" s="56">
        <f aca="true" t="shared" si="10" ref="C37:D41">C24</f>
        <v>15.3</v>
      </c>
      <c r="D37" s="56">
        <f t="shared" si="10"/>
        <v>3475.5</v>
      </c>
      <c r="E37" s="48">
        <f t="shared" si="6"/>
        <v>3702.1</v>
      </c>
      <c r="F37" s="124">
        <f t="shared" si="7"/>
        <v>46274.700000000004</v>
      </c>
      <c r="G37" s="124">
        <f t="shared" si="5"/>
        <v>3350.7000000000003</v>
      </c>
      <c r="H37" s="124">
        <f t="shared" si="9"/>
        <v>761134.5</v>
      </c>
      <c r="I37" s="107">
        <f t="shared" si="8"/>
        <v>810759.9</v>
      </c>
      <c r="K37" s="74"/>
      <c r="L37" s="74"/>
      <c r="M37" s="46"/>
      <c r="N37" s="46"/>
      <c r="O37" s="74"/>
      <c r="P37" s="46"/>
      <c r="R37" s="47"/>
      <c r="Y37" s="10"/>
    </row>
    <row r="38" spans="1:25" ht="12.75">
      <c r="A38" s="50" t="s">
        <v>43</v>
      </c>
      <c r="B38" s="56">
        <f>B25</f>
        <v>98.8</v>
      </c>
      <c r="C38" s="56">
        <f t="shared" si="10"/>
        <v>6.9</v>
      </c>
      <c r="D38" s="56">
        <f t="shared" si="10"/>
        <v>1640.3</v>
      </c>
      <c r="E38" s="48">
        <f t="shared" si="6"/>
        <v>1746</v>
      </c>
      <c r="F38" s="124">
        <f t="shared" si="7"/>
        <v>11770.044</v>
      </c>
      <c r="G38" s="124">
        <f t="shared" si="5"/>
        <v>821.997</v>
      </c>
      <c r="H38" s="124">
        <f t="shared" si="9"/>
        <v>195408.93899999998</v>
      </c>
      <c r="I38" s="107">
        <f t="shared" si="8"/>
        <v>208000.97999999998</v>
      </c>
      <c r="K38" s="74"/>
      <c r="L38" s="74"/>
      <c r="M38" s="46"/>
      <c r="N38" s="46"/>
      <c r="O38" s="74"/>
      <c r="P38" s="46"/>
      <c r="R38" s="47"/>
      <c r="Y38" s="10"/>
    </row>
    <row r="39" spans="1:25" ht="12.75">
      <c r="A39" s="50" t="s">
        <v>15</v>
      </c>
      <c r="B39" s="56">
        <f>B26</f>
        <v>290</v>
      </c>
      <c r="C39" s="56">
        <f t="shared" si="10"/>
        <v>373.9</v>
      </c>
      <c r="D39" s="56">
        <f t="shared" si="10"/>
        <v>5429.8</v>
      </c>
      <c r="E39" s="48">
        <f t="shared" si="6"/>
        <v>6093.7</v>
      </c>
      <c r="F39" s="124">
        <f t="shared" si="7"/>
        <v>34547.7</v>
      </c>
      <c r="G39" s="124">
        <f t="shared" si="5"/>
        <v>44542.706999999995</v>
      </c>
      <c r="H39" s="124">
        <f t="shared" si="9"/>
        <v>646852.074</v>
      </c>
      <c r="I39" s="107">
        <f t="shared" si="8"/>
        <v>725942.481</v>
      </c>
      <c r="K39" s="74"/>
      <c r="L39" s="74"/>
      <c r="M39" s="46"/>
      <c r="N39" s="46"/>
      <c r="O39" s="74"/>
      <c r="P39" s="46"/>
      <c r="R39" s="47"/>
      <c r="Y39" s="10"/>
    </row>
    <row r="40" spans="1:25" ht="12.75">
      <c r="A40" s="50" t="s">
        <v>177</v>
      </c>
      <c r="B40" s="56">
        <f>B27-B28</f>
        <v>638.7</v>
      </c>
      <c r="C40" s="56">
        <f>C27-C28</f>
        <v>696</v>
      </c>
      <c r="D40" s="56">
        <f>D27-D28</f>
        <v>4487.5</v>
      </c>
      <c r="E40" s="48">
        <f>B40+C40+D40</f>
        <v>5822.2</v>
      </c>
      <c r="F40" s="124">
        <f>B40*D13</f>
        <v>60325.215</v>
      </c>
      <c r="G40" s="124">
        <f t="shared" si="5"/>
        <v>79504.07999999999</v>
      </c>
      <c r="H40" s="124">
        <f t="shared" si="9"/>
        <v>512607.12499999994</v>
      </c>
      <c r="I40" s="107">
        <f t="shared" si="8"/>
        <v>652436.4199999999</v>
      </c>
      <c r="K40" s="74"/>
      <c r="L40" s="74"/>
      <c r="M40" s="46"/>
      <c r="N40" s="46"/>
      <c r="O40" s="74"/>
      <c r="P40" s="46"/>
      <c r="R40" s="47"/>
      <c r="Y40" s="10"/>
    </row>
    <row r="41" spans="1:25" ht="12.75">
      <c r="A41" s="127" t="s">
        <v>176</v>
      </c>
      <c r="B41" s="56">
        <f>B28</f>
        <v>365.4</v>
      </c>
      <c r="C41" s="56">
        <f t="shared" si="10"/>
        <v>103.3</v>
      </c>
      <c r="D41" s="56">
        <f t="shared" si="10"/>
        <v>2381.3</v>
      </c>
      <c r="E41" s="48">
        <f>B41+C41+D41</f>
        <v>2850</v>
      </c>
      <c r="F41" s="124">
        <f>B41*D14</f>
        <v>34512.02999999999</v>
      </c>
      <c r="G41" s="124">
        <f t="shared" si="5"/>
        <v>11799.958999999999</v>
      </c>
      <c r="H41" s="124">
        <f>D41*H14</f>
        <v>272015.899</v>
      </c>
      <c r="I41" s="107">
        <f>F41+G41+H41</f>
        <v>318327.888</v>
      </c>
      <c r="K41" s="74"/>
      <c r="L41" s="74"/>
      <c r="M41" s="46"/>
      <c r="N41" s="46"/>
      <c r="O41" s="74"/>
      <c r="P41" s="46"/>
      <c r="R41" s="47"/>
      <c r="Y41" s="10"/>
    </row>
    <row r="42" spans="1:25" ht="13.5" thickBot="1">
      <c r="A42" s="279" t="s">
        <v>56</v>
      </c>
      <c r="B42" s="333">
        <f aca="true" t="shared" si="11" ref="B42:I42">SUM(B32:B41)</f>
        <v>9849.499999999998</v>
      </c>
      <c r="C42" s="333">
        <f t="shared" si="11"/>
        <v>2470</v>
      </c>
      <c r="D42" s="333">
        <f t="shared" si="11"/>
        <v>156840.19999999998</v>
      </c>
      <c r="E42" s="331">
        <f t="shared" si="11"/>
        <v>169159.7</v>
      </c>
      <c r="F42" s="280">
        <f t="shared" si="11"/>
        <v>929791.6589999999</v>
      </c>
      <c r="G42" s="280">
        <f t="shared" si="11"/>
        <v>259616.648</v>
      </c>
      <c r="H42" s="280">
        <f t="shared" si="11"/>
        <v>13915352.921999998</v>
      </c>
      <c r="I42" s="330">
        <f t="shared" si="11"/>
        <v>15104761.229000002</v>
      </c>
      <c r="J42" s="181" t="s">
        <v>24</v>
      </c>
      <c r="K42" s="74"/>
      <c r="L42" s="74"/>
      <c r="M42" s="46"/>
      <c r="N42" s="46"/>
      <c r="O42" s="74"/>
      <c r="P42" s="46"/>
      <c r="R42" s="47"/>
      <c r="Y42" s="10"/>
    </row>
    <row r="43" spans="1:25" ht="13.5" thickBot="1">
      <c r="A43" s="10"/>
      <c r="B43" s="18"/>
      <c r="C43" s="18"/>
      <c r="D43" s="18"/>
      <c r="E43" s="69"/>
      <c r="F43" s="34"/>
      <c r="G43" s="34"/>
      <c r="H43" s="34"/>
      <c r="I43" s="9"/>
      <c r="J43" s="18"/>
      <c r="K43" s="34"/>
      <c r="L43" s="18"/>
      <c r="M43" s="18"/>
      <c r="N43" s="18"/>
      <c r="O43" s="15"/>
      <c r="P43" s="15"/>
      <c r="Q43" s="15"/>
      <c r="R43" s="47"/>
      <c r="Y43" s="10"/>
    </row>
    <row r="44" spans="1:25" ht="15.75" thickBot="1">
      <c r="A44" s="110" t="s">
        <v>107</v>
      </c>
      <c r="B44" s="18"/>
      <c r="C44" s="18"/>
      <c r="D44" s="18"/>
      <c r="E44" s="69"/>
      <c r="F44" s="34"/>
      <c r="G44" s="34"/>
      <c r="H44" s="34"/>
      <c r="I44" s="9"/>
      <c r="J44" s="18"/>
      <c r="K44" s="34"/>
      <c r="L44" s="18"/>
      <c r="M44" s="18"/>
      <c r="N44" s="18"/>
      <c r="O44" s="15"/>
      <c r="P44" s="15"/>
      <c r="Q44" s="15"/>
      <c r="R44" s="47"/>
      <c r="Y44" s="10"/>
    </row>
    <row r="45" spans="1:25" ht="78.75">
      <c r="A45" s="138" t="s">
        <v>3</v>
      </c>
      <c r="B45" s="139" t="s">
        <v>128</v>
      </c>
      <c r="C45" s="139" t="s">
        <v>111</v>
      </c>
      <c r="D45" s="141" t="s">
        <v>191</v>
      </c>
      <c r="E45" s="141" t="s">
        <v>190</v>
      </c>
      <c r="F45" s="141" t="s">
        <v>189</v>
      </c>
      <c r="G45" s="141" t="s">
        <v>75</v>
      </c>
      <c r="H45" s="141" t="s">
        <v>74</v>
      </c>
      <c r="I45" s="142" t="s">
        <v>187</v>
      </c>
      <c r="J45" s="143" t="s">
        <v>188</v>
      </c>
      <c r="K45" s="34"/>
      <c r="L45" s="18"/>
      <c r="M45" s="18"/>
      <c r="N45" s="18"/>
      <c r="O45" s="15"/>
      <c r="P45" s="15"/>
      <c r="Q45" s="15"/>
      <c r="R45" s="47"/>
      <c r="Y45" s="10"/>
    </row>
    <row r="46" spans="1:25" ht="12.75">
      <c r="A46" s="50" t="s">
        <v>52</v>
      </c>
      <c r="B46" s="56">
        <f>F19-F20-F27</f>
        <v>0</v>
      </c>
      <c r="C46" s="56">
        <f>G19-G20-G27</f>
        <v>0</v>
      </c>
      <c r="D46" s="56">
        <f>H19-H20-H27</f>
        <v>0</v>
      </c>
      <c r="E46" s="48">
        <f>B46+C46+D46</f>
        <v>0</v>
      </c>
      <c r="F46" s="44">
        <f aca="true" t="shared" si="12" ref="F46:F55">B46*D5</f>
        <v>0</v>
      </c>
      <c r="G46" s="44">
        <f aca="true" t="shared" si="13" ref="G46:G55">C46*F5</f>
        <v>0</v>
      </c>
      <c r="H46" s="44">
        <f aca="true" t="shared" si="14" ref="H46:H55">D46*H5</f>
        <v>0</v>
      </c>
      <c r="I46" s="44">
        <v>0</v>
      </c>
      <c r="J46" s="107">
        <f aca="true" t="shared" si="15" ref="J46:J54">F46+G46+H46+I46</f>
        <v>0</v>
      </c>
      <c r="K46" s="34"/>
      <c r="L46" s="18"/>
      <c r="M46" s="18"/>
      <c r="N46" s="18"/>
      <c r="O46" s="15"/>
      <c r="P46" s="15"/>
      <c r="Q46" s="15"/>
      <c r="R46" s="47"/>
      <c r="Y46" s="10"/>
    </row>
    <row r="47" spans="1:25" ht="12.75">
      <c r="A47" s="50" t="s">
        <v>55</v>
      </c>
      <c r="B47" s="56">
        <f>F20-F21-F22</f>
        <v>0</v>
      </c>
      <c r="C47" s="56">
        <f>G20-G21-G22</f>
        <v>0</v>
      </c>
      <c r="D47" s="56">
        <f>H20-H21-H22</f>
        <v>0</v>
      </c>
      <c r="E47" s="48">
        <f aca="true" t="shared" si="16" ref="E47:E53">B47+C47+D47</f>
        <v>0</v>
      </c>
      <c r="F47" s="44">
        <f t="shared" si="12"/>
        <v>0</v>
      </c>
      <c r="G47" s="44">
        <f t="shared" si="13"/>
        <v>0</v>
      </c>
      <c r="H47" s="44">
        <f t="shared" si="14"/>
        <v>0</v>
      </c>
      <c r="I47" s="44">
        <v>0</v>
      </c>
      <c r="J47" s="107">
        <f t="shared" si="15"/>
        <v>0</v>
      </c>
      <c r="K47" s="34"/>
      <c r="L47" s="18"/>
      <c r="M47" s="18"/>
      <c r="N47" s="18"/>
      <c r="O47" s="15"/>
      <c r="P47" s="15"/>
      <c r="Q47" s="15"/>
      <c r="R47" s="47"/>
      <c r="Y47" s="10"/>
    </row>
    <row r="48" spans="1:25" ht="12.75">
      <c r="A48" s="50" t="s">
        <v>54</v>
      </c>
      <c r="B48" s="56">
        <f>F21-F23-F25</f>
        <v>0</v>
      </c>
      <c r="C48" s="56">
        <f>G21-G23-G25</f>
        <v>0</v>
      </c>
      <c r="D48" s="56">
        <f>H21-H23-H25</f>
        <v>0</v>
      </c>
      <c r="E48" s="48">
        <f t="shared" si="16"/>
        <v>0</v>
      </c>
      <c r="F48" s="44">
        <f t="shared" si="12"/>
        <v>0</v>
      </c>
      <c r="G48" s="44">
        <f t="shared" si="13"/>
        <v>0</v>
      </c>
      <c r="H48" s="44">
        <f t="shared" si="14"/>
        <v>0</v>
      </c>
      <c r="I48" s="44">
        <v>0</v>
      </c>
      <c r="J48" s="107">
        <f t="shared" si="15"/>
        <v>0</v>
      </c>
      <c r="K48" s="34"/>
      <c r="L48" s="18"/>
      <c r="M48" s="18"/>
      <c r="N48" s="18"/>
      <c r="O48" s="15"/>
      <c r="P48" s="15"/>
      <c r="Q48" s="15"/>
      <c r="R48" s="47"/>
      <c r="Y48" s="10"/>
    </row>
    <row r="49" spans="1:25" ht="12.75">
      <c r="A49" s="50" t="s">
        <v>53</v>
      </c>
      <c r="B49" s="56">
        <f>F22-F26</f>
        <v>0</v>
      </c>
      <c r="C49" s="56">
        <f>G22-G26</f>
        <v>0</v>
      </c>
      <c r="D49" s="56">
        <f>H22-H26</f>
        <v>0</v>
      </c>
      <c r="E49" s="48">
        <f t="shared" si="16"/>
        <v>0</v>
      </c>
      <c r="F49" s="44">
        <f t="shared" si="12"/>
        <v>0</v>
      </c>
      <c r="G49" s="44">
        <f t="shared" si="13"/>
        <v>0</v>
      </c>
      <c r="H49" s="44">
        <f t="shared" si="14"/>
        <v>0</v>
      </c>
      <c r="I49" s="44">
        <v>0</v>
      </c>
      <c r="J49" s="107">
        <f t="shared" si="15"/>
        <v>0</v>
      </c>
      <c r="K49" s="34"/>
      <c r="L49" s="18"/>
      <c r="M49" s="18"/>
      <c r="N49" s="18"/>
      <c r="O49" s="15"/>
      <c r="P49" s="15"/>
      <c r="Q49" s="15"/>
      <c r="R49" s="47"/>
      <c r="Y49" s="10"/>
    </row>
    <row r="50" spans="1:25" ht="12.75">
      <c r="A50" s="50" t="s">
        <v>45</v>
      </c>
      <c r="B50" s="56">
        <f>F23-F24</f>
        <v>0</v>
      </c>
      <c r="C50" s="56">
        <f>G23-G24</f>
        <v>0</v>
      </c>
      <c r="D50" s="56">
        <f>H23-H24</f>
        <v>0</v>
      </c>
      <c r="E50" s="48">
        <f t="shared" si="16"/>
        <v>0</v>
      </c>
      <c r="F50" s="44">
        <f t="shared" si="12"/>
        <v>0</v>
      </c>
      <c r="G50" s="44">
        <f t="shared" si="13"/>
        <v>0</v>
      </c>
      <c r="H50" s="44">
        <f t="shared" si="14"/>
        <v>0</v>
      </c>
      <c r="I50" s="44">
        <v>0</v>
      </c>
      <c r="J50" s="107">
        <f t="shared" si="15"/>
        <v>0</v>
      </c>
      <c r="K50" s="34"/>
      <c r="L50" s="18"/>
      <c r="M50" s="18"/>
      <c r="N50" s="18"/>
      <c r="O50" s="15"/>
      <c r="P50" s="15"/>
      <c r="Q50" s="15"/>
      <c r="R50" s="47"/>
      <c r="Y50" s="10"/>
    </row>
    <row r="51" spans="1:25" ht="12.75">
      <c r="A51" s="50" t="s">
        <v>42</v>
      </c>
      <c r="B51" s="56">
        <f>F24</f>
        <v>0</v>
      </c>
      <c r="C51" s="56">
        <f aca="true" t="shared" si="17" ref="C51:D53">G24</f>
        <v>0</v>
      </c>
      <c r="D51" s="56">
        <f t="shared" si="17"/>
        <v>0</v>
      </c>
      <c r="E51" s="48">
        <f t="shared" si="16"/>
        <v>0</v>
      </c>
      <c r="F51" s="44">
        <f t="shared" si="12"/>
        <v>0</v>
      </c>
      <c r="G51" s="44">
        <f t="shared" si="13"/>
        <v>0</v>
      </c>
      <c r="H51" s="44">
        <f t="shared" si="14"/>
        <v>0</v>
      </c>
      <c r="I51" s="44">
        <v>0</v>
      </c>
      <c r="J51" s="107">
        <f t="shared" si="15"/>
        <v>0</v>
      </c>
      <c r="K51" s="34"/>
      <c r="L51" s="18"/>
      <c r="M51" s="18"/>
      <c r="N51" s="18"/>
      <c r="O51" s="15"/>
      <c r="P51" s="15"/>
      <c r="Q51" s="15"/>
      <c r="R51" s="47"/>
      <c r="Y51" s="10"/>
    </row>
    <row r="52" spans="1:25" ht="12.75">
      <c r="A52" s="50" t="s">
        <v>43</v>
      </c>
      <c r="B52" s="56">
        <f>F25</f>
        <v>0</v>
      </c>
      <c r="C52" s="56">
        <f t="shared" si="17"/>
        <v>0</v>
      </c>
      <c r="D52" s="56">
        <f t="shared" si="17"/>
        <v>0</v>
      </c>
      <c r="E52" s="48">
        <f t="shared" si="16"/>
        <v>0</v>
      </c>
      <c r="F52" s="44">
        <f t="shared" si="12"/>
        <v>0</v>
      </c>
      <c r="G52" s="44">
        <f t="shared" si="13"/>
        <v>0</v>
      </c>
      <c r="H52" s="44">
        <f t="shared" si="14"/>
        <v>0</v>
      </c>
      <c r="I52" s="44">
        <v>0</v>
      </c>
      <c r="J52" s="107">
        <f t="shared" si="15"/>
        <v>0</v>
      </c>
      <c r="K52" s="34"/>
      <c r="L52" s="18"/>
      <c r="M52" s="18"/>
      <c r="N52" s="18"/>
      <c r="O52" s="15"/>
      <c r="P52" s="15"/>
      <c r="Q52" s="15"/>
      <c r="R52" s="47"/>
      <c r="Y52" s="10"/>
    </row>
    <row r="53" spans="1:25" ht="12.75">
      <c r="A53" s="50" t="s">
        <v>15</v>
      </c>
      <c r="B53" s="56">
        <f>F26</f>
        <v>0</v>
      </c>
      <c r="C53" s="56">
        <f t="shared" si="17"/>
        <v>0</v>
      </c>
      <c r="D53" s="56">
        <f t="shared" si="17"/>
        <v>0</v>
      </c>
      <c r="E53" s="48">
        <f t="shared" si="16"/>
        <v>0</v>
      </c>
      <c r="F53" s="44">
        <f t="shared" si="12"/>
        <v>0</v>
      </c>
      <c r="G53" s="44">
        <f t="shared" si="13"/>
        <v>0</v>
      </c>
      <c r="H53" s="44">
        <f t="shared" si="14"/>
        <v>0</v>
      </c>
      <c r="I53" s="44">
        <v>0</v>
      </c>
      <c r="J53" s="107">
        <f t="shared" si="15"/>
        <v>0</v>
      </c>
      <c r="K53" s="34"/>
      <c r="L53" s="18"/>
      <c r="M53" s="18"/>
      <c r="N53" s="18"/>
      <c r="O53" s="15"/>
      <c r="P53" s="15"/>
      <c r="Q53" s="15"/>
      <c r="R53" s="47"/>
      <c r="Y53" s="10"/>
    </row>
    <row r="54" spans="1:25" ht="12.75">
      <c r="A54" s="50" t="s">
        <v>177</v>
      </c>
      <c r="B54" s="56">
        <f>F27-F28</f>
        <v>0</v>
      </c>
      <c r="C54" s="56">
        <f>G27-G28</f>
        <v>0</v>
      </c>
      <c r="D54" s="56">
        <f>H27-H28</f>
        <v>0</v>
      </c>
      <c r="E54" s="48">
        <f>B54+C54+D54</f>
        <v>0</v>
      </c>
      <c r="F54" s="44">
        <f t="shared" si="12"/>
        <v>0</v>
      </c>
      <c r="G54" s="44">
        <f t="shared" si="13"/>
        <v>0</v>
      </c>
      <c r="H54" s="44">
        <f t="shared" si="14"/>
        <v>0</v>
      </c>
      <c r="I54" s="44">
        <v>0</v>
      </c>
      <c r="J54" s="107">
        <f t="shared" si="15"/>
        <v>0</v>
      </c>
      <c r="K54" s="34"/>
      <c r="L54" s="18"/>
      <c r="M54" s="18"/>
      <c r="N54" s="18"/>
      <c r="O54" s="15"/>
      <c r="P54" s="15"/>
      <c r="Q54" s="15"/>
      <c r="R54" s="47"/>
      <c r="Y54" s="10"/>
    </row>
    <row r="55" spans="1:25" ht="12.75">
      <c r="A55" s="50" t="s">
        <v>176</v>
      </c>
      <c r="B55" s="56">
        <f>F28</f>
        <v>0</v>
      </c>
      <c r="C55" s="56">
        <f>G28</f>
        <v>0</v>
      </c>
      <c r="D55" s="56">
        <f>H28</f>
        <v>0</v>
      </c>
      <c r="E55" s="48">
        <f>B55+C55+D55</f>
        <v>0</v>
      </c>
      <c r="F55" s="44">
        <f t="shared" si="12"/>
        <v>0</v>
      </c>
      <c r="G55" s="44">
        <f t="shared" si="13"/>
        <v>0</v>
      </c>
      <c r="H55" s="44">
        <f t="shared" si="14"/>
        <v>0</v>
      </c>
      <c r="I55" s="44">
        <v>0</v>
      </c>
      <c r="J55" s="107">
        <f>F55+G55+H55+I55</f>
        <v>0</v>
      </c>
      <c r="K55" s="34"/>
      <c r="L55" s="18"/>
      <c r="M55" s="18"/>
      <c r="N55" s="18"/>
      <c r="O55" s="15"/>
      <c r="P55" s="15"/>
      <c r="Q55" s="15"/>
      <c r="R55" s="47"/>
      <c r="Y55" s="10"/>
    </row>
    <row r="56" spans="1:25" ht="13.5" thickBot="1">
      <c r="A56" s="51" t="s">
        <v>56</v>
      </c>
      <c r="B56" s="108">
        <f>SUM(B46:B55)</f>
        <v>0</v>
      </c>
      <c r="C56" s="108">
        <f>SUM(C46:C55)</f>
        <v>0</v>
      </c>
      <c r="D56" s="108">
        <f>SUM(D46:D55)</f>
        <v>0</v>
      </c>
      <c r="E56" s="64">
        <f>B56+C56+D56</f>
        <v>0</v>
      </c>
      <c r="F56" s="158">
        <f>SUM(F46:F55)</f>
        <v>0</v>
      </c>
      <c r="G56" s="158">
        <f>SUM(G46:G55)</f>
        <v>0</v>
      </c>
      <c r="H56" s="158">
        <f>SUM(H46:H55)</f>
        <v>0</v>
      </c>
      <c r="I56" s="158">
        <v>0</v>
      </c>
      <c r="J56" s="109">
        <f>SUM(J46:J55)</f>
        <v>0</v>
      </c>
      <c r="K56" s="34"/>
      <c r="L56" s="18"/>
      <c r="M56" s="18"/>
      <c r="N56" s="18"/>
      <c r="O56" s="15"/>
      <c r="P56" s="15"/>
      <c r="Q56" s="15"/>
      <c r="R56" s="47"/>
      <c r="Y56" s="10"/>
    </row>
    <row r="57" spans="1:25" ht="13.5" thickBot="1">
      <c r="A57" s="10"/>
      <c r="B57" s="18"/>
      <c r="C57" s="18"/>
      <c r="D57" s="18"/>
      <c r="E57" s="69"/>
      <c r="F57" s="34"/>
      <c r="G57" s="34"/>
      <c r="H57" s="34"/>
      <c r="I57" s="9"/>
      <c r="J57" s="18"/>
      <c r="K57" s="34"/>
      <c r="L57" s="18"/>
      <c r="M57" s="18"/>
      <c r="N57" s="18"/>
      <c r="O57" s="15"/>
      <c r="P57" s="15"/>
      <c r="Q57" s="15"/>
      <c r="R57" s="47"/>
      <c r="Y57" s="10"/>
    </row>
    <row r="58" ht="15.75" thickBot="1">
      <c r="A58" s="129" t="s">
        <v>81</v>
      </c>
    </row>
    <row r="59" spans="1:4" ht="79.5" customHeight="1">
      <c r="A59" s="88" t="s">
        <v>82</v>
      </c>
      <c r="B59" s="90" t="s">
        <v>83</v>
      </c>
      <c r="C59" s="90" t="s">
        <v>131</v>
      </c>
      <c r="D59" s="91" t="s">
        <v>84</v>
      </c>
    </row>
    <row r="60" spans="1:4" ht="12.75">
      <c r="A60" s="50" t="s">
        <v>30</v>
      </c>
      <c r="B60" s="43">
        <v>0</v>
      </c>
      <c r="C60" s="124">
        <f>C6</f>
        <v>59.76</v>
      </c>
      <c r="D60" s="107">
        <f>B60*C60</f>
        <v>0</v>
      </c>
    </row>
    <row r="61" spans="1:4" ht="12.75">
      <c r="A61" s="50" t="s">
        <v>41</v>
      </c>
      <c r="B61" s="43">
        <v>0</v>
      </c>
      <c r="C61" s="124">
        <f aca="true" t="shared" si="18" ref="C61:C68">C7</f>
        <v>0</v>
      </c>
      <c r="D61" s="107">
        <f aca="true" t="shared" si="19" ref="D61:D66">B61*C61</f>
        <v>0</v>
      </c>
    </row>
    <row r="62" spans="1:4" ht="12.75">
      <c r="A62" s="50" t="s">
        <v>5</v>
      </c>
      <c r="B62" s="43">
        <v>0</v>
      </c>
      <c r="C62" s="124">
        <f t="shared" si="18"/>
        <v>0</v>
      </c>
      <c r="D62" s="107">
        <f t="shared" si="19"/>
        <v>0</v>
      </c>
    </row>
    <row r="63" spans="1:6" ht="12.75">
      <c r="A63" s="50" t="s">
        <v>8</v>
      </c>
      <c r="B63" s="43">
        <v>0</v>
      </c>
      <c r="C63" s="124">
        <f t="shared" si="18"/>
        <v>99.87</v>
      </c>
      <c r="D63" s="107">
        <f t="shared" si="19"/>
        <v>0</v>
      </c>
      <c r="F63" s="6" t="s">
        <v>24</v>
      </c>
    </row>
    <row r="64" spans="1:4" ht="12.75">
      <c r="A64" s="50" t="s">
        <v>42</v>
      </c>
      <c r="B64" s="43">
        <v>0</v>
      </c>
      <c r="C64" s="124">
        <f t="shared" si="18"/>
        <v>0</v>
      </c>
      <c r="D64" s="107">
        <f t="shared" si="19"/>
        <v>0</v>
      </c>
    </row>
    <row r="65" spans="1:4" ht="12.75">
      <c r="A65" s="50" t="s">
        <v>43</v>
      </c>
      <c r="B65" s="43">
        <v>0</v>
      </c>
      <c r="C65" s="124">
        <f t="shared" si="18"/>
        <v>0</v>
      </c>
      <c r="D65" s="107">
        <f t="shared" si="19"/>
        <v>0</v>
      </c>
    </row>
    <row r="66" spans="1:4" ht="12.75">
      <c r="A66" s="127" t="s">
        <v>15</v>
      </c>
      <c r="B66" s="43">
        <v>0</v>
      </c>
      <c r="C66" s="124">
        <f t="shared" si="18"/>
        <v>0</v>
      </c>
      <c r="D66" s="107">
        <f t="shared" si="19"/>
        <v>0</v>
      </c>
    </row>
    <row r="67" spans="1:4" ht="12.75">
      <c r="A67" s="127" t="s">
        <v>51</v>
      </c>
      <c r="B67" s="43">
        <v>0</v>
      </c>
      <c r="C67" s="124">
        <f t="shared" si="18"/>
        <v>35.08</v>
      </c>
      <c r="D67" s="107">
        <f>B67*C67</f>
        <v>0</v>
      </c>
    </row>
    <row r="68" spans="1:4" ht="12.75">
      <c r="A68" s="127" t="s">
        <v>176</v>
      </c>
      <c r="B68" s="43">
        <v>0</v>
      </c>
      <c r="C68" s="124">
        <f t="shared" si="18"/>
        <v>0</v>
      </c>
      <c r="D68" s="107">
        <f>B68*C68</f>
        <v>0</v>
      </c>
    </row>
    <row r="69" spans="1:4" ht="13.5" thickBot="1">
      <c r="A69" s="104" t="s">
        <v>56</v>
      </c>
      <c r="B69" s="128" t="s">
        <v>24</v>
      </c>
      <c r="C69" s="128"/>
      <c r="D69" s="109">
        <f>SUM(D60:D67)</f>
        <v>0</v>
      </c>
    </row>
    <row r="70" ht="12.75">
      <c r="A70" s="12" t="s">
        <v>132</v>
      </c>
    </row>
    <row r="71" ht="12.75">
      <c r="B71" s="6" t="s">
        <v>24</v>
      </c>
    </row>
    <row r="72" ht="12.75">
      <c r="B72" s="6" t="s">
        <v>24</v>
      </c>
    </row>
    <row r="73" ht="12.75">
      <c r="B73" s="6" t="s">
        <v>24</v>
      </c>
    </row>
  </sheetData>
  <sheetProtection/>
  <printOptions/>
  <pageMargins left="0.45" right="0.45" top="0.5" bottom="0.5" header="0" footer="0"/>
  <pageSetup fitToHeight="1" fitToWidth="1" horizontalDpi="600" verticalDpi="600" orientation="landscape" scale="44" r:id="rId1"/>
  <rowBreaks count="1" manualBreakCount="1">
    <brk id="43" max="9" man="1"/>
  </rowBreaks>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45.8515625" style="6" customWidth="1"/>
    <col min="2" max="2" width="15.28125" style="6" bestFit="1" customWidth="1"/>
    <col min="3" max="3" width="15.7109375" style="6" customWidth="1"/>
    <col min="4" max="4" width="16.421875" style="6" customWidth="1"/>
    <col min="5" max="5" width="20.00390625" style="6" customWidth="1"/>
    <col min="6" max="6" width="18.7109375" style="6" customWidth="1"/>
    <col min="7" max="7" width="20.00390625" style="6" customWidth="1"/>
    <col min="8" max="8" width="18.421875" style="6" customWidth="1"/>
    <col min="9" max="9" width="18.140625" style="6" customWidth="1"/>
    <col min="10" max="10" width="18.421875" style="6" customWidth="1"/>
    <col min="11" max="11" width="20.00390625" style="6" customWidth="1"/>
    <col min="12" max="12" width="15.7109375" style="6" customWidth="1"/>
    <col min="13" max="16384" width="9.140625" style="6" customWidth="1"/>
  </cols>
  <sheetData>
    <row r="1" spans="1:7" ht="17.25">
      <c r="A1" s="3" t="s">
        <v>178</v>
      </c>
      <c r="E1" s="52" t="s">
        <v>24</v>
      </c>
      <c r="F1" s="52" t="s">
        <v>24</v>
      </c>
      <c r="G1" s="52" t="s">
        <v>24</v>
      </c>
    </row>
    <row r="2" ht="13.5" thickBot="1">
      <c r="A2" s="186"/>
    </row>
    <row r="3" spans="1:4" ht="18" thickBot="1">
      <c r="A3" s="101" t="s">
        <v>0</v>
      </c>
      <c r="D3" s="1" t="s">
        <v>24</v>
      </c>
    </row>
    <row r="4" spans="1:12" ht="12.75" customHeight="1">
      <c r="A4" s="92" t="s">
        <v>1</v>
      </c>
      <c r="B4" s="93">
        <v>0.156</v>
      </c>
      <c r="D4" s="21" t="s">
        <v>24</v>
      </c>
      <c r="E4" s="23" t="s">
        <v>24</v>
      </c>
      <c r="F4" s="23" t="s">
        <v>24</v>
      </c>
      <c r="G4" s="23" t="s">
        <v>24</v>
      </c>
      <c r="H4" s="23" t="s">
        <v>24</v>
      </c>
      <c r="I4" s="23" t="s">
        <v>24</v>
      </c>
      <c r="J4" s="23" t="s">
        <v>24</v>
      </c>
      <c r="L4" s="23" t="s">
        <v>24</v>
      </c>
    </row>
    <row r="5" spans="1:12" ht="12.75" customHeight="1">
      <c r="A5" s="94" t="s">
        <v>2</v>
      </c>
      <c r="B5" s="95">
        <v>0.0569</v>
      </c>
      <c r="D5" s="10" t="s">
        <v>24</v>
      </c>
      <c r="E5" s="14" t="s">
        <v>24</v>
      </c>
      <c r="F5" s="30" t="s">
        <v>24</v>
      </c>
      <c r="G5" s="30" t="s">
        <v>24</v>
      </c>
      <c r="H5" s="30" t="s">
        <v>24</v>
      </c>
      <c r="I5" s="30" t="s">
        <v>24</v>
      </c>
      <c r="J5" s="23" t="s">
        <v>24</v>
      </c>
      <c r="K5" s="23" t="s">
        <v>24</v>
      </c>
      <c r="L5" s="14" t="s">
        <v>24</v>
      </c>
    </row>
    <row r="6" spans="1:12" ht="12.75" customHeight="1">
      <c r="A6" s="50" t="s">
        <v>4</v>
      </c>
      <c r="B6" s="96">
        <v>1.0902</v>
      </c>
      <c r="D6" s="10" t="s">
        <v>24</v>
      </c>
      <c r="E6" s="37" t="s">
        <v>24</v>
      </c>
      <c r="F6" s="15" t="s">
        <v>24</v>
      </c>
      <c r="G6" s="31" t="s">
        <v>24</v>
      </c>
      <c r="H6" s="20" t="s">
        <v>24</v>
      </c>
      <c r="I6" s="20" t="s">
        <v>24</v>
      </c>
      <c r="J6" s="20" t="s">
        <v>24</v>
      </c>
      <c r="K6" s="33" t="s">
        <v>24</v>
      </c>
      <c r="L6" s="16" t="s">
        <v>24</v>
      </c>
    </row>
    <row r="7" spans="1:12" ht="12.75" customHeight="1">
      <c r="A7" s="50" t="s">
        <v>38</v>
      </c>
      <c r="B7" s="97">
        <v>166127.5</v>
      </c>
      <c r="D7" s="10" t="s">
        <v>24</v>
      </c>
      <c r="E7" s="14" t="s">
        <v>24</v>
      </c>
      <c r="F7" s="36" t="s">
        <v>24</v>
      </c>
      <c r="G7" s="15" t="s">
        <v>24</v>
      </c>
      <c r="H7" s="15" t="s">
        <v>24</v>
      </c>
      <c r="I7" s="15" t="s">
        <v>24</v>
      </c>
      <c r="J7" s="31" t="s">
        <v>24</v>
      </c>
      <c r="K7" s="20"/>
      <c r="L7" s="14" t="s">
        <v>24</v>
      </c>
    </row>
    <row r="8" spans="1:12" ht="12.75" customHeight="1">
      <c r="A8" s="50" t="s">
        <v>39</v>
      </c>
      <c r="B8" s="98">
        <v>0.025</v>
      </c>
      <c r="D8" s="10" t="s">
        <v>24</v>
      </c>
      <c r="E8" s="14" t="s">
        <v>24</v>
      </c>
      <c r="F8" s="15" t="s">
        <v>24</v>
      </c>
      <c r="G8" s="31" t="s">
        <v>24</v>
      </c>
      <c r="H8" s="31" t="s">
        <v>24</v>
      </c>
      <c r="I8" s="31" t="s">
        <v>24</v>
      </c>
      <c r="J8" s="20" t="s">
        <v>24</v>
      </c>
      <c r="K8" s="20"/>
      <c r="L8" s="14" t="s">
        <v>35</v>
      </c>
    </row>
    <row r="9" spans="1:12" ht="12.75" customHeight="1">
      <c r="A9" s="50" t="s">
        <v>40</v>
      </c>
      <c r="B9" s="99">
        <f>B7*B8</f>
        <v>4153.1875</v>
      </c>
      <c r="D9" s="5" t="s">
        <v>24</v>
      </c>
      <c r="E9" s="16" t="s">
        <v>24</v>
      </c>
      <c r="F9" s="15" t="s">
        <v>24</v>
      </c>
      <c r="G9" s="31" t="s">
        <v>24</v>
      </c>
      <c r="H9" s="31" t="s">
        <v>24</v>
      </c>
      <c r="I9" s="31" t="s">
        <v>24</v>
      </c>
      <c r="J9" s="20" t="s">
        <v>24</v>
      </c>
      <c r="K9" s="20"/>
      <c r="L9" s="16" t="s">
        <v>24</v>
      </c>
    </row>
    <row r="10" spans="1:12" ht="12.75" customHeight="1" thickBot="1">
      <c r="A10" s="51" t="s">
        <v>23</v>
      </c>
      <c r="B10" s="100">
        <f>'BRA Resource Clearing Results'!E19/('BRA Load Pricing Results'!G57*'BRA Load Pricing Results'!B6)</f>
        <v>1.0182520664794263</v>
      </c>
      <c r="C10" s="10" t="s">
        <v>24</v>
      </c>
      <c r="D10" s="5" t="s">
        <v>24</v>
      </c>
      <c r="E10" s="14" t="s">
        <v>24</v>
      </c>
      <c r="F10" s="36" t="s">
        <v>24</v>
      </c>
      <c r="G10" s="31" t="s">
        <v>24</v>
      </c>
      <c r="H10" s="31" t="s">
        <v>24</v>
      </c>
      <c r="I10" s="31" t="s">
        <v>24</v>
      </c>
      <c r="J10" s="31" t="s">
        <v>24</v>
      </c>
      <c r="K10" s="20" t="s">
        <v>24</v>
      </c>
      <c r="L10" s="14" t="s">
        <v>24</v>
      </c>
    </row>
    <row r="11" spans="4:12" ht="12.75">
      <c r="D11" s="12" t="s">
        <v>24</v>
      </c>
      <c r="E11" s="7"/>
      <c r="F11" s="4"/>
      <c r="G11" s="7"/>
      <c r="H11" s="28" t="s">
        <v>24</v>
      </c>
      <c r="L11" s="6" t="s">
        <v>24</v>
      </c>
    </row>
    <row r="12" spans="1:12" ht="13.5" thickBot="1">
      <c r="A12" s="12"/>
      <c r="B12" s="34"/>
      <c r="C12" s="34"/>
      <c r="D12" s="34"/>
      <c r="E12" s="35"/>
      <c r="F12" s="25"/>
      <c r="G12" s="25"/>
      <c r="H12" s="25"/>
      <c r="I12" s="63"/>
      <c r="J12" s="63"/>
      <c r="K12" s="63"/>
      <c r="L12" s="47"/>
    </row>
    <row r="13" spans="1:12" ht="15.75" thickBot="1">
      <c r="A13" s="206" t="s">
        <v>68</v>
      </c>
      <c r="B13" s="34"/>
      <c r="C13" s="34"/>
      <c r="D13" s="34"/>
      <c r="E13" s="35"/>
      <c r="F13" s="25"/>
      <c r="G13" s="25"/>
      <c r="H13" s="25"/>
      <c r="I13" s="63"/>
      <c r="J13" s="63"/>
      <c r="K13" s="63"/>
      <c r="L13" s="47"/>
    </row>
    <row r="14" spans="1:12" ht="69.75" customHeight="1">
      <c r="A14" s="231" t="s">
        <v>3</v>
      </c>
      <c r="B14" s="229" t="s">
        <v>72</v>
      </c>
      <c r="C14" s="90" t="s">
        <v>73</v>
      </c>
      <c r="D14" s="90" t="s">
        <v>195</v>
      </c>
      <c r="E14" s="90" t="s">
        <v>129</v>
      </c>
      <c r="F14" s="90" t="s">
        <v>119</v>
      </c>
      <c r="G14" s="90" t="s">
        <v>130</v>
      </c>
      <c r="H14" s="90" t="s">
        <v>161</v>
      </c>
      <c r="I14" s="90" t="s">
        <v>125</v>
      </c>
      <c r="J14" s="91" t="s">
        <v>120</v>
      </c>
      <c r="K14" s="70"/>
      <c r="L14" s="71"/>
    </row>
    <row r="15" spans="1:12" ht="12.75">
      <c r="A15" s="232" t="s">
        <v>6</v>
      </c>
      <c r="B15" s="230">
        <f>K57</f>
        <v>173312.8875</v>
      </c>
      <c r="C15" s="157">
        <f>'BRA Resource Clearing Results'!B5</f>
        <v>59.37</v>
      </c>
      <c r="D15" s="157">
        <f>'BRA Resource Clearing Results'!C5</f>
        <v>0</v>
      </c>
      <c r="E15" s="152">
        <f>('BRA Resource Clearing Results'!C19+'BRA Resource Clearing Results'!D19)*'BRA Resource Clearing Results'!E5</f>
        <v>0</v>
      </c>
      <c r="F15" s="157">
        <f>E15/B15</f>
        <v>0</v>
      </c>
      <c r="G15" s="152">
        <f>'BRA Resource Clearing Results'!D19*'BRA Resource Clearing Results'!G5</f>
        <v>0</v>
      </c>
      <c r="H15" s="157">
        <f>G15/B15</f>
        <v>0</v>
      </c>
      <c r="I15" s="204">
        <f>'BRA Resource Clearing Results'!J46/'BRA Load Pricing Results'!B15</f>
        <v>0</v>
      </c>
      <c r="J15" s="207">
        <f>C15+D15+F15+H15+I15</f>
        <v>59.37</v>
      </c>
      <c r="K15" s="34"/>
      <c r="L15" s="18"/>
    </row>
    <row r="16" spans="1:12" ht="12.75">
      <c r="A16" s="232" t="s">
        <v>30</v>
      </c>
      <c r="B16" s="230">
        <f>K37+K41+K47+(SUM(K49:K56))</f>
        <v>69469.54555413498</v>
      </c>
      <c r="C16" s="157">
        <f>'BRA Resource Clearing Results'!B6</f>
        <v>59.37</v>
      </c>
      <c r="D16" s="157">
        <f>'BRA Resource Clearing Results'!C6</f>
        <v>59.76</v>
      </c>
      <c r="E16" s="152">
        <f>('BRA Resource Clearing Results'!C20+'BRA Resource Clearing Results'!D20)*('BRA Resource Clearing Results'!E6-'BRA Resource Clearing Results'!E5)</f>
        <v>0</v>
      </c>
      <c r="F16" s="157">
        <f>F15+(E16/B16)</f>
        <v>0</v>
      </c>
      <c r="G16" s="152">
        <f>'BRA Resource Clearing Results'!D20*('BRA Resource Clearing Results'!G6-'BRA Resource Clearing Results'!G5)</f>
        <v>0</v>
      </c>
      <c r="H16" s="157">
        <f>H15+(G16/B16)</f>
        <v>0</v>
      </c>
      <c r="I16" s="204">
        <f>I15+'BRA Resource Clearing Results'!J47/'BRA Load Pricing Results'!B16</f>
        <v>0</v>
      </c>
      <c r="J16" s="207">
        <f>C16+D16+F16+H16+I16</f>
        <v>119.13</v>
      </c>
      <c r="K16" s="34"/>
      <c r="L16" s="18"/>
    </row>
    <row r="17" spans="1:12" ht="12.75">
      <c r="A17" s="232" t="s">
        <v>41</v>
      </c>
      <c r="B17" s="230">
        <f>K37+K47+K49+K51+K55+K56</f>
        <v>37872.730802343496</v>
      </c>
      <c r="C17" s="157">
        <f>'BRA Resource Clearing Results'!B7</f>
        <v>59.37</v>
      </c>
      <c r="D17" s="157">
        <f>'BRA Resource Clearing Results'!C6+'BRA Resource Clearing Results'!C7</f>
        <v>59.76</v>
      </c>
      <c r="E17" s="152">
        <f>('BRA Resource Clearing Results'!C21+'BRA Resource Clearing Results'!D21)*('BRA Resource Clearing Results'!E7-'BRA Resource Clearing Results'!E6)</f>
        <v>0</v>
      </c>
      <c r="F17" s="157">
        <f>F16+(E17/B17)</f>
        <v>0</v>
      </c>
      <c r="G17" s="152">
        <f>'BRA Resource Clearing Results'!D21*('BRA Resource Clearing Results'!G7-'BRA Resource Clearing Results'!G6)</f>
        <v>0</v>
      </c>
      <c r="H17" s="157">
        <f>H16+(G17/B17)</f>
        <v>0</v>
      </c>
      <c r="I17" s="204">
        <f>I16+('BRA Resource Clearing Results'!J48/'BRA Load Pricing Results'!B17)</f>
        <v>0</v>
      </c>
      <c r="J17" s="207">
        <f>C17+D17+F17+H17+I17</f>
        <v>119.13</v>
      </c>
      <c r="K17" s="34"/>
      <c r="L17" s="18"/>
    </row>
    <row r="18" spans="1:12" ht="12.75">
      <c r="A18" s="232" t="s">
        <v>5</v>
      </c>
      <c r="B18" s="230">
        <f>K41+K53</f>
        <v>16023.03467201463</v>
      </c>
      <c r="C18" s="157">
        <f>'BRA Resource Clearing Results'!B8</f>
        <v>59.37</v>
      </c>
      <c r="D18" s="157">
        <f>'BRA Resource Clearing Results'!C6+'BRA Resource Clearing Results'!C8</f>
        <v>59.76</v>
      </c>
      <c r="E18" s="152">
        <f>('BRA Resource Clearing Results'!C22+'BRA Resource Clearing Results'!D22)*('BRA Resource Clearing Results'!E8-'BRA Resource Clearing Results'!E6)</f>
        <v>0</v>
      </c>
      <c r="F18" s="157">
        <f>F16+(E18/B18)</f>
        <v>0</v>
      </c>
      <c r="G18" s="152">
        <f>'BRA Resource Clearing Results'!D22*('BRA Resource Clearing Results'!G8-'BRA Resource Clearing Results'!G6)</f>
        <v>0</v>
      </c>
      <c r="H18" s="157">
        <f>H16+(G18/B18)</f>
        <v>0</v>
      </c>
      <c r="I18" s="204">
        <f>I16+('BRA Resource Clearing Results'!J49/'BRA Load Pricing Results'!B18)</f>
        <v>0</v>
      </c>
      <c r="J18" s="207">
        <f>C18+D18+F18+H18+I18</f>
        <v>119.13</v>
      </c>
      <c r="K18" s="34"/>
      <c r="L18" s="18"/>
    </row>
    <row r="19" spans="1:12" ht="12.75">
      <c r="A19" s="232" t="s">
        <v>15</v>
      </c>
      <c r="B19" s="230">
        <f>K53</f>
        <v>7734.003106878157</v>
      </c>
      <c r="C19" s="157">
        <f>'BRA Resource Clearing Results'!B12</f>
        <v>59.37</v>
      </c>
      <c r="D19" s="157">
        <f>'BRA Resource Clearing Results'!C6+'BRA Resource Clearing Results'!C8+'BRA Resource Clearing Results'!C12</f>
        <v>59.76</v>
      </c>
      <c r="E19" s="152">
        <f>('BRA Resource Clearing Results'!C26+'BRA Resource Clearing Results'!D26)*('BRA Resource Clearing Results'!E12-'BRA Resource Clearing Results'!E8)</f>
        <v>0</v>
      </c>
      <c r="F19" s="157">
        <f>F18+(E19/B19)</f>
        <v>0</v>
      </c>
      <c r="G19" s="152">
        <f>'BRA Resource Clearing Results'!D26*('BRA Resource Clearing Results'!G12-'BRA Resource Clearing Results'!G8)</f>
        <v>0</v>
      </c>
      <c r="H19" s="157">
        <f>H18+(G19/B19)</f>
        <v>0</v>
      </c>
      <c r="I19" s="204">
        <f>I18+('BRA Resource Clearing Results'!J53/'BRA Load Pricing Results'!B19)</f>
        <v>0</v>
      </c>
      <c r="J19" s="207">
        <f>C19+D19+F19+H19+I19</f>
        <v>119.13</v>
      </c>
      <c r="K19" s="34"/>
      <c r="L19" s="18"/>
    </row>
    <row r="20" spans="1:12" s="10" customFormat="1" ht="12.75">
      <c r="A20" s="12" t="s">
        <v>121</v>
      </c>
      <c r="B20" s="34"/>
      <c r="C20" s="18"/>
      <c r="D20" s="18"/>
      <c r="E20" s="18"/>
      <c r="F20" s="69"/>
      <c r="H20" s="34"/>
      <c r="I20" s="34"/>
      <c r="J20" s="18"/>
      <c r="K20" s="34"/>
      <c r="L20" s="15"/>
    </row>
    <row r="21" spans="1:12" s="10" customFormat="1" ht="13.5" thickBot="1">
      <c r="A21" s="12"/>
      <c r="B21" s="34"/>
      <c r="C21" s="18"/>
      <c r="D21" s="182" t="s">
        <v>24</v>
      </c>
      <c r="E21" s="182" t="s">
        <v>24</v>
      </c>
      <c r="F21" s="69"/>
      <c r="H21" s="34"/>
      <c r="I21" s="34"/>
      <c r="J21" s="18"/>
      <c r="K21" s="34"/>
      <c r="L21" s="15"/>
    </row>
    <row r="22" spans="1:11" ht="31.5" thickBot="1">
      <c r="A22" s="208" t="s">
        <v>194</v>
      </c>
      <c r="C22" s="66" t="s">
        <v>24</v>
      </c>
      <c r="E22" s="4" t="s">
        <v>24</v>
      </c>
      <c r="J22" s="38" t="s">
        <v>24</v>
      </c>
      <c r="K22" s="53" t="s">
        <v>24</v>
      </c>
    </row>
    <row r="23" spans="1:11" ht="79.5" customHeight="1" thickBot="1">
      <c r="A23" s="293" t="s">
        <v>71</v>
      </c>
      <c r="B23" s="294" t="s">
        <v>202</v>
      </c>
      <c r="C23" s="139" t="s">
        <v>102</v>
      </c>
      <c r="D23" s="139" t="s">
        <v>196</v>
      </c>
      <c r="E23" s="295" t="s">
        <v>197</v>
      </c>
      <c r="F23" s="295" t="s">
        <v>198</v>
      </c>
      <c r="G23" s="295" t="s">
        <v>199</v>
      </c>
      <c r="H23" s="295" t="s">
        <v>182</v>
      </c>
      <c r="I23" s="139" t="s">
        <v>200</v>
      </c>
      <c r="J23" s="139" t="s">
        <v>201</v>
      </c>
      <c r="K23" s="140" t="s">
        <v>34</v>
      </c>
    </row>
    <row r="24" spans="1:11" ht="12.75">
      <c r="A24" s="296" t="s">
        <v>45</v>
      </c>
      <c r="B24" s="297"/>
      <c r="C24" s="168">
        <f>'BRA Resource Clearing Results'!E36</f>
        <v>2596.4999999999995</v>
      </c>
      <c r="D24" s="298">
        <f>'BRA Resource Clearing Results'!C9</f>
        <v>99.87</v>
      </c>
      <c r="E24" s="298">
        <f>('BRA Resource Clearing Results'!C36+'BRA Resource Clearing Results'!D36)*('BRA Resource Clearing Results'!E9-'BRA Resource Clearing Results'!E7)</f>
        <v>0</v>
      </c>
      <c r="F24" s="132"/>
      <c r="G24" s="298">
        <f>'BRA Resource Clearing Results'!D36*('BRA Resource Clearing Results'!G9-'BRA Resource Clearing Results'!G7)</f>
        <v>0</v>
      </c>
      <c r="H24" s="132"/>
      <c r="I24" s="299">
        <f>'BRA Resource Clearing Results'!J50</f>
        <v>0</v>
      </c>
      <c r="J24" s="132"/>
      <c r="K24" s="133"/>
    </row>
    <row r="25" spans="1:11" ht="12.75">
      <c r="A25" s="232" t="s">
        <v>42</v>
      </c>
      <c r="B25" s="234"/>
      <c r="C25" s="56">
        <f>'BRA Resource Clearing Results'!E37</f>
        <v>3702.1</v>
      </c>
      <c r="D25" s="59">
        <f>'BRA Resource Clearing Results'!C9+'BRA Resource Clearing Results'!C10</f>
        <v>99.87</v>
      </c>
      <c r="E25" s="59">
        <f>('BRA Resource Clearing Results'!C37+'BRA Resource Clearing Results'!D37)*('BRA Resource Clearing Results'!E10-'BRA Resource Clearing Results'!E7)</f>
        <v>0</v>
      </c>
      <c r="F25" s="43"/>
      <c r="G25" s="59">
        <f>'BRA Resource Clearing Results'!D37*('BRA Resource Clearing Results'!G10-'BRA Resource Clearing Results'!G7)</f>
        <v>0</v>
      </c>
      <c r="H25" s="43"/>
      <c r="I25" s="79">
        <f>'BRA Resource Clearing Results'!J51</f>
        <v>0</v>
      </c>
      <c r="J25" s="43"/>
      <c r="K25" s="105"/>
    </row>
    <row r="26" spans="1:11" ht="12.75">
      <c r="A26" s="237" t="s">
        <v>8</v>
      </c>
      <c r="B26" s="235">
        <f>J17</f>
        <v>119.13</v>
      </c>
      <c r="C26" s="56">
        <f>C25+C24</f>
        <v>6298.599999999999</v>
      </c>
      <c r="D26" s="160">
        <f>(C25*D25+C24*D24)/C26</f>
        <v>99.87000000000002</v>
      </c>
      <c r="E26" s="124">
        <f>SUM(E24:E25)</f>
        <v>0</v>
      </c>
      <c r="F26" s="159">
        <f>E26/K55</f>
        <v>0</v>
      </c>
      <c r="G26" s="124">
        <f>SUM(G24:G25)</f>
        <v>0</v>
      </c>
      <c r="H26" s="159">
        <f>G26/K55</f>
        <v>0</v>
      </c>
      <c r="I26" s="79">
        <f>I24+I25</f>
        <v>0</v>
      </c>
      <c r="J26" s="161">
        <f>I26/K55</f>
        <v>0</v>
      </c>
      <c r="K26" s="155">
        <f>B26+D26+F26+H26+J26</f>
        <v>219</v>
      </c>
    </row>
    <row r="27" spans="1:11" ht="12.75">
      <c r="A27" s="232" t="s">
        <v>44</v>
      </c>
      <c r="B27" s="234"/>
      <c r="C27" s="62">
        <v>3105.9</v>
      </c>
      <c r="D27" s="59">
        <v>0</v>
      </c>
      <c r="E27" s="124">
        <v>0</v>
      </c>
      <c r="F27" s="124"/>
      <c r="G27" s="59">
        <v>0</v>
      </c>
      <c r="H27" s="278"/>
      <c r="I27" s="79">
        <v>0</v>
      </c>
      <c r="J27" s="43"/>
      <c r="K27" s="105"/>
    </row>
    <row r="28" spans="1:11" ht="12.75">
      <c r="A28" s="232" t="s">
        <v>43</v>
      </c>
      <c r="B28" s="234"/>
      <c r="C28" s="56">
        <f>'BRA Resource Clearing Results'!E25</f>
        <v>1746</v>
      </c>
      <c r="D28" s="78">
        <f>'BRA Resource Clearing Results'!C11</f>
        <v>0</v>
      </c>
      <c r="E28" s="124">
        <f>('BRA Resource Clearing Results'!C38+'BRA Resource Clearing Results'!D38)*('BRA Resource Clearing Results'!E11-'BRA Resource Clearing Results'!E7)</f>
        <v>0</v>
      </c>
      <c r="F28" s="43"/>
      <c r="G28" s="59">
        <f>'BRA Resource Clearing Results'!D38*('BRA Resource Clearing Results'!G11-'BRA Resource Clearing Results'!G7)</f>
        <v>0</v>
      </c>
      <c r="H28" s="43"/>
      <c r="I28" s="79">
        <f>'BRA Resource Clearing Results'!J52</f>
        <v>0</v>
      </c>
      <c r="J28" s="43"/>
      <c r="K28" s="105"/>
    </row>
    <row r="29" spans="1:11" ht="12.75">
      <c r="A29" s="300" t="s">
        <v>17</v>
      </c>
      <c r="B29" s="159">
        <f>J17</f>
        <v>119.13</v>
      </c>
      <c r="C29" s="62">
        <f>C27+C28</f>
        <v>4851.9</v>
      </c>
      <c r="D29" s="160">
        <f>(C28*D28+C27*D27)/C29</f>
        <v>0</v>
      </c>
      <c r="E29" s="124">
        <f>SUM(E27:E28)</f>
        <v>0</v>
      </c>
      <c r="F29" s="159">
        <f>E29/K47</f>
        <v>0</v>
      </c>
      <c r="G29" s="124">
        <f>SUM(G27:G28)</f>
        <v>0</v>
      </c>
      <c r="H29" s="159">
        <f>G29/K47</f>
        <v>0</v>
      </c>
      <c r="I29" s="79">
        <f>I27+I28</f>
        <v>0</v>
      </c>
      <c r="J29" s="161">
        <f>I29/K47</f>
        <v>0</v>
      </c>
      <c r="K29" s="155">
        <f>B29+D29+F29+H29+J29</f>
        <v>119.13</v>
      </c>
    </row>
    <row r="30" spans="1:11" ht="12.75">
      <c r="A30" s="287" t="s">
        <v>177</v>
      </c>
      <c r="B30" s="288"/>
      <c r="C30" s="289">
        <f>'BRA Resource Clearing Results'!E40</f>
        <v>5822.2</v>
      </c>
      <c r="D30" s="290">
        <f>'BRA Resource Clearing Results'!C13</f>
        <v>35.08</v>
      </c>
      <c r="E30" s="290">
        <f>('BRA Resource Clearing Results'!C40+'BRA Resource Clearing Results'!D40)*('BRA Resource Clearing Results'!E13-'BRA Resource Clearing Results'!E5)</f>
        <v>102529.63</v>
      </c>
      <c r="F30" s="285"/>
      <c r="G30" s="290">
        <f>'BRA Resource Clearing Results'!D40*('BRA Resource Clearing Results'!G13-'BRA Resource Clearing Results'!G5)</f>
        <v>0</v>
      </c>
      <c r="H30" s="285"/>
      <c r="I30" s="291">
        <f>'BRA Resource Clearing Results'!J54</f>
        <v>0</v>
      </c>
      <c r="J30" s="285"/>
      <c r="K30" s="292"/>
    </row>
    <row r="31" spans="1:11" ht="12.75">
      <c r="A31" s="232" t="s">
        <v>176</v>
      </c>
      <c r="B31" s="234"/>
      <c r="C31" s="56">
        <f>'BRA Resource Clearing Results'!E41</f>
        <v>2850</v>
      </c>
      <c r="D31" s="59">
        <f>'BRA Resource Clearing Results'!C13+'BRA Resource Clearing Results'!C14</f>
        <v>35.08</v>
      </c>
      <c r="E31" s="59">
        <f>('BRA Resource Clearing Results'!C41+'BRA Resource Clearing Results'!D41)*('BRA Resource Clearing Results'!E14-'BRA Resource Clearing Results'!E5)</f>
        <v>49145.38800000001</v>
      </c>
      <c r="F31" s="43"/>
      <c r="G31" s="59">
        <f>'BRA Resource Clearing Results'!D41*('BRA Resource Clearing Results'!G14-'BRA Resource Clearing Results'!G5)</f>
        <v>0</v>
      </c>
      <c r="H31" s="43"/>
      <c r="I31" s="79">
        <f>'BRA Resource Clearing Results'!J55</f>
        <v>0</v>
      </c>
      <c r="J31" s="43"/>
      <c r="K31" s="105"/>
    </row>
    <row r="32" spans="1:11" ht="13.5" thickBot="1">
      <c r="A32" s="238" t="s">
        <v>51</v>
      </c>
      <c r="B32" s="236">
        <f>J15</f>
        <v>59.37</v>
      </c>
      <c r="C32" s="108">
        <f>C31+C30</f>
        <v>8672.2</v>
      </c>
      <c r="D32" s="163">
        <f>(C31*D31+C30*D30)/C32</f>
        <v>35.07999999999999</v>
      </c>
      <c r="E32" s="125">
        <f>SUM(E30:E31)</f>
        <v>151675.018</v>
      </c>
      <c r="F32" s="162">
        <f>E32/K40</f>
        <v>10.030677881544916</v>
      </c>
      <c r="G32" s="125">
        <f>SUM(G30:G31)</f>
        <v>0</v>
      </c>
      <c r="H32" s="162">
        <f>G32/K40</f>
        <v>0</v>
      </c>
      <c r="I32" s="164">
        <f>I30+I31</f>
        <v>0</v>
      </c>
      <c r="J32" s="165">
        <f>I32/K40</f>
        <v>0</v>
      </c>
      <c r="K32" s="156">
        <f>B32+D32+F32+H32+J32</f>
        <v>104.4806778815449</v>
      </c>
    </row>
    <row r="33" spans="1:7" ht="12.75" customHeight="1">
      <c r="A33" s="638" t="s">
        <v>203</v>
      </c>
      <c r="B33" s="638"/>
      <c r="C33" s="334"/>
      <c r="D33" s="334"/>
      <c r="E33" s="334"/>
      <c r="F33" s="334"/>
      <c r="G33" s="334"/>
    </row>
    <row r="34" spans="1:12" ht="13.5" thickBot="1">
      <c r="A34" s="10"/>
      <c r="B34" s="9"/>
      <c r="C34" s="9"/>
      <c r="D34" s="9"/>
      <c r="E34" s="61"/>
      <c r="F34" s="42" t="s">
        <v>24</v>
      </c>
      <c r="G34" s="5"/>
      <c r="H34" s="5"/>
      <c r="I34" s="5"/>
      <c r="J34" s="5"/>
      <c r="K34" s="5"/>
      <c r="L34" s="13"/>
    </row>
    <row r="35" spans="1:12" s="2" customFormat="1" ht="18" thickBot="1">
      <c r="A35" s="87" t="s">
        <v>47</v>
      </c>
      <c r="B35" s="3"/>
      <c r="E35" s="72"/>
      <c r="F35" s="72"/>
      <c r="G35" s="72"/>
      <c r="H35" s="72"/>
      <c r="I35" s="72"/>
      <c r="J35" s="72"/>
      <c r="K35" s="72"/>
      <c r="L35" s="41"/>
    </row>
    <row r="36" spans="1:12" ht="54.75" customHeight="1">
      <c r="A36" s="240" t="s">
        <v>7</v>
      </c>
      <c r="B36" s="81" t="s">
        <v>28</v>
      </c>
      <c r="C36" s="82" t="s">
        <v>27</v>
      </c>
      <c r="D36" s="221" t="s">
        <v>36</v>
      </c>
      <c r="E36" s="81" t="s">
        <v>184</v>
      </c>
      <c r="F36" s="82" t="s">
        <v>22</v>
      </c>
      <c r="G36" s="82" t="s">
        <v>186</v>
      </c>
      <c r="H36" s="82" t="s">
        <v>31</v>
      </c>
      <c r="I36" s="83" t="s">
        <v>23</v>
      </c>
      <c r="J36" s="83" t="s">
        <v>25</v>
      </c>
      <c r="K36" s="83" t="s">
        <v>26</v>
      </c>
      <c r="L36" s="148" t="s">
        <v>37</v>
      </c>
    </row>
    <row r="37" spans="1:12" ht="12.75">
      <c r="A37" s="232" t="s">
        <v>16</v>
      </c>
      <c r="B37" s="241" t="s">
        <v>30</v>
      </c>
      <c r="C37" s="80" t="s">
        <v>41</v>
      </c>
      <c r="D37" s="222"/>
      <c r="E37" s="243">
        <v>2600</v>
      </c>
      <c r="F37" s="77">
        <f>G37/E37</f>
        <v>1.07</v>
      </c>
      <c r="G37" s="170">
        <v>2782</v>
      </c>
      <c r="H37" s="76">
        <f>$B$9*G37/$G$57</f>
        <v>75.82339663095047</v>
      </c>
      <c r="I37" s="77">
        <f>$B$10</f>
        <v>1.0182520664794263</v>
      </c>
      <c r="J37" s="77">
        <f>I37*F37</f>
        <v>1.0895297111329862</v>
      </c>
      <c r="K37" s="75">
        <f>E37*J37*$B$6+H37</f>
        <v>3164.1171534316227</v>
      </c>
      <c r="L37" s="153">
        <f>J17</f>
        <v>119.13</v>
      </c>
    </row>
    <row r="38" spans="1:12" ht="12.75">
      <c r="A38" s="232" t="s">
        <v>204</v>
      </c>
      <c r="B38" s="241"/>
      <c r="C38" s="80"/>
      <c r="D38" s="222"/>
      <c r="E38" s="243">
        <f>22663.9-11424.9</f>
        <v>11239.000000000002</v>
      </c>
      <c r="F38" s="77">
        <v>1.0592881189909944</v>
      </c>
      <c r="G38" s="170">
        <f>E38*F38</f>
        <v>11905.339169339788</v>
      </c>
      <c r="H38" s="76">
        <f aca="true" t="shared" si="0" ref="H38:H56">$B$9*G38/$G$57</f>
        <v>324.47996184861296</v>
      </c>
      <c r="I38" s="77">
        <f aca="true" t="shared" si="1" ref="I38:I44">$B$10</f>
        <v>1.0182520664794263</v>
      </c>
      <c r="J38" s="77">
        <f aca="true" t="shared" si="2" ref="J38:J56">I38*F38</f>
        <v>1.0786223161596844</v>
      </c>
      <c r="K38" s="75">
        <f aca="true" t="shared" si="3" ref="K38:K56">E38*J38*$B$6+H38</f>
        <v>13540.577959428254</v>
      </c>
      <c r="L38" s="153">
        <f>J15</f>
        <v>59.37</v>
      </c>
    </row>
    <row r="39" spans="1:12" ht="12.75">
      <c r="A39" s="232" t="s">
        <v>19</v>
      </c>
      <c r="B39" s="241" t="s">
        <v>24</v>
      </c>
      <c r="C39" s="80"/>
      <c r="D39" s="222"/>
      <c r="E39" s="243">
        <v>8210</v>
      </c>
      <c r="F39" s="77">
        <f aca="true" t="shared" si="4" ref="F39:F56">G39/E39</f>
        <v>1.0701583434835567</v>
      </c>
      <c r="G39" s="170">
        <v>8786</v>
      </c>
      <c r="H39" s="76">
        <f t="shared" si="0"/>
        <v>239.46238777840793</v>
      </c>
      <c r="I39" s="77">
        <f t="shared" si="1"/>
        <v>1.0182520664794263</v>
      </c>
      <c r="J39" s="77">
        <f t="shared" si="2"/>
        <v>1.0896909447123313</v>
      </c>
      <c r="K39" s="75">
        <f t="shared" si="3"/>
        <v>9992.786955445808</v>
      </c>
      <c r="L39" s="153">
        <f>J15</f>
        <v>59.37</v>
      </c>
    </row>
    <row r="40" spans="1:12" ht="12.75">
      <c r="A40" s="232" t="s">
        <v>51</v>
      </c>
      <c r="B40" s="241"/>
      <c r="C40" s="80"/>
      <c r="D40" s="222" t="s">
        <v>51</v>
      </c>
      <c r="E40" s="243">
        <v>12660</v>
      </c>
      <c r="F40" s="77">
        <f t="shared" si="4"/>
        <v>1.0501579778830963</v>
      </c>
      <c r="G40" s="170">
        <v>13295</v>
      </c>
      <c r="H40" s="76">
        <f t="shared" si="0"/>
        <v>362.3551611101677</v>
      </c>
      <c r="I40" s="77">
        <f t="shared" si="1"/>
        <v>1.0182520664794263</v>
      </c>
      <c r="J40" s="77">
        <f t="shared" si="2"/>
        <v>1.0693255311093186</v>
      </c>
      <c r="K40" s="75">
        <f t="shared" si="3"/>
        <v>15121.11342734487</v>
      </c>
      <c r="L40" s="153">
        <f>K32</f>
        <v>104.4806778815449</v>
      </c>
    </row>
    <row r="41" spans="1:12" ht="12.75">
      <c r="A41" s="232" t="s">
        <v>11</v>
      </c>
      <c r="B41" s="241" t="s">
        <v>30</v>
      </c>
      <c r="C41" s="80" t="s">
        <v>5</v>
      </c>
      <c r="D41" s="222"/>
      <c r="E41" s="243">
        <v>6870</v>
      </c>
      <c r="F41" s="77">
        <f t="shared" si="4"/>
        <v>1.060844250363901</v>
      </c>
      <c r="G41" s="170">
        <v>7288</v>
      </c>
      <c r="H41" s="76">
        <f t="shared" si="0"/>
        <v>198.6344049771269</v>
      </c>
      <c r="I41" s="77">
        <f t="shared" si="1"/>
        <v>1.0182520664794263</v>
      </c>
      <c r="J41" s="77">
        <f t="shared" si="2"/>
        <v>1.0802068501458602</v>
      </c>
      <c r="K41" s="75">
        <f t="shared" si="3"/>
        <v>8289.031565136473</v>
      </c>
      <c r="L41" s="153">
        <f>J18</f>
        <v>119.13</v>
      </c>
    </row>
    <row r="42" spans="1:12" ht="12.75">
      <c r="A42" s="232" t="s">
        <v>20</v>
      </c>
      <c r="B42" s="241"/>
      <c r="C42" s="80"/>
      <c r="D42" s="222"/>
      <c r="E42" s="243">
        <v>21650</v>
      </c>
      <c r="F42" s="77">
        <f t="shared" si="4"/>
        <v>1.085635103926097</v>
      </c>
      <c r="G42" s="170">
        <v>23504</v>
      </c>
      <c r="H42" s="76">
        <f t="shared" si="0"/>
        <v>640.6014070502731</v>
      </c>
      <c r="I42" s="77">
        <f t="shared" si="1"/>
        <v>1.0182520664794263</v>
      </c>
      <c r="J42" s="77">
        <f t="shared" si="2"/>
        <v>1.105450188015355</v>
      </c>
      <c r="K42" s="75">
        <f t="shared" si="3"/>
        <v>26732.354268244737</v>
      </c>
      <c r="L42" s="153">
        <f>J15</f>
        <v>59.37</v>
      </c>
    </row>
    <row r="43" spans="1:12" ht="12.75">
      <c r="A43" s="232" t="s">
        <v>21</v>
      </c>
      <c r="B43" s="241"/>
      <c r="C43" s="80"/>
      <c r="D43" s="222"/>
      <c r="E43" s="243">
        <v>3230</v>
      </c>
      <c r="F43" s="77">
        <f t="shared" si="4"/>
        <v>1.1009287925696594</v>
      </c>
      <c r="G43" s="170">
        <v>3556</v>
      </c>
      <c r="H43" s="76">
        <f t="shared" si="0"/>
        <v>96.91876291145215</v>
      </c>
      <c r="I43" s="77">
        <f t="shared" si="1"/>
        <v>1.0182520664794263</v>
      </c>
      <c r="J43" s="77">
        <f>I43*F43</f>
        <v>1.1210230180807554</v>
      </c>
      <c r="K43" s="75">
        <f t="shared" si="3"/>
        <v>4044.4286835380485</v>
      </c>
      <c r="L43" s="153">
        <f>J15</f>
        <v>59.37</v>
      </c>
    </row>
    <row r="44" spans="1:12" ht="12.75">
      <c r="A44" s="232" t="s">
        <v>205</v>
      </c>
      <c r="B44" s="241"/>
      <c r="C44" s="80"/>
      <c r="D44" s="222"/>
      <c r="E44" s="243">
        <f>5246.5-842.1</f>
        <v>4404.4</v>
      </c>
      <c r="F44" s="77">
        <v>1.0620794815591346</v>
      </c>
      <c r="G44" s="170">
        <f>E44*F44</f>
        <v>4677.822868579052</v>
      </c>
      <c r="H44" s="76">
        <f t="shared" si="0"/>
        <v>127.49403980359453</v>
      </c>
      <c r="I44" s="77">
        <f t="shared" si="1"/>
        <v>1.0182520664794263</v>
      </c>
      <c r="J44" s="77">
        <f>I44*F44</f>
        <v>1.0814646268629866</v>
      </c>
      <c r="K44" s="75">
        <f t="shared" si="3"/>
        <v>5320.337735149425</v>
      </c>
      <c r="L44" s="153">
        <f>J15</f>
        <v>59.37</v>
      </c>
    </row>
    <row r="45" spans="1:12" ht="12.75">
      <c r="A45" s="232" t="s">
        <v>50</v>
      </c>
      <c r="B45" s="241"/>
      <c r="C45" s="80"/>
      <c r="D45" s="222"/>
      <c r="E45" s="243">
        <v>2800</v>
      </c>
      <c r="F45" s="77">
        <f t="shared" si="4"/>
        <v>1.07</v>
      </c>
      <c r="G45" s="170">
        <v>2996</v>
      </c>
      <c r="H45" s="76">
        <f t="shared" si="0"/>
        <v>81.65596560256205</v>
      </c>
      <c r="I45" s="77">
        <f aca="true" t="shared" si="5" ref="I45:I56">$B$10</f>
        <v>1.0182520664794263</v>
      </c>
      <c r="J45" s="77">
        <f>I45*F45</f>
        <v>1.0895297111329862</v>
      </c>
      <c r="K45" s="75">
        <f t="shared" si="3"/>
        <v>3407.5107806186707</v>
      </c>
      <c r="L45" s="153">
        <f>J15</f>
        <v>59.37</v>
      </c>
    </row>
    <row r="46" spans="1:12" ht="12.75">
      <c r="A46" s="232" t="s">
        <v>33</v>
      </c>
      <c r="B46" s="241"/>
      <c r="C46" s="80"/>
      <c r="D46" s="222"/>
      <c r="E46" s="243">
        <v>18570</v>
      </c>
      <c r="F46" s="77">
        <f t="shared" si="4"/>
        <v>1.0993537964458804</v>
      </c>
      <c r="G46" s="170">
        <v>20415</v>
      </c>
      <c r="H46" s="76">
        <f t="shared" si="0"/>
        <v>556.4107268946276</v>
      </c>
      <c r="I46" s="77">
        <f t="shared" si="5"/>
        <v>1.0182520664794263</v>
      </c>
      <c r="J46" s="77">
        <f t="shared" si="2"/>
        <v>1.1194192750230203</v>
      </c>
      <c r="K46" s="75">
        <f t="shared" si="3"/>
        <v>23219.069621605526</v>
      </c>
      <c r="L46" s="153">
        <f>J15</f>
        <v>59.37</v>
      </c>
    </row>
    <row r="47" spans="1:12" ht="12.75">
      <c r="A47" s="232" t="s">
        <v>17</v>
      </c>
      <c r="B47" s="241" t="s">
        <v>30</v>
      </c>
      <c r="C47" s="80" t="s">
        <v>41</v>
      </c>
      <c r="D47" s="222" t="s">
        <v>17</v>
      </c>
      <c r="E47" s="243">
        <v>3950</v>
      </c>
      <c r="F47" s="77">
        <f t="shared" si="4"/>
        <v>1.0663291139240507</v>
      </c>
      <c r="G47" s="170">
        <v>4212</v>
      </c>
      <c r="H47" s="76">
        <f t="shared" si="0"/>
        <v>114.79803975900913</v>
      </c>
      <c r="I47" s="77">
        <f t="shared" si="5"/>
        <v>1.0182520664794263</v>
      </c>
      <c r="J47" s="77">
        <f t="shared" si="2"/>
        <v>1.0857918238003403</v>
      </c>
      <c r="K47" s="75">
        <f t="shared" si="3"/>
        <v>4790.532512672177</v>
      </c>
      <c r="L47" s="153">
        <f>K29</f>
        <v>119.13</v>
      </c>
    </row>
    <row r="48" spans="1:12" ht="12.75">
      <c r="A48" s="232" t="s">
        <v>206</v>
      </c>
      <c r="B48" s="241"/>
      <c r="C48" s="80"/>
      <c r="D48" s="222"/>
      <c r="E48" s="243">
        <f>2096.4-31.2</f>
        <v>2065.2000000000003</v>
      </c>
      <c r="F48" s="77">
        <v>1.049513451631368</v>
      </c>
      <c r="G48" s="170">
        <f>E48*F48</f>
        <v>2167.4551803091017</v>
      </c>
      <c r="H48" s="76">
        <f t="shared" si="0"/>
        <v>59.073980523502975</v>
      </c>
      <c r="I48" s="77">
        <f t="shared" si="5"/>
        <v>1.0182520664794263</v>
      </c>
      <c r="J48" s="77">
        <f t="shared" si="2"/>
        <v>1.0686692409215959</v>
      </c>
      <c r="K48" s="75">
        <f t="shared" si="3"/>
        <v>2465.1625144896684</v>
      </c>
      <c r="L48" s="153">
        <f>J15</f>
        <v>59.37</v>
      </c>
    </row>
    <row r="49" spans="1:12" ht="12.75">
      <c r="A49" s="232" t="s">
        <v>12</v>
      </c>
      <c r="B49" s="241" t="s">
        <v>30</v>
      </c>
      <c r="C49" s="80" t="s">
        <v>41</v>
      </c>
      <c r="D49" s="222"/>
      <c r="E49" s="243">
        <v>5960</v>
      </c>
      <c r="F49" s="77">
        <f t="shared" si="4"/>
        <v>1.0706375838926174</v>
      </c>
      <c r="G49" s="170">
        <v>6381</v>
      </c>
      <c r="H49" s="76">
        <f t="shared" si="0"/>
        <v>173.91412433576383</v>
      </c>
      <c r="I49" s="77">
        <f t="shared" si="5"/>
        <v>1.0182520664794263</v>
      </c>
      <c r="J49" s="77">
        <f t="shared" si="2"/>
        <v>1.090178932249198</v>
      </c>
      <c r="K49" s="75">
        <f t="shared" si="3"/>
        <v>7257.452033086694</v>
      </c>
      <c r="L49" s="153">
        <f>J17</f>
        <v>119.13</v>
      </c>
    </row>
    <row r="50" spans="1:12" ht="12.75">
      <c r="A50" s="232" t="s">
        <v>13</v>
      </c>
      <c r="B50" s="241" t="s">
        <v>30</v>
      </c>
      <c r="C50" s="80"/>
      <c r="D50" s="222"/>
      <c r="E50" s="243">
        <v>2820</v>
      </c>
      <c r="F50" s="77">
        <f t="shared" si="4"/>
        <v>1.0879432624113474</v>
      </c>
      <c r="G50" s="170">
        <v>3068</v>
      </c>
      <c r="H50" s="76">
        <f t="shared" si="0"/>
        <v>83.6183252565622</v>
      </c>
      <c r="I50" s="77">
        <f t="shared" si="5"/>
        <v>1.0182520664794263</v>
      </c>
      <c r="J50" s="77">
        <f t="shared" si="2"/>
        <v>1.1078004751627233</v>
      </c>
      <c r="K50" s="75">
        <f t="shared" si="3"/>
        <v>3489.400225279733</v>
      </c>
      <c r="L50" s="153">
        <f>J16</f>
        <v>119.13</v>
      </c>
    </row>
    <row r="51" spans="1:12" ht="12.75">
      <c r="A51" s="232" t="s">
        <v>9</v>
      </c>
      <c r="B51" s="241" t="s">
        <v>30</v>
      </c>
      <c r="C51" s="80" t="s">
        <v>41</v>
      </c>
      <c r="D51" s="222"/>
      <c r="E51" s="243">
        <v>8320</v>
      </c>
      <c r="F51" s="77">
        <f t="shared" si="4"/>
        <v>1.070673076923077</v>
      </c>
      <c r="G51" s="170">
        <v>8908</v>
      </c>
      <c r="H51" s="76">
        <f t="shared" si="0"/>
        <v>242.78749719213042</v>
      </c>
      <c r="I51" s="77">
        <f t="shared" si="5"/>
        <v>1.0182520664794263</v>
      </c>
      <c r="J51" s="77">
        <f t="shared" si="2"/>
        <v>1.090215073100809</v>
      </c>
      <c r="K51" s="75">
        <f t="shared" si="3"/>
        <v>10131.544070010386</v>
      </c>
      <c r="L51" s="153">
        <f>J17</f>
        <v>119.13</v>
      </c>
    </row>
    <row r="52" spans="1:12" ht="12.75">
      <c r="A52" s="232" t="s">
        <v>14</v>
      </c>
      <c r="B52" s="241" t="s">
        <v>30</v>
      </c>
      <c r="C52" s="80"/>
      <c r="D52" s="222"/>
      <c r="E52" s="243">
        <v>2740</v>
      </c>
      <c r="F52" s="77">
        <f t="shared" si="4"/>
        <v>1.110948905109489</v>
      </c>
      <c r="G52" s="170">
        <v>3044</v>
      </c>
      <c r="H52" s="76">
        <f t="shared" si="0"/>
        <v>82.96420537189549</v>
      </c>
      <c r="I52" s="77">
        <f t="shared" si="5"/>
        <v>1.0182520664794263</v>
      </c>
      <c r="J52" s="77">
        <f t="shared" si="2"/>
        <v>1.1312260183807932</v>
      </c>
      <c r="K52" s="75">
        <f t="shared" si="3"/>
        <v>3462.103743726045</v>
      </c>
      <c r="L52" s="153">
        <f>J16</f>
        <v>119.13</v>
      </c>
    </row>
    <row r="53" spans="1:12" ht="12.75">
      <c r="A53" s="232" t="s">
        <v>15</v>
      </c>
      <c r="B53" s="241" t="s">
        <v>30</v>
      </c>
      <c r="C53" s="80" t="s">
        <v>5</v>
      </c>
      <c r="D53" s="222" t="s">
        <v>15</v>
      </c>
      <c r="E53" s="243">
        <v>6540</v>
      </c>
      <c r="F53" s="77">
        <f t="shared" si="4"/>
        <v>1.039755351681957</v>
      </c>
      <c r="G53" s="170">
        <v>6800</v>
      </c>
      <c r="H53" s="76">
        <f t="shared" si="0"/>
        <v>185.33396732223696</v>
      </c>
      <c r="I53" s="77">
        <f t="shared" si="5"/>
        <v>1.0182520664794263</v>
      </c>
      <c r="J53" s="77">
        <f t="shared" si="2"/>
        <v>1.0587330354831954</v>
      </c>
      <c r="K53" s="75">
        <f t="shared" si="3"/>
        <v>7734.003106878157</v>
      </c>
      <c r="L53" s="153">
        <f>J19</f>
        <v>119.13</v>
      </c>
    </row>
    <row r="54" spans="1:12" ht="12.75">
      <c r="A54" s="232" t="s">
        <v>10</v>
      </c>
      <c r="B54" s="241" t="s">
        <v>30</v>
      </c>
      <c r="C54" s="80"/>
      <c r="D54" s="222"/>
      <c r="E54" s="243">
        <v>7075</v>
      </c>
      <c r="F54" s="77">
        <f t="shared" si="4"/>
        <v>1.0715194346289754</v>
      </c>
      <c r="G54" s="170">
        <v>7581</v>
      </c>
      <c r="H54" s="76">
        <f t="shared" si="0"/>
        <v>206.62011856909976</v>
      </c>
      <c r="I54" s="77">
        <f t="shared" si="5"/>
        <v>1.0182520664794263</v>
      </c>
      <c r="J54" s="77">
        <f t="shared" si="2"/>
        <v>1.0910768785838207</v>
      </c>
      <c r="K54" s="75">
        <f t="shared" si="3"/>
        <v>8622.276110771076</v>
      </c>
      <c r="L54" s="153">
        <f>J16</f>
        <v>119.13</v>
      </c>
    </row>
    <row r="55" spans="1:12" ht="12.75">
      <c r="A55" s="232" t="s">
        <v>8</v>
      </c>
      <c r="B55" s="241" t="s">
        <v>30</v>
      </c>
      <c r="C55" s="80" t="s">
        <v>41</v>
      </c>
      <c r="D55" s="222" t="s">
        <v>8</v>
      </c>
      <c r="E55" s="243">
        <v>10100</v>
      </c>
      <c r="F55" s="77">
        <f t="shared" si="4"/>
        <v>1.0495049504950495</v>
      </c>
      <c r="G55" s="170">
        <v>10600</v>
      </c>
      <c r="H55" s="76">
        <f t="shared" si="0"/>
        <v>288.9029490611341</v>
      </c>
      <c r="I55" s="77">
        <f t="shared" si="5"/>
        <v>1.0182520664794263</v>
      </c>
      <c r="J55" s="77">
        <f t="shared" si="2"/>
        <v>1.0686605846219723</v>
      </c>
      <c r="K55" s="75">
        <f t="shared" si="3"/>
        <v>12055.946019545365</v>
      </c>
      <c r="L55" s="153">
        <f>K26</f>
        <v>219</v>
      </c>
    </row>
    <row r="56" spans="1:12" ht="13.5" thickBot="1">
      <c r="A56" s="233" t="s">
        <v>18</v>
      </c>
      <c r="B56" s="242" t="s">
        <v>30</v>
      </c>
      <c r="C56" s="84" t="s">
        <v>41</v>
      </c>
      <c r="D56" s="223"/>
      <c r="E56" s="244">
        <v>400</v>
      </c>
      <c r="F56" s="86">
        <f t="shared" si="4"/>
        <v>1.04</v>
      </c>
      <c r="G56" s="306">
        <v>416</v>
      </c>
      <c r="H56" s="85">
        <f t="shared" si="0"/>
        <v>11.33807800088979</v>
      </c>
      <c r="I56" s="86">
        <f t="shared" si="5"/>
        <v>1.0182520664794263</v>
      </c>
      <c r="J56" s="86">
        <f t="shared" si="2"/>
        <v>1.0589821491386033</v>
      </c>
      <c r="K56" s="209">
        <f t="shared" si="3"/>
        <v>473.1390135972519</v>
      </c>
      <c r="L56" s="154">
        <f>J17</f>
        <v>119.13</v>
      </c>
    </row>
    <row r="57" spans="1:12" ht="12.75">
      <c r="A57" s="239" t="s">
        <v>90</v>
      </c>
      <c r="B57" s="12"/>
      <c r="C57" s="10"/>
      <c r="D57" s="10"/>
      <c r="E57" s="302">
        <f>SUM(E37:E56)</f>
        <v>142203.59999999998</v>
      </c>
      <c r="F57" s="303"/>
      <c r="G57" s="301">
        <f>SUM(G37:G56)</f>
        <v>152382.61721822794</v>
      </c>
      <c r="H57" s="304">
        <f>SUM(H37:H56)</f>
        <v>4153.1875</v>
      </c>
      <c r="I57" s="21"/>
      <c r="J57" s="307"/>
      <c r="K57" s="305">
        <f>SUM(K37:K56)</f>
        <v>173312.8875</v>
      </c>
      <c r="L57" s="27"/>
    </row>
    <row r="58" spans="1:12" ht="12.75">
      <c r="A58" s="277" t="s">
        <v>207</v>
      </c>
      <c r="B58" s="43"/>
      <c r="C58" s="43"/>
      <c r="D58" s="43"/>
      <c r="E58" s="43"/>
      <c r="F58" s="285"/>
      <c r="G58" s="43"/>
      <c r="H58" s="43"/>
      <c r="I58" s="43"/>
      <c r="J58" s="43"/>
      <c r="K58" s="43"/>
      <c r="L58" s="43"/>
    </row>
    <row r="59" spans="1:12" ht="30.75" customHeight="1">
      <c r="A59" s="637" t="s">
        <v>100</v>
      </c>
      <c r="B59" s="637"/>
      <c r="C59" s="637"/>
      <c r="D59" s="637"/>
      <c r="E59" s="637"/>
      <c r="F59" s="637"/>
      <c r="G59" s="637"/>
      <c r="H59" s="637"/>
      <c r="I59" s="637"/>
      <c r="J59" s="637"/>
      <c r="K59" s="637"/>
      <c r="L59" s="637"/>
    </row>
    <row r="60" spans="1:10" ht="12.75">
      <c r="A60" s="12"/>
      <c r="C60" s="7"/>
      <c r="D60" s="7"/>
      <c r="E60" s="11"/>
      <c r="F60" s="7"/>
      <c r="G60" s="7"/>
      <c r="I60" s="7"/>
      <c r="J60" s="7" t="s">
        <v>24</v>
      </c>
    </row>
    <row r="61" spans="1:10" ht="12.75">
      <c r="A61" s="12"/>
      <c r="C61" s="7"/>
      <c r="D61" s="7"/>
      <c r="E61" s="11"/>
      <c r="F61" s="7"/>
      <c r="G61" s="7"/>
      <c r="I61" s="7"/>
      <c r="J61" s="7"/>
    </row>
    <row r="63" ht="13.5">
      <c r="A63" s="65"/>
    </row>
    <row r="74" ht="12.75">
      <c r="B74" s="6" t="s">
        <v>24</v>
      </c>
    </row>
    <row r="75" ht="12.75">
      <c r="B75" s="6" t="s">
        <v>24</v>
      </c>
    </row>
    <row r="76" spans="2:4" ht="12.75">
      <c r="B76" s="6" t="s">
        <v>24</v>
      </c>
      <c r="C76" s="6" t="s">
        <v>24</v>
      </c>
      <c r="D76" s="6" t="s">
        <v>24</v>
      </c>
    </row>
    <row r="77" ht="12.75">
      <c r="B77" s="6" t="s">
        <v>24</v>
      </c>
    </row>
    <row r="78" ht="12.75">
      <c r="B78" s="6" t="s">
        <v>24</v>
      </c>
    </row>
    <row r="79" ht="12.75">
      <c r="B79" s="6" t="s">
        <v>24</v>
      </c>
    </row>
  </sheetData>
  <sheetProtection/>
  <mergeCells count="2">
    <mergeCell ref="A59:L59"/>
    <mergeCell ref="A33:B33"/>
  </mergeCells>
  <printOptions/>
  <pageMargins left="0.45" right="0.45" top="0.5" bottom="0.5" header="0" footer="0"/>
  <pageSetup fitToHeight="1" fitToWidth="1"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0" width="15.7109375" style="0" customWidth="1"/>
    <col min="21" max="21" width="17.28125" style="0" customWidth="1"/>
    <col min="22" max="22" width="15.7109375" style="0" customWidth="1"/>
  </cols>
  <sheetData>
    <row r="1" spans="1:19" ht="17.25">
      <c r="A1" s="24" t="s">
        <v>179</v>
      </c>
      <c r="B1" s="6"/>
      <c r="C1" s="6"/>
      <c r="D1" s="6"/>
      <c r="E1" s="6"/>
      <c r="F1" s="6"/>
      <c r="G1" s="6"/>
      <c r="H1" s="6"/>
      <c r="I1" s="6"/>
      <c r="J1" s="6"/>
      <c r="K1" s="6"/>
      <c r="L1" s="6"/>
      <c r="M1" s="6"/>
      <c r="N1" s="6"/>
      <c r="O1" s="6"/>
      <c r="P1" s="6"/>
      <c r="Q1" s="6"/>
      <c r="R1" s="6"/>
      <c r="S1" s="6"/>
    </row>
    <row r="2" spans="1:19" ht="18" thickBot="1">
      <c r="A2" s="1" t="s">
        <v>24</v>
      </c>
      <c r="B2" s="6"/>
      <c r="C2" s="6"/>
      <c r="D2" s="38" t="s">
        <v>24</v>
      </c>
      <c r="E2" s="7" t="s">
        <v>24</v>
      </c>
      <c r="F2" s="6"/>
      <c r="G2" s="6"/>
      <c r="H2" s="6"/>
      <c r="I2" s="6"/>
      <c r="J2" s="6"/>
      <c r="K2" s="6"/>
      <c r="L2" s="6"/>
      <c r="M2" s="6"/>
      <c r="N2" s="6"/>
      <c r="O2" s="6"/>
      <c r="P2" s="6"/>
      <c r="Q2" s="6"/>
      <c r="R2" s="6"/>
      <c r="S2" s="6"/>
    </row>
    <row r="3" spans="1:19" ht="18" thickBot="1">
      <c r="A3" s="102" t="s">
        <v>85</v>
      </c>
      <c r="B3" s="1"/>
      <c r="C3" s="1"/>
      <c r="D3" s="1"/>
      <c r="E3" s="66" t="s">
        <v>24</v>
      </c>
      <c r="F3" s="6"/>
      <c r="G3" s="6"/>
      <c r="H3" s="19" t="s">
        <v>24</v>
      </c>
      <c r="I3" s="67"/>
      <c r="J3" s="19"/>
      <c r="K3" s="19"/>
      <c r="L3" s="19"/>
      <c r="S3" s="19"/>
    </row>
    <row r="4" spans="1:14" ht="109.5" customHeight="1">
      <c r="A4" s="210" t="s">
        <v>3</v>
      </c>
      <c r="B4" s="90" t="s">
        <v>86</v>
      </c>
      <c r="C4" s="90" t="s">
        <v>87</v>
      </c>
      <c r="D4" s="90" t="s">
        <v>31</v>
      </c>
      <c r="E4" s="90" t="s">
        <v>133</v>
      </c>
      <c r="F4" s="89" t="s">
        <v>88</v>
      </c>
      <c r="G4" s="198" t="s">
        <v>159</v>
      </c>
      <c r="H4" s="89" t="s">
        <v>96</v>
      </c>
      <c r="I4" s="198" t="s">
        <v>160</v>
      </c>
      <c r="J4" s="103" t="s">
        <v>165</v>
      </c>
      <c r="K4" s="23"/>
      <c r="N4" s="23"/>
    </row>
    <row r="5" spans="1:14" ht="12.75">
      <c r="A5" s="211" t="s">
        <v>30</v>
      </c>
      <c r="B5" s="137">
        <f>'BRA Load Pricing Results'!B16</f>
        <v>69469.54555413498</v>
      </c>
      <c r="C5" s="137">
        <f>'BRA Resource Clearing Results'!E20</f>
        <v>66546.4</v>
      </c>
      <c r="D5" s="56">
        <f>'BRA Load Pricing Results'!H37+'BRA Load Pricing Results'!H41+'BRA Load Pricing Results'!H47+'BRA Load Pricing Results'!H49+'BRA Load Pricing Results'!H50+'BRA Load Pricing Results'!H51+'BRA Load Pricing Results'!H52+'BRA Load Pricing Results'!H53+'BRA Load Pricing Results'!H54+'BRA Load Pricing Results'!H55+'BRA Load Pricing Results'!H56</f>
        <v>1664.735106476799</v>
      </c>
      <c r="E5" s="268">
        <f>B5-C5-D5-81.8</f>
        <v>1176.610447658187</v>
      </c>
      <c r="F5" s="56">
        <f>'BRA Resource Clearing Results'!B60</f>
        <v>0</v>
      </c>
      <c r="G5" s="56">
        <f aca="true" t="shared" si="0" ref="G5:G10">E5-F5</f>
        <v>1176.610447658187</v>
      </c>
      <c r="H5" s="56">
        <f>'BRA ICTRs'!B21</f>
        <v>159</v>
      </c>
      <c r="I5" s="56">
        <f>'BRA ICTRs'!B12+'BRA ICTRs'!B17</f>
        <v>738</v>
      </c>
      <c r="J5" s="212">
        <f>G5-H5-I5</f>
        <v>279.610447658187</v>
      </c>
      <c r="K5" s="134"/>
      <c r="N5" s="9"/>
    </row>
    <row r="6" spans="1:14" ht="12.75">
      <c r="A6" s="211" t="s">
        <v>41</v>
      </c>
      <c r="B6" s="137">
        <f>'BRA Load Pricing Results'!B17</f>
        <v>37872.730802343496</v>
      </c>
      <c r="C6" s="137">
        <f>'BRA Resource Clearing Results'!E21</f>
        <v>31521.7</v>
      </c>
      <c r="D6" s="56">
        <f>'BRA Load Pricing Results'!H37+'BRA Load Pricing Results'!H47+'BRA Load Pricing Results'!H49+'BRA Load Pricing Results'!H51+'BRA Load Pricing Results'!H55+'BRA Load Pricing Results'!H56</f>
        <v>907.5640849798777</v>
      </c>
      <c r="E6" s="268">
        <f>B6-C6-D6</f>
        <v>5443.466717363618</v>
      </c>
      <c r="F6" s="56">
        <f>'BRA Resource Clearing Results'!B61</f>
        <v>0</v>
      </c>
      <c r="G6" s="56">
        <f t="shared" si="0"/>
        <v>5443.466717363618</v>
      </c>
      <c r="H6" s="336">
        <f>'BRA ICTRs'!C21</f>
        <v>0</v>
      </c>
      <c r="I6" s="56">
        <f>'BRA ICTRs'!C12+'BRA ICTRs'!C17</f>
        <v>898</v>
      </c>
      <c r="J6" s="212">
        <f>G6-H6-I6</f>
        <v>4545.466717363618</v>
      </c>
      <c r="K6" s="134"/>
      <c r="N6" s="9" t="s">
        <v>24</v>
      </c>
    </row>
    <row r="7" spans="1:14" ht="12.75">
      <c r="A7" s="211" t="s">
        <v>5</v>
      </c>
      <c r="B7" s="137">
        <f>'BRA Load Pricing Results'!B18</f>
        <v>16023.03467201463</v>
      </c>
      <c r="C7" s="137">
        <f>'BRA Resource Clearing Results'!E22</f>
        <v>12050</v>
      </c>
      <c r="D7" s="56">
        <f>'BRA Load Pricing Results'!H41+'BRA Load Pricing Results'!H53</f>
        <v>383.96837229936386</v>
      </c>
      <c r="E7" s="268">
        <f>B7-C7-D7</f>
        <v>3589.066299715266</v>
      </c>
      <c r="F7" s="56">
        <f>'BRA Resource Clearing Results'!B62</f>
        <v>0</v>
      </c>
      <c r="G7" s="56">
        <f t="shared" si="0"/>
        <v>3589.066299715266</v>
      </c>
      <c r="H7" s="336">
        <f>'BRA ICTRs'!D21</f>
        <v>0</v>
      </c>
      <c r="I7" s="56">
        <f>('BRA ICTRs'!D12+'BRA ICTRs'!D17)</f>
        <v>237</v>
      </c>
      <c r="J7" s="212">
        <f>G7-H7-I7</f>
        <v>3352.066299715266</v>
      </c>
      <c r="K7" s="134"/>
      <c r="N7" s="9"/>
    </row>
    <row r="8" spans="1:14" ht="12.75">
      <c r="A8" s="211" t="s">
        <v>48</v>
      </c>
      <c r="B8" s="137">
        <f>'BRA Load Pricing Results'!K55</f>
        <v>12055.946019545365</v>
      </c>
      <c r="C8" s="137">
        <f>'BRA Load Pricing Results'!C26</f>
        <v>6298.599999999999</v>
      </c>
      <c r="D8" s="56">
        <f>'BRA Load Pricing Results'!H55</f>
        <v>288.9029490611341</v>
      </c>
      <c r="E8" s="268">
        <f>B8-C8-D8-2.1</f>
        <v>5466.343070484231</v>
      </c>
      <c r="F8" s="56">
        <f>IF('BRA Resource Clearing Results'!D63+'BRA Resource Clearing Results'!D64=0,0,('BRA Resource Clearing Results'!D63+'BRA Resource Clearing Results'!D64)/'BRA Load Pricing Results'!D26)</f>
        <v>0</v>
      </c>
      <c r="G8" s="56">
        <f t="shared" si="0"/>
        <v>5466.343070484231</v>
      </c>
      <c r="H8" s="336">
        <f>('BRA ICTRs'!B95+'BRA ICTRs'!B96)/L16</f>
        <v>0</v>
      </c>
      <c r="I8" s="56">
        <f>('BRA ICTRs'!C95+'BRA ICTRs'!C96)/L16</f>
        <v>499.3999999999999</v>
      </c>
      <c r="J8" s="212">
        <f>G8-H8-I8</f>
        <v>4966.943070484232</v>
      </c>
      <c r="K8" s="134"/>
      <c r="N8" s="9"/>
    </row>
    <row r="9" spans="1:14" ht="12.75">
      <c r="A9" s="211" t="s">
        <v>46</v>
      </c>
      <c r="B9" s="137">
        <f>'BRA Load Pricing Results'!K47</f>
        <v>4790.532512672177</v>
      </c>
      <c r="C9" s="137">
        <f>'BRA Load Pricing Results'!C29</f>
        <v>4851.9</v>
      </c>
      <c r="D9" s="56">
        <f>'BRA Load Pricing Results'!H47</f>
        <v>114.79803975900913</v>
      </c>
      <c r="E9" s="268">
        <f>IF(B9-C9-D9&lt;0,0,B9-C9-D9)</f>
        <v>0</v>
      </c>
      <c r="F9" s="56">
        <f>IF('BRA Resource Clearing Results'!D65=0,0,('BRA Resource Clearing Results'!D65/'BRA Load Pricing Results'!D29))</f>
        <v>0</v>
      </c>
      <c r="G9" s="56">
        <f t="shared" si="0"/>
        <v>0</v>
      </c>
      <c r="H9" s="336">
        <f>'BRA ICTRs'!H21</f>
        <v>0</v>
      </c>
      <c r="I9" s="335">
        <v>0</v>
      </c>
      <c r="J9" s="338">
        <f>MAX(G9-H9-I9,0)</f>
        <v>0</v>
      </c>
      <c r="K9" s="329" t="s">
        <v>24</v>
      </c>
      <c r="N9" s="9"/>
    </row>
    <row r="10" spans="1:14" ht="12.75">
      <c r="A10" s="211" t="s">
        <v>15</v>
      </c>
      <c r="B10" s="137">
        <f>'BRA Load Pricing Results'!B19</f>
        <v>7734.003106878157</v>
      </c>
      <c r="C10" s="137">
        <f>'BRA Resource Clearing Results'!E26</f>
        <v>6093.7</v>
      </c>
      <c r="D10" s="56">
        <f>'BRA Load Pricing Results'!H53</f>
        <v>185.33396732223696</v>
      </c>
      <c r="E10" s="268">
        <f>B10-C10-D10</f>
        <v>1454.9691395559205</v>
      </c>
      <c r="F10" s="56">
        <f>'BRA Resource Clearing Results'!B66</f>
        <v>0</v>
      </c>
      <c r="G10" s="56">
        <f t="shared" si="0"/>
        <v>1454.9691395559205</v>
      </c>
      <c r="H10" s="336">
        <v>0</v>
      </c>
      <c r="I10" s="336">
        <f>'BRA ICTRs'!I12+'BRA ICTRs'!I17</f>
        <v>0</v>
      </c>
      <c r="J10" s="212">
        <f>G10-H10-I10</f>
        <v>1454.9691395559205</v>
      </c>
      <c r="K10" s="134"/>
      <c r="N10" s="9"/>
    </row>
    <row r="11" spans="1:14" ht="13.5" thickBot="1">
      <c r="A11" s="213" t="s">
        <v>180</v>
      </c>
      <c r="B11" s="214">
        <f>'BRA Load Pricing Results'!K40</f>
        <v>15121.11342734487</v>
      </c>
      <c r="C11" s="214">
        <f>'BRA Load Pricing Results'!C32</f>
        <v>8672.2</v>
      </c>
      <c r="D11" s="108">
        <f>'BRA Load Pricing Results'!H40</f>
        <v>362.3551611101677</v>
      </c>
      <c r="E11" s="269">
        <f>B11-C11-D11-78.3490877993159</f>
        <v>6008.209178435385</v>
      </c>
      <c r="F11" s="108">
        <f>IF('BRA Resource Clearing Results'!D68+'BRA Resource Clearing Results'!D69=0,0,('BRA Resource Clearing Results'!D68+'BRA Resource Clearing Results'!D69)/'BRA Load Pricing Results'!D32)</f>
        <v>0</v>
      </c>
      <c r="G11" s="108">
        <f>E11-F11</f>
        <v>6008.209178435385</v>
      </c>
      <c r="H11" s="337">
        <v>0</v>
      </c>
      <c r="I11" s="337">
        <v>0</v>
      </c>
      <c r="J11" s="215">
        <f>G11-H11-I11</f>
        <v>6008.209178435385</v>
      </c>
      <c r="K11" s="134"/>
      <c r="N11" s="9"/>
    </row>
    <row r="12" spans="1:14" ht="12.75">
      <c r="A12" s="32" t="s">
        <v>24</v>
      </c>
      <c r="B12" s="40"/>
      <c r="C12" s="40"/>
      <c r="D12" s="18"/>
      <c r="E12" s="10" t="s">
        <v>134</v>
      </c>
      <c r="F12" s="18"/>
      <c r="G12" s="26"/>
      <c r="H12" s="20"/>
      <c r="I12" s="26"/>
      <c r="J12" s="25"/>
      <c r="K12" s="55"/>
      <c r="N12" s="9"/>
    </row>
    <row r="13" spans="1:14" ht="12.75" customHeight="1" thickBot="1">
      <c r="A13" s="32"/>
      <c r="B13" s="40"/>
      <c r="C13" s="40"/>
      <c r="D13" s="18"/>
      <c r="E13" s="187"/>
      <c r="F13" s="18"/>
      <c r="G13" s="26"/>
      <c r="H13" s="20"/>
      <c r="I13" s="26"/>
      <c r="J13" s="25"/>
      <c r="K13" s="55"/>
      <c r="N13" s="9"/>
    </row>
    <row r="14" spans="1:19" ht="15" customHeight="1" thickBot="1">
      <c r="A14" s="641" t="s">
        <v>116</v>
      </c>
      <c r="B14" s="642"/>
      <c r="C14" s="642"/>
      <c r="D14" s="643"/>
      <c r="E14" s="54"/>
      <c r="F14" s="22"/>
      <c r="G14" s="22"/>
      <c r="H14" s="22"/>
      <c r="I14" s="22"/>
      <c r="J14" s="22"/>
      <c r="K14" s="22"/>
      <c r="L14" s="22"/>
      <c r="M14" s="22"/>
      <c r="N14" s="22"/>
      <c r="O14" s="22"/>
      <c r="P14" s="22"/>
      <c r="Q14" s="22"/>
      <c r="R14" s="22"/>
      <c r="S14" s="22"/>
    </row>
    <row r="15" spans="1:21" ht="13.5">
      <c r="A15" s="644"/>
      <c r="B15" s="645"/>
      <c r="C15" s="645"/>
      <c r="D15" s="646"/>
      <c r="E15" s="639" t="s">
        <v>30</v>
      </c>
      <c r="F15" s="640"/>
      <c r="G15" s="639" t="s">
        <v>41</v>
      </c>
      <c r="H15" s="640"/>
      <c r="I15" s="639" t="s">
        <v>5</v>
      </c>
      <c r="J15" s="640"/>
      <c r="K15" s="639" t="s">
        <v>48</v>
      </c>
      <c r="L15" s="640"/>
      <c r="M15" s="639" t="s">
        <v>46</v>
      </c>
      <c r="N15" s="640"/>
      <c r="O15" s="639" t="s">
        <v>15</v>
      </c>
      <c r="P15" s="640"/>
      <c r="Q15" s="639" t="s">
        <v>180</v>
      </c>
      <c r="R15" s="640"/>
      <c r="S15" s="22"/>
      <c r="T15" s="22"/>
      <c r="U15" s="22"/>
    </row>
    <row r="16" spans="1:22" ht="30.75" customHeight="1" thickBot="1">
      <c r="A16" s="647"/>
      <c r="B16" s="648"/>
      <c r="C16" s="648"/>
      <c r="D16" s="649"/>
      <c r="E16" s="216" t="s">
        <v>49</v>
      </c>
      <c r="F16" s="217">
        <f>'BRA Resource Clearing Results'!C6</f>
        <v>59.76</v>
      </c>
      <c r="G16" s="216" t="s">
        <v>49</v>
      </c>
      <c r="H16" s="217">
        <f>'BRA Resource Clearing Results'!C7</f>
        <v>0</v>
      </c>
      <c r="I16" s="216" t="s">
        <v>49</v>
      </c>
      <c r="J16" s="218">
        <f>'BRA Resource Clearing Results'!C8</f>
        <v>0</v>
      </c>
      <c r="K16" s="216" t="s">
        <v>49</v>
      </c>
      <c r="L16" s="217">
        <f>'BRA Load Pricing Results'!D26</f>
        <v>99.87000000000002</v>
      </c>
      <c r="M16" s="216" t="s">
        <v>49</v>
      </c>
      <c r="N16" s="219">
        <f>'BRA Load Pricing Results'!D29</f>
        <v>0</v>
      </c>
      <c r="O16" s="216" t="s">
        <v>49</v>
      </c>
      <c r="P16" s="219">
        <f>'BRA Resource Clearing Results'!C12</f>
        <v>0</v>
      </c>
      <c r="Q16" s="216" t="s">
        <v>49</v>
      </c>
      <c r="R16" s="219">
        <f>'BRA Load Pricing Results'!D32</f>
        <v>35.07999999999999</v>
      </c>
      <c r="S16" s="22"/>
      <c r="T16" s="22"/>
      <c r="U16" s="22"/>
      <c r="V16" s="19"/>
    </row>
    <row r="17" spans="1:23" ht="111.75" customHeight="1">
      <c r="A17" s="220" t="s">
        <v>7</v>
      </c>
      <c r="B17" s="82" t="s">
        <v>28</v>
      </c>
      <c r="C17" s="82" t="s">
        <v>27</v>
      </c>
      <c r="D17" s="221" t="s">
        <v>36</v>
      </c>
      <c r="E17" s="81" t="s">
        <v>103</v>
      </c>
      <c r="F17" s="221" t="s">
        <v>117</v>
      </c>
      <c r="G17" s="81" t="s">
        <v>104</v>
      </c>
      <c r="H17" s="221" t="s">
        <v>117</v>
      </c>
      <c r="I17" s="81" t="s">
        <v>103</v>
      </c>
      <c r="J17" s="221" t="s">
        <v>117</v>
      </c>
      <c r="K17" s="81" t="s">
        <v>105</v>
      </c>
      <c r="L17" s="221" t="s">
        <v>117</v>
      </c>
      <c r="M17" s="81" t="s">
        <v>106</v>
      </c>
      <c r="N17" s="221" t="s">
        <v>117</v>
      </c>
      <c r="O17" s="81" t="s">
        <v>103</v>
      </c>
      <c r="P17" s="221" t="s">
        <v>117</v>
      </c>
      <c r="Q17" s="81" t="s">
        <v>103</v>
      </c>
      <c r="R17" s="221" t="s">
        <v>117</v>
      </c>
      <c r="S17" s="81" t="s">
        <v>112</v>
      </c>
      <c r="T17" s="82" t="s">
        <v>118</v>
      </c>
      <c r="U17" s="82" t="s">
        <v>58</v>
      </c>
      <c r="V17" s="221" t="s">
        <v>113</v>
      </c>
      <c r="W17" s="17"/>
    </row>
    <row r="18" spans="1:23" ht="12.75">
      <c r="A18" s="127" t="s">
        <v>16</v>
      </c>
      <c r="B18" s="80" t="s">
        <v>30</v>
      </c>
      <c r="C18" s="80" t="s">
        <v>41</v>
      </c>
      <c r="D18" s="222"/>
      <c r="E18" s="224">
        <f>IF(B18="MAAC",$J$5*'BRA Load Pricing Results'!K37/'BRA Load Pricing Results'!$B$16,0)</f>
        <v>12.735367802637136</v>
      </c>
      <c r="F18" s="225">
        <f>E18*$F$16</f>
        <v>761.0655798855952</v>
      </c>
      <c r="G18" s="224">
        <f>IF(C18="EMAAC",$J$6*'BRA Load Pricing Results'!K37/'BRA Load Pricing Results'!$B$17,0)</f>
        <v>379.75580070589467</v>
      </c>
      <c r="H18" s="225">
        <f>G18*$H$16</f>
        <v>0</v>
      </c>
      <c r="I18" s="224">
        <f>IF(C18="SWMAAC",$J$7*'BRA Load Pricing Results'!K37/'BRA Load Pricing Results'!$B$18,0)</f>
        <v>0</v>
      </c>
      <c r="J18" s="225">
        <f>I18*$J$16</f>
        <v>0</v>
      </c>
      <c r="K18" s="224">
        <f>IF(D18="PS",$J$8*'BRA Load Pricing Results'!K37/'BRA Load Pricing Results'!$K$55,0)</f>
        <v>0</v>
      </c>
      <c r="L18" s="225">
        <f>K18*$L$16</f>
        <v>0</v>
      </c>
      <c r="M18" s="224">
        <f>IF(D18="DPL",$J$9*'BRA Load Pricing Results'!K37/'BRA Load Pricing Results'!$K$47,0)</f>
        <v>0</v>
      </c>
      <c r="N18" s="225">
        <f>M18*$N$16</f>
        <v>0</v>
      </c>
      <c r="O18" s="224">
        <f>IF(D18="PEPCO",$J$10*'BRA Load Pricing Results'!K37/'BRA Load Pricing Results'!$K$53,0)</f>
        <v>0</v>
      </c>
      <c r="P18" s="225">
        <f>O18*$P$16</f>
        <v>0</v>
      </c>
      <c r="Q18" s="224">
        <f>IF(D18="ATSI",$J$11*'BRA Load Pricing Results'!K37/'BRA Load Pricing Results'!$K$40,0)</f>
        <v>0</v>
      </c>
      <c r="R18" s="225">
        <f>Q18*$R$16</f>
        <v>0</v>
      </c>
      <c r="S18" s="227">
        <f>MAX(E18,G18,I18,K18,M18,O18,Q18)</f>
        <v>379.75580070589467</v>
      </c>
      <c r="T18" s="59">
        <f>F18+H18+J18+L18+N18+P18+R18</f>
        <v>761.0655798855952</v>
      </c>
      <c r="U18" s="59">
        <f>T18/'BRA Load Pricing Results'!K37</f>
        <v>0.24053015200786307</v>
      </c>
      <c r="V18" s="228">
        <f>IF(S18=0,0,T18/S18)</f>
        <v>2.004092046707166</v>
      </c>
      <c r="W18" s="15"/>
    </row>
    <row r="19" spans="1:23" ht="12.75">
      <c r="A19" s="127" t="s">
        <v>32</v>
      </c>
      <c r="B19" s="80"/>
      <c r="C19" s="80"/>
      <c r="D19" s="222"/>
      <c r="E19" s="224">
        <f>IF(B19="MAAC",$J$5*'BRA Load Pricing Results'!K38/'BRA Load Pricing Results'!$B$16,0)</f>
        <v>0</v>
      </c>
      <c r="F19" s="225">
        <f aca="true" t="shared" si="1" ref="F19:F27">E19*$F$16</f>
        <v>0</v>
      </c>
      <c r="G19" s="224">
        <f>IF(C19="EMAAC",$J$6*'BRA Load Pricing Results'!K38/'BRA Load Pricing Results'!$B$17,0)</f>
        <v>0</v>
      </c>
      <c r="H19" s="225">
        <f>G19*$H$16</f>
        <v>0</v>
      </c>
      <c r="I19" s="224">
        <f>IF(C19="SWMAAC",$J$7*'BRA Load Pricing Results'!K38/'BRA Load Pricing Results'!$B$18,0)</f>
        <v>0</v>
      </c>
      <c r="J19" s="225">
        <f>I19*$J$16</f>
        <v>0</v>
      </c>
      <c r="K19" s="224">
        <f>IF(D19="PS",$J$8*'BRA Load Pricing Results'!K38/'BRA Load Pricing Results'!$K$55,0)</f>
        <v>0</v>
      </c>
      <c r="L19" s="225">
        <f>K19*$L$16</f>
        <v>0</v>
      </c>
      <c r="M19" s="224">
        <f>IF(D19="DPL",$J$9*'BRA Load Pricing Results'!K38/'BRA Load Pricing Results'!$K$47,0)</f>
        <v>0</v>
      </c>
      <c r="N19" s="225">
        <f aca="true" t="shared" si="2" ref="N19:N33">M19*$N$16</f>
        <v>0</v>
      </c>
      <c r="O19" s="224">
        <f>IF(D19="PEPCO",$J$10*'BRA Load Pricing Results'!K38/'BRA Load Pricing Results'!$K$53,0)</f>
        <v>0</v>
      </c>
      <c r="P19" s="225">
        <f>O19*$P$16</f>
        <v>0</v>
      </c>
      <c r="Q19" s="224">
        <f>IF(D19="ATSI",$J$11*'BRA Load Pricing Results'!K38/'BRA Load Pricing Results'!$K$40,0)</f>
        <v>0</v>
      </c>
      <c r="R19" s="225">
        <f aca="true" t="shared" si="3" ref="R19:R37">Q19*$R$16</f>
        <v>0</v>
      </c>
      <c r="S19" s="227">
        <f aca="true" t="shared" si="4" ref="S19:S37">MAX(E19,G19,I19,K19,M19,O19,Q19)</f>
        <v>0</v>
      </c>
      <c r="T19" s="59">
        <f aca="true" t="shared" si="5" ref="T19:T30">F19+H19+J19+L19+N19+P19+R19</f>
        <v>0</v>
      </c>
      <c r="U19" s="59">
        <f>T19/'BRA Load Pricing Results'!K38</f>
        <v>0</v>
      </c>
      <c r="V19" s="228">
        <f>IF(S19=0,0,T19/S19)</f>
        <v>0</v>
      </c>
      <c r="W19" s="15"/>
    </row>
    <row r="20" spans="1:23" ht="12.75">
      <c r="A20" s="127" t="s">
        <v>19</v>
      </c>
      <c r="B20" s="80" t="s">
        <v>24</v>
      </c>
      <c r="C20" s="80"/>
      <c r="D20" s="222"/>
      <c r="E20" s="224">
        <f>IF(B20="MAAC",$J$5*'BRA Load Pricing Results'!K39/'BRA Load Pricing Results'!$B$16,0)</f>
        <v>0</v>
      </c>
      <c r="F20" s="225">
        <f t="shared" si="1"/>
        <v>0</v>
      </c>
      <c r="G20" s="224">
        <f>IF(C20="EMAAC",$J$6*'BRA Load Pricing Results'!K39/'BRA Load Pricing Results'!$B$17,0)</f>
        <v>0</v>
      </c>
      <c r="H20" s="225">
        <f>G20*$H$16</f>
        <v>0</v>
      </c>
      <c r="I20" s="224">
        <f>IF(C20="SWMAAC",$J$7*'BRA Load Pricing Results'!K39/'BRA Load Pricing Results'!$B$18,0)</f>
        <v>0</v>
      </c>
      <c r="J20" s="225">
        <f aca="true" t="shared" si="6" ref="J20:J37">I20*$J$16</f>
        <v>0</v>
      </c>
      <c r="K20" s="224">
        <f>IF(D20="PS",$J$8*'BRA Load Pricing Results'!K39/'BRA Load Pricing Results'!$K$55,0)</f>
        <v>0</v>
      </c>
      <c r="L20" s="225">
        <f>K20*$L$16</f>
        <v>0</v>
      </c>
      <c r="M20" s="224">
        <f>IF(D20="DPL",$J$9*'BRA Load Pricing Results'!K39/'BRA Load Pricing Results'!$K$47,0)</f>
        <v>0</v>
      </c>
      <c r="N20" s="225">
        <f t="shared" si="2"/>
        <v>0</v>
      </c>
      <c r="O20" s="224">
        <f>IF(D20="PEPCO",$J$10*'BRA Load Pricing Results'!K39/'BRA Load Pricing Results'!$K$53,0)</f>
        <v>0</v>
      </c>
      <c r="P20" s="225">
        <f>O20*$P$16</f>
        <v>0</v>
      </c>
      <c r="Q20" s="224">
        <f>IF(D20="ATSI",$J$11*'BRA Load Pricing Results'!K39/'BRA Load Pricing Results'!$K$40,0)</f>
        <v>0</v>
      </c>
      <c r="R20" s="225">
        <f t="shared" si="3"/>
        <v>0</v>
      </c>
      <c r="S20" s="227">
        <f t="shared" si="4"/>
        <v>0</v>
      </c>
      <c r="T20" s="59">
        <f t="shared" si="5"/>
        <v>0</v>
      </c>
      <c r="U20" s="59">
        <f>T20/'BRA Load Pricing Results'!K39</f>
        <v>0</v>
      </c>
      <c r="V20" s="228">
        <f>IF(S20=0,0,T20/S20)</f>
        <v>0</v>
      </c>
      <c r="W20" s="15"/>
    </row>
    <row r="21" spans="1:23" ht="12.75">
      <c r="A21" s="127" t="s">
        <v>51</v>
      </c>
      <c r="B21" s="80"/>
      <c r="C21" s="80"/>
      <c r="D21" s="222" t="s">
        <v>51</v>
      </c>
      <c r="E21" s="224">
        <f>IF(B21="MAAC",$J$5*'BRA Load Pricing Results'!K40/'BRA Load Pricing Results'!$B$16,0)</f>
        <v>0</v>
      </c>
      <c r="F21" s="225">
        <f t="shared" si="1"/>
        <v>0</v>
      </c>
      <c r="G21" s="224">
        <f>IF(C21="EMAAC",$J$6*'BRA Load Pricing Results'!K40/'BRA Load Pricing Results'!$B$17,0)</f>
        <v>0</v>
      </c>
      <c r="H21" s="225">
        <f>G21*$H$16</f>
        <v>0</v>
      </c>
      <c r="I21" s="224">
        <f>IF(C21="SWMAAC",$J$7*'BRA Load Pricing Results'!K40/'BRA Load Pricing Results'!$B$18,0)</f>
        <v>0</v>
      </c>
      <c r="J21" s="225">
        <f t="shared" si="6"/>
        <v>0</v>
      </c>
      <c r="K21" s="224">
        <f>IF(D21="PS",$J$8*'BRA Load Pricing Results'!K40/'BRA Load Pricing Results'!$K$55,0)</f>
        <v>0</v>
      </c>
      <c r="L21" s="225">
        <f aca="true" t="shared" si="7" ref="L21:L37">K21*$L$16</f>
        <v>0</v>
      </c>
      <c r="M21" s="224">
        <f>IF(D21="DPL",$J$9*'BRA Load Pricing Results'!K40/'BRA Load Pricing Results'!$K$47,0)</f>
        <v>0</v>
      </c>
      <c r="N21" s="225">
        <f t="shared" si="2"/>
        <v>0</v>
      </c>
      <c r="O21" s="224">
        <f>IF(D21="PEPCO",$J$10*'BRA Load Pricing Results'!K40/'BRA Load Pricing Results'!$K$53,0)</f>
        <v>0</v>
      </c>
      <c r="P21" s="225">
        <f aca="true" t="shared" si="8" ref="P21:P33">O21*$P$16</f>
        <v>0</v>
      </c>
      <c r="Q21" s="224">
        <f>IF(D21="ATSI",$J$11*'BRA Load Pricing Results'!K40/'BRA Load Pricing Results'!$K$40,0)</f>
        <v>6008.209178435385</v>
      </c>
      <c r="R21" s="225">
        <f>Q21*$R$16</f>
        <v>210767.97797951326</v>
      </c>
      <c r="S21" s="227">
        <f t="shared" si="4"/>
        <v>6008.209178435385</v>
      </c>
      <c r="T21" s="59">
        <f t="shared" si="5"/>
        <v>210767.97797951326</v>
      </c>
      <c r="U21" s="59">
        <f>T21/'BRA Load Pricing Results'!K40</f>
        <v>13.938654649489141</v>
      </c>
      <c r="V21" s="228">
        <f>IF(S21=0,0,T21/S21)</f>
        <v>35.07999999999999</v>
      </c>
      <c r="W21" s="15"/>
    </row>
    <row r="22" spans="1:23" ht="12.75">
      <c r="A22" s="127" t="s">
        <v>11</v>
      </c>
      <c r="B22" s="80" t="s">
        <v>30</v>
      </c>
      <c r="C22" s="80" t="s">
        <v>5</v>
      </c>
      <c r="D22" s="222"/>
      <c r="E22" s="224">
        <f>IF(B22="MAAC",$J$5*'BRA Load Pricing Results'!K41/'BRA Load Pricing Results'!$B$16,0)</f>
        <v>33.36281831258787</v>
      </c>
      <c r="F22" s="225">
        <f>E22*$F$16</f>
        <v>1993.762022360251</v>
      </c>
      <c r="G22" s="224">
        <f>IF(C22="EMAAC",$J$6*'BRA Load Pricing Results'!K41/'BRA Load Pricing Results'!$B$17,0)</f>
        <v>0</v>
      </c>
      <c r="H22" s="225">
        <f aca="true" t="shared" si="9" ref="H22:H35">G22*$H$16</f>
        <v>0</v>
      </c>
      <c r="I22" s="224">
        <f>IF(C22="SWMAAC",$J$7*'BRA Load Pricing Results'!K41/'BRA Load Pricing Results'!$B$18,0)</f>
        <v>1734.0899483478747</v>
      </c>
      <c r="J22" s="225">
        <f>I22*$J$16</f>
        <v>0</v>
      </c>
      <c r="K22" s="224">
        <f>IF(D22="PS",$J$8*'BRA Load Pricing Results'!K41/'BRA Load Pricing Results'!$K$55,0)</f>
        <v>0</v>
      </c>
      <c r="L22" s="225">
        <f t="shared" si="7"/>
        <v>0</v>
      </c>
      <c r="M22" s="224">
        <f>IF(D22="DPL",$J$9*'BRA Load Pricing Results'!K41/'BRA Load Pricing Results'!$K$47,0)</f>
        <v>0</v>
      </c>
      <c r="N22" s="225">
        <f t="shared" si="2"/>
        <v>0</v>
      </c>
      <c r="O22" s="224">
        <f>IF(D22="PEPCO",$J$10*'BRA Load Pricing Results'!K41/'BRA Load Pricing Results'!$K$53,0)</f>
        <v>0</v>
      </c>
      <c r="P22" s="225">
        <f t="shared" si="8"/>
        <v>0</v>
      </c>
      <c r="Q22" s="224">
        <f>IF(D22="ATSI",$J$11*'BRA Load Pricing Results'!K41/'BRA Load Pricing Results'!$K$40,0)</f>
        <v>0</v>
      </c>
      <c r="R22" s="225">
        <f t="shared" si="3"/>
        <v>0</v>
      </c>
      <c r="S22" s="227">
        <f t="shared" si="4"/>
        <v>1734.0899483478747</v>
      </c>
      <c r="T22" s="59">
        <f t="shared" si="5"/>
        <v>1993.762022360251</v>
      </c>
      <c r="U22" s="59">
        <f>T22/'BRA Load Pricing Results'!K41</f>
        <v>0.24053015200786307</v>
      </c>
      <c r="V22" s="228">
        <f>IF(S22=0,0,T22/S22)</f>
        <v>1.1497454467455823</v>
      </c>
      <c r="W22" s="15"/>
    </row>
    <row r="23" spans="1:23" ht="12.75">
      <c r="A23" s="127" t="s">
        <v>20</v>
      </c>
      <c r="B23" s="80"/>
      <c r="C23" s="80"/>
      <c r="D23" s="222"/>
      <c r="E23" s="224">
        <f>IF(B23="MAAC",$J$5*'BRA Load Pricing Results'!K42/'BRA Load Pricing Results'!$B$16,0)</f>
        <v>0</v>
      </c>
      <c r="F23" s="225">
        <f t="shared" si="1"/>
        <v>0</v>
      </c>
      <c r="G23" s="224">
        <f>IF(C23="EMAAC",$J$6*'BRA Load Pricing Results'!K42/'BRA Load Pricing Results'!$B$17,0)</f>
        <v>0</v>
      </c>
      <c r="H23" s="225">
        <f t="shared" si="9"/>
        <v>0</v>
      </c>
      <c r="I23" s="224">
        <f>IF(C23="SWMAAC",$J$7*'BRA Load Pricing Results'!K42/'BRA Load Pricing Results'!$B$18,0)</f>
        <v>0</v>
      </c>
      <c r="J23" s="225">
        <f t="shared" si="6"/>
        <v>0</v>
      </c>
      <c r="K23" s="224">
        <f>IF(D23="PS",$J$8*'BRA Load Pricing Results'!K42/'BRA Load Pricing Results'!$K$55,0)</f>
        <v>0</v>
      </c>
      <c r="L23" s="225">
        <f t="shared" si="7"/>
        <v>0</v>
      </c>
      <c r="M23" s="224">
        <f>IF(D23="DPL",$J$9*'BRA Load Pricing Results'!K42/'BRA Load Pricing Results'!$K$47,0)</f>
        <v>0</v>
      </c>
      <c r="N23" s="225">
        <f t="shared" si="2"/>
        <v>0</v>
      </c>
      <c r="O23" s="224">
        <f>IF(D23="PEPCO",$J$10*'BRA Load Pricing Results'!K42/'BRA Load Pricing Results'!$K$53,0)</f>
        <v>0</v>
      </c>
      <c r="P23" s="225">
        <f t="shared" si="8"/>
        <v>0</v>
      </c>
      <c r="Q23" s="224">
        <f>IF(D23="ATSI",$J$11*'BRA Load Pricing Results'!K42/'BRA Load Pricing Results'!$K$40,0)</f>
        <v>0</v>
      </c>
      <c r="R23" s="225">
        <f t="shared" si="3"/>
        <v>0</v>
      </c>
      <c r="S23" s="227">
        <f t="shared" si="4"/>
        <v>0</v>
      </c>
      <c r="T23" s="59">
        <f t="shared" si="5"/>
        <v>0</v>
      </c>
      <c r="U23" s="59">
        <f>T23/'BRA Load Pricing Results'!K42</f>
        <v>0</v>
      </c>
      <c r="V23" s="228">
        <f aca="true" t="shared" si="10" ref="V23:V37">IF(S23=0,0,T23/S23)</f>
        <v>0</v>
      </c>
      <c r="W23" s="15"/>
    </row>
    <row r="24" spans="1:23" ht="12.75">
      <c r="A24" s="127" t="s">
        <v>21</v>
      </c>
      <c r="B24" s="80"/>
      <c r="C24" s="80"/>
      <c r="D24" s="222"/>
      <c r="E24" s="224">
        <f>IF(B24="MAAC",$J$5*'BRA Load Pricing Results'!K43/'BRA Load Pricing Results'!$B$16,0)</f>
        <v>0</v>
      </c>
      <c r="F24" s="225">
        <f t="shared" si="1"/>
        <v>0</v>
      </c>
      <c r="G24" s="224">
        <f>IF(C24="EMAAC",$J$6*'BRA Load Pricing Results'!K43/'BRA Load Pricing Results'!$B$17,0)</f>
        <v>0</v>
      </c>
      <c r="H24" s="225">
        <f>G24*$H$16</f>
        <v>0</v>
      </c>
      <c r="I24" s="224">
        <f>IF(C24="SWMAAC",$J$7*'BRA Load Pricing Results'!K43/'BRA Load Pricing Results'!$B$18,0)</f>
        <v>0</v>
      </c>
      <c r="J24" s="225">
        <f>I24*$J$16</f>
        <v>0</v>
      </c>
      <c r="K24" s="224">
        <f>IF(D24="PS",$J$8*'BRA Load Pricing Results'!K43/'BRA Load Pricing Results'!$K$55,0)</f>
        <v>0</v>
      </c>
      <c r="L24" s="225">
        <f t="shared" si="7"/>
        <v>0</v>
      </c>
      <c r="M24" s="224">
        <f>IF(D24="DPL",$J$9*'BRA Load Pricing Results'!K43/'BRA Load Pricing Results'!$K$47,0)</f>
        <v>0</v>
      </c>
      <c r="N24" s="225">
        <f t="shared" si="2"/>
        <v>0</v>
      </c>
      <c r="O24" s="224">
        <f>IF(D24="PEPCO",$J$10*'BRA Load Pricing Results'!K43/'BRA Load Pricing Results'!$K$53,0)</f>
        <v>0</v>
      </c>
      <c r="P24" s="225">
        <f t="shared" si="8"/>
        <v>0</v>
      </c>
      <c r="Q24" s="224">
        <f>IF(D24="ATSI",$J$11*'BRA Load Pricing Results'!K43/'BRA Load Pricing Results'!$K$40,0)</f>
        <v>0</v>
      </c>
      <c r="R24" s="225">
        <f t="shared" si="3"/>
        <v>0</v>
      </c>
      <c r="S24" s="227">
        <f t="shared" si="4"/>
        <v>0</v>
      </c>
      <c r="T24" s="59">
        <f t="shared" si="5"/>
        <v>0</v>
      </c>
      <c r="U24" s="59">
        <f>T24/'BRA Load Pricing Results'!K43</f>
        <v>0</v>
      </c>
      <c r="V24" s="228">
        <f t="shared" si="10"/>
        <v>0</v>
      </c>
      <c r="W24" s="15"/>
    </row>
    <row r="25" spans="1:23" ht="12.75">
      <c r="A25" s="127" t="s">
        <v>65</v>
      </c>
      <c r="B25" s="80"/>
      <c r="C25" s="80"/>
      <c r="D25" s="222"/>
      <c r="E25" s="224">
        <f>IF(B25="MAAC",$J$5*'BRA Load Pricing Results'!K44/'BRA Load Pricing Results'!$B$16,0)</f>
        <v>0</v>
      </c>
      <c r="F25" s="225">
        <f t="shared" si="1"/>
        <v>0</v>
      </c>
      <c r="G25" s="224">
        <f>IF(C25="EMAAC",$J$6*'BRA Load Pricing Results'!K44/'BRA Load Pricing Results'!$B$17,0)</f>
        <v>0</v>
      </c>
      <c r="H25" s="225">
        <f>G25*$H$16</f>
        <v>0</v>
      </c>
      <c r="I25" s="224">
        <f>IF(C25="SWMAAC",$J$7*'BRA Load Pricing Results'!K44/'BRA Load Pricing Results'!$B$18,0)</f>
        <v>0</v>
      </c>
      <c r="J25" s="225">
        <f>I25*$J$16</f>
        <v>0</v>
      </c>
      <c r="K25" s="224">
        <f>IF(D25="PS",$J$8*'BRA Load Pricing Results'!K44/'BRA Load Pricing Results'!$K$55,0)</f>
        <v>0</v>
      </c>
      <c r="L25" s="225">
        <f>K25*$L$16</f>
        <v>0</v>
      </c>
      <c r="M25" s="224">
        <f>IF(D25="DPL",$J$9*'BRA Load Pricing Results'!K44/'BRA Load Pricing Results'!$K$47,0)</f>
        <v>0</v>
      </c>
      <c r="N25" s="225">
        <f>M25*$N$16</f>
        <v>0</v>
      </c>
      <c r="O25" s="224">
        <f>IF(D25="PEPCO",$J$10*'BRA Load Pricing Results'!K44/'BRA Load Pricing Results'!$K$53,0)</f>
        <v>0</v>
      </c>
      <c r="P25" s="225">
        <f>O25*$P$16</f>
        <v>0</v>
      </c>
      <c r="Q25" s="224">
        <f>IF(D25="ATSI",$J$11*'BRA Load Pricing Results'!K44/'BRA Load Pricing Results'!$K$40,0)</f>
        <v>0</v>
      </c>
      <c r="R25" s="225">
        <f t="shared" si="3"/>
        <v>0</v>
      </c>
      <c r="S25" s="227">
        <f t="shared" si="4"/>
        <v>0</v>
      </c>
      <c r="T25" s="59">
        <f t="shared" si="5"/>
        <v>0</v>
      </c>
      <c r="U25" s="59">
        <f>T25/'BRA Load Pricing Results'!K44</f>
        <v>0</v>
      </c>
      <c r="V25" s="228">
        <f t="shared" si="10"/>
        <v>0</v>
      </c>
      <c r="W25" s="15"/>
    </row>
    <row r="26" spans="1:23" ht="12.75">
      <c r="A26" s="127" t="s">
        <v>50</v>
      </c>
      <c r="B26" s="80"/>
      <c r="C26" s="80"/>
      <c r="D26" s="222"/>
      <c r="E26" s="224">
        <f>IF(B26="MAAC",$J$5*'BRA Load Pricing Results'!K45/'BRA Load Pricing Results'!$B$16,0)</f>
        <v>0</v>
      </c>
      <c r="F26" s="225">
        <f t="shared" si="1"/>
        <v>0</v>
      </c>
      <c r="G26" s="224">
        <f>IF(C26="EMAAC",$J$6*'BRA Load Pricing Results'!K45/'BRA Load Pricing Results'!$B$17,0)</f>
        <v>0</v>
      </c>
      <c r="H26" s="225">
        <f>G26*$H$16</f>
        <v>0</v>
      </c>
      <c r="I26" s="224">
        <f>IF(C26="SWMAAC",$J$7*'BRA Load Pricing Results'!K45/'BRA Load Pricing Results'!$B$18,0)</f>
        <v>0</v>
      </c>
      <c r="J26" s="225">
        <f>I26*$J$16</f>
        <v>0</v>
      </c>
      <c r="K26" s="224">
        <f>IF(D26="PS",$J$8*'BRA Load Pricing Results'!K45/'BRA Load Pricing Results'!$K$55,0)</f>
        <v>0</v>
      </c>
      <c r="L26" s="225">
        <f>K26*$L$16</f>
        <v>0</v>
      </c>
      <c r="M26" s="224">
        <f>IF(D26="DPL",$J$9*'BRA Load Pricing Results'!K45/'BRA Load Pricing Results'!$K$47,0)</f>
        <v>0</v>
      </c>
      <c r="N26" s="225">
        <f>M26*$N$16</f>
        <v>0</v>
      </c>
      <c r="O26" s="224">
        <f>IF(D26="PEPCO",$J$10*'BRA Load Pricing Results'!#REF!/'BRA Load Pricing Results'!$K$53,0)</f>
        <v>0</v>
      </c>
      <c r="P26" s="225">
        <f>O26*$P$16</f>
        <v>0</v>
      </c>
      <c r="Q26" s="224">
        <f>IF(D26="ATSI",$J$11*'BRA Load Pricing Results'!K45/'BRA Load Pricing Results'!$K$40,0)</f>
        <v>0</v>
      </c>
      <c r="R26" s="225">
        <f t="shared" si="3"/>
        <v>0</v>
      </c>
      <c r="S26" s="227">
        <f t="shared" si="4"/>
        <v>0</v>
      </c>
      <c r="T26" s="59">
        <f t="shared" si="5"/>
        <v>0</v>
      </c>
      <c r="U26" s="59">
        <f>T26/'BRA Load Pricing Results'!K45</f>
        <v>0</v>
      </c>
      <c r="V26" s="228">
        <f t="shared" si="10"/>
        <v>0</v>
      </c>
      <c r="W26" s="15"/>
    </row>
    <row r="27" spans="1:23" ht="12.75">
      <c r="A27" s="127" t="s">
        <v>33</v>
      </c>
      <c r="B27" s="80"/>
      <c r="C27" s="80"/>
      <c r="D27" s="222"/>
      <c r="E27" s="224">
        <f>IF(B27="MAAC",$J$5*'BRA Load Pricing Results'!K46/'BRA Load Pricing Results'!$B$16,0)</f>
        <v>0</v>
      </c>
      <c r="F27" s="225">
        <f t="shared" si="1"/>
        <v>0</v>
      </c>
      <c r="G27" s="224">
        <f>IF(C27="EMAAC",$J$6*'BRA Load Pricing Results'!K46/'BRA Load Pricing Results'!$B$17,0)</f>
        <v>0</v>
      </c>
      <c r="H27" s="225">
        <f t="shared" si="9"/>
        <v>0</v>
      </c>
      <c r="I27" s="224">
        <f>IF(C27="SWMAAC",$J$7*'BRA Load Pricing Results'!K46/'BRA Load Pricing Results'!$B$18,0)</f>
        <v>0</v>
      </c>
      <c r="J27" s="225">
        <f t="shared" si="6"/>
        <v>0</v>
      </c>
      <c r="K27" s="224">
        <f>IF(D27="PS",$J$8*'BRA Load Pricing Results'!K46/'BRA Load Pricing Results'!$K$55,0)</f>
        <v>0</v>
      </c>
      <c r="L27" s="225">
        <f t="shared" si="7"/>
        <v>0</v>
      </c>
      <c r="M27" s="224">
        <f>IF(D27="DPL",$J$9*'BRA Load Pricing Results'!K46/'BRA Load Pricing Results'!$K$47,0)</f>
        <v>0</v>
      </c>
      <c r="N27" s="225">
        <f t="shared" si="2"/>
        <v>0</v>
      </c>
      <c r="O27" s="224">
        <f>IF(D27="PEPCO",$J$10*'BRA Load Pricing Results'!K46/'BRA Load Pricing Results'!$K$53,0)</f>
        <v>0</v>
      </c>
      <c r="P27" s="225">
        <f t="shared" si="8"/>
        <v>0</v>
      </c>
      <c r="Q27" s="224">
        <f>IF(D27="ATSI",$J$11*'BRA Load Pricing Results'!K46/'BRA Load Pricing Results'!$K$40,0)</f>
        <v>0</v>
      </c>
      <c r="R27" s="225">
        <f t="shared" si="3"/>
        <v>0</v>
      </c>
      <c r="S27" s="227">
        <f t="shared" si="4"/>
        <v>0</v>
      </c>
      <c r="T27" s="59">
        <f t="shared" si="5"/>
        <v>0</v>
      </c>
      <c r="U27" s="59">
        <f>T27/'BRA Load Pricing Results'!K46</f>
        <v>0</v>
      </c>
      <c r="V27" s="228">
        <f t="shared" si="10"/>
        <v>0</v>
      </c>
      <c r="W27" s="15"/>
    </row>
    <row r="28" spans="1:23" ht="12.75">
      <c r="A28" s="127" t="s">
        <v>17</v>
      </c>
      <c r="B28" s="80" t="s">
        <v>30</v>
      </c>
      <c r="C28" s="80" t="s">
        <v>41</v>
      </c>
      <c r="D28" s="222" t="s">
        <v>17</v>
      </c>
      <c r="E28" s="224">
        <f>IF(B28="MAAC",$J$5*'BRA Load Pricing Results'!K47/'BRA Load Pricing Results'!$B$16,0)</f>
        <v>19.28158489745062</v>
      </c>
      <c r="F28" s="225">
        <f aca="true" t="shared" si="11" ref="F28:F37">E28*$F$16</f>
        <v>1152.2675134716492</v>
      </c>
      <c r="G28" s="224">
        <f>IF(C28="EMAAC",$J$6*'BRA Load Pricing Results'!K47/'BRA Load Pricing Results'!$B$17,0)</f>
        <v>574.9573805079901</v>
      </c>
      <c r="H28" s="225">
        <f>G28*$H$16</f>
        <v>0</v>
      </c>
      <c r="I28" s="224">
        <f>IF(C28="SWMAAC",$J$7*'BRA Load Pricing Results'!K47/'BRA Load Pricing Results'!$B$18,0)</f>
        <v>0</v>
      </c>
      <c r="J28" s="225">
        <f t="shared" si="6"/>
        <v>0</v>
      </c>
      <c r="K28" s="224">
        <f>IF(D28="PS",$J$8*'BRA Load Pricing Results'!K47/'BRA Load Pricing Results'!$K$55,0)</f>
        <v>0</v>
      </c>
      <c r="L28" s="225">
        <f t="shared" si="7"/>
        <v>0</v>
      </c>
      <c r="M28" s="224">
        <f>IF(D28="DPL",$J$9*'BRA Load Pricing Results'!K47/'BRA Load Pricing Results'!$K$47,0)</f>
        <v>0</v>
      </c>
      <c r="N28" s="225">
        <f t="shared" si="2"/>
        <v>0</v>
      </c>
      <c r="O28" s="224">
        <f>IF(D28="PEPCO",$J$10*'BRA Load Pricing Results'!K47/'BRA Load Pricing Results'!$K$53,0)</f>
        <v>0</v>
      </c>
      <c r="P28" s="225">
        <f t="shared" si="8"/>
        <v>0</v>
      </c>
      <c r="Q28" s="224">
        <f>IF(D28="ATSI",$J$11*'BRA Load Pricing Results'!K47/'BRA Load Pricing Results'!$K$40,0)</f>
        <v>0</v>
      </c>
      <c r="R28" s="225">
        <f t="shared" si="3"/>
        <v>0</v>
      </c>
      <c r="S28" s="227">
        <f t="shared" si="4"/>
        <v>574.9573805079901</v>
      </c>
      <c r="T28" s="59">
        <f t="shared" si="5"/>
        <v>1152.2675134716492</v>
      </c>
      <c r="U28" s="59">
        <f>T28/'BRA Load Pricing Results'!K47</f>
        <v>0.2405301520078631</v>
      </c>
      <c r="V28" s="228">
        <f t="shared" si="10"/>
        <v>2.0040920467071666</v>
      </c>
      <c r="W28" s="15"/>
    </row>
    <row r="29" spans="1:23" ht="12.75">
      <c r="A29" s="127" t="s">
        <v>185</v>
      </c>
      <c r="B29" s="80"/>
      <c r="C29" s="80"/>
      <c r="D29" s="222"/>
      <c r="E29" s="224">
        <f>IF(B29="MAAC",$J$5*'BRA Load Pricing Results'!K48/'BRA Load Pricing Results'!$B$16,0)</f>
        <v>0</v>
      </c>
      <c r="F29" s="225">
        <f t="shared" si="11"/>
        <v>0</v>
      </c>
      <c r="G29" s="224">
        <f>IF(C29="EMAAC",$J$6*'BRA Load Pricing Results'!K48/'BRA Load Pricing Results'!$B$17,0)</f>
        <v>0</v>
      </c>
      <c r="H29" s="225">
        <f>G29*$H$16</f>
        <v>0</v>
      </c>
      <c r="I29" s="224">
        <f>IF(C29="SWMAAC",$J$7*'BRA Load Pricing Results'!K48/'BRA Load Pricing Results'!$B$18,0)</f>
        <v>0</v>
      </c>
      <c r="J29" s="225">
        <f>I29*$J$16</f>
        <v>0</v>
      </c>
      <c r="K29" s="224">
        <f>IF(D29="PS",$J$8*'BRA Load Pricing Results'!K48/'BRA Load Pricing Results'!$K$55,0)</f>
        <v>0</v>
      </c>
      <c r="L29" s="225">
        <f>K29*$L$16</f>
        <v>0</v>
      </c>
      <c r="M29" s="224">
        <f>IF(D29="DPL",$J$9*'BRA Load Pricing Results'!K48/'BRA Load Pricing Results'!$K$47,0)</f>
        <v>0</v>
      </c>
      <c r="N29" s="225">
        <f>M29*$N$16</f>
        <v>0</v>
      </c>
      <c r="O29" s="224">
        <f>IF(D29="PEPCO",$J$10*'BRA Load Pricing Results'!K48/'BRA Load Pricing Results'!$K$53,0)</f>
        <v>0</v>
      </c>
      <c r="P29" s="225">
        <f>O29*$P$16</f>
        <v>0</v>
      </c>
      <c r="Q29" s="224">
        <f>IF(D29="ATSI",$J$11*'BRA Load Pricing Results'!K48/'BRA Load Pricing Results'!$K$40,0)</f>
        <v>0</v>
      </c>
      <c r="R29" s="225">
        <f>Q29*$R$16</f>
        <v>0</v>
      </c>
      <c r="S29" s="227">
        <f>MAX(E29,G29,I29,K29,M29,O29,Q29)</f>
        <v>0</v>
      </c>
      <c r="T29" s="59">
        <f>F29+H29+J29+L29+N29+P29+R29</f>
        <v>0</v>
      </c>
      <c r="U29" s="59">
        <f>T29/'BRA Load Pricing Results'!K48</f>
        <v>0</v>
      </c>
      <c r="V29" s="228">
        <f>IF(S29=0,0,T29/S29)</f>
        <v>0</v>
      </c>
      <c r="W29" s="15"/>
    </row>
    <row r="30" spans="1:23" ht="12.75">
      <c r="A30" s="127" t="s">
        <v>12</v>
      </c>
      <c r="B30" s="80" t="s">
        <v>30</v>
      </c>
      <c r="C30" s="80" t="s">
        <v>41</v>
      </c>
      <c r="D30" s="222"/>
      <c r="E30" s="224">
        <f>IF(B30="MAAC",$J$5*'BRA Load Pricing Results'!K49/'BRA Load Pricing Results'!$B$16,0)</f>
        <v>29.210777120283094</v>
      </c>
      <c r="F30" s="225">
        <f t="shared" si="11"/>
        <v>1745.6360407081177</v>
      </c>
      <c r="G30" s="224">
        <f>IF(C30="EMAAC",$J$6*'BRA Load Pricing Results'!K49/'BRA Load Pricing Results'!$B$17,0)</f>
        <v>871.035860641378</v>
      </c>
      <c r="H30" s="225">
        <f>G30*$H$16</f>
        <v>0</v>
      </c>
      <c r="I30" s="224">
        <f>IF(C30="SWMAAC",$J$7*'BRA Load Pricing Results'!K49/'BRA Load Pricing Results'!$B$18,0)</f>
        <v>0</v>
      </c>
      <c r="J30" s="225">
        <f t="shared" si="6"/>
        <v>0</v>
      </c>
      <c r="K30" s="224">
        <f>IF(D30="PS",$J$8*'BRA Load Pricing Results'!K49/'BRA Load Pricing Results'!$K$55,0)</f>
        <v>0</v>
      </c>
      <c r="L30" s="225">
        <f t="shared" si="7"/>
        <v>0</v>
      </c>
      <c r="M30" s="224">
        <f>IF(D30="DPL",$J$9*'BRA Load Pricing Results'!K49/'BRA Load Pricing Results'!$K$47,0)</f>
        <v>0</v>
      </c>
      <c r="N30" s="225">
        <f t="shared" si="2"/>
        <v>0</v>
      </c>
      <c r="O30" s="224">
        <f>IF(D30="PEPCO",$J$10*'BRA Load Pricing Results'!K49/'BRA Load Pricing Results'!$K$53,0)</f>
        <v>0</v>
      </c>
      <c r="P30" s="225">
        <f t="shared" si="8"/>
        <v>0</v>
      </c>
      <c r="Q30" s="224">
        <f>IF(D30="ATSI",$J$11*'BRA Load Pricing Results'!K49/'BRA Load Pricing Results'!$K$40,0)</f>
        <v>0</v>
      </c>
      <c r="R30" s="225">
        <f t="shared" si="3"/>
        <v>0</v>
      </c>
      <c r="S30" s="227">
        <f t="shared" si="4"/>
        <v>871.035860641378</v>
      </c>
      <c r="T30" s="59">
        <f t="shared" si="5"/>
        <v>1745.6360407081177</v>
      </c>
      <c r="U30" s="59">
        <f>T30/'BRA Load Pricing Results'!K49</f>
        <v>0.2405301520078631</v>
      </c>
      <c r="V30" s="228">
        <f t="shared" si="10"/>
        <v>2.0040920467071666</v>
      </c>
      <c r="W30" s="15"/>
    </row>
    <row r="31" spans="1:23" ht="12.75">
      <c r="A31" s="127" t="s">
        <v>13</v>
      </c>
      <c r="B31" s="80" t="s">
        <v>30</v>
      </c>
      <c r="C31" s="80"/>
      <c r="D31" s="222"/>
      <c r="E31" s="224">
        <f>IF(B31="MAAC",$J$5*'BRA Load Pricing Results'!K50/'BRA Load Pricing Results'!$B$16,0)</f>
        <v>14.044611221599832</v>
      </c>
      <c r="F31" s="225">
        <f t="shared" si="11"/>
        <v>839.3059666028059</v>
      </c>
      <c r="G31" s="224">
        <f>IF(C31="EMAAC",$J$6*'BRA Load Pricing Results'!K50/'BRA Load Pricing Results'!$B$17,0)</f>
        <v>0</v>
      </c>
      <c r="H31" s="225">
        <f t="shared" si="9"/>
        <v>0</v>
      </c>
      <c r="I31" s="224">
        <f>IF(C31="SWMAAC",$J$7*'BRA Load Pricing Results'!K50/'BRA Load Pricing Results'!$B$18,0)</f>
        <v>0</v>
      </c>
      <c r="J31" s="225">
        <f t="shared" si="6"/>
        <v>0</v>
      </c>
      <c r="K31" s="224">
        <f>IF(D31="PS",$J$8*'BRA Load Pricing Results'!K50/'BRA Load Pricing Results'!$K$55,0)</f>
        <v>0</v>
      </c>
      <c r="L31" s="225">
        <f t="shared" si="7"/>
        <v>0</v>
      </c>
      <c r="M31" s="224">
        <f>IF(D31="DPL",$J$9*'BRA Load Pricing Results'!K50/'BRA Load Pricing Results'!$K$47,0)</f>
        <v>0</v>
      </c>
      <c r="N31" s="225">
        <f t="shared" si="2"/>
        <v>0</v>
      </c>
      <c r="O31" s="224">
        <f>IF(D31="PEPCO",$J$10*'BRA Load Pricing Results'!K50/'BRA Load Pricing Results'!$K$53,0)</f>
        <v>0</v>
      </c>
      <c r="P31" s="225">
        <f t="shared" si="8"/>
        <v>0</v>
      </c>
      <c r="Q31" s="224">
        <f>IF(D31="ATSI",$J$11*'BRA Load Pricing Results'!K50/'BRA Load Pricing Results'!$K$40,0)</f>
        <v>0</v>
      </c>
      <c r="R31" s="225">
        <f t="shared" si="3"/>
        <v>0</v>
      </c>
      <c r="S31" s="227">
        <f t="shared" si="4"/>
        <v>14.044611221599832</v>
      </c>
      <c r="T31" s="59">
        <f aca="true" t="shared" si="12" ref="T31:T36">F31+H31+J31+L31+N31+P31+R31</f>
        <v>839.3059666028059</v>
      </c>
      <c r="U31" s="59">
        <f>T31/'BRA Load Pricing Results'!K50</f>
        <v>0.2405301520078631</v>
      </c>
      <c r="V31" s="228">
        <f t="shared" si="10"/>
        <v>59.76</v>
      </c>
      <c r="W31" s="15"/>
    </row>
    <row r="32" spans="1:23" ht="12.75">
      <c r="A32" s="127" t="s">
        <v>9</v>
      </c>
      <c r="B32" s="80" t="s">
        <v>30</v>
      </c>
      <c r="C32" s="80" t="s">
        <v>41</v>
      </c>
      <c r="D32" s="222"/>
      <c r="E32" s="224">
        <f>IF(B32="MAAC",$J$5*'BRA Load Pricing Results'!K51/'BRA Load Pricing Results'!$B$16,0)</f>
        <v>40.77881250391503</v>
      </c>
      <c r="F32" s="225">
        <f t="shared" si="11"/>
        <v>2436.941835233962</v>
      </c>
      <c r="G32" s="224">
        <f>IF(C32="EMAAC",$J$6*'BRA Load Pricing Results'!K51/'BRA Load Pricing Results'!$B$17,0)</f>
        <v>1215.98298802592</v>
      </c>
      <c r="H32" s="225">
        <f>G32*$H$16</f>
        <v>0</v>
      </c>
      <c r="I32" s="224">
        <f>IF(C32="SWMAAC",$J$7*'BRA Load Pricing Results'!K51/'BRA Load Pricing Results'!$B$18,0)</f>
        <v>0</v>
      </c>
      <c r="J32" s="225">
        <f t="shared" si="6"/>
        <v>0</v>
      </c>
      <c r="K32" s="224">
        <f>IF(D32="PS",$J$8*'BRA Load Pricing Results'!K51/'BRA Load Pricing Results'!$K$55,0)</f>
        <v>0</v>
      </c>
      <c r="L32" s="225">
        <f t="shared" si="7"/>
        <v>0</v>
      </c>
      <c r="M32" s="224">
        <f>IF(D32="DPL",$J$9*'BRA Load Pricing Results'!K51/'BRA Load Pricing Results'!$K$47,0)</f>
        <v>0</v>
      </c>
      <c r="N32" s="225">
        <f t="shared" si="2"/>
        <v>0</v>
      </c>
      <c r="O32" s="224">
        <f>IF(D32="PEPCO",$J$10*'BRA Load Pricing Results'!K51/'BRA Load Pricing Results'!$K$53,0)</f>
        <v>0</v>
      </c>
      <c r="P32" s="225">
        <f t="shared" si="8"/>
        <v>0</v>
      </c>
      <c r="Q32" s="224">
        <f>IF(D32="ATSI",$J$11*'BRA Load Pricing Results'!K51/'BRA Load Pricing Results'!$K$40,0)</f>
        <v>0</v>
      </c>
      <c r="R32" s="225">
        <f t="shared" si="3"/>
        <v>0</v>
      </c>
      <c r="S32" s="227">
        <f t="shared" si="4"/>
        <v>1215.98298802592</v>
      </c>
      <c r="T32" s="59">
        <f t="shared" si="12"/>
        <v>2436.941835233962</v>
      </c>
      <c r="U32" s="59">
        <f>T32/'BRA Load Pricing Results'!K51</f>
        <v>0.2405301520078631</v>
      </c>
      <c r="V32" s="228">
        <f t="shared" si="10"/>
        <v>2.004092046707167</v>
      </c>
      <c r="W32" s="15"/>
    </row>
    <row r="33" spans="1:23" ht="12.75">
      <c r="A33" s="127" t="s">
        <v>14</v>
      </c>
      <c r="B33" s="80" t="s">
        <v>30</v>
      </c>
      <c r="C33" s="80"/>
      <c r="D33" s="222"/>
      <c r="E33" s="224">
        <f>IF(B33="MAAC",$J$5*'BRA Load Pricing Results'!K52/'BRA Load Pricing Results'!$B$16,0)</f>
        <v>13.934744640987574</v>
      </c>
      <c r="F33" s="225">
        <f t="shared" si="11"/>
        <v>832.7403397454174</v>
      </c>
      <c r="G33" s="224">
        <f>IF(C33="EMAAC",$J$6*'BRA Load Pricing Results'!K52/'BRA Load Pricing Results'!$B$17,0)</f>
        <v>0</v>
      </c>
      <c r="H33" s="225">
        <f t="shared" si="9"/>
        <v>0</v>
      </c>
      <c r="I33" s="224">
        <f>IF(C33="SWMAAC",$J$7*'BRA Load Pricing Results'!K52/'BRA Load Pricing Results'!$B$18,0)</f>
        <v>0</v>
      </c>
      <c r="J33" s="225">
        <f t="shared" si="6"/>
        <v>0</v>
      </c>
      <c r="K33" s="224">
        <f>IF(D33="PS",$J$8*'BRA Load Pricing Results'!K52/'BRA Load Pricing Results'!$K$55,0)</f>
        <v>0</v>
      </c>
      <c r="L33" s="225">
        <f t="shared" si="7"/>
        <v>0</v>
      </c>
      <c r="M33" s="224">
        <f>IF(D33="DPL",$J$9*'BRA Load Pricing Results'!K52/'BRA Load Pricing Results'!$K$47,0)</f>
        <v>0</v>
      </c>
      <c r="N33" s="225">
        <f t="shared" si="2"/>
        <v>0</v>
      </c>
      <c r="O33" s="224">
        <f>IF(D33="PEPCO",$J$10*'BRA Load Pricing Results'!K52/'BRA Load Pricing Results'!$K$53,0)</f>
        <v>0</v>
      </c>
      <c r="P33" s="225">
        <f t="shared" si="8"/>
        <v>0</v>
      </c>
      <c r="Q33" s="224">
        <f>IF(D33="ATSI",$J$11*'BRA Load Pricing Results'!K52/'BRA Load Pricing Results'!$K$40,0)</f>
        <v>0</v>
      </c>
      <c r="R33" s="225">
        <f t="shared" si="3"/>
        <v>0</v>
      </c>
      <c r="S33" s="227">
        <f t="shared" si="4"/>
        <v>13.934744640987574</v>
      </c>
      <c r="T33" s="59">
        <f t="shared" si="12"/>
        <v>832.7403397454174</v>
      </c>
      <c r="U33" s="59">
        <f>T33/'BRA Load Pricing Results'!K52</f>
        <v>0.24053015200786304</v>
      </c>
      <c r="V33" s="228">
        <f t="shared" si="10"/>
        <v>59.76</v>
      </c>
      <c r="W33" s="15"/>
    </row>
    <row r="34" spans="1:23" ht="12.75">
      <c r="A34" s="127" t="s">
        <v>15</v>
      </c>
      <c r="B34" s="80" t="s">
        <v>30</v>
      </c>
      <c r="C34" s="80" t="s">
        <v>5</v>
      </c>
      <c r="D34" s="222" t="s">
        <v>15</v>
      </c>
      <c r="E34" s="224">
        <f>IF(B34="MAAC",$J$5*'BRA Load Pricing Results'!K53/'BRA Load Pricing Results'!$B$16,0)</f>
        <v>31.128864506805368</v>
      </c>
      <c r="F34" s="225">
        <f t="shared" si="11"/>
        <v>1860.2609429266888</v>
      </c>
      <c r="G34" s="224">
        <f>IF(C34="EMAAC",$J$6*'BRA Load Pricing Results'!K53/'BRA Load Pricing Results'!$B$17,0)</f>
        <v>0</v>
      </c>
      <c r="H34" s="225">
        <f t="shared" si="9"/>
        <v>0</v>
      </c>
      <c r="I34" s="224">
        <f>IF(C34="SWMAAC",$J$7*'BRA Load Pricing Results'!K53/'BRA Load Pricing Results'!$B$18,0)</f>
        <v>1617.9763513673913</v>
      </c>
      <c r="J34" s="225">
        <f t="shared" si="6"/>
        <v>0</v>
      </c>
      <c r="K34" s="224">
        <f>IF(D34="PS",$J$8*'BRA Load Pricing Results'!K53/'BRA Load Pricing Results'!$K$55,0)</f>
        <v>0</v>
      </c>
      <c r="L34" s="225">
        <f t="shared" si="7"/>
        <v>0</v>
      </c>
      <c r="M34" s="224">
        <f>IF(D34="DPL",$J$9*'BRA Load Pricing Results'!K53/'BRA Load Pricing Results'!$K$47,0)</f>
        <v>0</v>
      </c>
      <c r="N34" s="225">
        <f>M34*N16</f>
        <v>0</v>
      </c>
      <c r="O34" s="224">
        <f>IF(D34="PEPCO",$J$10*'BRA Load Pricing Results'!K53/'BRA Load Pricing Results'!$K$53,0)</f>
        <v>1454.9691395559205</v>
      </c>
      <c r="P34" s="225">
        <f>O34*$P$16</f>
        <v>0</v>
      </c>
      <c r="Q34" s="224">
        <f>IF(D34="ATSI",$J$11*'BRA Load Pricing Results'!K53/'BRA Load Pricing Results'!$K$40,0)</f>
        <v>0</v>
      </c>
      <c r="R34" s="225">
        <f t="shared" si="3"/>
        <v>0</v>
      </c>
      <c r="S34" s="227">
        <f t="shared" si="4"/>
        <v>1617.9763513673913</v>
      </c>
      <c r="T34" s="59">
        <f t="shared" si="12"/>
        <v>1860.2609429266888</v>
      </c>
      <c r="U34" s="59">
        <f>T34/'BRA Load Pricing Results'!K53</f>
        <v>0.24053015200786312</v>
      </c>
      <c r="V34" s="228">
        <f t="shared" si="10"/>
        <v>1.1497454467455825</v>
      </c>
      <c r="W34" s="15"/>
    </row>
    <row r="35" spans="1:23" ht="12.75">
      <c r="A35" s="127" t="s">
        <v>10</v>
      </c>
      <c r="B35" s="80" t="s">
        <v>30</v>
      </c>
      <c r="C35" s="80"/>
      <c r="D35" s="222"/>
      <c r="E35" s="224">
        <f>IF(B35="MAAC",$J$5*'BRA Load Pricing Results'!K54/'BRA Load Pricing Results'!$B$16,0)</f>
        <v>34.704106150895804</v>
      </c>
      <c r="F35" s="225">
        <f t="shared" si="11"/>
        <v>2073.917383577533</v>
      </c>
      <c r="G35" s="224">
        <f>IF(C35="EMAAC",$J$6*'BRA Load Pricing Results'!K54/'BRA Load Pricing Results'!$B$17,0)</f>
        <v>0</v>
      </c>
      <c r="H35" s="225">
        <f t="shared" si="9"/>
        <v>0</v>
      </c>
      <c r="I35" s="224">
        <f>IF(C35="SWMAAC",$J$7*'BRA Load Pricing Results'!K54/'BRA Load Pricing Results'!$B$18,0)</f>
        <v>0</v>
      </c>
      <c r="J35" s="225">
        <f t="shared" si="6"/>
        <v>0</v>
      </c>
      <c r="K35" s="224">
        <f>IF(D35="PS",$J$8*'BRA Load Pricing Results'!K54/'BRA Load Pricing Results'!$K$55,0)</f>
        <v>0</v>
      </c>
      <c r="L35" s="225">
        <f t="shared" si="7"/>
        <v>0</v>
      </c>
      <c r="M35" s="224">
        <f>IF(D35="DPL",$J$9*'BRA Load Pricing Results'!K54/'BRA Load Pricing Results'!$K$47,0)</f>
        <v>0</v>
      </c>
      <c r="N35" s="225">
        <f>M35*$N$16</f>
        <v>0</v>
      </c>
      <c r="O35" s="224">
        <f>IF(D35="PEPCO",$J$10*'BRA Load Pricing Results'!K54/'BRA Load Pricing Results'!$K$53,0)</f>
        <v>0</v>
      </c>
      <c r="P35" s="225">
        <f>O35*$P$16</f>
        <v>0</v>
      </c>
      <c r="Q35" s="224">
        <f>IF(D35="ATSI",$J$11*'BRA Load Pricing Results'!K54/'BRA Load Pricing Results'!$K$40,0)</f>
        <v>0</v>
      </c>
      <c r="R35" s="225">
        <f t="shared" si="3"/>
        <v>0</v>
      </c>
      <c r="S35" s="227">
        <f t="shared" si="4"/>
        <v>34.704106150895804</v>
      </c>
      <c r="T35" s="59">
        <f t="shared" si="12"/>
        <v>2073.917383577533</v>
      </c>
      <c r="U35" s="59">
        <f>T35/'BRA Load Pricing Results'!K54</f>
        <v>0.24053015200786307</v>
      </c>
      <c r="V35" s="228">
        <f t="shared" si="10"/>
        <v>59.76</v>
      </c>
      <c r="W35" s="15"/>
    </row>
    <row r="36" spans="1:23" ht="12.75">
      <c r="A36" s="127" t="s">
        <v>8</v>
      </c>
      <c r="B36" s="80" t="s">
        <v>30</v>
      </c>
      <c r="C36" s="80" t="s">
        <v>41</v>
      </c>
      <c r="D36" s="222" t="s">
        <v>8</v>
      </c>
      <c r="E36" s="224">
        <f>IF(B36="MAAC",$J$5*'BRA Load Pricing Results'!K55/'BRA Load Pricing Results'!$B$16,0)</f>
        <v>48.52440643707896</v>
      </c>
      <c r="F36" s="225">
        <f t="shared" si="11"/>
        <v>2899.8185286798384</v>
      </c>
      <c r="G36" s="224">
        <f>IF(C36="EMAAC",$J$6*'BRA Load Pricing Results'!K55/'BRA Load Pricing Results'!$B$17,0)</f>
        <v>1446.9487733581896</v>
      </c>
      <c r="H36" s="225">
        <f>G36*$H$16</f>
        <v>0</v>
      </c>
      <c r="I36" s="224">
        <f>IF(C36="SWMAAC",$J$7*'BRA Load Pricing Results'!K55/'BRA Load Pricing Results'!$B$18,0)</f>
        <v>0</v>
      </c>
      <c r="J36" s="225">
        <f t="shared" si="6"/>
        <v>0</v>
      </c>
      <c r="K36" s="224">
        <f>IF(D36="PS",$J$8*'BRA Load Pricing Results'!K55/'BRA Load Pricing Results'!$K$55,0)</f>
        <v>4966.943070484232</v>
      </c>
      <c r="L36" s="225">
        <f>K36*$L$16</f>
        <v>496048.6044492603</v>
      </c>
      <c r="M36" s="224">
        <f>IF(D36="DPL",$J$9*'BRA Load Pricing Results'!K55/'BRA Load Pricing Results'!$K$47,0)</f>
        <v>0</v>
      </c>
      <c r="N36" s="225">
        <f>M36*$N$16</f>
        <v>0</v>
      </c>
      <c r="O36" s="224">
        <f>IF(D36="PEPCO",$J$10*'BRA Load Pricing Results'!K55/'BRA Load Pricing Results'!$K$53,0)</f>
        <v>0</v>
      </c>
      <c r="P36" s="225">
        <f>O36*$P$16</f>
        <v>0</v>
      </c>
      <c r="Q36" s="224">
        <f>IF(D36="ATSI",$J$11*'BRA Load Pricing Results'!K55/'BRA Load Pricing Results'!$K$40,0)</f>
        <v>0</v>
      </c>
      <c r="R36" s="225">
        <f t="shared" si="3"/>
        <v>0</v>
      </c>
      <c r="S36" s="227">
        <f>MAX(E36,G36,I36,K36,M36,O36,Q36)</f>
        <v>4966.943070484232</v>
      </c>
      <c r="T36" s="59">
        <f t="shared" si="12"/>
        <v>498948.4229779401</v>
      </c>
      <c r="U36" s="59">
        <f>T36/'BRA Load Pricing Results'!K55</f>
        <v>41.38608634851499</v>
      </c>
      <c r="V36" s="228">
        <f t="shared" si="10"/>
        <v>100.45382358878078</v>
      </c>
      <c r="W36" s="15"/>
    </row>
    <row r="37" spans="1:23" ht="13.5" thickBot="1">
      <c r="A37" s="104" t="s">
        <v>18</v>
      </c>
      <c r="B37" s="84" t="s">
        <v>30</v>
      </c>
      <c r="C37" s="84" t="s">
        <v>41</v>
      </c>
      <c r="D37" s="223"/>
      <c r="E37" s="245">
        <f>IF(B37="MAAC",$J$5*'BRA Load Pricing Results'!K56/'BRA Load Pricing Results'!$B$16,0)</f>
        <v>1.9043540639457397</v>
      </c>
      <c r="F37" s="246">
        <f t="shared" si="11"/>
        <v>113.8041988613974</v>
      </c>
      <c r="G37" s="245">
        <f>IF(C37="EMAAC",$J$6*'BRA Load Pricing Results'!K56/'BRA Load Pricing Results'!$B$17,0)</f>
        <v>56.78591412424592</v>
      </c>
      <c r="H37" s="246">
        <f>G37*$H$16</f>
        <v>0</v>
      </c>
      <c r="I37" s="245">
        <f>IF(C37="SWMAAC",$J$7*'BRA Load Pricing Results'!K56/'BRA Load Pricing Results'!$B$18,0)</f>
        <v>0</v>
      </c>
      <c r="J37" s="246">
        <f t="shared" si="6"/>
        <v>0</v>
      </c>
      <c r="K37" s="245">
        <f>IF(D37="PS",$J$8*'BRA Load Pricing Results'!K56/'BRA Load Pricing Results'!$K$55,0)</f>
        <v>0</v>
      </c>
      <c r="L37" s="246">
        <f t="shared" si="7"/>
        <v>0</v>
      </c>
      <c r="M37" s="245">
        <f>IF(D37="DPL",$J$9*'BRA Load Pricing Results'!K56/'BRA Load Pricing Results'!$K$47,0)</f>
        <v>0</v>
      </c>
      <c r="N37" s="246">
        <f>M37*$N$16</f>
        <v>0</v>
      </c>
      <c r="O37" s="245">
        <f>IF(D37="PEPCO",$J$10*'BRA Load Pricing Results'!K56/'BRA Load Pricing Results'!$K$53,0)</f>
        <v>0</v>
      </c>
      <c r="P37" s="246">
        <f>O37*$P$16</f>
        <v>0</v>
      </c>
      <c r="Q37" s="245">
        <f>IF(D37="ATSI",$J$11*'BRA Load Pricing Results'!K56/'BRA Load Pricing Results'!$K$40,0)</f>
        <v>0</v>
      </c>
      <c r="R37" s="246">
        <f t="shared" si="3"/>
        <v>0</v>
      </c>
      <c r="S37" s="247">
        <f t="shared" si="4"/>
        <v>56.78591412424592</v>
      </c>
      <c r="T37" s="248">
        <f>F37+H37+J37+L37+N37+P37+R37</f>
        <v>113.8041988613974</v>
      </c>
      <c r="U37" s="248">
        <f>T37/'BRA Load Pricing Results'!K56</f>
        <v>0.24053015200786307</v>
      </c>
      <c r="V37" s="249">
        <f t="shared" si="10"/>
        <v>2.0040920467071666</v>
      </c>
      <c r="W37" s="15"/>
    </row>
    <row r="38" spans="1:23" ht="13.5" thickBot="1">
      <c r="A38" s="650" t="s">
        <v>89</v>
      </c>
      <c r="B38" s="651"/>
      <c r="C38" s="651"/>
      <c r="D38" s="652"/>
      <c r="E38" s="250">
        <f>SUM(E18:E37)</f>
        <v>279.610447658187</v>
      </c>
      <c r="F38" s="251">
        <f>SUM(F18:F37)</f>
        <v>16709.52035205326</v>
      </c>
      <c r="G38" s="250">
        <f aca="true" t="shared" si="13" ref="G38:L38">SUM(G18:G37)</f>
        <v>4545.466717363619</v>
      </c>
      <c r="H38" s="251">
        <f t="shared" si="13"/>
        <v>0</v>
      </c>
      <c r="I38" s="250">
        <f t="shared" si="13"/>
        <v>3352.066299715266</v>
      </c>
      <c r="J38" s="251">
        <f t="shared" si="13"/>
        <v>0</v>
      </c>
      <c r="K38" s="250">
        <f>SUM(K18:K37)</f>
        <v>4966.943070484232</v>
      </c>
      <c r="L38" s="251">
        <f t="shared" si="13"/>
        <v>496048.6044492603</v>
      </c>
      <c r="M38" s="250">
        <f aca="true" t="shared" si="14" ref="M38:R38">SUM(M18:M37)</f>
        <v>0</v>
      </c>
      <c r="N38" s="251">
        <f t="shared" si="14"/>
        <v>0</v>
      </c>
      <c r="O38" s="250">
        <f t="shared" si="14"/>
        <v>1454.9691395559205</v>
      </c>
      <c r="P38" s="251">
        <f t="shared" si="14"/>
        <v>0</v>
      </c>
      <c r="Q38" s="250">
        <f t="shared" si="14"/>
        <v>6008.209178435385</v>
      </c>
      <c r="R38" s="251">
        <f t="shared" si="14"/>
        <v>210767.97797951326</v>
      </c>
      <c r="S38" s="252"/>
      <c r="T38" s="253">
        <f>SUM(T18:T37)</f>
        <v>723526.1027808267</v>
      </c>
      <c r="U38" s="254"/>
      <c r="V38" s="255"/>
      <c r="W38" s="29"/>
    </row>
    <row r="39" ht="12.75">
      <c r="A39" s="12" t="s">
        <v>90</v>
      </c>
    </row>
    <row r="40" ht="12.75">
      <c r="A40" s="12" t="s">
        <v>91</v>
      </c>
    </row>
    <row r="41" ht="12.75">
      <c r="A41" s="12" t="s">
        <v>211</v>
      </c>
    </row>
    <row r="42" ht="12.75">
      <c r="A42" s="12" t="s">
        <v>92</v>
      </c>
    </row>
    <row r="43" ht="12.75">
      <c r="A43" s="12" t="s">
        <v>93</v>
      </c>
    </row>
  </sheetData>
  <sheetProtection/>
  <mergeCells count="9">
    <mergeCell ref="Q15:R15"/>
    <mergeCell ref="O15:P15"/>
    <mergeCell ref="I15:J15"/>
    <mergeCell ref="A14:D16"/>
    <mergeCell ref="A38:D38"/>
    <mergeCell ref="E15:F15"/>
    <mergeCell ref="G15:H15"/>
    <mergeCell ref="K15:L15"/>
    <mergeCell ref="M15:N15"/>
  </mergeCells>
  <printOptions horizontalCentered="1" verticalCentered="1"/>
  <pageMargins left="0.45" right="0.45" top="0.5" bottom="0.5" header="0" footer="0"/>
  <pageSetup fitToHeight="1" fitToWidth="1" horizontalDpi="600" verticalDpi="600" orientation="landscape" scale="37" r:id="rId1"/>
</worksheet>
</file>

<file path=xl/worksheets/sheet6.xml><?xml version="1.0" encoding="utf-8"?>
<worksheet xmlns="http://schemas.openxmlformats.org/spreadsheetml/2006/main" xmlns:r="http://schemas.openxmlformats.org/officeDocument/2006/relationships">
  <sheetPr>
    <pageSetUpPr fitToPage="1"/>
  </sheetPr>
  <dimension ref="A1:T98"/>
  <sheetViews>
    <sheetView zoomScalePageLayoutView="0" workbookViewId="0" topLeftCell="A1">
      <selection activeCell="A1" sqref="A1"/>
    </sheetView>
  </sheetViews>
  <sheetFormatPr defaultColWidth="9.140625" defaultRowHeight="12.75"/>
  <cols>
    <col min="1" max="1" width="54.7109375" style="0" customWidth="1"/>
    <col min="2" max="18" width="15.7109375" style="0" customWidth="1"/>
    <col min="19" max="19" width="21.140625" style="0" bestFit="1" customWidth="1"/>
  </cols>
  <sheetData>
    <row r="1" spans="1:2" ht="17.25">
      <c r="A1" s="3" t="s">
        <v>181</v>
      </c>
      <c r="B1" s="19" t="s">
        <v>24</v>
      </c>
    </row>
    <row r="2" spans="1:3" ht="18" thickBot="1">
      <c r="A2" s="3"/>
      <c r="C2" s="66"/>
    </row>
    <row r="3" spans="1:8" ht="13.5" thickBot="1">
      <c r="A3" s="661" t="s">
        <v>79</v>
      </c>
      <c r="H3" s="265" t="s">
        <v>208</v>
      </c>
    </row>
    <row r="4" spans="1:15" ht="18.75" customHeight="1" thickBot="1">
      <c r="A4" s="662"/>
      <c r="B4" s="205" t="s">
        <v>30</v>
      </c>
      <c r="C4" s="191" t="s">
        <v>41</v>
      </c>
      <c r="D4" s="191" t="s">
        <v>5</v>
      </c>
      <c r="E4" s="191" t="s">
        <v>8</v>
      </c>
      <c r="F4" s="191" t="s">
        <v>42</v>
      </c>
      <c r="G4" s="191" t="s">
        <v>43</v>
      </c>
      <c r="H4" s="191" t="s">
        <v>43</v>
      </c>
      <c r="I4" s="516"/>
      <c r="J4" s="111"/>
      <c r="K4" s="111"/>
      <c r="L4" s="111"/>
      <c r="M4" s="111"/>
      <c r="N4" s="111"/>
      <c r="O4" s="111"/>
    </row>
    <row r="5" spans="1:16" ht="30" customHeight="1">
      <c r="A5" s="311" t="s">
        <v>144</v>
      </c>
      <c r="B5" s="188" t="s">
        <v>158</v>
      </c>
      <c r="C5" s="189" t="s">
        <v>158</v>
      </c>
      <c r="D5" s="189" t="s">
        <v>158</v>
      </c>
      <c r="E5" s="189" t="s">
        <v>158</v>
      </c>
      <c r="F5" s="189" t="s">
        <v>158</v>
      </c>
      <c r="G5" s="189" t="s">
        <v>158</v>
      </c>
      <c r="H5" s="189" t="s">
        <v>209</v>
      </c>
      <c r="I5" s="130"/>
      <c r="J5" s="111"/>
      <c r="K5" s="111"/>
      <c r="L5" s="111"/>
      <c r="M5" s="111"/>
      <c r="N5" s="111"/>
      <c r="O5" s="111"/>
      <c r="P5" s="40"/>
    </row>
    <row r="6" spans="1:16" ht="19.5" customHeight="1">
      <c r="A6" s="312" t="s">
        <v>145</v>
      </c>
      <c r="B6" s="313"/>
      <c r="C6" s="314"/>
      <c r="D6" s="314"/>
      <c r="E6" s="314"/>
      <c r="F6" s="314"/>
      <c r="G6" s="314"/>
      <c r="H6" s="314"/>
      <c r="I6" s="517"/>
      <c r="J6" s="111"/>
      <c r="K6" s="111"/>
      <c r="L6" s="111"/>
      <c r="M6" s="111"/>
      <c r="N6" s="111"/>
      <c r="O6" s="111"/>
      <c r="P6" s="40"/>
    </row>
    <row r="7" spans="1:16" ht="26.25">
      <c r="A7" s="315" t="s">
        <v>135</v>
      </c>
      <c r="B7" s="316">
        <v>160</v>
      </c>
      <c r="C7" s="317">
        <v>0</v>
      </c>
      <c r="D7" s="317">
        <v>0</v>
      </c>
      <c r="E7" s="317">
        <v>0</v>
      </c>
      <c r="F7" s="317">
        <v>0</v>
      </c>
      <c r="G7" s="317">
        <v>0</v>
      </c>
      <c r="H7" s="317">
        <v>0</v>
      </c>
      <c r="I7" s="435"/>
      <c r="J7" s="112"/>
      <c r="K7" s="112"/>
      <c r="L7" s="112"/>
      <c r="M7" s="112"/>
      <c r="N7" s="112"/>
      <c r="O7" s="112"/>
      <c r="P7" s="40"/>
    </row>
    <row r="8" spans="1:16" ht="26.25">
      <c r="A8" s="315" t="s">
        <v>136</v>
      </c>
      <c r="B8" s="316">
        <v>106</v>
      </c>
      <c r="C8" s="317">
        <v>0</v>
      </c>
      <c r="D8" s="317">
        <v>0</v>
      </c>
      <c r="E8" s="317">
        <v>0</v>
      </c>
      <c r="F8" s="317">
        <v>0</v>
      </c>
      <c r="G8" s="317">
        <v>0</v>
      </c>
      <c r="H8" s="317">
        <v>0</v>
      </c>
      <c r="I8" s="435"/>
      <c r="J8" s="112"/>
      <c r="K8" s="112"/>
      <c r="L8" s="112"/>
      <c r="M8" s="112"/>
      <c r="N8" s="112"/>
      <c r="O8" s="112"/>
      <c r="P8" s="40"/>
    </row>
    <row r="9" spans="1:16" ht="13.5">
      <c r="A9" s="315" t="s">
        <v>140</v>
      </c>
      <c r="B9" s="316">
        <v>117</v>
      </c>
      <c r="C9" s="317">
        <v>0</v>
      </c>
      <c r="D9" s="317">
        <v>0</v>
      </c>
      <c r="E9" s="317">
        <v>0</v>
      </c>
      <c r="F9" s="317">
        <v>0</v>
      </c>
      <c r="G9" s="317">
        <v>0</v>
      </c>
      <c r="H9" s="317">
        <v>0</v>
      </c>
      <c r="I9" s="435"/>
      <c r="J9" s="112"/>
      <c r="K9" s="112"/>
      <c r="L9" s="112"/>
      <c r="M9" s="112"/>
      <c r="N9" s="112"/>
      <c r="O9" s="112"/>
      <c r="P9" s="40"/>
    </row>
    <row r="10" spans="1:16" ht="26.25">
      <c r="A10" s="315" t="s">
        <v>141</v>
      </c>
      <c r="B10" s="316">
        <v>0</v>
      </c>
      <c r="C10" s="317">
        <v>898</v>
      </c>
      <c r="D10" s="317">
        <v>0</v>
      </c>
      <c r="E10" s="317">
        <v>68.9</v>
      </c>
      <c r="F10" s="317">
        <v>105.5</v>
      </c>
      <c r="G10" s="317">
        <v>0</v>
      </c>
      <c r="H10" s="317">
        <v>0</v>
      </c>
      <c r="I10" s="435"/>
      <c r="J10" s="112"/>
      <c r="K10" s="112"/>
      <c r="L10" s="112"/>
      <c r="M10" s="112"/>
      <c r="N10" s="112"/>
      <c r="O10" s="112"/>
      <c r="P10" s="40"/>
    </row>
    <row r="11" spans="1:16" ht="26.25">
      <c r="A11" s="315" t="s">
        <v>193</v>
      </c>
      <c r="B11" s="316">
        <v>339</v>
      </c>
      <c r="C11" s="317">
        <v>0</v>
      </c>
      <c r="D11" s="317">
        <v>0</v>
      </c>
      <c r="E11" s="317">
        <v>0</v>
      </c>
      <c r="F11" s="317">
        <v>0</v>
      </c>
      <c r="G11" s="317">
        <v>0</v>
      </c>
      <c r="H11" s="317">
        <v>0</v>
      </c>
      <c r="I11" s="435"/>
      <c r="J11" s="112"/>
      <c r="K11" s="112"/>
      <c r="L11" s="112"/>
      <c r="M11" s="112"/>
      <c r="N11" s="112"/>
      <c r="O11" s="112"/>
      <c r="P11" s="40"/>
    </row>
    <row r="12" spans="1:16" ht="30" customHeight="1">
      <c r="A12" s="190" t="s">
        <v>147</v>
      </c>
      <c r="B12" s="318">
        <f aca="true" t="shared" si="0" ref="B12:G12">SUM(B7:B11)</f>
        <v>722</v>
      </c>
      <c r="C12" s="319">
        <f t="shared" si="0"/>
        <v>898</v>
      </c>
      <c r="D12" s="319">
        <f t="shared" si="0"/>
        <v>0</v>
      </c>
      <c r="E12" s="319">
        <f t="shared" si="0"/>
        <v>68.9</v>
      </c>
      <c r="F12" s="319">
        <f t="shared" si="0"/>
        <v>105.5</v>
      </c>
      <c r="G12" s="319">
        <f t="shared" si="0"/>
        <v>0</v>
      </c>
      <c r="H12" s="319">
        <f>SUM(H7:H11)</f>
        <v>0</v>
      </c>
      <c r="I12" s="520"/>
      <c r="J12" s="310" t="s">
        <v>24</v>
      </c>
      <c r="K12" s="112"/>
      <c r="L12" s="112"/>
      <c r="M12" s="112"/>
      <c r="N12" s="112"/>
      <c r="O12" s="112"/>
      <c r="P12" s="40"/>
    </row>
    <row r="13" spans="1:16" ht="19.5" customHeight="1">
      <c r="A13" s="312" t="s">
        <v>146</v>
      </c>
      <c r="B13" s="316" t="s">
        <v>24</v>
      </c>
      <c r="C13" s="317"/>
      <c r="D13" s="317"/>
      <c r="E13" s="317"/>
      <c r="F13" s="317"/>
      <c r="G13" s="317"/>
      <c r="H13" s="317"/>
      <c r="I13" s="435"/>
      <c r="J13" s="113"/>
      <c r="K13" s="114"/>
      <c r="L13" s="113"/>
      <c r="M13" s="113"/>
      <c r="N13" s="113"/>
      <c r="O13" s="114"/>
      <c r="P13" s="40"/>
    </row>
    <row r="14" spans="1:16" ht="39">
      <c r="A14" s="315" t="s">
        <v>137</v>
      </c>
      <c r="B14" s="316">
        <v>16</v>
      </c>
      <c r="C14" s="317">
        <v>0</v>
      </c>
      <c r="D14" s="317">
        <v>237</v>
      </c>
      <c r="E14" s="317">
        <v>0</v>
      </c>
      <c r="F14" s="317">
        <v>0</v>
      </c>
      <c r="G14" s="317">
        <v>0</v>
      </c>
      <c r="H14" s="317">
        <v>0</v>
      </c>
      <c r="I14" s="435"/>
      <c r="J14" s="113"/>
      <c r="K14" s="114"/>
      <c r="L14" s="113"/>
      <c r="M14" s="113"/>
      <c r="N14" s="113"/>
      <c r="O14" s="114"/>
      <c r="P14" s="40"/>
    </row>
    <row r="15" spans="1:16" ht="26.25">
      <c r="A15" s="315" t="s">
        <v>174</v>
      </c>
      <c r="B15" s="316">
        <v>0</v>
      </c>
      <c r="C15" s="317">
        <v>0</v>
      </c>
      <c r="D15" s="317">
        <v>0</v>
      </c>
      <c r="E15" s="317">
        <v>340.2</v>
      </c>
      <c r="F15" s="317">
        <v>494.5</v>
      </c>
      <c r="G15" s="317">
        <v>0</v>
      </c>
      <c r="H15" s="317">
        <v>0</v>
      </c>
      <c r="I15" s="435"/>
      <c r="J15" s="113"/>
      <c r="K15" s="114"/>
      <c r="L15" s="113"/>
      <c r="M15" s="113"/>
      <c r="N15" s="113"/>
      <c r="O15" s="114"/>
      <c r="P15" s="40"/>
    </row>
    <row r="16" spans="1:16" ht="26.25">
      <c r="A16" s="315" t="s">
        <v>138</v>
      </c>
      <c r="B16" s="316">
        <v>0</v>
      </c>
      <c r="C16" s="317">
        <v>0</v>
      </c>
      <c r="D16" s="317">
        <v>0</v>
      </c>
      <c r="E16" s="317">
        <v>90.3</v>
      </c>
      <c r="F16" s="317">
        <v>0</v>
      </c>
      <c r="G16" s="317">
        <v>0</v>
      </c>
      <c r="H16" s="317">
        <v>0</v>
      </c>
      <c r="I16" s="435"/>
      <c r="J16" s="113"/>
      <c r="K16" s="114"/>
      <c r="L16" s="113"/>
      <c r="M16" s="113"/>
      <c r="N16" s="113"/>
      <c r="O16" s="114"/>
      <c r="P16" s="40"/>
    </row>
    <row r="17" spans="1:16" ht="15.75" customHeight="1">
      <c r="A17" s="190" t="s">
        <v>148</v>
      </c>
      <c r="B17" s="318">
        <f aca="true" t="shared" si="1" ref="B17:G17">SUM(B14:B16)</f>
        <v>16</v>
      </c>
      <c r="C17" s="319">
        <f t="shared" si="1"/>
        <v>0</v>
      </c>
      <c r="D17" s="319">
        <f t="shared" si="1"/>
        <v>237</v>
      </c>
      <c r="E17" s="319">
        <f t="shared" si="1"/>
        <v>430.5</v>
      </c>
      <c r="F17" s="319">
        <f t="shared" si="1"/>
        <v>494.5</v>
      </c>
      <c r="G17" s="319">
        <f t="shared" si="1"/>
        <v>0</v>
      </c>
      <c r="H17" s="319">
        <f>SUM(H14:H16)</f>
        <v>0</v>
      </c>
      <c r="I17" s="520"/>
      <c r="J17" s="310" t="s">
        <v>24</v>
      </c>
      <c r="K17" s="114"/>
      <c r="L17" s="113"/>
      <c r="M17" s="113"/>
      <c r="N17" s="113"/>
      <c r="O17" s="114"/>
      <c r="P17" s="40"/>
    </row>
    <row r="18" spans="1:16" ht="13.5">
      <c r="A18" s="167" t="s">
        <v>97</v>
      </c>
      <c r="B18" s="320"/>
      <c r="C18" s="321"/>
      <c r="D18" s="321"/>
      <c r="E18" s="321"/>
      <c r="F18" s="321"/>
      <c r="G18" s="321"/>
      <c r="H18" s="321"/>
      <c r="I18" s="518"/>
      <c r="J18" s="113"/>
      <c r="K18" s="114"/>
      <c r="L18" s="113"/>
      <c r="M18" s="113"/>
      <c r="N18" s="113"/>
      <c r="O18" s="114"/>
      <c r="P18" s="40"/>
    </row>
    <row r="19" spans="1:16" ht="30" customHeight="1">
      <c r="A19" s="315" t="s">
        <v>139</v>
      </c>
      <c r="B19" s="316">
        <v>159</v>
      </c>
      <c r="C19" s="317">
        <v>0</v>
      </c>
      <c r="D19" s="317">
        <v>0</v>
      </c>
      <c r="E19" s="317">
        <v>0</v>
      </c>
      <c r="F19" s="317">
        <v>0</v>
      </c>
      <c r="G19" s="317">
        <v>0</v>
      </c>
      <c r="H19" s="317">
        <v>0</v>
      </c>
      <c r="I19" s="435"/>
      <c r="J19" s="113"/>
      <c r="K19" s="114"/>
      <c r="L19" s="113"/>
      <c r="M19" s="113"/>
      <c r="N19" s="113"/>
      <c r="O19" s="114"/>
      <c r="P19" s="40"/>
    </row>
    <row r="20" spans="1:16" ht="30" customHeight="1">
      <c r="A20" s="326" t="s">
        <v>192</v>
      </c>
      <c r="B20" s="316">
        <v>0</v>
      </c>
      <c r="C20" s="317">
        <v>0</v>
      </c>
      <c r="D20" s="317">
        <v>0</v>
      </c>
      <c r="E20" s="317">
        <v>0</v>
      </c>
      <c r="F20" s="317">
        <v>0</v>
      </c>
      <c r="G20" s="317">
        <v>37</v>
      </c>
      <c r="H20" s="317">
        <f>G20*'BRA CTRs'!G9/(G12+G17+G21)</f>
        <v>0</v>
      </c>
      <c r="I20" s="435"/>
      <c r="J20" s="113"/>
      <c r="K20" s="114"/>
      <c r="L20" s="113"/>
      <c r="M20" s="113"/>
      <c r="N20" s="113"/>
      <c r="O20" s="114"/>
      <c r="P20" s="40"/>
    </row>
    <row r="21" spans="1:16" ht="15.75" customHeight="1">
      <c r="A21" s="190" t="s">
        <v>114</v>
      </c>
      <c r="B21" s="318">
        <f aca="true" t="shared" si="2" ref="B21:H21">SUM(B19:B20)</f>
        <v>159</v>
      </c>
      <c r="C21" s="318">
        <f t="shared" si="2"/>
        <v>0</v>
      </c>
      <c r="D21" s="318">
        <f t="shared" si="2"/>
        <v>0</v>
      </c>
      <c r="E21" s="318">
        <f t="shared" si="2"/>
        <v>0</v>
      </c>
      <c r="F21" s="318">
        <f t="shared" si="2"/>
        <v>0</v>
      </c>
      <c r="G21" s="318">
        <f t="shared" si="2"/>
        <v>37</v>
      </c>
      <c r="H21" s="519">
        <f t="shared" si="2"/>
        <v>0</v>
      </c>
      <c r="I21" s="521"/>
      <c r="J21" s="310" t="s">
        <v>24</v>
      </c>
      <c r="K21" s="114"/>
      <c r="L21" s="113"/>
      <c r="M21" s="113"/>
      <c r="N21" s="113"/>
      <c r="O21" s="114"/>
      <c r="P21" s="40"/>
    </row>
    <row r="22" spans="1:16" ht="13.5">
      <c r="A22" s="166"/>
      <c r="B22" s="316"/>
      <c r="C22" s="322"/>
      <c r="D22" s="322"/>
      <c r="E22" s="322"/>
      <c r="F22" s="322"/>
      <c r="G22" s="322"/>
      <c r="H22" s="322"/>
      <c r="I22" s="522"/>
      <c r="J22" s="113"/>
      <c r="K22" s="114"/>
      <c r="L22" s="113"/>
      <c r="M22" s="113"/>
      <c r="N22" s="113"/>
      <c r="O22" s="114"/>
      <c r="P22" s="40"/>
    </row>
    <row r="23" spans="1:16" ht="14.25" thickBot="1">
      <c r="A23" s="194" t="s">
        <v>115</v>
      </c>
      <c r="B23" s="323">
        <f aca="true" t="shared" si="3" ref="B23:H23">B12+B17+B21</f>
        <v>897</v>
      </c>
      <c r="C23" s="324">
        <f t="shared" si="3"/>
        <v>898</v>
      </c>
      <c r="D23" s="325">
        <f t="shared" si="3"/>
        <v>237</v>
      </c>
      <c r="E23" s="325">
        <f t="shared" si="3"/>
        <v>499.4</v>
      </c>
      <c r="F23" s="325">
        <f t="shared" si="3"/>
        <v>600</v>
      </c>
      <c r="G23" s="325">
        <f t="shared" si="3"/>
        <v>37</v>
      </c>
      <c r="H23" s="325">
        <f t="shared" si="3"/>
        <v>0</v>
      </c>
      <c r="I23" s="521"/>
      <c r="J23" s="116"/>
      <c r="K23" s="112"/>
      <c r="L23" s="116"/>
      <c r="M23" s="116"/>
      <c r="N23" s="116"/>
      <c r="O23" s="112"/>
      <c r="P23" s="40"/>
    </row>
    <row r="24" spans="1:13" s="40" customFormat="1" ht="34.5" customHeight="1">
      <c r="A24" s="667" t="s">
        <v>162</v>
      </c>
      <c r="B24" s="668"/>
      <c r="C24" s="668"/>
      <c r="D24" s="669"/>
      <c r="E24" s="119"/>
      <c r="F24" s="119"/>
      <c r="G24" s="119"/>
      <c r="H24" s="119"/>
      <c r="I24" s="120"/>
      <c r="J24" s="119"/>
      <c r="K24" s="119"/>
      <c r="L24" s="119"/>
      <c r="M24" s="120"/>
    </row>
    <row r="25" spans="1:13" s="40" customFormat="1" ht="13.5">
      <c r="A25" s="12"/>
      <c r="B25" s="117"/>
      <c r="C25" s="117"/>
      <c r="D25" s="118"/>
      <c r="E25" s="119"/>
      <c r="F25" s="119"/>
      <c r="G25" s="119"/>
      <c r="H25" s="119"/>
      <c r="I25" s="120"/>
      <c r="J25" s="119"/>
      <c r="K25" s="119"/>
      <c r="L25" s="119"/>
      <c r="M25" s="120"/>
    </row>
    <row r="26" spans="1:13" s="40" customFormat="1" ht="14.25" thickBot="1">
      <c r="A26" s="115"/>
      <c r="B26" s="117"/>
      <c r="C26" s="117"/>
      <c r="D26" s="118"/>
      <c r="E26" s="119"/>
      <c r="F26" s="119"/>
      <c r="G26" s="119"/>
      <c r="H26" s="119"/>
      <c r="I26" s="120"/>
      <c r="J26" s="119"/>
      <c r="K26" s="119"/>
      <c r="L26" s="119"/>
      <c r="M26" s="120"/>
    </row>
    <row r="27" spans="1:13" ht="47.25" thickBot="1">
      <c r="A27" s="122" t="s">
        <v>149</v>
      </c>
      <c r="B27" s="183" t="s">
        <v>24</v>
      </c>
      <c r="C27" s="183" t="s">
        <v>24</v>
      </c>
      <c r="D27" s="39"/>
      <c r="E27" s="119"/>
      <c r="F27" s="119"/>
      <c r="G27" s="119"/>
      <c r="H27" s="119"/>
      <c r="I27" s="120"/>
      <c r="J27" s="119"/>
      <c r="K27" s="119"/>
      <c r="L27" s="119"/>
      <c r="M27" s="120"/>
    </row>
    <row r="28" spans="1:13" ht="79.5" customHeight="1">
      <c r="A28" s="196" t="s">
        <v>76</v>
      </c>
      <c r="B28" s="195" t="s">
        <v>145</v>
      </c>
      <c r="C28" s="192" t="s">
        <v>150</v>
      </c>
      <c r="D28" s="192" t="s">
        <v>151</v>
      </c>
      <c r="E28" s="192" t="s">
        <v>152</v>
      </c>
      <c r="F28" s="119"/>
      <c r="G28" s="119"/>
      <c r="H28" s="119"/>
      <c r="I28" s="120"/>
      <c r="J28" s="119"/>
      <c r="K28" s="119"/>
      <c r="L28" s="119"/>
      <c r="M28" s="120"/>
    </row>
    <row r="29" spans="1:13" ht="13.5">
      <c r="A29" s="50" t="s">
        <v>16</v>
      </c>
      <c r="B29" s="60">
        <v>0.0174</v>
      </c>
      <c r="C29" s="60">
        <v>0.0896</v>
      </c>
      <c r="D29" s="60">
        <v>0.0021</v>
      </c>
      <c r="E29" s="60">
        <v>0</v>
      </c>
      <c r="F29" s="119"/>
      <c r="G29" s="119"/>
      <c r="H29" s="119"/>
      <c r="I29" s="120"/>
      <c r="J29" s="119"/>
      <c r="K29" s="119"/>
      <c r="L29" s="119"/>
      <c r="M29" s="120"/>
    </row>
    <row r="30" spans="1:13" ht="13.5">
      <c r="A30" s="50" t="s">
        <v>32</v>
      </c>
      <c r="B30" s="60">
        <v>0.1442</v>
      </c>
      <c r="C30" s="60">
        <v>0</v>
      </c>
      <c r="D30" s="60">
        <v>0</v>
      </c>
      <c r="E30" s="60">
        <v>0</v>
      </c>
      <c r="F30" s="119"/>
      <c r="G30" s="119"/>
      <c r="H30" s="119"/>
      <c r="I30" s="120"/>
      <c r="J30" s="119"/>
      <c r="K30" s="119"/>
      <c r="L30" s="119"/>
      <c r="M30" s="120"/>
    </row>
    <row r="31" spans="1:13" ht="13.5">
      <c r="A31" s="50" t="s">
        <v>19</v>
      </c>
      <c r="B31" s="60">
        <v>0.0527</v>
      </c>
      <c r="C31" s="60">
        <v>0</v>
      </c>
      <c r="D31" s="60">
        <v>0</v>
      </c>
      <c r="E31" s="60">
        <v>0</v>
      </c>
      <c r="F31" s="119"/>
      <c r="G31" s="119"/>
      <c r="H31" s="119"/>
      <c r="I31" s="120"/>
      <c r="J31" s="119"/>
      <c r="K31" s="119"/>
      <c r="L31" s="119"/>
      <c r="M31" s="120"/>
    </row>
    <row r="32" spans="1:5" s="40" customFormat="1" ht="12.75">
      <c r="A32" s="50" t="s">
        <v>51</v>
      </c>
      <c r="B32" s="60">
        <v>0.0836</v>
      </c>
      <c r="C32" s="60">
        <v>0</v>
      </c>
      <c r="D32" s="60">
        <v>0</v>
      </c>
      <c r="E32" s="60">
        <v>0</v>
      </c>
    </row>
    <row r="33" spans="1:5" s="40" customFormat="1" ht="12.75">
      <c r="A33" s="50" t="s">
        <v>11</v>
      </c>
      <c r="B33" s="60">
        <v>0.0433</v>
      </c>
      <c r="C33" s="60">
        <v>0</v>
      </c>
      <c r="D33" s="60">
        <v>0.0088</v>
      </c>
      <c r="E33" s="60">
        <v>0</v>
      </c>
    </row>
    <row r="34" spans="1:5" s="40" customFormat="1" ht="12.75">
      <c r="A34" s="50" t="s">
        <v>20</v>
      </c>
      <c r="B34" s="60">
        <v>0.1459</v>
      </c>
      <c r="C34" s="60">
        <v>0</v>
      </c>
      <c r="D34" s="60">
        <v>0.0211</v>
      </c>
      <c r="E34" s="60">
        <v>0</v>
      </c>
    </row>
    <row r="35" spans="1:13" ht="12.75">
      <c r="A35" s="50" t="s">
        <v>21</v>
      </c>
      <c r="B35" s="60">
        <v>0.0216</v>
      </c>
      <c r="C35" s="60">
        <v>0</v>
      </c>
      <c r="D35" s="60">
        <v>0.0012</v>
      </c>
      <c r="E35" s="60">
        <v>0</v>
      </c>
      <c r="F35" s="40"/>
      <c r="G35" s="40"/>
      <c r="H35" s="40"/>
      <c r="I35" s="40"/>
      <c r="J35" s="40"/>
      <c r="K35" s="40"/>
      <c r="L35" s="40"/>
      <c r="M35" s="40"/>
    </row>
    <row r="36" spans="1:13" ht="12.75">
      <c r="A36" s="50" t="s">
        <v>65</v>
      </c>
      <c r="B36" s="60">
        <v>0.0337</v>
      </c>
      <c r="C36" s="60">
        <v>0</v>
      </c>
      <c r="D36" s="60">
        <v>0</v>
      </c>
      <c r="E36" s="60">
        <v>0</v>
      </c>
      <c r="F36" s="40"/>
      <c r="G36" s="40"/>
      <c r="H36" s="40"/>
      <c r="I36" s="40"/>
      <c r="J36" s="40"/>
      <c r="K36" s="40"/>
      <c r="L36" s="40"/>
      <c r="M36" s="40"/>
    </row>
    <row r="37" spans="1:13" ht="12.75">
      <c r="A37" s="50" t="s">
        <v>50</v>
      </c>
      <c r="B37" s="60">
        <v>0.0189</v>
      </c>
      <c r="C37" s="60">
        <v>0</v>
      </c>
      <c r="D37" s="60">
        <v>0</v>
      </c>
      <c r="E37" s="60">
        <v>0</v>
      </c>
      <c r="F37" s="40"/>
      <c r="G37" s="40"/>
      <c r="H37" s="40"/>
      <c r="I37" s="40"/>
      <c r="J37" s="40"/>
      <c r="K37" s="40"/>
      <c r="L37" s="40"/>
      <c r="M37" s="40"/>
    </row>
    <row r="38" spans="1:13" ht="12.75">
      <c r="A38" s="50" t="s">
        <v>33</v>
      </c>
      <c r="B38" s="60">
        <v>0.119</v>
      </c>
      <c r="C38" s="60">
        <v>0</v>
      </c>
      <c r="D38" s="60">
        <v>0</v>
      </c>
      <c r="E38" s="60">
        <v>0</v>
      </c>
      <c r="F38" s="40"/>
      <c r="G38" s="40"/>
      <c r="H38" s="40"/>
      <c r="I38" s="40"/>
      <c r="J38" s="40"/>
      <c r="K38" s="40"/>
      <c r="L38" s="40"/>
      <c r="M38" s="40"/>
    </row>
    <row r="39" spans="1:13" ht="12.75">
      <c r="A39" s="50" t="s">
        <v>17</v>
      </c>
      <c r="B39" s="60">
        <v>0.0254</v>
      </c>
      <c r="C39" s="60">
        <v>0.1677</v>
      </c>
      <c r="D39" s="60">
        <v>0</v>
      </c>
      <c r="E39" s="60">
        <v>0</v>
      </c>
      <c r="F39" s="40"/>
      <c r="G39" s="40"/>
      <c r="H39" s="40"/>
      <c r="I39" s="40"/>
      <c r="J39" s="40"/>
      <c r="K39" s="40"/>
      <c r="L39" s="40"/>
      <c r="M39" s="40"/>
    </row>
    <row r="40" spans="1:13" ht="12.75">
      <c r="A40" s="50" t="s">
        <v>185</v>
      </c>
      <c r="B40" s="60">
        <v>0</v>
      </c>
      <c r="C40" s="60">
        <v>0</v>
      </c>
      <c r="D40" s="60">
        <v>0</v>
      </c>
      <c r="E40" s="60">
        <v>0</v>
      </c>
      <c r="F40" s="40"/>
      <c r="G40" s="40"/>
      <c r="H40" s="40"/>
      <c r="I40" s="40"/>
      <c r="J40" s="40"/>
      <c r="K40" s="40"/>
      <c r="L40" s="40"/>
      <c r="M40" s="40"/>
    </row>
    <row r="41" spans="1:13" ht="12.75">
      <c r="A41" s="50" t="s">
        <v>12</v>
      </c>
      <c r="B41" s="60">
        <v>0.0385</v>
      </c>
      <c r="C41" s="60">
        <v>0.0959</v>
      </c>
      <c r="D41" s="60">
        <v>0.0106</v>
      </c>
      <c r="E41" s="60">
        <v>0.1282</v>
      </c>
      <c r="F41" s="40"/>
      <c r="G41" s="40"/>
      <c r="H41" s="40"/>
      <c r="I41" s="40"/>
      <c r="J41" s="40"/>
      <c r="K41" s="40"/>
      <c r="L41" s="40"/>
      <c r="M41" s="40"/>
    </row>
    <row r="42" spans="1:13" ht="12.75">
      <c r="A42" s="50" t="s">
        <v>13</v>
      </c>
      <c r="B42" s="60">
        <v>0.0188</v>
      </c>
      <c r="C42" s="60">
        <v>0.0147</v>
      </c>
      <c r="D42" s="60">
        <v>0</v>
      </c>
      <c r="E42" s="60">
        <v>0</v>
      </c>
      <c r="F42" s="40"/>
      <c r="G42" s="40"/>
      <c r="H42" s="40"/>
      <c r="I42" s="40"/>
      <c r="J42" s="40"/>
      <c r="K42" s="40"/>
      <c r="L42" s="40"/>
      <c r="M42" s="40"/>
    </row>
    <row r="43" spans="1:13" ht="12.75">
      <c r="A43" s="50" t="s">
        <v>9</v>
      </c>
      <c r="B43" s="60">
        <v>0.0529</v>
      </c>
      <c r="C43" s="60">
        <v>0.3064</v>
      </c>
      <c r="D43" s="60">
        <v>0</v>
      </c>
      <c r="E43" s="60">
        <v>0.5108</v>
      </c>
      <c r="F43" s="40"/>
      <c r="G43" s="40"/>
      <c r="H43" s="40"/>
      <c r="I43" s="40"/>
      <c r="J43" s="40"/>
      <c r="K43" s="40"/>
      <c r="L43" s="40"/>
      <c r="M43" s="40"/>
    </row>
    <row r="44" spans="1:13" ht="12.75">
      <c r="A44" s="50" t="s">
        <v>14</v>
      </c>
      <c r="B44" s="60">
        <v>0.018</v>
      </c>
      <c r="C44" s="60">
        <v>0</v>
      </c>
      <c r="D44" s="60">
        <v>0.027</v>
      </c>
      <c r="E44" s="60">
        <v>0</v>
      </c>
      <c r="F44" s="40"/>
      <c r="G44" s="40"/>
      <c r="H44" s="40"/>
      <c r="I44" s="40"/>
      <c r="J44" s="40"/>
      <c r="K44" s="40"/>
      <c r="L44" s="40"/>
      <c r="M44" s="40"/>
    </row>
    <row r="45" spans="1:13" ht="12.75">
      <c r="A45" s="50" t="s">
        <v>15</v>
      </c>
      <c r="B45" s="60">
        <v>0.0416</v>
      </c>
      <c r="C45" s="60">
        <v>0</v>
      </c>
      <c r="D45" s="60">
        <v>0.0095</v>
      </c>
      <c r="E45" s="60">
        <v>0.0057</v>
      </c>
      <c r="F45" s="40"/>
      <c r="G45" s="40"/>
      <c r="H45" s="40"/>
      <c r="I45" s="40"/>
      <c r="J45" s="40"/>
      <c r="K45" s="40"/>
      <c r="L45" s="40"/>
      <c r="M45" s="40"/>
    </row>
    <row r="46" spans="1:13" ht="12.75">
      <c r="A46" s="50" t="s">
        <v>10</v>
      </c>
      <c r="B46" s="60">
        <v>0.0456</v>
      </c>
      <c r="C46" s="60">
        <v>0.1633</v>
      </c>
      <c r="D46" s="60">
        <v>0</v>
      </c>
      <c r="E46" s="60">
        <v>0</v>
      </c>
      <c r="F46" s="40"/>
      <c r="G46" s="40"/>
      <c r="H46" s="40"/>
      <c r="I46" s="40"/>
      <c r="J46" s="40"/>
      <c r="K46" s="40"/>
      <c r="L46" s="40"/>
      <c r="M46" s="40"/>
    </row>
    <row r="47" spans="1:13" ht="12.75">
      <c r="A47" s="50" t="s">
        <v>8</v>
      </c>
      <c r="B47" s="60">
        <v>0.0647</v>
      </c>
      <c r="C47" s="60">
        <v>0.14</v>
      </c>
      <c r="D47" s="60">
        <v>0.6381</v>
      </c>
      <c r="E47" s="60">
        <v>0.3146</v>
      </c>
      <c r="F47" s="40"/>
      <c r="G47" s="40"/>
      <c r="H47" s="40"/>
      <c r="I47" s="40"/>
      <c r="J47" s="40"/>
      <c r="K47" s="40"/>
      <c r="L47" s="40"/>
      <c r="M47" s="40"/>
    </row>
    <row r="48" spans="1:13" ht="12.75">
      <c r="A48" s="50" t="s">
        <v>18</v>
      </c>
      <c r="B48" s="60">
        <v>0.0026</v>
      </c>
      <c r="C48" s="60">
        <v>0.0052</v>
      </c>
      <c r="D48" s="60">
        <v>0.0253</v>
      </c>
      <c r="E48" s="60">
        <v>0.0125</v>
      </c>
      <c r="F48" s="40"/>
      <c r="G48" s="40"/>
      <c r="H48" s="40"/>
      <c r="I48" s="40"/>
      <c r="J48" s="40"/>
      <c r="K48" s="40"/>
      <c r="L48" s="40"/>
      <c r="M48" s="40"/>
    </row>
    <row r="49" spans="1:5" s="40" customFormat="1" ht="12.75">
      <c r="A49" s="50" t="s">
        <v>163</v>
      </c>
      <c r="B49" s="60">
        <v>0.0056</v>
      </c>
      <c r="C49" s="60">
        <v>0.0049</v>
      </c>
      <c r="D49" s="60">
        <v>0.0905</v>
      </c>
      <c r="E49" s="60">
        <v>0</v>
      </c>
    </row>
    <row r="50" spans="1:5" ht="12.75">
      <c r="A50" s="50" t="s">
        <v>164</v>
      </c>
      <c r="B50" s="60">
        <v>0.0041</v>
      </c>
      <c r="C50" s="60">
        <v>0.0094</v>
      </c>
      <c r="D50" s="60">
        <v>0.0006</v>
      </c>
      <c r="E50" s="60">
        <v>0.0118</v>
      </c>
    </row>
    <row r="51" spans="1:5" ht="12.75">
      <c r="A51" s="50" t="s">
        <v>142</v>
      </c>
      <c r="B51" s="60">
        <v>0.0019</v>
      </c>
      <c r="C51" s="60">
        <v>0.0029</v>
      </c>
      <c r="D51" s="60">
        <v>0.0192</v>
      </c>
      <c r="E51" s="60">
        <v>0.0085</v>
      </c>
    </row>
    <row r="52" spans="1:5" ht="12.75">
      <c r="A52" s="50" t="s">
        <v>143</v>
      </c>
      <c r="B52" s="60">
        <v>0</v>
      </c>
      <c r="C52" s="60">
        <v>0</v>
      </c>
      <c r="D52" s="60">
        <v>0.146</v>
      </c>
      <c r="E52" s="60">
        <v>0.0079</v>
      </c>
    </row>
    <row r="53" spans="1:5" ht="12.75">
      <c r="A53" s="135"/>
      <c r="B53" s="193">
        <f>SUM(B29:B52)</f>
        <v>0.9999999999999999</v>
      </c>
      <c r="C53" s="193">
        <f>SUM(C29:C52)</f>
        <v>0.9999999999999999</v>
      </c>
      <c r="D53" s="193">
        <f>SUM(D29:D52)</f>
        <v>1</v>
      </c>
      <c r="E53" s="193">
        <f>SUM(E29:E52)</f>
        <v>1</v>
      </c>
    </row>
    <row r="54" spans="1:4" ht="33.75" customHeight="1">
      <c r="A54" s="663" t="s">
        <v>210</v>
      </c>
      <c r="B54" s="663"/>
      <c r="C54" s="663"/>
      <c r="D54" s="121"/>
    </row>
    <row r="55" spans="1:4" ht="12.75">
      <c r="A55" s="12"/>
      <c r="B55" s="121"/>
      <c r="C55" s="121"/>
      <c r="D55" s="121"/>
    </row>
    <row r="56" spans="1:4" ht="13.5" thickBot="1">
      <c r="A56" s="12"/>
      <c r="B56" s="121"/>
      <c r="C56" s="121"/>
      <c r="D56" s="121"/>
    </row>
    <row r="57" spans="1:6" ht="14.25" thickBot="1">
      <c r="A57" s="664" t="s">
        <v>78</v>
      </c>
      <c r="B57" s="117"/>
      <c r="C57" s="117"/>
      <c r="D57" s="118"/>
      <c r="F57" s="19" t="s">
        <v>24</v>
      </c>
    </row>
    <row r="58" spans="1:20" ht="14.25" thickBot="1">
      <c r="A58" s="665"/>
      <c r="B58" s="653" t="s">
        <v>30</v>
      </c>
      <c r="C58" s="654"/>
      <c r="D58" s="654"/>
      <c r="E58" s="655"/>
      <c r="F58" s="670" t="s">
        <v>41</v>
      </c>
      <c r="G58" s="671"/>
      <c r="H58" s="653" t="s">
        <v>5</v>
      </c>
      <c r="I58" s="655"/>
      <c r="J58" s="653" t="s">
        <v>8</v>
      </c>
      <c r="K58" s="654"/>
      <c r="L58" s="654"/>
      <c r="M58" s="654"/>
      <c r="N58" s="655"/>
      <c r="O58" s="653" t="s">
        <v>42</v>
      </c>
      <c r="P58" s="654"/>
      <c r="Q58" s="654"/>
      <c r="R58" s="655"/>
      <c r="S58" s="653" t="s">
        <v>43</v>
      </c>
      <c r="T58" s="655"/>
    </row>
    <row r="59" spans="1:20" ht="27" thickBot="1">
      <c r="A59" s="666"/>
      <c r="B59" s="656" t="s">
        <v>49</v>
      </c>
      <c r="C59" s="657"/>
      <c r="D59" s="658"/>
      <c r="E59" s="258">
        <f>'BRA Resource Clearing Results'!C6</f>
        <v>59.76</v>
      </c>
      <c r="F59" s="262" t="s">
        <v>49</v>
      </c>
      <c r="G59" s="258">
        <f>'BRA Resource Clearing Results'!C7</f>
        <v>0</v>
      </c>
      <c r="H59" s="262" t="s">
        <v>49</v>
      </c>
      <c r="I59" s="258">
        <f>'BRA Resource Clearing Results'!C8</f>
        <v>0</v>
      </c>
      <c r="J59" s="656" t="s">
        <v>49</v>
      </c>
      <c r="K59" s="657"/>
      <c r="L59" s="657"/>
      <c r="M59" s="658"/>
      <c r="N59" s="258">
        <f>'BRA Resource Clearing Results'!C9</f>
        <v>99.87</v>
      </c>
      <c r="O59" s="656" t="s">
        <v>49</v>
      </c>
      <c r="P59" s="657"/>
      <c r="Q59" s="658"/>
      <c r="R59" s="258">
        <f>'BRA Resource Clearing Results'!C10</f>
        <v>0</v>
      </c>
      <c r="S59" s="308" t="s">
        <v>49</v>
      </c>
      <c r="T59" s="309">
        <f>'BRA Resource Clearing Results'!C11</f>
        <v>0</v>
      </c>
    </row>
    <row r="60" spans="1:20" ht="79.5" customHeight="1" thickBot="1">
      <c r="A60" s="256" t="s">
        <v>76</v>
      </c>
      <c r="B60" s="259" t="s">
        <v>153</v>
      </c>
      <c r="C60" s="192" t="s">
        <v>154</v>
      </c>
      <c r="D60" s="197" t="s">
        <v>77</v>
      </c>
      <c r="E60" s="199" t="s">
        <v>94</v>
      </c>
      <c r="F60" s="259" t="s">
        <v>153</v>
      </c>
      <c r="G60" s="199" t="s">
        <v>94</v>
      </c>
      <c r="H60" s="263" t="s">
        <v>154</v>
      </c>
      <c r="I60" s="199" t="s">
        <v>94</v>
      </c>
      <c r="J60" s="259" t="s">
        <v>153</v>
      </c>
      <c r="K60" s="192" t="s">
        <v>155</v>
      </c>
      <c r="L60" s="192" t="s">
        <v>156</v>
      </c>
      <c r="M60" s="197" t="s">
        <v>77</v>
      </c>
      <c r="N60" s="199" t="s">
        <v>94</v>
      </c>
      <c r="O60" s="259" t="s">
        <v>153</v>
      </c>
      <c r="P60" s="192" t="s">
        <v>155</v>
      </c>
      <c r="Q60" s="197" t="s">
        <v>77</v>
      </c>
      <c r="R60" s="199" t="s">
        <v>94</v>
      </c>
      <c r="S60" s="659" t="s">
        <v>212</v>
      </c>
      <c r="T60" s="660"/>
    </row>
    <row r="61" spans="1:18" ht="12.75">
      <c r="A61" s="257" t="s">
        <v>16</v>
      </c>
      <c r="B61" s="224">
        <f aca="true" t="shared" si="4" ref="B61:B84">B29*$B$12</f>
        <v>12.5628</v>
      </c>
      <c r="C61" s="58">
        <f aca="true" t="shared" si="5" ref="C61:C84">C29*$B$14</f>
        <v>1.4336</v>
      </c>
      <c r="D61" s="58">
        <f>B61+C61</f>
        <v>13.9964</v>
      </c>
      <c r="E61" s="107">
        <f>D61*$E$59</f>
        <v>836.424864</v>
      </c>
      <c r="F61" s="224">
        <f>B29*$C$12</f>
        <v>15.6252</v>
      </c>
      <c r="G61" s="200">
        <f>F61*$G$59</f>
        <v>0</v>
      </c>
      <c r="H61" s="224">
        <f aca="true" t="shared" si="6" ref="H61:H71">C29*$D$14</f>
        <v>21.2352</v>
      </c>
      <c r="I61" s="200">
        <f>H61*$I$59</f>
        <v>0</v>
      </c>
      <c r="J61" s="224">
        <f aca="true" t="shared" si="7" ref="J61:J71">B29*$E$12</f>
        <v>1.19886</v>
      </c>
      <c r="K61" s="58">
        <f aca="true" t="shared" si="8" ref="K61:K71">D29*$E$15</f>
        <v>0.7144199999999999</v>
      </c>
      <c r="L61" s="58">
        <f aca="true" t="shared" si="9" ref="L61:L71">E29*$E$16</f>
        <v>0</v>
      </c>
      <c r="M61" s="58">
        <f>J61+K61+L61</f>
        <v>1.9132799999999999</v>
      </c>
      <c r="N61" s="107">
        <f>M61*$N$59</f>
        <v>191.0792736</v>
      </c>
      <c r="O61" s="224">
        <f aca="true" t="shared" si="10" ref="O61:O71">B29*$F$12</f>
        <v>1.8356999999999999</v>
      </c>
      <c r="P61" s="58">
        <f aca="true" t="shared" si="11" ref="P61:P71">D29*$F$15</f>
        <v>1.0384499999999999</v>
      </c>
      <c r="Q61" s="58">
        <f aca="true" t="shared" si="12" ref="Q61:Q66">O61+P61</f>
        <v>2.8741499999999998</v>
      </c>
      <c r="R61" s="107">
        <f>Q61*$R$59</f>
        <v>0</v>
      </c>
    </row>
    <row r="62" spans="1:18" ht="12.75">
      <c r="A62" s="257" t="s">
        <v>32</v>
      </c>
      <c r="B62" s="224">
        <f t="shared" si="4"/>
        <v>104.1124</v>
      </c>
      <c r="C62" s="58">
        <f t="shared" si="5"/>
        <v>0</v>
      </c>
      <c r="D62" s="58">
        <f>B62+C62</f>
        <v>104.1124</v>
      </c>
      <c r="E62" s="107">
        <f>D62*$E$59</f>
        <v>6221.757024</v>
      </c>
      <c r="F62" s="224">
        <f aca="true" t="shared" si="13" ref="F62:F69">B30*$C$12</f>
        <v>129.4916</v>
      </c>
      <c r="G62" s="200">
        <f aca="true" t="shared" si="14" ref="G62:G84">F62*$G$59</f>
        <v>0</v>
      </c>
      <c r="H62" s="224">
        <f t="shared" si="6"/>
        <v>0</v>
      </c>
      <c r="I62" s="200">
        <f aca="true" t="shared" si="15" ref="I62:I84">H62*$I$59</f>
        <v>0</v>
      </c>
      <c r="J62" s="224">
        <f t="shared" si="7"/>
        <v>9.93538</v>
      </c>
      <c r="K62" s="58">
        <f t="shared" si="8"/>
        <v>0</v>
      </c>
      <c r="L62" s="58">
        <f t="shared" si="9"/>
        <v>0</v>
      </c>
      <c r="M62" s="58">
        <f aca="true" t="shared" si="16" ref="M62:M84">J62+K62+L62</f>
        <v>9.93538</v>
      </c>
      <c r="N62" s="107">
        <f aca="true" t="shared" si="17" ref="N62:N84">M62*$N$59</f>
        <v>992.2464006000001</v>
      </c>
      <c r="O62" s="224">
        <f t="shared" si="10"/>
        <v>15.213099999999999</v>
      </c>
      <c r="P62" s="58">
        <f t="shared" si="11"/>
        <v>0</v>
      </c>
      <c r="Q62" s="58">
        <f t="shared" si="12"/>
        <v>15.213099999999999</v>
      </c>
      <c r="R62" s="107">
        <f aca="true" t="shared" si="18" ref="R62:R84">Q62*$R$59</f>
        <v>0</v>
      </c>
    </row>
    <row r="63" spans="1:18" ht="12.75">
      <c r="A63" s="257" t="s">
        <v>19</v>
      </c>
      <c r="B63" s="224">
        <f t="shared" si="4"/>
        <v>38.0494</v>
      </c>
      <c r="C63" s="58">
        <f t="shared" si="5"/>
        <v>0</v>
      </c>
      <c r="D63" s="58">
        <f>B63+C63</f>
        <v>38.0494</v>
      </c>
      <c r="E63" s="107">
        <f aca="true" t="shared" si="19" ref="E63:E83">D63*$E$59</f>
        <v>2273.832144</v>
      </c>
      <c r="F63" s="224">
        <f t="shared" si="13"/>
        <v>47.3246</v>
      </c>
      <c r="G63" s="200">
        <f t="shared" si="14"/>
        <v>0</v>
      </c>
      <c r="H63" s="224">
        <f t="shared" si="6"/>
        <v>0</v>
      </c>
      <c r="I63" s="200">
        <f t="shared" si="15"/>
        <v>0</v>
      </c>
      <c r="J63" s="224">
        <f t="shared" si="7"/>
        <v>3.63103</v>
      </c>
      <c r="K63" s="58">
        <f t="shared" si="8"/>
        <v>0</v>
      </c>
      <c r="L63" s="58">
        <f t="shared" si="9"/>
        <v>0</v>
      </c>
      <c r="M63" s="58">
        <f t="shared" si="16"/>
        <v>3.63103</v>
      </c>
      <c r="N63" s="107">
        <f t="shared" si="17"/>
        <v>362.6309661</v>
      </c>
      <c r="O63" s="224">
        <f t="shared" si="10"/>
        <v>5.55985</v>
      </c>
      <c r="P63" s="58">
        <f t="shared" si="11"/>
        <v>0</v>
      </c>
      <c r="Q63" s="58">
        <f t="shared" si="12"/>
        <v>5.55985</v>
      </c>
      <c r="R63" s="107">
        <f t="shared" si="18"/>
        <v>0</v>
      </c>
    </row>
    <row r="64" spans="1:18" ht="12.75">
      <c r="A64" s="257" t="s">
        <v>51</v>
      </c>
      <c r="B64" s="224">
        <f t="shared" si="4"/>
        <v>60.359199999999994</v>
      </c>
      <c r="C64" s="58">
        <f t="shared" si="5"/>
        <v>0</v>
      </c>
      <c r="D64" s="58">
        <f aca="true" t="shared" si="20" ref="D64:D83">B64+C64</f>
        <v>60.359199999999994</v>
      </c>
      <c r="E64" s="107">
        <f t="shared" si="19"/>
        <v>3607.0657919999994</v>
      </c>
      <c r="F64" s="224">
        <f t="shared" si="13"/>
        <v>75.0728</v>
      </c>
      <c r="G64" s="200">
        <f t="shared" si="14"/>
        <v>0</v>
      </c>
      <c r="H64" s="224">
        <f t="shared" si="6"/>
        <v>0</v>
      </c>
      <c r="I64" s="200">
        <f t="shared" si="15"/>
        <v>0</v>
      </c>
      <c r="J64" s="224">
        <f t="shared" si="7"/>
        <v>5.76004</v>
      </c>
      <c r="K64" s="58">
        <f t="shared" si="8"/>
        <v>0</v>
      </c>
      <c r="L64" s="58">
        <f t="shared" si="9"/>
        <v>0</v>
      </c>
      <c r="M64" s="58">
        <f t="shared" si="16"/>
        <v>5.76004</v>
      </c>
      <c r="N64" s="107">
        <f t="shared" si="17"/>
        <v>575.2551948</v>
      </c>
      <c r="O64" s="224">
        <f t="shared" si="10"/>
        <v>8.819799999999999</v>
      </c>
      <c r="P64" s="58">
        <f t="shared" si="11"/>
        <v>0</v>
      </c>
      <c r="Q64" s="58">
        <f t="shared" si="12"/>
        <v>8.819799999999999</v>
      </c>
      <c r="R64" s="107">
        <f t="shared" si="18"/>
        <v>0</v>
      </c>
    </row>
    <row r="65" spans="1:18" ht="12.75">
      <c r="A65" s="257" t="s">
        <v>11</v>
      </c>
      <c r="B65" s="224">
        <f t="shared" si="4"/>
        <v>31.2626</v>
      </c>
      <c r="C65" s="58">
        <f t="shared" si="5"/>
        <v>0</v>
      </c>
      <c r="D65" s="58">
        <f t="shared" si="20"/>
        <v>31.2626</v>
      </c>
      <c r="E65" s="107">
        <f t="shared" si="19"/>
        <v>1868.252976</v>
      </c>
      <c r="F65" s="224">
        <f t="shared" si="13"/>
        <v>38.8834</v>
      </c>
      <c r="G65" s="200">
        <f t="shared" si="14"/>
        <v>0</v>
      </c>
      <c r="H65" s="224">
        <f t="shared" si="6"/>
        <v>0</v>
      </c>
      <c r="I65" s="200">
        <f t="shared" si="15"/>
        <v>0</v>
      </c>
      <c r="J65" s="224">
        <f t="shared" si="7"/>
        <v>2.9833700000000003</v>
      </c>
      <c r="K65" s="58">
        <f t="shared" si="8"/>
        <v>2.99376</v>
      </c>
      <c r="L65" s="58">
        <f t="shared" si="9"/>
        <v>0</v>
      </c>
      <c r="M65" s="58">
        <f t="shared" si="16"/>
        <v>5.977130000000001</v>
      </c>
      <c r="N65" s="107">
        <f t="shared" si="17"/>
        <v>596.9359731000001</v>
      </c>
      <c r="O65" s="224">
        <f t="shared" si="10"/>
        <v>4.56815</v>
      </c>
      <c r="P65" s="58">
        <f t="shared" si="11"/>
        <v>4.3516</v>
      </c>
      <c r="Q65" s="58">
        <f t="shared" si="12"/>
        <v>8.91975</v>
      </c>
      <c r="R65" s="107">
        <f t="shared" si="18"/>
        <v>0</v>
      </c>
    </row>
    <row r="66" spans="1:18" ht="12.75">
      <c r="A66" s="257" t="s">
        <v>20</v>
      </c>
      <c r="B66" s="224">
        <f t="shared" si="4"/>
        <v>105.3398</v>
      </c>
      <c r="C66" s="58">
        <f t="shared" si="5"/>
        <v>0</v>
      </c>
      <c r="D66" s="58">
        <f t="shared" si="20"/>
        <v>105.3398</v>
      </c>
      <c r="E66" s="107">
        <f t="shared" si="19"/>
        <v>6295.106448</v>
      </c>
      <c r="F66" s="224">
        <f t="shared" si="13"/>
        <v>131.0182</v>
      </c>
      <c r="G66" s="200">
        <f t="shared" si="14"/>
        <v>0</v>
      </c>
      <c r="H66" s="224">
        <f t="shared" si="6"/>
        <v>0</v>
      </c>
      <c r="I66" s="200">
        <f t="shared" si="15"/>
        <v>0</v>
      </c>
      <c r="J66" s="224">
        <f t="shared" si="7"/>
        <v>10.052510000000002</v>
      </c>
      <c r="K66" s="58">
        <f t="shared" si="8"/>
        <v>7.17822</v>
      </c>
      <c r="L66" s="58">
        <f t="shared" si="9"/>
        <v>0</v>
      </c>
      <c r="M66" s="58">
        <f t="shared" si="16"/>
        <v>17.23073</v>
      </c>
      <c r="N66" s="107">
        <f t="shared" si="17"/>
        <v>1720.8330051000003</v>
      </c>
      <c r="O66" s="224">
        <f t="shared" si="10"/>
        <v>15.39245</v>
      </c>
      <c r="P66" s="58">
        <f t="shared" si="11"/>
        <v>10.433950000000001</v>
      </c>
      <c r="Q66" s="58">
        <f t="shared" si="12"/>
        <v>25.8264</v>
      </c>
      <c r="R66" s="107">
        <f t="shared" si="18"/>
        <v>0</v>
      </c>
    </row>
    <row r="67" spans="1:18" ht="12.75">
      <c r="A67" s="257" t="s">
        <v>21</v>
      </c>
      <c r="B67" s="224">
        <f t="shared" si="4"/>
        <v>15.5952</v>
      </c>
      <c r="C67" s="58">
        <f t="shared" si="5"/>
        <v>0</v>
      </c>
      <c r="D67" s="58">
        <f t="shared" si="20"/>
        <v>15.5952</v>
      </c>
      <c r="E67" s="107">
        <f t="shared" si="19"/>
        <v>931.969152</v>
      </c>
      <c r="F67" s="224">
        <f t="shared" si="13"/>
        <v>19.396800000000002</v>
      </c>
      <c r="G67" s="200">
        <f t="shared" si="14"/>
        <v>0</v>
      </c>
      <c r="H67" s="224">
        <f t="shared" si="6"/>
        <v>0</v>
      </c>
      <c r="I67" s="200">
        <f t="shared" si="15"/>
        <v>0</v>
      </c>
      <c r="J67" s="224">
        <f t="shared" si="7"/>
        <v>1.4882400000000002</v>
      </c>
      <c r="K67" s="58">
        <f t="shared" si="8"/>
        <v>0.40823999999999994</v>
      </c>
      <c r="L67" s="58">
        <f t="shared" si="9"/>
        <v>0</v>
      </c>
      <c r="M67" s="58">
        <f t="shared" si="16"/>
        <v>1.8964800000000002</v>
      </c>
      <c r="N67" s="107">
        <f t="shared" si="17"/>
        <v>189.40145760000001</v>
      </c>
      <c r="O67" s="224">
        <f t="shared" si="10"/>
        <v>2.2788</v>
      </c>
      <c r="P67" s="58">
        <f t="shared" si="11"/>
        <v>0.5933999999999999</v>
      </c>
      <c r="Q67" s="58">
        <f aca="true" t="shared" si="21" ref="Q67:Q83">O67+P67</f>
        <v>2.8722</v>
      </c>
      <c r="R67" s="107">
        <f t="shared" si="18"/>
        <v>0</v>
      </c>
    </row>
    <row r="68" spans="1:18" ht="12.75">
      <c r="A68" s="257" t="s">
        <v>65</v>
      </c>
      <c r="B68" s="224">
        <f t="shared" si="4"/>
        <v>24.331400000000002</v>
      </c>
      <c r="C68" s="58">
        <f t="shared" si="5"/>
        <v>0</v>
      </c>
      <c r="D68" s="58">
        <f t="shared" si="20"/>
        <v>24.331400000000002</v>
      </c>
      <c r="E68" s="107">
        <f t="shared" si="19"/>
        <v>1454.044464</v>
      </c>
      <c r="F68" s="224">
        <f t="shared" si="13"/>
        <v>30.2626</v>
      </c>
      <c r="G68" s="200">
        <f t="shared" si="14"/>
        <v>0</v>
      </c>
      <c r="H68" s="224">
        <f t="shared" si="6"/>
        <v>0</v>
      </c>
      <c r="I68" s="200">
        <f t="shared" si="15"/>
        <v>0</v>
      </c>
      <c r="J68" s="224">
        <f t="shared" si="7"/>
        <v>2.32193</v>
      </c>
      <c r="K68" s="58">
        <f t="shared" si="8"/>
        <v>0</v>
      </c>
      <c r="L68" s="58">
        <f t="shared" si="9"/>
        <v>0</v>
      </c>
      <c r="M68" s="58">
        <f t="shared" si="16"/>
        <v>2.32193</v>
      </c>
      <c r="N68" s="107">
        <f t="shared" si="17"/>
        <v>231.8911491</v>
      </c>
      <c r="O68" s="224">
        <f t="shared" si="10"/>
        <v>3.5553500000000002</v>
      </c>
      <c r="P68" s="58">
        <f t="shared" si="11"/>
        <v>0</v>
      </c>
      <c r="Q68" s="58">
        <f t="shared" si="21"/>
        <v>3.5553500000000002</v>
      </c>
      <c r="R68" s="107">
        <f t="shared" si="18"/>
        <v>0</v>
      </c>
    </row>
    <row r="69" spans="1:18" ht="12.75">
      <c r="A69" s="257" t="s">
        <v>50</v>
      </c>
      <c r="B69" s="224">
        <f t="shared" si="4"/>
        <v>13.6458</v>
      </c>
      <c r="C69" s="58">
        <f t="shared" si="5"/>
        <v>0</v>
      </c>
      <c r="D69" s="58">
        <f t="shared" si="20"/>
        <v>13.6458</v>
      </c>
      <c r="E69" s="107">
        <f t="shared" si="19"/>
        <v>815.4730079999999</v>
      </c>
      <c r="F69" s="224">
        <f t="shared" si="13"/>
        <v>16.9722</v>
      </c>
      <c r="G69" s="200">
        <f t="shared" si="14"/>
        <v>0</v>
      </c>
      <c r="H69" s="224">
        <f t="shared" si="6"/>
        <v>0</v>
      </c>
      <c r="I69" s="200">
        <f t="shared" si="15"/>
        <v>0</v>
      </c>
      <c r="J69" s="224">
        <f t="shared" si="7"/>
        <v>1.30221</v>
      </c>
      <c r="K69" s="58">
        <f t="shared" si="8"/>
        <v>0</v>
      </c>
      <c r="L69" s="58">
        <f t="shared" si="9"/>
        <v>0</v>
      </c>
      <c r="M69" s="58">
        <f t="shared" si="16"/>
        <v>1.30221</v>
      </c>
      <c r="N69" s="107">
        <f t="shared" si="17"/>
        <v>130.05171270000002</v>
      </c>
      <c r="O69" s="224">
        <f t="shared" si="10"/>
        <v>1.9939500000000001</v>
      </c>
      <c r="P69" s="58">
        <f t="shared" si="11"/>
        <v>0</v>
      </c>
      <c r="Q69" s="58">
        <f t="shared" si="21"/>
        <v>1.9939500000000001</v>
      </c>
      <c r="R69" s="107">
        <f t="shared" si="18"/>
        <v>0</v>
      </c>
    </row>
    <row r="70" spans="1:18" ht="12.75">
      <c r="A70" s="257" t="s">
        <v>33</v>
      </c>
      <c r="B70" s="224">
        <f t="shared" si="4"/>
        <v>85.91799999999999</v>
      </c>
      <c r="C70" s="58">
        <f t="shared" si="5"/>
        <v>0</v>
      </c>
      <c r="D70" s="58">
        <f t="shared" si="20"/>
        <v>85.91799999999999</v>
      </c>
      <c r="E70" s="107">
        <f t="shared" si="19"/>
        <v>5134.459679999999</v>
      </c>
      <c r="F70" s="224">
        <f aca="true" t="shared" si="22" ref="F70:F84">B38*$C$12</f>
        <v>106.862</v>
      </c>
      <c r="G70" s="200">
        <f t="shared" si="14"/>
        <v>0</v>
      </c>
      <c r="H70" s="224">
        <f t="shared" si="6"/>
        <v>0</v>
      </c>
      <c r="I70" s="200">
        <f t="shared" si="15"/>
        <v>0</v>
      </c>
      <c r="J70" s="224">
        <f t="shared" si="7"/>
        <v>8.1991</v>
      </c>
      <c r="K70" s="58">
        <f t="shared" si="8"/>
        <v>0</v>
      </c>
      <c r="L70" s="58">
        <f t="shared" si="9"/>
        <v>0</v>
      </c>
      <c r="M70" s="58">
        <f t="shared" si="16"/>
        <v>8.1991</v>
      </c>
      <c r="N70" s="107">
        <f t="shared" si="17"/>
        <v>818.844117</v>
      </c>
      <c r="O70" s="224">
        <f t="shared" si="10"/>
        <v>12.554499999999999</v>
      </c>
      <c r="P70" s="58">
        <f t="shared" si="11"/>
        <v>0</v>
      </c>
      <c r="Q70" s="58">
        <f t="shared" si="21"/>
        <v>12.554499999999999</v>
      </c>
      <c r="R70" s="107">
        <f t="shared" si="18"/>
        <v>0</v>
      </c>
    </row>
    <row r="71" spans="1:18" ht="12.75">
      <c r="A71" s="257" t="s">
        <v>17</v>
      </c>
      <c r="B71" s="224">
        <f t="shared" si="4"/>
        <v>18.3388</v>
      </c>
      <c r="C71" s="58">
        <f t="shared" si="5"/>
        <v>2.6832</v>
      </c>
      <c r="D71" s="58">
        <f t="shared" si="20"/>
        <v>21.022</v>
      </c>
      <c r="E71" s="107">
        <f t="shared" si="19"/>
        <v>1256.27472</v>
      </c>
      <c r="F71" s="224">
        <f t="shared" si="22"/>
        <v>22.8092</v>
      </c>
      <c r="G71" s="200">
        <f t="shared" si="14"/>
        <v>0</v>
      </c>
      <c r="H71" s="224">
        <f t="shared" si="6"/>
        <v>39.744899999999994</v>
      </c>
      <c r="I71" s="200">
        <f t="shared" si="15"/>
        <v>0</v>
      </c>
      <c r="J71" s="224">
        <f t="shared" si="7"/>
        <v>1.7500600000000002</v>
      </c>
      <c r="K71" s="58">
        <f t="shared" si="8"/>
        <v>0</v>
      </c>
      <c r="L71" s="58">
        <f t="shared" si="9"/>
        <v>0</v>
      </c>
      <c r="M71" s="58">
        <f t="shared" si="16"/>
        <v>1.7500600000000002</v>
      </c>
      <c r="N71" s="107">
        <f t="shared" si="17"/>
        <v>174.77849220000002</v>
      </c>
      <c r="O71" s="224">
        <f t="shared" si="10"/>
        <v>2.6797</v>
      </c>
      <c r="P71" s="58">
        <f t="shared" si="11"/>
        <v>0</v>
      </c>
      <c r="Q71" s="58">
        <f t="shared" si="21"/>
        <v>2.6797</v>
      </c>
      <c r="R71" s="107">
        <f t="shared" si="18"/>
        <v>0</v>
      </c>
    </row>
    <row r="72" spans="1:18" ht="12.75">
      <c r="A72" s="257" t="s">
        <v>185</v>
      </c>
      <c r="B72" s="224">
        <f t="shared" si="4"/>
        <v>0</v>
      </c>
      <c r="C72" s="58">
        <f t="shared" si="5"/>
        <v>0</v>
      </c>
      <c r="D72" s="58">
        <f>B72+C72</f>
        <v>0</v>
      </c>
      <c r="E72" s="107">
        <f>D72*$E$59</f>
        <v>0</v>
      </c>
      <c r="F72" s="224">
        <f t="shared" si="22"/>
        <v>0</v>
      </c>
      <c r="G72" s="200">
        <f>F72*$G$59</f>
        <v>0</v>
      </c>
      <c r="H72" s="224">
        <f aca="true" t="shared" si="23" ref="H72:H84">C40*$D$14</f>
        <v>0</v>
      </c>
      <c r="I72" s="200">
        <f>H72*$I$59</f>
        <v>0</v>
      </c>
      <c r="J72" s="224">
        <f aca="true" t="shared" si="24" ref="J72:J84">B40*$E$12</f>
        <v>0</v>
      </c>
      <c r="K72" s="58">
        <f aca="true" t="shared" si="25" ref="K72:K84">D40*$E$15</f>
        <v>0</v>
      </c>
      <c r="L72" s="58">
        <f aca="true" t="shared" si="26" ref="L72:L84">E40*$E$16</f>
        <v>0</v>
      </c>
      <c r="M72" s="58">
        <f>J72+K72+L72</f>
        <v>0</v>
      </c>
      <c r="N72" s="107">
        <f>M72*$N$59</f>
        <v>0</v>
      </c>
      <c r="O72" s="224">
        <f aca="true" t="shared" si="27" ref="O72:O84">B40*$F$12</f>
        <v>0</v>
      </c>
      <c r="P72" s="58">
        <f aca="true" t="shared" si="28" ref="P72:P84">D40*$F$15</f>
        <v>0</v>
      </c>
      <c r="Q72" s="58">
        <f>O72+P72</f>
        <v>0</v>
      </c>
      <c r="R72" s="107">
        <f>Q72*$R$59</f>
        <v>0</v>
      </c>
    </row>
    <row r="73" spans="1:18" ht="12.75">
      <c r="A73" s="257" t="s">
        <v>12</v>
      </c>
      <c r="B73" s="224">
        <f t="shared" si="4"/>
        <v>27.797</v>
      </c>
      <c r="C73" s="58">
        <f t="shared" si="5"/>
        <v>1.5344</v>
      </c>
      <c r="D73" s="58">
        <f t="shared" si="20"/>
        <v>29.331400000000002</v>
      </c>
      <c r="E73" s="107">
        <f t="shared" si="19"/>
        <v>1752.844464</v>
      </c>
      <c r="F73" s="224">
        <f t="shared" si="22"/>
        <v>34.573</v>
      </c>
      <c r="G73" s="200">
        <f t="shared" si="14"/>
        <v>0</v>
      </c>
      <c r="H73" s="224">
        <f t="shared" si="23"/>
        <v>22.7283</v>
      </c>
      <c r="I73" s="200">
        <f t="shared" si="15"/>
        <v>0</v>
      </c>
      <c r="J73" s="224">
        <f t="shared" si="24"/>
        <v>2.6526500000000004</v>
      </c>
      <c r="K73" s="58">
        <f t="shared" si="25"/>
        <v>3.6061199999999998</v>
      </c>
      <c r="L73" s="58">
        <f t="shared" si="26"/>
        <v>11.57646</v>
      </c>
      <c r="M73" s="58">
        <f t="shared" si="16"/>
        <v>17.835230000000003</v>
      </c>
      <c r="N73" s="107">
        <f t="shared" si="17"/>
        <v>1781.2044201000003</v>
      </c>
      <c r="O73" s="224">
        <f t="shared" si="27"/>
        <v>4.06175</v>
      </c>
      <c r="P73" s="58">
        <f t="shared" si="28"/>
        <v>5.2417</v>
      </c>
      <c r="Q73" s="58">
        <f t="shared" si="21"/>
        <v>9.30345</v>
      </c>
      <c r="R73" s="107">
        <f t="shared" si="18"/>
        <v>0</v>
      </c>
    </row>
    <row r="74" spans="1:18" ht="12.75">
      <c r="A74" s="257" t="s">
        <v>13</v>
      </c>
      <c r="B74" s="224">
        <f t="shared" si="4"/>
        <v>13.5736</v>
      </c>
      <c r="C74" s="58">
        <f t="shared" si="5"/>
        <v>0.2352</v>
      </c>
      <c r="D74" s="58">
        <f t="shared" si="20"/>
        <v>13.808800000000002</v>
      </c>
      <c r="E74" s="107">
        <f t="shared" si="19"/>
        <v>825.2138880000001</v>
      </c>
      <c r="F74" s="224">
        <f t="shared" si="22"/>
        <v>16.8824</v>
      </c>
      <c r="G74" s="200">
        <f t="shared" si="14"/>
        <v>0</v>
      </c>
      <c r="H74" s="224">
        <f t="shared" si="23"/>
        <v>3.4838999999999998</v>
      </c>
      <c r="I74" s="200">
        <f t="shared" si="15"/>
        <v>0</v>
      </c>
      <c r="J74" s="224">
        <f t="shared" si="24"/>
        <v>1.2953200000000002</v>
      </c>
      <c r="K74" s="58">
        <f t="shared" si="25"/>
        <v>0</v>
      </c>
      <c r="L74" s="58">
        <f t="shared" si="26"/>
        <v>0</v>
      </c>
      <c r="M74" s="58">
        <f t="shared" si="16"/>
        <v>1.2953200000000002</v>
      </c>
      <c r="N74" s="107">
        <f t="shared" si="17"/>
        <v>129.36360840000003</v>
      </c>
      <c r="O74" s="224">
        <f t="shared" si="27"/>
        <v>1.9834</v>
      </c>
      <c r="P74" s="58">
        <f t="shared" si="28"/>
        <v>0</v>
      </c>
      <c r="Q74" s="58">
        <f t="shared" si="21"/>
        <v>1.9834</v>
      </c>
      <c r="R74" s="107">
        <f t="shared" si="18"/>
        <v>0</v>
      </c>
    </row>
    <row r="75" spans="1:18" ht="12.75">
      <c r="A75" s="257" t="s">
        <v>9</v>
      </c>
      <c r="B75" s="224">
        <f t="shared" si="4"/>
        <v>38.1938</v>
      </c>
      <c r="C75" s="58">
        <f t="shared" si="5"/>
        <v>4.9024</v>
      </c>
      <c r="D75" s="58">
        <f t="shared" si="20"/>
        <v>43.0962</v>
      </c>
      <c r="E75" s="107">
        <f t="shared" si="19"/>
        <v>2575.4289120000003</v>
      </c>
      <c r="F75" s="224">
        <f t="shared" si="22"/>
        <v>47.504200000000004</v>
      </c>
      <c r="G75" s="200">
        <f t="shared" si="14"/>
        <v>0</v>
      </c>
      <c r="H75" s="224">
        <f t="shared" si="23"/>
        <v>72.6168</v>
      </c>
      <c r="I75" s="200">
        <f t="shared" si="15"/>
        <v>0</v>
      </c>
      <c r="J75" s="224">
        <f t="shared" si="24"/>
        <v>3.6448100000000005</v>
      </c>
      <c r="K75" s="58">
        <f t="shared" si="25"/>
        <v>0</v>
      </c>
      <c r="L75" s="58">
        <f t="shared" si="26"/>
        <v>46.12524</v>
      </c>
      <c r="M75" s="58">
        <f t="shared" si="16"/>
        <v>49.77005</v>
      </c>
      <c r="N75" s="107">
        <f t="shared" si="17"/>
        <v>4970.5348935</v>
      </c>
      <c r="O75" s="224">
        <f t="shared" si="27"/>
        <v>5.5809500000000005</v>
      </c>
      <c r="P75" s="58">
        <f t="shared" si="28"/>
        <v>0</v>
      </c>
      <c r="Q75" s="58">
        <f t="shared" si="21"/>
        <v>5.5809500000000005</v>
      </c>
      <c r="R75" s="107">
        <f t="shared" si="18"/>
        <v>0</v>
      </c>
    </row>
    <row r="76" spans="1:18" ht="12.75">
      <c r="A76" s="257" t="s">
        <v>14</v>
      </c>
      <c r="B76" s="224">
        <f t="shared" si="4"/>
        <v>12.995999999999999</v>
      </c>
      <c r="C76" s="58">
        <f t="shared" si="5"/>
        <v>0</v>
      </c>
      <c r="D76" s="58">
        <f t="shared" si="20"/>
        <v>12.995999999999999</v>
      </c>
      <c r="E76" s="107">
        <f t="shared" si="19"/>
        <v>776.64096</v>
      </c>
      <c r="F76" s="224">
        <f t="shared" si="22"/>
        <v>16.163999999999998</v>
      </c>
      <c r="G76" s="200">
        <f t="shared" si="14"/>
        <v>0</v>
      </c>
      <c r="H76" s="224">
        <f t="shared" si="23"/>
        <v>0</v>
      </c>
      <c r="I76" s="200">
        <f t="shared" si="15"/>
        <v>0</v>
      </c>
      <c r="J76" s="224">
        <f t="shared" si="24"/>
        <v>1.2402</v>
      </c>
      <c r="K76" s="58">
        <f t="shared" si="25"/>
        <v>9.1854</v>
      </c>
      <c r="L76" s="58">
        <f t="shared" si="26"/>
        <v>0</v>
      </c>
      <c r="M76" s="58">
        <f t="shared" si="16"/>
        <v>10.4256</v>
      </c>
      <c r="N76" s="107">
        <f t="shared" si="17"/>
        <v>1041.204672</v>
      </c>
      <c r="O76" s="224">
        <f t="shared" si="27"/>
        <v>1.8989999999999998</v>
      </c>
      <c r="P76" s="58">
        <f t="shared" si="28"/>
        <v>13.3515</v>
      </c>
      <c r="Q76" s="58">
        <f t="shared" si="21"/>
        <v>15.250499999999999</v>
      </c>
      <c r="R76" s="107">
        <f t="shared" si="18"/>
        <v>0</v>
      </c>
    </row>
    <row r="77" spans="1:18" ht="12.75">
      <c r="A77" s="257" t="s">
        <v>15</v>
      </c>
      <c r="B77" s="224">
        <f t="shared" si="4"/>
        <v>30.0352</v>
      </c>
      <c r="C77" s="58">
        <f t="shared" si="5"/>
        <v>0</v>
      </c>
      <c r="D77" s="58">
        <f t="shared" si="20"/>
        <v>30.0352</v>
      </c>
      <c r="E77" s="107">
        <f t="shared" si="19"/>
        <v>1794.903552</v>
      </c>
      <c r="F77" s="224">
        <f t="shared" si="22"/>
        <v>37.3568</v>
      </c>
      <c r="G77" s="200">
        <f t="shared" si="14"/>
        <v>0</v>
      </c>
      <c r="H77" s="224">
        <f t="shared" si="23"/>
        <v>0</v>
      </c>
      <c r="I77" s="200">
        <f t="shared" si="15"/>
        <v>0</v>
      </c>
      <c r="J77" s="224">
        <f t="shared" si="24"/>
        <v>2.86624</v>
      </c>
      <c r="K77" s="58">
        <f t="shared" si="25"/>
        <v>3.2319</v>
      </c>
      <c r="L77" s="58">
        <f t="shared" si="26"/>
        <v>0.51471</v>
      </c>
      <c r="M77" s="58">
        <f t="shared" si="16"/>
        <v>6.61285</v>
      </c>
      <c r="N77" s="107">
        <f t="shared" si="17"/>
        <v>660.4253295</v>
      </c>
      <c r="O77" s="224">
        <f t="shared" si="27"/>
        <v>4.3888</v>
      </c>
      <c r="P77" s="58">
        <f t="shared" si="28"/>
        <v>4.69775</v>
      </c>
      <c r="Q77" s="58">
        <f t="shared" si="21"/>
        <v>9.086549999999999</v>
      </c>
      <c r="R77" s="107">
        <f t="shared" si="18"/>
        <v>0</v>
      </c>
    </row>
    <row r="78" spans="1:18" ht="12.75">
      <c r="A78" s="257" t="s">
        <v>10</v>
      </c>
      <c r="B78" s="224">
        <f t="shared" si="4"/>
        <v>32.9232</v>
      </c>
      <c r="C78" s="58">
        <f t="shared" si="5"/>
        <v>2.6128</v>
      </c>
      <c r="D78" s="58">
        <f t="shared" si="20"/>
        <v>35.536</v>
      </c>
      <c r="E78" s="107">
        <f t="shared" si="19"/>
        <v>2123.63136</v>
      </c>
      <c r="F78" s="224">
        <f t="shared" si="22"/>
        <v>40.9488</v>
      </c>
      <c r="G78" s="200">
        <f t="shared" si="14"/>
        <v>0</v>
      </c>
      <c r="H78" s="224">
        <f t="shared" si="23"/>
        <v>38.7021</v>
      </c>
      <c r="I78" s="200">
        <f t="shared" si="15"/>
        <v>0</v>
      </c>
      <c r="J78" s="224">
        <f t="shared" si="24"/>
        <v>3.14184</v>
      </c>
      <c r="K78" s="58">
        <f t="shared" si="25"/>
        <v>0</v>
      </c>
      <c r="L78" s="58">
        <f t="shared" si="26"/>
        <v>0</v>
      </c>
      <c r="M78" s="58">
        <f t="shared" si="16"/>
        <v>3.14184</v>
      </c>
      <c r="N78" s="107">
        <f t="shared" si="17"/>
        <v>313.77556080000005</v>
      </c>
      <c r="O78" s="224">
        <f t="shared" si="27"/>
        <v>4.8108</v>
      </c>
      <c r="P78" s="58">
        <f t="shared" si="28"/>
        <v>0</v>
      </c>
      <c r="Q78" s="58">
        <f t="shared" si="21"/>
        <v>4.8108</v>
      </c>
      <c r="R78" s="107">
        <f t="shared" si="18"/>
        <v>0</v>
      </c>
    </row>
    <row r="79" spans="1:18" ht="12.75">
      <c r="A79" s="257" t="s">
        <v>8</v>
      </c>
      <c r="B79" s="224">
        <f t="shared" si="4"/>
        <v>46.71339999999999</v>
      </c>
      <c r="C79" s="58">
        <f t="shared" si="5"/>
        <v>2.24</v>
      </c>
      <c r="D79" s="58">
        <f t="shared" si="20"/>
        <v>48.953399999999995</v>
      </c>
      <c r="E79" s="107">
        <f t="shared" si="19"/>
        <v>2925.4551839999995</v>
      </c>
      <c r="F79" s="224">
        <f t="shared" si="22"/>
        <v>58.10059999999999</v>
      </c>
      <c r="G79" s="200">
        <f t="shared" si="14"/>
        <v>0</v>
      </c>
      <c r="H79" s="224">
        <f t="shared" si="23"/>
        <v>33.18</v>
      </c>
      <c r="I79" s="200">
        <f t="shared" si="15"/>
        <v>0</v>
      </c>
      <c r="J79" s="224">
        <f t="shared" si="24"/>
        <v>4.4578299999999995</v>
      </c>
      <c r="K79" s="58">
        <f t="shared" si="25"/>
        <v>217.08162</v>
      </c>
      <c r="L79" s="58">
        <f t="shared" si="26"/>
        <v>28.408379999999998</v>
      </c>
      <c r="M79" s="58">
        <f t="shared" si="16"/>
        <v>249.94782999999998</v>
      </c>
      <c r="N79" s="107">
        <f t="shared" si="17"/>
        <v>24962.2897821</v>
      </c>
      <c r="O79" s="224">
        <f t="shared" si="27"/>
        <v>6.825849999999999</v>
      </c>
      <c r="P79" s="58">
        <f t="shared" si="28"/>
        <v>315.54045</v>
      </c>
      <c r="Q79" s="58">
        <f t="shared" si="21"/>
        <v>322.3663</v>
      </c>
      <c r="R79" s="107">
        <f t="shared" si="18"/>
        <v>0</v>
      </c>
    </row>
    <row r="80" spans="1:18" ht="12.75">
      <c r="A80" s="257" t="s">
        <v>18</v>
      </c>
      <c r="B80" s="224">
        <f t="shared" si="4"/>
        <v>1.8772</v>
      </c>
      <c r="C80" s="58">
        <f t="shared" si="5"/>
        <v>0.0832</v>
      </c>
      <c r="D80" s="58">
        <f t="shared" si="20"/>
        <v>1.9604</v>
      </c>
      <c r="E80" s="107">
        <f t="shared" si="19"/>
        <v>117.153504</v>
      </c>
      <c r="F80" s="224">
        <f t="shared" si="22"/>
        <v>2.3348</v>
      </c>
      <c r="G80" s="200">
        <f t="shared" si="14"/>
        <v>0</v>
      </c>
      <c r="H80" s="224">
        <f t="shared" si="23"/>
        <v>1.2324</v>
      </c>
      <c r="I80" s="200">
        <f t="shared" si="15"/>
        <v>0</v>
      </c>
      <c r="J80" s="224">
        <f t="shared" si="24"/>
        <v>0.17914</v>
      </c>
      <c r="K80" s="58">
        <f t="shared" si="25"/>
        <v>8.607059999999999</v>
      </c>
      <c r="L80" s="58">
        <f t="shared" si="26"/>
        <v>1.12875</v>
      </c>
      <c r="M80" s="58">
        <f t="shared" si="16"/>
        <v>9.91495</v>
      </c>
      <c r="N80" s="107">
        <f t="shared" si="17"/>
        <v>990.2060564999999</v>
      </c>
      <c r="O80" s="224">
        <f t="shared" si="27"/>
        <v>0.2743</v>
      </c>
      <c r="P80" s="58">
        <f t="shared" si="28"/>
        <v>12.51085</v>
      </c>
      <c r="Q80" s="58">
        <f t="shared" si="21"/>
        <v>12.78515</v>
      </c>
      <c r="R80" s="107">
        <f t="shared" si="18"/>
        <v>0</v>
      </c>
    </row>
    <row r="81" spans="1:18" ht="12.75">
      <c r="A81" s="257" t="s">
        <v>163</v>
      </c>
      <c r="B81" s="224">
        <f t="shared" si="4"/>
        <v>4.0432</v>
      </c>
      <c r="C81" s="58">
        <f t="shared" si="5"/>
        <v>0.0784</v>
      </c>
      <c r="D81" s="58">
        <f>B81+C81</f>
        <v>4.1216</v>
      </c>
      <c r="E81" s="107">
        <f>D81*$E$59</f>
        <v>246.306816</v>
      </c>
      <c r="F81" s="224">
        <f t="shared" si="22"/>
        <v>5.0288</v>
      </c>
      <c r="G81" s="200">
        <f>F81*$G$59</f>
        <v>0</v>
      </c>
      <c r="H81" s="224">
        <f t="shared" si="23"/>
        <v>1.1613</v>
      </c>
      <c r="I81" s="200">
        <f>H81*$I$59</f>
        <v>0</v>
      </c>
      <c r="J81" s="224">
        <f t="shared" si="24"/>
        <v>0.38584</v>
      </c>
      <c r="K81" s="58">
        <f t="shared" si="25"/>
        <v>30.788099999999996</v>
      </c>
      <c r="L81" s="58">
        <f t="shared" si="26"/>
        <v>0</v>
      </c>
      <c r="M81" s="58">
        <f>J81+K81+L81</f>
        <v>31.173939999999998</v>
      </c>
      <c r="N81" s="107">
        <f>M81*$N$59</f>
        <v>3113.3413878</v>
      </c>
      <c r="O81" s="224">
        <f t="shared" si="27"/>
        <v>0.5908</v>
      </c>
      <c r="P81" s="58">
        <f t="shared" si="28"/>
        <v>44.75225</v>
      </c>
      <c r="Q81" s="58">
        <f>O81+P81</f>
        <v>45.34305</v>
      </c>
      <c r="R81" s="107">
        <f>Q81*$R$59</f>
        <v>0</v>
      </c>
    </row>
    <row r="82" spans="1:18" ht="12.75">
      <c r="A82" s="257" t="s">
        <v>164</v>
      </c>
      <c r="B82" s="224">
        <f t="shared" si="4"/>
        <v>2.9602000000000004</v>
      </c>
      <c r="C82" s="58">
        <f t="shared" si="5"/>
        <v>0.1504</v>
      </c>
      <c r="D82" s="58">
        <f t="shared" si="20"/>
        <v>3.1106000000000003</v>
      </c>
      <c r="E82" s="107">
        <f t="shared" si="19"/>
        <v>185.889456</v>
      </c>
      <c r="F82" s="224">
        <f t="shared" si="22"/>
        <v>3.6818000000000004</v>
      </c>
      <c r="G82" s="200">
        <f t="shared" si="14"/>
        <v>0</v>
      </c>
      <c r="H82" s="224">
        <f t="shared" si="23"/>
        <v>2.2278000000000002</v>
      </c>
      <c r="I82" s="200">
        <f t="shared" si="15"/>
        <v>0</v>
      </c>
      <c r="J82" s="224">
        <f t="shared" si="24"/>
        <v>0.2824900000000001</v>
      </c>
      <c r="K82" s="58">
        <f t="shared" si="25"/>
        <v>0.20411999999999997</v>
      </c>
      <c r="L82" s="58">
        <f t="shared" si="26"/>
        <v>1.06554</v>
      </c>
      <c r="M82" s="58">
        <f t="shared" si="16"/>
        <v>1.55215</v>
      </c>
      <c r="N82" s="107">
        <f t="shared" si="17"/>
        <v>155.0132205</v>
      </c>
      <c r="O82" s="224">
        <f t="shared" si="27"/>
        <v>0.43255000000000005</v>
      </c>
      <c r="P82" s="58">
        <f t="shared" si="28"/>
        <v>0.29669999999999996</v>
      </c>
      <c r="Q82" s="58">
        <f t="shared" si="21"/>
        <v>0.72925</v>
      </c>
      <c r="R82" s="107">
        <f t="shared" si="18"/>
        <v>0</v>
      </c>
    </row>
    <row r="83" spans="1:18" ht="12.75">
      <c r="A83" s="257" t="s">
        <v>142</v>
      </c>
      <c r="B83" s="224">
        <f t="shared" si="4"/>
        <v>1.3718</v>
      </c>
      <c r="C83" s="58">
        <f t="shared" si="5"/>
        <v>0.0464</v>
      </c>
      <c r="D83" s="58">
        <f t="shared" si="20"/>
        <v>1.4182</v>
      </c>
      <c r="E83" s="107">
        <f t="shared" si="19"/>
        <v>84.75163199999999</v>
      </c>
      <c r="F83" s="224">
        <f t="shared" si="22"/>
        <v>1.7062</v>
      </c>
      <c r="G83" s="200">
        <f t="shared" si="14"/>
        <v>0</v>
      </c>
      <c r="H83" s="224">
        <f t="shared" si="23"/>
        <v>0.6872999999999999</v>
      </c>
      <c r="I83" s="200">
        <f t="shared" si="15"/>
        <v>0</v>
      </c>
      <c r="J83" s="224">
        <f t="shared" si="24"/>
        <v>0.13091</v>
      </c>
      <c r="K83" s="58">
        <f t="shared" si="25"/>
        <v>6.531839999999999</v>
      </c>
      <c r="L83" s="58">
        <f t="shared" si="26"/>
        <v>0.7675500000000001</v>
      </c>
      <c r="M83" s="58">
        <f t="shared" si="16"/>
        <v>7.430299999999999</v>
      </c>
      <c r="N83" s="107">
        <f t="shared" si="17"/>
        <v>742.0640609999999</v>
      </c>
      <c r="O83" s="224">
        <f t="shared" si="27"/>
        <v>0.20045</v>
      </c>
      <c r="P83" s="58">
        <f t="shared" si="28"/>
        <v>9.494399999999999</v>
      </c>
      <c r="Q83" s="58">
        <f t="shared" si="21"/>
        <v>9.694849999999999</v>
      </c>
      <c r="R83" s="107">
        <f t="shared" si="18"/>
        <v>0</v>
      </c>
    </row>
    <row r="84" spans="1:18" ht="13.5" thickBot="1">
      <c r="A84" s="264" t="s">
        <v>143</v>
      </c>
      <c r="B84" s="224">
        <f t="shared" si="4"/>
        <v>0</v>
      </c>
      <c r="C84" s="58">
        <f t="shared" si="5"/>
        <v>0</v>
      </c>
      <c r="D84" s="58">
        <f>B84+C84</f>
        <v>0</v>
      </c>
      <c r="E84" s="107">
        <f>D84*$E$59</f>
        <v>0</v>
      </c>
      <c r="F84" s="224">
        <f t="shared" si="22"/>
        <v>0</v>
      </c>
      <c r="G84" s="200">
        <f t="shared" si="14"/>
        <v>0</v>
      </c>
      <c r="H84" s="224">
        <f t="shared" si="23"/>
        <v>0</v>
      </c>
      <c r="I84" s="200">
        <f t="shared" si="15"/>
        <v>0</v>
      </c>
      <c r="J84" s="224">
        <f t="shared" si="24"/>
        <v>0</v>
      </c>
      <c r="K84" s="58">
        <f t="shared" si="25"/>
        <v>49.6692</v>
      </c>
      <c r="L84" s="58">
        <f t="shared" si="26"/>
        <v>0.7133700000000001</v>
      </c>
      <c r="M84" s="58">
        <f t="shared" si="16"/>
        <v>50.382569999999994</v>
      </c>
      <c r="N84" s="107">
        <f t="shared" si="17"/>
        <v>5031.7072659</v>
      </c>
      <c r="O84" s="224">
        <f t="shared" si="27"/>
        <v>0</v>
      </c>
      <c r="P84" s="58">
        <f t="shared" si="28"/>
        <v>72.19699999999999</v>
      </c>
      <c r="Q84" s="58">
        <f>O84+P84</f>
        <v>72.19699999999999</v>
      </c>
      <c r="R84" s="107">
        <f t="shared" si="18"/>
        <v>0</v>
      </c>
    </row>
    <row r="85" spans="1:18" ht="13.5" thickBot="1">
      <c r="A85" s="265" t="s">
        <v>56</v>
      </c>
      <c r="B85" s="226">
        <f>SUM(B61:B84)</f>
        <v>722</v>
      </c>
      <c r="C85" s="260">
        <f aca="true" t="shared" si="29" ref="C85:R85">SUM(C61:C84)</f>
        <v>15.999999999999998</v>
      </c>
      <c r="D85" s="260">
        <f t="shared" si="29"/>
        <v>737.9999999999999</v>
      </c>
      <c r="E85" s="261">
        <f t="shared" si="29"/>
        <v>44102.88</v>
      </c>
      <c r="F85" s="226">
        <f t="shared" si="29"/>
        <v>897.9999999999999</v>
      </c>
      <c r="G85" s="261">
        <f t="shared" si="29"/>
        <v>0</v>
      </c>
      <c r="H85" s="226">
        <f t="shared" si="29"/>
        <v>237.00000000000003</v>
      </c>
      <c r="I85" s="261">
        <f t="shared" si="29"/>
        <v>0</v>
      </c>
      <c r="J85" s="226">
        <f t="shared" si="29"/>
        <v>68.9</v>
      </c>
      <c r="K85" s="260">
        <f t="shared" si="29"/>
        <v>340.19999999999993</v>
      </c>
      <c r="L85" s="260">
        <f t="shared" si="29"/>
        <v>90.3</v>
      </c>
      <c r="M85" s="260">
        <f t="shared" si="29"/>
        <v>499.4</v>
      </c>
      <c r="N85" s="261">
        <f t="shared" si="29"/>
        <v>49875.077999999994</v>
      </c>
      <c r="O85" s="226">
        <f t="shared" si="29"/>
        <v>105.50000000000001</v>
      </c>
      <c r="P85" s="260">
        <f t="shared" si="29"/>
        <v>494.5</v>
      </c>
      <c r="Q85" s="260">
        <f t="shared" si="29"/>
        <v>600</v>
      </c>
      <c r="R85" s="261">
        <f t="shared" si="29"/>
        <v>0</v>
      </c>
    </row>
    <row r="86" spans="1:7" ht="12.75">
      <c r="A86" s="136" t="s">
        <v>90</v>
      </c>
      <c r="B86" s="25"/>
      <c r="C86" s="25"/>
      <c r="D86" s="25"/>
      <c r="E86" s="9"/>
      <c r="F86" s="25"/>
      <c r="G86" s="9"/>
    </row>
    <row r="87" spans="1:4" ht="13.5">
      <c r="A87" s="54" t="s">
        <v>95</v>
      </c>
      <c r="B87" s="117"/>
      <c r="C87" s="117"/>
      <c r="D87" s="118"/>
    </row>
    <row r="88" spans="1:4" ht="13.5">
      <c r="A88" s="54" t="s">
        <v>98</v>
      </c>
      <c r="B88" s="117"/>
      <c r="C88" s="117"/>
      <c r="D88" s="118"/>
    </row>
    <row r="89" ht="13.5" thickBot="1"/>
    <row r="90" spans="1:2" ht="15.75" thickBot="1">
      <c r="A90" s="267" t="s">
        <v>80</v>
      </c>
      <c r="B90" s="6"/>
    </row>
    <row r="91" spans="1:4" ht="92.25">
      <c r="A91" s="266" t="s">
        <v>3</v>
      </c>
      <c r="B91" s="89" t="s">
        <v>99</v>
      </c>
      <c r="C91" s="103" t="s">
        <v>157</v>
      </c>
      <c r="D91" s="68"/>
    </row>
    <row r="92" spans="1:3" ht="12.75">
      <c r="A92" s="50" t="s">
        <v>30</v>
      </c>
      <c r="B92" s="123">
        <f>B21*E59</f>
        <v>9501.84</v>
      </c>
      <c r="C92" s="126">
        <f>(B12+B17)*E59</f>
        <v>44102.88</v>
      </c>
    </row>
    <row r="93" spans="1:3" ht="12.75">
      <c r="A93" s="50" t="s">
        <v>41</v>
      </c>
      <c r="B93" s="123">
        <f>C21*G59</f>
        <v>0</v>
      </c>
      <c r="C93" s="126">
        <f>(C12+C17)*G59</f>
        <v>0</v>
      </c>
    </row>
    <row r="94" spans="1:3" ht="12.75">
      <c r="A94" s="50" t="s">
        <v>5</v>
      </c>
      <c r="B94" s="123">
        <f>D21*I59</f>
        <v>0</v>
      </c>
      <c r="C94" s="126">
        <f>(D12+D17)*I59</f>
        <v>0</v>
      </c>
    </row>
    <row r="95" spans="1:3" ht="12.75">
      <c r="A95" s="201" t="s">
        <v>8</v>
      </c>
      <c r="B95" s="123">
        <f>E21*N59</f>
        <v>0</v>
      </c>
      <c r="C95" s="126">
        <f>(E12+E17)*N59</f>
        <v>49875.078</v>
      </c>
    </row>
    <row r="96" spans="1:3" ht="12.75">
      <c r="A96" s="201" t="s">
        <v>42</v>
      </c>
      <c r="B96" s="123">
        <f>F21*R59</f>
        <v>0</v>
      </c>
      <c r="C96" s="126">
        <f>(F12+F17)*R59</f>
        <v>0</v>
      </c>
    </row>
    <row r="97" spans="1:3" ht="12.75">
      <c r="A97" s="201" t="s">
        <v>43</v>
      </c>
      <c r="B97" s="184">
        <f>H21*T59</f>
        <v>0</v>
      </c>
      <c r="C97" s="126">
        <f>(H12+H17)*T59</f>
        <v>0</v>
      </c>
    </row>
    <row r="98" spans="1:3" ht="13.5" thickBot="1">
      <c r="A98" s="104" t="s">
        <v>56</v>
      </c>
      <c r="B98" s="202">
        <f>SUM(B92:B97)</f>
        <v>9501.84</v>
      </c>
      <c r="C98" s="203">
        <f>SUM(C92:C97)</f>
        <v>93977.958</v>
      </c>
    </row>
  </sheetData>
  <sheetProtection/>
  <mergeCells count="14">
    <mergeCell ref="B59:D59"/>
    <mergeCell ref="A57:A59"/>
    <mergeCell ref="A24:D24"/>
    <mergeCell ref="F58:G58"/>
    <mergeCell ref="J58:N58"/>
    <mergeCell ref="J59:M59"/>
    <mergeCell ref="S60:T60"/>
    <mergeCell ref="S58:T58"/>
    <mergeCell ref="A3:A4"/>
    <mergeCell ref="B58:E58"/>
    <mergeCell ref="H58:I58"/>
    <mergeCell ref="A54:C54"/>
    <mergeCell ref="O58:R58"/>
    <mergeCell ref="O59:Q59"/>
  </mergeCells>
  <printOptions/>
  <pageMargins left="0.45" right="0.45" top="0.5" bottom="0.5" header="0" footer="0"/>
  <pageSetup fitToHeight="1" fitToWidth="1" horizontalDpi="600" verticalDpi="600" orientation="landscape" scale="30" r:id="rId1"/>
  <rowBreaks count="1" manualBreakCount="1">
    <brk id="56" max="17" man="1"/>
  </rowBreaks>
</worksheet>
</file>

<file path=xl/worksheets/sheet7.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selection activeCell="A1" sqref="A1"/>
    </sheetView>
  </sheetViews>
  <sheetFormatPr defaultColWidth="9.140625" defaultRowHeight="12.75"/>
  <cols>
    <col min="1" max="1" width="35.7109375" style="0" customWidth="1"/>
    <col min="2" max="21" width="15.7109375" style="0" customWidth="1"/>
    <col min="22" max="25" width="16.7109375" style="0" customWidth="1"/>
  </cols>
  <sheetData>
    <row r="1" spans="1:10" ht="17.25">
      <c r="A1" s="24" t="s">
        <v>276</v>
      </c>
      <c r="B1" s="6"/>
      <c r="C1" s="6"/>
      <c r="D1" s="6" t="s">
        <v>24</v>
      </c>
      <c r="E1" s="52" t="s">
        <v>24</v>
      </c>
      <c r="F1" s="52" t="s">
        <v>24</v>
      </c>
      <c r="G1" s="52" t="s">
        <v>24</v>
      </c>
      <c r="H1" s="6"/>
      <c r="I1" s="6"/>
      <c r="J1" s="6"/>
    </row>
    <row r="2" spans="1:6" ht="13.5" thickBot="1">
      <c r="A2" s="4" t="s">
        <v>24</v>
      </c>
      <c r="B2" s="6"/>
      <c r="C2" s="6"/>
      <c r="D2" s="339" t="s">
        <v>24</v>
      </c>
      <c r="E2" s="7" t="s">
        <v>24</v>
      </c>
      <c r="F2" s="4"/>
    </row>
    <row r="3" spans="1:10" ht="15.75" thickBot="1">
      <c r="A3" s="102" t="s">
        <v>69</v>
      </c>
      <c r="B3" s="73"/>
      <c r="C3" s="73"/>
      <c r="D3" s="73"/>
      <c r="E3" s="73"/>
      <c r="F3" s="73"/>
      <c r="G3" s="73"/>
      <c r="H3" s="73"/>
      <c r="I3" s="73" t="s">
        <v>24</v>
      </c>
      <c r="J3" s="73"/>
    </row>
    <row r="4" spans="1:10" ht="66" thickBot="1">
      <c r="A4" s="340" t="s">
        <v>3</v>
      </c>
      <c r="B4" s="351" t="s">
        <v>73</v>
      </c>
      <c r="C4" s="341" t="s">
        <v>213</v>
      </c>
      <c r="D4" s="342" t="s">
        <v>61</v>
      </c>
      <c r="E4" s="341" t="s">
        <v>214</v>
      </c>
      <c r="F4" s="342" t="s">
        <v>215</v>
      </c>
      <c r="G4" s="341" t="s">
        <v>216</v>
      </c>
      <c r="H4" s="343" t="s">
        <v>59</v>
      </c>
      <c r="I4" s="49"/>
      <c r="J4" s="49"/>
    </row>
    <row r="5" spans="1:10" ht="12.75">
      <c r="A5" s="344" t="s">
        <v>6</v>
      </c>
      <c r="B5" s="494">
        <v>53.93</v>
      </c>
      <c r="C5" s="290">
        <v>0</v>
      </c>
      <c r="D5" s="345">
        <f>B5+C5</f>
        <v>53.93</v>
      </c>
      <c r="E5" s="290">
        <v>6.07</v>
      </c>
      <c r="F5" s="345">
        <f aca="true" t="shared" si="0" ref="F5:F14">D5+E5</f>
        <v>60</v>
      </c>
      <c r="G5" s="290">
        <v>0</v>
      </c>
      <c r="H5" s="346">
        <f aca="true" t="shared" si="1" ref="H5:H14">F5+G5</f>
        <v>60</v>
      </c>
      <c r="I5" s="10"/>
      <c r="J5" s="10" t="s">
        <v>24</v>
      </c>
    </row>
    <row r="6" spans="1:11" ht="12.75">
      <c r="A6" s="347" t="s">
        <v>30</v>
      </c>
      <c r="B6" s="424">
        <f>$B$5</f>
        <v>53.93</v>
      </c>
      <c r="C6" s="59">
        <v>35.42</v>
      </c>
      <c r="D6" s="144">
        <f>B6+C6</f>
        <v>89.35</v>
      </c>
      <c r="E6" s="59">
        <v>29.78</v>
      </c>
      <c r="F6" s="144">
        <f t="shared" si="0"/>
        <v>119.13</v>
      </c>
      <c r="G6" s="59">
        <v>0</v>
      </c>
      <c r="H6" s="147">
        <f t="shared" si="1"/>
        <v>119.13</v>
      </c>
      <c r="I6" s="10"/>
      <c r="J6" s="10" t="s">
        <v>24</v>
      </c>
      <c r="K6" t="s">
        <v>24</v>
      </c>
    </row>
    <row r="7" spans="1:10" ht="12.75">
      <c r="A7" s="347" t="s">
        <v>41</v>
      </c>
      <c r="B7" s="424">
        <f aca="true" t="shared" si="2" ref="B7:B14">$B$5</f>
        <v>53.93</v>
      </c>
      <c r="C7" s="59">
        <v>0</v>
      </c>
      <c r="D7" s="144">
        <f>B7+C6+C7</f>
        <v>89.35</v>
      </c>
      <c r="E7" s="59">
        <v>29.78</v>
      </c>
      <c r="F7" s="144">
        <f t="shared" si="0"/>
        <v>119.13</v>
      </c>
      <c r="G7" s="59">
        <v>0</v>
      </c>
      <c r="H7" s="147">
        <f t="shared" si="1"/>
        <v>119.13</v>
      </c>
      <c r="I7" s="10"/>
      <c r="J7" s="10"/>
    </row>
    <row r="8" spans="1:10" ht="12.75">
      <c r="A8" s="347" t="s">
        <v>5</v>
      </c>
      <c r="B8" s="424">
        <f t="shared" si="2"/>
        <v>53.93</v>
      </c>
      <c r="C8" s="59">
        <v>0</v>
      </c>
      <c r="D8" s="144">
        <f>B8+C6+C8</f>
        <v>89.35</v>
      </c>
      <c r="E8" s="59">
        <v>29.78</v>
      </c>
      <c r="F8" s="144">
        <f t="shared" si="0"/>
        <v>119.13</v>
      </c>
      <c r="G8" s="59">
        <v>0</v>
      </c>
      <c r="H8" s="147">
        <f t="shared" si="1"/>
        <v>119.13</v>
      </c>
      <c r="I8" s="10"/>
      <c r="J8" s="10" t="s">
        <v>24</v>
      </c>
    </row>
    <row r="9" spans="1:10" ht="12.75">
      <c r="A9" s="347" t="s">
        <v>8</v>
      </c>
      <c r="B9" s="424">
        <f t="shared" si="2"/>
        <v>53.93</v>
      </c>
      <c r="C9" s="59">
        <v>125.09</v>
      </c>
      <c r="D9" s="144">
        <f>B9+C6+C7+C9</f>
        <v>214.44</v>
      </c>
      <c r="E9" s="59">
        <v>29.78</v>
      </c>
      <c r="F9" s="144">
        <f t="shared" si="0"/>
        <v>244.22</v>
      </c>
      <c r="G9" s="59">
        <v>0</v>
      </c>
      <c r="H9" s="147">
        <f t="shared" si="1"/>
        <v>244.22</v>
      </c>
      <c r="I9" s="10"/>
      <c r="J9" s="10"/>
    </row>
    <row r="10" spans="1:10" ht="12.75">
      <c r="A10" s="347" t="s">
        <v>42</v>
      </c>
      <c r="B10" s="424">
        <f t="shared" si="2"/>
        <v>53.93</v>
      </c>
      <c r="C10" s="59">
        <v>0</v>
      </c>
      <c r="D10" s="144">
        <f>B10+C6+C7+C9+C10</f>
        <v>214.44</v>
      </c>
      <c r="E10" s="59">
        <v>29.78</v>
      </c>
      <c r="F10" s="144">
        <f t="shared" si="0"/>
        <v>244.22</v>
      </c>
      <c r="G10" s="59">
        <v>0</v>
      </c>
      <c r="H10" s="147">
        <f t="shared" si="1"/>
        <v>244.22</v>
      </c>
      <c r="I10" s="10"/>
      <c r="J10" s="10"/>
    </row>
    <row r="11" spans="1:10" ht="12.75">
      <c r="A11" s="347" t="s">
        <v>43</v>
      </c>
      <c r="B11" s="424">
        <f t="shared" si="2"/>
        <v>53.93</v>
      </c>
      <c r="C11" s="59">
        <v>0</v>
      </c>
      <c r="D11" s="144">
        <f>B11+C6+C7+C11</f>
        <v>89.35</v>
      </c>
      <c r="E11" s="59">
        <v>29.78</v>
      </c>
      <c r="F11" s="144">
        <f t="shared" si="0"/>
        <v>119.13</v>
      </c>
      <c r="G11" s="59">
        <v>0</v>
      </c>
      <c r="H11" s="147">
        <f t="shared" si="1"/>
        <v>119.13</v>
      </c>
      <c r="I11" s="10"/>
      <c r="J11" s="10"/>
    </row>
    <row r="12" spans="1:10" ht="12.75">
      <c r="A12" s="493" t="s">
        <v>15</v>
      </c>
      <c r="B12" s="424">
        <f t="shared" si="2"/>
        <v>53.93</v>
      </c>
      <c r="C12" s="152">
        <v>0</v>
      </c>
      <c r="D12" s="144">
        <f>B12+C6+C8+C12</f>
        <v>89.35</v>
      </c>
      <c r="E12" s="152">
        <v>29.78</v>
      </c>
      <c r="F12" s="144">
        <f t="shared" si="0"/>
        <v>119.13</v>
      </c>
      <c r="G12" s="152">
        <v>0</v>
      </c>
      <c r="H12" s="147">
        <f t="shared" si="1"/>
        <v>119.13</v>
      </c>
      <c r="I12" s="10"/>
      <c r="J12" s="10"/>
    </row>
    <row r="13" spans="1:11" ht="12.75">
      <c r="A13" s="493" t="s">
        <v>51</v>
      </c>
      <c r="B13" s="424">
        <f t="shared" si="2"/>
        <v>53.93</v>
      </c>
      <c r="C13" s="152">
        <v>40.52</v>
      </c>
      <c r="D13" s="144">
        <f>B13+C13</f>
        <v>94.45</v>
      </c>
      <c r="E13" s="152">
        <v>6.07</v>
      </c>
      <c r="F13" s="144">
        <f t="shared" si="0"/>
        <v>100.52000000000001</v>
      </c>
      <c r="G13" s="152">
        <v>0</v>
      </c>
      <c r="H13" s="147">
        <f t="shared" si="1"/>
        <v>100.52000000000001</v>
      </c>
      <c r="I13" s="10"/>
      <c r="J13" s="10" t="s">
        <v>24</v>
      </c>
      <c r="K13" t="s">
        <v>24</v>
      </c>
    </row>
    <row r="14" spans="1:10" ht="13.5" thickBot="1">
      <c r="A14" s="348" t="s">
        <v>176</v>
      </c>
      <c r="B14" s="495">
        <f t="shared" si="2"/>
        <v>53.93</v>
      </c>
      <c r="C14" s="173">
        <v>0</v>
      </c>
      <c r="D14" s="174">
        <f>B14+C13+C14</f>
        <v>94.45</v>
      </c>
      <c r="E14" s="173">
        <v>6.07</v>
      </c>
      <c r="F14" s="174">
        <f t="shared" si="0"/>
        <v>100.52000000000001</v>
      </c>
      <c r="G14" s="173">
        <v>0</v>
      </c>
      <c r="H14" s="175">
        <f t="shared" si="1"/>
        <v>100.52000000000001</v>
      </c>
      <c r="I14" s="9"/>
      <c r="J14" s="10"/>
    </row>
    <row r="15" spans="1:10" ht="12.75">
      <c r="A15" s="12" t="s">
        <v>29</v>
      </c>
      <c r="B15" s="34"/>
      <c r="C15" s="34"/>
      <c r="D15" s="34"/>
      <c r="E15" s="35"/>
      <c r="F15" s="25"/>
      <c r="G15" s="25"/>
      <c r="H15" s="25"/>
      <c r="I15" s="63" t="s">
        <v>24</v>
      </c>
      <c r="J15" s="63"/>
    </row>
    <row r="16" spans="1:10" ht="12.75">
      <c r="A16" s="32"/>
      <c r="B16" s="34"/>
      <c r="C16" s="34"/>
      <c r="D16" s="34"/>
      <c r="E16" s="35"/>
      <c r="F16" s="25"/>
      <c r="G16" s="25"/>
      <c r="H16" s="25"/>
      <c r="I16" s="63"/>
      <c r="J16" s="63"/>
    </row>
    <row r="17" spans="1:10" ht="13.5" thickBot="1">
      <c r="A17" s="12"/>
      <c r="B17" s="34"/>
      <c r="C17" s="34"/>
      <c r="D17" s="34"/>
      <c r="E17" s="35"/>
      <c r="F17" s="25"/>
      <c r="G17" s="25"/>
      <c r="H17" s="25"/>
      <c r="I17" s="63"/>
      <c r="J17" s="63"/>
    </row>
    <row r="18" spans="1:10" ht="15.75" thickBot="1">
      <c r="A18" s="672" t="s">
        <v>217</v>
      </c>
      <c r="B18" s="673"/>
      <c r="C18" s="674"/>
      <c r="D18" s="349"/>
      <c r="E18" s="35"/>
      <c r="F18" s="25"/>
      <c r="G18" s="25"/>
      <c r="H18" s="25"/>
      <c r="I18" s="63"/>
      <c r="J18" s="63"/>
    </row>
    <row r="19" spans="1:18" ht="13.5" thickBot="1">
      <c r="A19" s="675" t="s">
        <v>3</v>
      </c>
      <c r="B19" s="677" t="s">
        <v>218</v>
      </c>
      <c r="C19" s="678"/>
      <c r="D19" s="678"/>
      <c r="E19" s="679"/>
      <c r="F19" s="680" t="s">
        <v>219</v>
      </c>
      <c r="G19" s="678"/>
      <c r="H19" s="678"/>
      <c r="I19" s="679"/>
      <c r="J19" s="680" t="s">
        <v>220</v>
      </c>
      <c r="K19" s="678"/>
      <c r="L19" s="678"/>
      <c r="M19" s="679"/>
      <c r="N19" s="680" t="s">
        <v>278</v>
      </c>
      <c r="O19" s="678"/>
      <c r="P19" s="678"/>
      <c r="Q19" s="679"/>
      <c r="R19" s="63"/>
    </row>
    <row r="20" spans="1:17" ht="39.75" thickBot="1">
      <c r="A20" s="676"/>
      <c r="B20" s="498" t="s">
        <v>222</v>
      </c>
      <c r="C20" s="139" t="s">
        <v>223</v>
      </c>
      <c r="D20" s="139" t="s">
        <v>224</v>
      </c>
      <c r="E20" s="140" t="s">
        <v>225</v>
      </c>
      <c r="F20" s="351" t="s">
        <v>222</v>
      </c>
      <c r="G20" s="341" t="s">
        <v>223</v>
      </c>
      <c r="H20" s="341" t="s">
        <v>224</v>
      </c>
      <c r="I20" s="352" t="s">
        <v>225</v>
      </c>
      <c r="J20" s="351" t="s">
        <v>222</v>
      </c>
      <c r="K20" s="341" t="s">
        <v>223</v>
      </c>
      <c r="L20" s="341" t="s">
        <v>224</v>
      </c>
      <c r="M20" s="352" t="s">
        <v>225</v>
      </c>
      <c r="N20" s="351" t="s">
        <v>222</v>
      </c>
      <c r="O20" s="341" t="s">
        <v>223</v>
      </c>
      <c r="P20" s="341" t="s">
        <v>224</v>
      </c>
      <c r="Q20" s="353" t="s">
        <v>226</v>
      </c>
    </row>
    <row r="21" spans="1:17" ht="12.75">
      <c r="A21" s="287" t="s">
        <v>6</v>
      </c>
      <c r="B21" s="496">
        <v>722.3</v>
      </c>
      <c r="C21" s="356">
        <v>766.3</v>
      </c>
      <c r="D21" s="497">
        <v>4068.4</v>
      </c>
      <c r="E21" s="357">
        <f>B21+C21+D21</f>
        <v>5557</v>
      </c>
      <c r="F21" s="359">
        <v>124</v>
      </c>
      <c r="G21" s="360">
        <v>178.4</v>
      </c>
      <c r="H21" s="356">
        <v>3835.6</v>
      </c>
      <c r="I21" s="357">
        <f aca="true" t="shared" si="3" ref="I21:I27">F21+G21+H21</f>
        <v>4138</v>
      </c>
      <c r="J21" s="500">
        <f>B21-F21</f>
        <v>598.3</v>
      </c>
      <c r="K21" s="360">
        <f aca="true" t="shared" si="4" ref="K21:L28">C21-G21</f>
        <v>587.9</v>
      </c>
      <c r="L21" s="360">
        <f t="shared" si="4"/>
        <v>232.80000000000018</v>
      </c>
      <c r="M21" s="515">
        <f>J21+K21+L21</f>
        <v>1419</v>
      </c>
      <c r="N21" s="361">
        <v>0</v>
      </c>
      <c r="O21" s="362">
        <v>0</v>
      </c>
      <c r="P21" s="362">
        <v>0</v>
      </c>
      <c r="Q21" s="357">
        <f>N21+O21+P21</f>
        <v>0</v>
      </c>
    </row>
    <row r="22" spans="1:17" ht="12.75">
      <c r="A22" s="232" t="s">
        <v>30</v>
      </c>
      <c r="B22" s="363">
        <v>519.2</v>
      </c>
      <c r="C22" s="364">
        <v>308</v>
      </c>
      <c r="D22" s="364">
        <v>1480.1</v>
      </c>
      <c r="E22" s="365">
        <f aca="true" t="shared" si="5" ref="E22:E28">B22+C22+D22</f>
        <v>2307.3</v>
      </c>
      <c r="F22" s="502">
        <v>0</v>
      </c>
      <c r="G22" s="367">
        <v>4</v>
      </c>
      <c r="H22" s="358">
        <v>1298.6</v>
      </c>
      <c r="I22" s="365">
        <f t="shared" si="3"/>
        <v>1302.6</v>
      </c>
      <c r="J22" s="366">
        <f aca="true" t="shared" si="6" ref="J22:J28">B22-F22</f>
        <v>519.2</v>
      </c>
      <c r="K22" s="367">
        <f t="shared" si="4"/>
        <v>304</v>
      </c>
      <c r="L22" s="367">
        <f t="shared" si="4"/>
        <v>181.5</v>
      </c>
      <c r="M22" s="503">
        <f aca="true" t="shared" si="7" ref="M22:M28">J22+K22+L22</f>
        <v>1004.7</v>
      </c>
      <c r="N22" s="370">
        <v>0</v>
      </c>
      <c r="O22" s="48">
        <v>0</v>
      </c>
      <c r="P22" s="48">
        <v>0</v>
      </c>
      <c r="Q22" s="365">
        <f aca="true" t="shared" si="8" ref="Q22:Q28">N22+O22+P22</f>
        <v>0</v>
      </c>
    </row>
    <row r="23" spans="1:17" ht="12.75">
      <c r="A23" s="232" t="s">
        <v>41</v>
      </c>
      <c r="B23" s="363">
        <v>335.4</v>
      </c>
      <c r="C23" s="364">
        <v>121.3</v>
      </c>
      <c r="D23" s="364">
        <v>735.2</v>
      </c>
      <c r="E23" s="365">
        <f t="shared" si="5"/>
        <v>1191.9</v>
      </c>
      <c r="F23" s="502">
        <v>0</v>
      </c>
      <c r="G23" s="367">
        <v>0.1</v>
      </c>
      <c r="H23" s="358">
        <v>848</v>
      </c>
      <c r="I23" s="365">
        <f t="shared" si="3"/>
        <v>848.1</v>
      </c>
      <c r="J23" s="366">
        <f t="shared" si="6"/>
        <v>335.4</v>
      </c>
      <c r="K23" s="367">
        <f t="shared" si="4"/>
        <v>121.2</v>
      </c>
      <c r="L23" s="367">
        <f t="shared" si="4"/>
        <v>-112.79999999999995</v>
      </c>
      <c r="M23" s="503">
        <f t="shared" si="7"/>
        <v>343.8</v>
      </c>
      <c r="N23" s="370">
        <v>0</v>
      </c>
      <c r="O23" s="48">
        <v>0</v>
      </c>
      <c r="P23" s="48">
        <v>0</v>
      </c>
      <c r="Q23" s="365">
        <f t="shared" si="8"/>
        <v>0</v>
      </c>
    </row>
    <row r="24" spans="1:17" ht="12.75">
      <c r="A24" s="232" t="s">
        <v>5</v>
      </c>
      <c r="B24" s="363">
        <v>18.1</v>
      </c>
      <c r="C24" s="364">
        <v>92</v>
      </c>
      <c r="D24" s="364">
        <v>211</v>
      </c>
      <c r="E24" s="365">
        <f t="shared" si="5"/>
        <v>321.1</v>
      </c>
      <c r="F24" s="502">
        <f>B39</f>
        <v>0</v>
      </c>
      <c r="G24" s="367">
        <v>3.1</v>
      </c>
      <c r="H24" s="358">
        <v>139.3</v>
      </c>
      <c r="I24" s="365">
        <f t="shared" si="3"/>
        <v>142.4</v>
      </c>
      <c r="J24" s="366">
        <f t="shared" si="6"/>
        <v>18.1</v>
      </c>
      <c r="K24" s="367">
        <f t="shared" si="4"/>
        <v>88.9</v>
      </c>
      <c r="L24" s="367">
        <f t="shared" si="4"/>
        <v>71.69999999999999</v>
      </c>
      <c r="M24" s="503">
        <f t="shared" si="7"/>
        <v>178.7</v>
      </c>
      <c r="N24" s="371">
        <v>0</v>
      </c>
      <c r="O24" s="76">
        <v>0</v>
      </c>
      <c r="P24" s="76">
        <v>0</v>
      </c>
      <c r="Q24" s="365">
        <f t="shared" si="8"/>
        <v>0</v>
      </c>
    </row>
    <row r="25" spans="1:17" ht="12.75">
      <c r="A25" s="232" t="s">
        <v>8</v>
      </c>
      <c r="B25" s="363">
        <v>169.7</v>
      </c>
      <c r="C25" s="364">
        <v>0</v>
      </c>
      <c r="D25" s="364">
        <v>317</v>
      </c>
      <c r="E25" s="365">
        <f t="shared" si="5"/>
        <v>486.7</v>
      </c>
      <c r="F25" s="502">
        <v>0</v>
      </c>
      <c r="G25" s="367">
        <v>0.1</v>
      </c>
      <c r="H25" s="358">
        <v>416.4</v>
      </c>
      <c r="I25" s="365">
        <f t="shared" si="3"/>
        <v>416.5</v>
      </c>
      <c r="J25" s="366">
        <f t="shared" si="6"/>
        <v>169.7</v>
      </c>
      <c r="K25" s="367">
        <f t="shared" si="4"/>
        <v>-0.1</v>
      </c>
      <c r="L25" s="367">
        <f t="shared" si="4"/>
        <v>-99.39999999999998</v>
      </c>
      <c r="M25" s="503">
        <f t="shared" si="7"/>
        <v>70.20000000000002</v>
      </c>
      <c r="N25" s="371">
        <v>0</v>
      </c>
      <c r="O25" s="76">
        <v>0</v>
      </c>
      <c r="P25" s="76">
        <v>0</v>
      </c>
      <c r="Q25" s="365">
        <f t="shared" si="8"/>
        <v>0</v>
      </c>
    </row>
    <row r="26" spans="1:17" ht="12.75">
      <c r="A26" s="232" t="s">
        <v>42</v>
      </c>
      <c r="B26" s="363">
        <v>35.4</v>
      </c>
      <c r="C26" s="364">
        <v>0</v>
      </c>
      <c r="D26" s="364">
        <v>116.8</v>
      </c>
      <c r="E26" s="365">
        <f t="shared" si="5"/>
        <v>152.2</v>
      </c>
      <c r="F26" s="502">
        <v>0</v>
      </c>
      <c r="G26" s="367">
        <v>0.1</v>
      </c>
      <c r="H26" s="358">
        <v>7.4</v>
      </c>
      <c r="I26" s="365">
        <f t="shared" si="3"/>
        <v>7.5</v>
      </c>
      <c r="J26" s="366">
        <f t="shared" si="6"/>
        <v>35.4</v>
      </c>
      <c r="K26" s="367">
        <f t="shared" si="4"/>
        <v>-0.1</v>
      </c>
      <c r="L26" s="367">
        <f t="shared" si="4"/>
        <v>109.39999999999999</v>
      </c>
      <c r="M26" s="503">
        <f t="shared" si="7"/>
        <v>144.7</v>
      </c>
      <c r="N26" s="371">
        <v>0</v>
      </c>
      <c r="O26" s="76">
        <v>0</v>
      </c>
      <c r="P26" s="76">
        <v>0</v>
      </c>
      <c r="Q26" s="365">
        <f t="shared" si="8"/>
        <v>0</v>
      </c>
    </row>
    <row r="27" spans="1:17" ht="12.75">
      <c r="A27" s="232" t="s">
        <v>43</v>
      </c>
      <c r="B27" s="363">
        <v>7.9</v>
      </c>
      <c r="C27" s="364">
        <v>6.9</v>
      </c>
      <c r="D27" s="364">
        <v>3.6</v>
      </c>
      <c r="E27" s="365">
        <f t="shared" si="5"/>
        <v>18.400000000000002</v>
      </c>
      <c r="F27" s="502">
        <v>0</v>
      </c>
      <c r="G27" s="367">
        <v>0</v>
      </c>
      <c r="H27" s="358">
        <v>0.5</v>
      </c>
      <c r="I27" s="365">
        <f t="shared" si="3"/>
        <v>0.5</v>
      </c>
      <c r="J27" s="366">
        <f t="shared" si="6"/>
        <v>7.9</v>
      </c>
      <c r="K27" s="367">
        <f t="shared" si="4"/>
        <v>6.9</v>
      </c>
      <c r="L27" s="367">
        <f t="shared" si="4"/>
        <v>3.1</v>
      </c>
      <c r="M27" s="503">
        <f t="shared" si="7"/>
        <v>17.900000000000002</v>
      </c>
      <c r="N27" s="371">
        <v>0</v>
      </c>
      <c r="O27" s="76">
        <v>0</v>
      </c>
      <c r="P27" s="76">
        <v>0</v>
      </c>
      <c r="Q27" s="365">
        <f t="shared" si="8"/>
        <v>0</v>
      </c>
    </row>
    <row r="28" spans="1:17" ht="12.75">
      <c r="A28" s="499" t="s">
        <v>15</v>
      </c>
      <c r="B28" s="363">
        <f>F43</f>
        <v>0</v>
      </c>
      <c r="C28" s="364">
        <v>32.9</v>
      </c>
      <c r="D28" s="364">
        <v>0</v>
      </c>
      <c r="E28" s="365">
        <f t="shared" si="5"/>
        <v>32.9</v>
      </c>
      <c r="F28" s="502">
        <f>B43</f>
        <v>0</v>
      </c>
      <c r="G28" s="368">
        <v>0.2</v>
      </c>
      <c r="H28" s="358">
        <v>8.5</v>
      </c>
      <c r="I28" s="365">
        <f>F28+G28+H28</f>
        <v>8.7</v>
      </c>
      <c r="J28" s="366">
        <f t="shared" si="6"/>
        <v>0</v>
      </c>
      <c r="K28" s="367">
        <f t="shared" si="4"/>
        <v>32.699999999999996</v>
      </c>
      <c r="L28" s="367">
        <f t="shared" si="4"/>
        <v>-8.5</v>
      </c>
      <c r="M28" s="503">
        <f t="shared" si="7"/>
        <v>24.199999999999996</v>
      </c>
      <c r="N28" s="371">
        <v>0</v>
      </c>
      <c r="O28" s="76">
        <v>0</v>
      </c>
      <c r="P28" s="76">
        <v>0</v>
      </c>
      <c r="Q28" s="365">
        <f t="shared" si="8"/>
        <v>0</v>
      </c>
    </row>
    <row r="29" spans="1:17" ht="12.75">
      <c r="A29" s="499" t="s">
        <v>51</v>
      </c>
      <c r="B29" s="363">
        <v>101.2</v>
      </c>
      <c r="C29" s="364">
        <v>458.3</v>
      </c>
      <c r="D29" s="364">
        <v>63.5</v>
      </c>
      <c r="E29" s="365">
        <f>B29+C29+D29</f>
        <v>623</v>
      </c>
      <c r="F29" s="502">
        <v>6.3</v>
      </c>
      <c r="G29" s="368">
        <v>6.9</v>
      </c>
      <c r="H29" s="358">
        <v>562</v>
      </c>
      <c r="I29" s="365">
        <f>F29+G29+H29</f>
        <v>575.2</v>
      </c>
      <c r="J29" s="366">
        <f aca="true" t="shared" si="9" ref="J29:L30">B29-F29</f>
        <v>94.9</v>
      </c>
      <c r="K29" s="367">
        <f t="shared" si="9"/>
        <v>451.40000000000003</v>
      </c>
      <c r="L29" s="367">
        <f t="shared" si="9"/>
        <v>-498.5</v>
      </c>
      <c r="M29" s="503">
        <f>J29+K29+L29</f>
        <v>47.80000000000007</v>
      </c>
      <c r="N29" s="371">
        <v>0</v>
      </c>
      <c r="O29" s="76">
        <v>0</v>
      </c>
      <c r="P29" s="76">
        <v>0</v>
      </c>
      <c r="Q29" s="365">
        <f>N29+O29+P29</f>
        <v>0</v>
      </c>
    </row>
    <row r="30" spans="1:17" ht="13.5" thickBot="1">
      <c r="A30" s="394" t="s">
        <v>176</v>
      </c>
      <c r="B30" s="395">
        <v>96.5</v>
      </c>
      <c r="C30" s="374">
        <v>78.3</v>
      </c>
      <c r="D30" s="377">
        <v>0.6</v>
      </c>
      <c r="E30" s="375">
        <f>B30+C30+D30</f>
        <v>175.4</v>
      </c>
      <c r="F30" s="379">
        <v>0</v>
      </c>
      <c r="G30" s="376">
        <v>2.1</v>
      </c>
      <c r="H30" s="377">
        <f>D45</f>
        <v>0</v>
      </c>
      <c r="I30" s="378">
        <f>F30+G30+H30</f>
        <v>2.1</v>
      </c>
      <c r="J30" s="501">
        <f t="shared" si="9"/>
        <v>96.5</v>
      </c>
      <c r="K30" s="380">
        <f t="shared" si="9"/>
        <v>76.2</v>
      </c>
      <c r="L30" s="380">
        <f t="shared" si="9"/>
        <v>0.6</v>
      </c>
      <c r="M30" s="504">
        <f>J30+K30+L30</f>
        <v>173.29999999999998</v>
      </c>
      <c r="N30" s="381">
        <v>0</v>
      </c>
      <c r="O30" s="382">
        <v>0</v>
      </c>
      <c r="P30" s="382">
        <v>0</v>
      </c>
      <c r="Q30" s="378">
        <f>N30+O30+P30</f>
        <v>0</v>
      </c>
    </row>
    <row r="31" spans="1:17" ht="12.75">
      <c r="A31" s="12"/>
      <c r="B31" s="383"/>
      <c r="C31" s="384"/>
      <c r="D31" s="383"/>
      <c r="E31" s="385"/>
      <c r="F31" s="383"/>
      <c r="G31" s="384"/>
      <c r="H31" s="383"/>
      <c r="I31" s="385"/>
      <c r="J31" s="386"/>
      <c r="K31" s="386"/>
      <c r="L31" s="386"/>
      <c r="M31" s="385"/>
      <c r="N31" s="12"/>
      <c r="O31" s="12"/>
      <c r="P31" s="12"/>
      <c r="Q31" s="12"/>
    </row>
    <row r="32" spans="1:17" ht="13.5" thickBot="1">
      <c r="A32" s="12"/>
      <c r="B32" s="383"/>
      <c r="C32" s="384"/>
      <c r="D32" s="383"/>
      <c r="E32" s="385"/>
      <c r="F32" s="383"/>
      <c r="G32" s="384"/>
      <c r="H32" s="383"/>
      <c r="I32" s="385"/>
      <c r="J32" s="386"/>
      <c r="K32" s="386"/>
      <c r="L32" s="386" t="s">
        <v>24</v>
      </c>
      <c r="M32" s="385"/>
      <c r="N32" s="12"/>
      <c r="O32" s="12"/>
      <c r="P32" s="12"/>
      <c r="Q32" s="12"/>
    </row>
    <row r="33" spans="1:17" ht="15.75" thickBot="1">
      <c r="A33" s="681" t="s">
        <v>227</v>
      </c>
      <c r="B33" s="682"/>
      <c r="C33" s="384"/>
      <c r="D33" s="383"/>
      <c r="E33" s="385"/>
      <c r="F33" s="383"/>
      <c r="G33" s="384"/>
      <c r="H33" s="383"/>
      <c r="I33" s="385"/>
      <c r="J33" s="386"/>
      <c r="K33" s="386"/>
      <c r="L33" s="386"/>
      <c r="M33" s="385"/>
      <c r="N33" s="12"/>
      <c r="O33" s="12"/>
      <c r="P33" s="12"/>
      <c r="Q33" s="10"/>
    </row>
    <row r="34" spans="1:18" ht="13.5" thickBot="1">
      <c r="A34" s="683" t="s">
        <v>3</v>
      </c>
      <c r="B34" s="680" t="s">
        <v>228</v>
      </c>
      <c r="C34" s="678"/>
      <c r="D34" s="678"/>
      <c r="E34" s="679"/>
      <c r="F34" s="680" t="s">
        <v>229</v>
      </c>
      <c r="G34" s="678"/>
      <c r="H34" s="678"/>
      <c r="I34" s="679"/>
      <c r="J34" s="680" t="s">
        <v>230</v>
      </c>
      <c r="K34" s="678"/>
      <c r="L34" s="678"/>
      <c r="M34" s="679"/>
      <c r="N34" s="47"/>
      <c r="O34" s="387"/>
      <c r="P34" s="387"/>
      <c r="Q34" s="387"/>
      <c r="R34" s="63"/>
    </row>
    <row r="35" spans="1:17" ht="39.75" thickBot="1">
      <c r="A35" s="684"/>
      <c r="B35" s="351" t="s">
        <v>222</v>
      </c>
      <c r="C35" s="341" t="s">
        <v>223</v>
      </c>
      <c r="D35" s="341" t="s">
        <v>224</v>
      </c>
      <c r="E35" s="352" t="s">
        <v>225</v>
      </c>
      <c r="F35" s="351" t="s">
        <v>222</v>
      </c>
      <c r="G35" s="341" t="s">
        <v>223</v>
      </c>
      <c r="H35" s="341" t="s">
        <v>224</v>
      </c>
      <c r="I35" s="352" t="s">
        <v>225</v>
      </c>
      <c r="J35" s="351" t="s">
        <v>222</v>
      </c>
      <c r="K35" s="341" t="s">
        <v>223</v>
      </c>
      <c r="L35" s="341" t="s">
        <v>224</v>
      </c>
      <c r="M35" s="352" t="s">
        <v>225</v>
      </c>
      <c r="N35" s="23"/>
      <c r="O35" s="130"/>
      <c r="P35" s="130"/>
      <c r="Q35" s="130"/>
    </row>
    <row r="36" spans="1:19" ht="12.75">
      <c r="A36" s="354" t="s">
        <v>6</v>
      </c>
      <c r="B36" s="359">
        <v>204.8</v>
      </c>
      <c r="C36" s="360">
        <v>0</v>
      </c>
      <c r="D36" s="356">
        <v>0</v>
      </c>
      <c r="E36" s="357">
        <f aca="true" t="shared" si="10" ref="E36:E43">B36+C36+D36</f>
        <v>204.8</v>
      </c>
      <c r="F36" s="355">
        <v>803.1</v>
      </c>
      <c r="G36" s="360">
        <v>0</v>
      </c>
      <c r="H36" s="356">
        <f>366.5+H37</f>
        <v>820.7</v>
      </c>
      <c r="I36" s="357">
        <f aca="true" t="shared" si="11" ref="I36:I43">F36+G36+H36</f>
        <v>1623.8000000000002</v>
      </c>
      <c r="J36" s="355">
        <f>B36-F36</f>
        <v>-598.3</v>
      </c>
      <c r="K36" s="360">
        <f aca="true" t="shared" si="12" ref="K36:L43">C36-G36</f>
        <v>0</v>
      </c>
      <c r="L36" s="360">
        <f t="shared" si="12"/>
        <v>-820.7</v>
      </c>
      <c r="M36" s="544">
        <f aca="true" t="shared" si="13" ref="M36:M43">J36+K36+L36</f>
        <v>-1419</v>
      </c>
      <c r="N36" s="187" t="s">
        <v>24</v>
      </c>
      <c r="O36" s="339" t="s">
        <v>24</v>
      </c>
      <c r="P36" s="46"/>
      <c r="Q36" s="46"/>
      <c r="R36" s="388"/>
      <c r="S36" s="389"/>
    </row>
    <row r="37" spans="1:19" ht="12.75">
      <c r="A37" s="257" t="s">
        <v>30</v>
      </c>
      <c r="B37" s="369">
        <v>78.9</v>
      </c>
      <c r="C37" s="367">
        <v>0</v>
      </c>
      <c r="D37" s="364">
        <v>0</v>
      </c>
      <c r="E37" s="365">
        <f t="shared" si="10"/>
        <v>78.9</v>
      </c>
      <c r="F37" s="390">
        <v>629.4</v>
      </c>
      <c r="G37" s="367">
        <v>0</v>
      </c>
      <c r="H37" s="364">
        <f>H38+H39</f>
        <v>454.20000000000005</v>
      </c>
      <c r="I37" s="365">
        <f t="shared" si="11"/>
        <v>1083.6</v>
      </c>
      <c r="J37" s="369">
        <f aca="true" t="shared" si="14" ref="J37:J43">B37-F37</f>
        <v>-550.5</v>
      </c>
      <c r="K37" s="367">
        <f t="shared" si="12"/>
        <v>0</v>
      </c>
      <c r="L37" s="367">
        <f t="shared" si="12"/>
        <v>-454.20000000000005</v>
      </c>
      <c r="M37" s="365">
        <f t="shared" si="13"/>
        <v>-1004.7</v>
      </c>
      <c r="N37" s="10"/>
      <c r="O37" s="12"/>
      <c r="P37" s="46"/>
      <c r="Q37" s="46"/>
      <c r="R37" s="391"/>
      <c r="S37" s="389"/>
    </row>
    <row r="38" spans="1:19" ht="12.75">
      <c r="A38" s="257" t="s">
        <v>41</v>
      </c>
      <c r="B38" s="369">
        <v>78.9</v>
      </c>
      <c r="C38" s="367">
        <v>0</v>
      </c>
      <c r="D38" s="364">
        <v>0</v>
      </c>
      <c r="E38" s="365">
        <f t="shared" si="10"/>
        <v>78.9</v>
      </c>
      <c r="F38" s="390">
        <v>414</v>
      </c>
      <c r="G38" s="367">
        <v>0</v>
      </c>
      <c r="H38" s="364">
        <v>0</v>
      </c>
      <c r="I38" s="365">
        <f t="shared" si="11"/>
        <v>414</v>
      </c>
      <c r="J38" s="369">
        <f t="shared" si="14"/>
        <v>-335.1</v>
      </c>
      <c r="K38" s="367">
        <f t="shared" si="12"/>
        <v>0</v>
      </c>
      <c r="L38" s="367">
        <f t="shared" si="12"/>
        <v>0</v>
      </c>
      <c r="M38" s="365">
        <f t="shared" si="13"/>
        <v>-335.1</v>
      </c>
      <c r="N38" s="10"/>
      <c r="O38" s="12"/>
      <c r="P38" s="46"/>
      <c r="Q38" s="12"/>
      <c r="R38" s="391"/>
      <c r="S38" s="389"/>
    </row>
    <row r="39" spans="1:19" ht="12.75">
      <c r="A39" s="257" t="s">
        <v>5</v>
      </c>
      <c r="B39" s="369">
        <f>B43</f>
        <v>0</v>
      </c>
      <c r="C39" s="367">
        <v>0</v>
      </c>
      <c r="D39" s="364">
        <v>0</v>
      </c>
      <c r="E39" s="365">
        <f t="shared" si="10"/>
        <v>0</v>
      </c>
      <c r="F39" s="390">
        <v>0</v>
      </c>
      <c r="G39" s="367">
        <v>0</v>
      </c>
      <c r="H39" s="364">
        <f>211.3+H43</f>
        <v>454.20000000000005</v>
      </c>
      <c r="I39" s="365">
        <f t="shared" si="11"/>
        <v>454.20000000000005</v>
      </c>
      <c r="J39" s="369">
        <f t="shared" si="14"/>
        <v>0</v>
      </c>
      <c r="K39" s="367">
        <f t="shared" si="12"/>
        <v>0</v>
      </c>
      <c r="L39" s="367">
        <f t="shared" si="12"/>
        <v>-454.20000000000005</v>
      </c>
      <c r="M39" s="365">
        <f t="shared" si="13"/>
        <v>-454.20000000000005</v>
      </c>
      <c r="N39" s="12"/>
      <c r="O39" s="12"/>
      <c r="P39" s="46"/>
      <c r="Q39" s="12"/>
      <c r="R39" s="391"/>
      <c r="S39" s="389"/>
    </row>
    <row r="40" spans="1:19" ht="12.75">
      <c r="A40" s="257" t="s">
        <v>8</v>
      </c>
      <c r="B40" s="369">
        <v>29.6</v>
      </c>
      <c r="C40" s="367">
        <v>0</v>
      </c>
      <c r="D40" s="364">
        <v>0</v>
      </c>
      <c r="E40" s="365">
        <f t="shared" si="10"/>
        <v>29.6</v>
      </c>
      <c r="F40" s="390">
        <v>99.8</v>
      </c>
      <c r="G40" s="367">
        <v>0</v>
      </c>
      <c r="H40" s="364">
        <v>0</v>
      </c>
      <c r="I40" s="365">
        <f t="shared" si="11"/>
        <v>99.8</v>
      </c>
      <c r="J40" s="369">
        <f t="shared" si="14"/>
        <v>-70.19999999999999</v>
      </c>
      <c r="K40" s="367">
        <f t="shared" si="12"/>
        <v>0</v>
      </c>
      <c r="L40" s="367">
        <f t="shared" si="12"/>
        <v>0</v>
      </c>
      <c r="M40" s="365">
        <f t="shared" si="13"/>
        <v>-70.19999999999999</v>
      </c>
      <c r="N40" s="12"/>
      <c r="O40" s="12"/>
      <c r="P40" s="46"/>
      <c r="Q40" s="12"/>
      <c r="R40" s="391"/>
      <c r="S40" s="389"/>
    </row>
    <row r="41" spans="1:17" ht="12.75">
      <c r="A41" s="257" t="s">
        <v>42</v>
      </c>
      <c r="B41" s="369">
        <v>29.6</v>
      </c>
      <c r="C41" s="367">
        <v>0</v>
      </c>
      <c r="D41" s="364">
        <v>0</v>
      </c>
      <c r="E41" s="365">
        <f t="shared" si="10"/>
        <v>29.6</v>
      </c>
      <c r="F41" s="363">
        <v>0</v>
      </c>
      <c r="G41" s="367">
        <v>0</v>
      </c>
      <c r="H41" s="364">
        <v>0</v>
      </c>
      <c r="I41" s="365">
        <f t="shared" si="11"/>
        <v>0</v>
      </c>
      <c r="J41" s="369">
        <f t="shared" si="14"/>
        <v>29.6</v>
      </c>
      <c r="K41" s="367">
        <f t="shared" si="12"/>
        <v>0</v>
      </c>
      <c r="L41" s="367">
        <f t="shared" si="12"/>
        <v>0</v>
      </c>
      <c r="M41" s="365">
        <f t="shared" si="13"/>
        <v>29.6</v>
      </c>
      <c r="N41" s="12"/>
      <c r="O41" s="46"/>
      <c r="P41" s="12"/>
      <c r="Q41" s="12"/>
    </row>
    <row r="42" spans="1:17" ht="12.75">
      <c r="A42" s="257" t="s">
        <v>43</v>
      </c>
      <c r="B42" s="369">
        <v>49.3</v>
      </c>
      <c r="C42" s="367">
        <v>0</v>
      </c>
      <c r="D42" s="364">
        <v>0</v>
      </c>
      <c r="E42" s="365">
        <f t="shared" si="10"/>
        <v>49.3</v>
      </c>
      <c r="F42" s="363">
        <v>0</v>
      </c>
      <c r="G42" s="367">
        <v>0</v>
      </c>
      <c r="H42" s="364">
        <v>0</v>
      </c>
      <c r="I42" s="365">
        <f t="shared" si="11"/>
        <v>0</v>
      </c>
      <c r="J42" s="369">
        <f t="shared" si="14"/>
        <v>49.3</v>
      </c>
      <c r="K42" s="367">
        <f t="shared" si="12"/>
        <v>0</v>
      </c>
      <c r="L42" s="367">
        <f t="shared" si="12"/>
        <v>0</v>
      </c>
      <c r="M42" s="365">
        <f t="shared" si="13"/>
        <v>49.3</v>
      </c>
      <c r="N42" s="12"/>
      <c r="O42" s="12"/>
      <c r="P42" s="12"/>
      <c r="Q42" s="12"/>
    </row>
    <row r="43" spans="1:17" ht="12.75">
      <c r="A43" s="372" t="s">
        <v>15</v>
      </c>
      <c r="B43" s="363">
        <v>0</v>
      </c>
      <c r="C43" s="368">
        <v>0</v>
      </c>
      <c r="D43" s="364">
        <v>0</v>
      </c>
      <c r="E43" s="365">
        <f t="shared" si="10"/>
        <v>0</v>
      </c>
      <c r="F43" s="363">
        <v>0</v>
      </c>
      <c r="G43" s="367">
        <v>0</v>
      </c>
      <c r="H43" s="364">
        <v>242.9</v>
      </c>
      <c r="I43" s="365">
        <f t="shared" si="11"/>
        <v>242.9</v>
      </c>
      <c r="J43" s="369">
        <f t="shared" si="14"/>
        <v>0</v>
      </c>
      <c r="K43" s="367">
        <f t="shared" si="12"/>
        <v>0</v>
      </c>
      <c r="L43" s="367">
        <f t="shared" si="12"/>
        <v>-242.9</v>
      </c>
      <c r="M43" s="365">
        <f t="shared" si="13"/>
        <v>-242.9</v>
      </c>
      <c r="N43" s="12"/>
      <c r="O43" s="392"/>
      <c r="P43" s="271"/>
      <c r="Q43" s="393"/>
    </row>
    <row r="44" spans="1:17" ht="12.75">
      <c r="A44" s="372" t="s">
        <v>51</v>
      </c>
      <c r="B44" s="363">
        <f>B45</f>
        <v>125.9</v>
      </c>
      <c r="C44" s="368">
        <v>0</v>
      </c>
      <c r="D44" s="364">
        <v>0</v>
      </c>
      <c r="E44" s="365">
        <f>B44+C44+D44</f>
        <v>125.9</v>
      </c>
      <c r="F44" s="363">
        <v>173.7</v>
      </c>
      <c r="G44" s="367">
        <v>0</v>
      </c>
      <c r="H44" s="364">
        <v>0</v>
      </c>
      <c r="I44" s="365">
        <f>F44+G44+H44</f>
        <v>173.7</v>
      </c>
      <c r="J44" s="369">
        <f aca="true" t="shared" si="15" ref="J44:L45">B44-F44</f>
        <v>-47.79999999999998</v>
      </c>
      <c r="K44" s="367">
        <f t="shared" si="15"/>
        <v>0</v>
      </c>
      <c r="L44" s="367">
        <f t="shared" si="15"/>
        <v>0</v>
      </c>
      <c r="M44" s="365">
        <f>J44+K44+L44</f>
        <v>-47.79999999999998</v>
      </c>
      <c r="N44" s="12"/>
      <c r="O44" s="392"/>
      <c r="P44" s="271"/>
      <c r="Q44" s="393"/>
    </row>
    <row r="45" spans="1:17" ht="13.5" thickBot="1">
      <c r="A45" s="373" t="s">
        <v>176</v>
      </c>
      <c r="B45" s="395">
        <v>125.9</v>
      </c>
      <c r="C45" s="376">
        <v>0</v>
      </c>
      <c r="D45" s="377">
        <v>0</v>
      </c>
      <c r="E45" s="378">
        <f>B45+C45+D45</f>
        <v>125.9</v>
      </c>
      <c r="F45" s="395">
        <v>0</v>
      </c>
      <c r="G45" s="380">
        <v>0</v>
      </c>
      <c r="H45" s="377">
        <v>0</v>
      </c>
      <c r="I45" s="378">
        <f>F45+G45+H45</f>
        <v>0</v>
      </c>
      <c r="J45" s="379">
        <f t="shared" si="15"/>
        <v>125.9</v>
      </c>
      <c r="K45" s="380">
        <f t="shared" si="15"/>
        <v>0</v>
      </c>
      <c r="L45" s="380">
        <f t="shared" si="15"/>
        <v>0</v>
      </c>
      <c r="M45" s="378">
        <f>J45+K45+L45</f>
        <v>125.9</v>
      </c>
      <c r="N45" s="12"/>
      <c r="O45" s="392"/>
      <c r="P45" s="271"/>
      <c r="Q45" s="393"/>
    </row>
    <row r="46" spans="1:17" ht="13.5" thickBot="1">
      <c r="A46" s="12"/>
      <c r="B46" s="383"/>
      <c r="C46" s="384"/>
      <c r="D46" s="383"/>
      <c r="E46" s="385"/>
      <c r="F46" s="383"/>
      <c r="G46" s="384"/>
      <c r="H46" s="383"/>
      <c r="I46" s="385"/>
      <c r="J46" s="386"/>
      <c r="K46" s="386"/>
      <c r="L46" s="386"/>
      <c r="M46" s="385"/>
      <c r="N46" s="12"/>
      <c r="O46" s="12"/>
      <c r="P46" s="12"/>
      <c r="Q46" s="10"/>
    </row>
    <row r="47" spans="1:10" ht="15.75" thickBot="1">
      <c r="A47" s="396" t="s">
        <v>231</v>
      </c>
      <c r="B47" s="34"/>
      <c r="C47" s="34"/>
      <c r="D47" s="34"/>
      <c r="E47" s="35"/>
      <c r="F47" s="25"/>
      <c r="G47" s="25"/>
      <c r="H47" s="25"/>
      <c r="I47" s="63"/>
      <c r="J47" s="63"/>
    </row>
    <row r="48" spans="1:25" ht="13.5" thickBot="1">
      <c r="A48" s="675" t="s">
        <v>3</v>
      </c>
      <c r="B48" s="680" t="s">
        <v>218</v>
      </c>
      <c r="C48" s="678"/>
      <c r="D48" s="678"/>
      <c r="E48" s="679"/>
      <c r="F48" s="680" t="s">
        <v>219</v>
      </c>
      <c r="G48" s="678"/>
      <c r="H48" s="678"/>
      <c r="I48" s="679"/>
      <c r="J48" s="680" t="s">
        <v>220</v>
      </c>
      <c r="K48" s="678"/>
      <c r="L48" s="678"/>
      <c r="M48" s="679"/>
      <c r="N48" s="685" t="s">
        <v>232</v>
      </c>
      <c r="O48" s="686"/>
      <c r="P48" s="686"/>
      <c r="Q48" s="687"/>
      <c r="R48" s="685" t="s">
        <v>233</v>
      </c>
      <c r="S48" s="686"/>
      <c r="T48" s="686"/>
      <c r="U48" s="687"/>
      <c r="V48" s="685" t="s">
        <v>234</v>
      </c>
      <c r="W48" s="686"/>
      <c r="X48" s="686"/>
      <c r="Y48" s="687"/>
    </row>
    <row r="49" spans="1:25" ht="39.75" thickBot="1">
      <c r="A49" s="676"/>
      <c r="B49" s="351" t="s">
        <v>222</v>
      </c>
      <c r="C49" s="341" t="s">
        <v>223</v>
      </c>
      <c r="D49" s="341" t="s">
        <v>224</v>
      </c>
      <c r="E49" s="352" t="s">
        <v>225</v>
      </c>
      <c r="F49" s="351" t="s">
        <v>222</v>
      </c>
      <c r="G49" s="341" t="s">
        <v>223</v>
      </c>
      <c r="H49" s="341" t="s">
        <v>224</v>
      </c>
      <c r="I49" s="352" t="s">
        <v>225</v>
      </c>
      <c r="J49" s="351" t="s">
        <v>222</v>
      </c>
      <c r="K49" s="341" t="s">
        <v>223</v>
      </c>
      <c r="L49" s="341" t="s">
        <v>224</v>
      </c>
      <c r="M49" s="352" t="s">
        <v>225</v>
      </c>
      <c r="N49" s="351" t="s">
        <v>222</v>
      </c>
      <c r="O49" s="341" t="s">
        <v>223</v>
      </c>
      <c r="P49" s="341" t="s">
        <v>224</v>
      </c>
      <c r="Q49" s="352" t="s">
        <v>225</v>
      </c>
      <c r="R49" s="351" t="s">
        <v>222</v>
      </c>
      <c r="S49" s="341" t="s">
        <v>223</v>
      </c>
      <c r="T49" s="341" t="s">
        <v>224</v>
      </c>
      <c r="U49" s="352" t="s">
        <v>225</v>
      </c>
      <c r="V49" s="351" t="s">
        <v>222</v>
      </c>
      <c r="W49" s="341" t="s">
        <v>223</v>
      </c>
      <c r="X49" s="341" t="s">
        <v>224</v>
      </c>
      <c r="Y49" s="352" t="s">
        <v>225</v>
      </c>
    </row>
    <row r="50" spans="1:25" ht="12.75">
      <c r="A50" s="296" t="s">
        <v>52</v>
      </c>
      <c r="B50" s="397">
        <f>B21-B22-B29</f>
        <v>101.8999999999999</v>
      </c>
      <c r="C50" s="397">
        <f>C21-C22-C29</f>
        <v>0</v>
      </c>
      <c r="D50" s="397">
        <f>D21-D22-D29</f>
        <v>2524.8</v>
      </c>
      <c r="E50" s="399">
        <f>B50+C50+D50</f>
        <v>2626.7000000000003</v>
      </c>
      <c r="F50" s="397">
        <f>F21-F22-F29</f>
        <v>117.7</v>
      </c>
      <c r="G50" s="397">
        <f>G21-G22-G29</f>
        <v>167.5</v>
      </c>
      <c r="H50" s="397">
        <f>H21-H22-H29</f>
        <v>1975</v>
      </c>
      <c r="I50" s="400">
        <f aca="true" t="shared" si="16" ref="I50:I57">F50+G50+H50</f>
        <v>2260.2</v>
      </c>
      <c r="J50" s="401">
        <f aca="true" t="shared" si="17" ref="J50:J59">B50-F50</f>
        <v>-15.800000000000097</v>
      </c>
      <c r="K50" s="402">
        <f aca="true" t="shared" si="18" ref="K50:K59">C50-G50</f>
        <v>-167.5</v>
      </c>
      <c r="L50" s="402">
        <f aca="true" t="shared" si="19" ref="L50:L59">D50-H50</f>
        <v>549.8000000000002</v>
      </c>
      <c r="M50" s="357">
        <f aca="true" t="shared" si="20" ref="M50:M59">J50+K50+L50</f>
        <v>366.5000000000001</v>
      </c>
      <c r="N50" s="403">
        <f>B50*D5</f>
        <v>5495.466999999995</v>
      </c>
      <c r="O50" s="404">
        <f aca="true" t="shared" si="21" ref="O50:O57">C50*F5</f>
        <v>0</v>
      </c>
      <c r="P50" s="404">
        <f>D50*H5</f>
        <v>151488</v>
      </c>
      <c r="Q50" s="405">
        <f aca="true" t="shared" si="22" ref="Q50:Q59">N50+O50+P50</f>
        <v>156983.467</v>
      </c>
      <c r="R50" s="403">
        <f>F50*D5</f>
        <v>6347.561</v>
      </c>
      <c r="S50" s="404">
        <f>G50*F5</f>
        <v>10050</v>
      </c>
      <c r="T50" s="404">
        <f aca="true" t="shared" si="23" ref="T50:T57">H50*H5</f>
        <v>118500</v>
      </c>
      <c r="U50" s="405">
        <f aca="true" t="shared" si="24" ref="U50:U59">R50+S50+T50</f>
        <v>134897.561</v>
      </c>
      <c r="V50" s="406">
        <f>N50-R50</f>
        <v>-852.0940000000046</v>
      </c>
      <c r="W50" s="407">
        <f>O50-S50</f>
        <v>-10050</v>
      </c>
      <c r="X50" s="407">
        <f>P50-T50</f>
        <v>32988</v>
      </c>
      <c r="Y50" s="408">
        <f aca="true" t="shared" si="25" ref="Y50:Y59">V50+W50+X50</f>
        <v>22085.905999999995</v>
      </c>
    </row>
    <row r="51" spans="1:25" ht="12.75">
      <c r="A51" s="232" t="s">
        <v>55</v>
      </c>
      <c r="B51" s="227">
        <f>B22-B23-B24</f>
        <v>165.70000000000007</v>
      </c>
      <c r="C51" s="56">
        <f>C22-C23-C24</f>
        <v>94.69999999999999</v>
      </c>
      <c r="D51" s="56">
        <f>D22-D23-D24</f>
        <v>533.8999999999999</v>
      </c>
      <c r="E51" s="409">
        <f aca="true" t="shared" si="26" ref="E51:E57">B51+C51+D51</f>
        <v>794.3</v>
      </c>
      <c r="F51" s="227">
        <f>F22-F23-F24</f>
        <v>0</v>
      </c>
      <c r="G51" s="56">
        <f>G22-G23-G24</f>
        <v>0.7999999999999998</v>
      </c>
      <c r="H51" s="56">
        <f>H22-H23-H24</f>
        <v>311.2999999999999</v>
      </c>
      <c r="I51" s="409">
        <f t="shared" si="16"/>
        <v>312.0999999999999</v>
      </c>
      <c r="J51" s="410">
        <f t="shared" si="17"/>
        <v>165.70000000000007</v>
      </c>
      <c r="K51" s="411">
        <f t="shared" si="18"/>
        <v>93.89999999999999</v>
      </c>
      <c r="L51" s="411">
        <f t="shared" si="19"/>
        <v>222.59999999999997</v>
      </c>
      <c r="M51" s="365">
        <f t="shared" si="20"/>
        <v>482.20000000000005</v>
      </c>
      <c r="N51" s="412">
        <f aca="true" t="shared" si="27" ref="N51:N57">B51*D6</f>
        <v>14805.295000000006</v>
      </c>
      <c r="O51" s="124">
        <f t="shared" si="21"/>
        <v>11281.610999999999</v>
      </c>
      <c r="P51" s="124">
        <f aca="true" t="shared" si="28" ref="P51:P57">D51*H6</f>
        <v>63603.50699999998</v>
      </c>
      <c r="Q51" s="107">
        <f t="shared" si="22"/>
        <v>89690.41299999999</v>
      </c>
      <c r="R51" s="412">
        <f aca="true" t="shared" si="29" ref="R51:R57">F51*D6</f>
        <v>0</v>
      </c>
      <c r="S51" s="124">
        <f>G51*F6</f>
        <v>95.30399999999997</v>
      </c>
      <c r="T51" s="124">
        <f t="shared" si="23"/>
        <v>37085.16899999999</v>
      </c>
      <c r="U51" s="107">
        <f t="shared" si="24"/>
        <v>37180.47299999998</v>
      </c>
      <c r="V51" s="412">
        <f aca="true" t="shared" si="30" ref="V51:X57">N51-R51</f>
        <v>14805.295000000006</v>
      </c>
      <c r="W51" s="124">
        <f t="shared" si="30"/>
        <v>11186.306999999999</v>
      </c>
      <c r="X51" s="124">
        <f t="shared" si="30"/>
        <v>26518.337999999996</v>
      </c>
      <c r="Y51" s="107">
        <f t="shared" si="25"/>
        <v>52509.94</v>
      </c>
    </row>
    <row r="52" spans="1:25" ht="12.75">
      <c r="A52" s="232" t="s">
        <v>54</v>
      </c>
      <c r="B52" s="227">
        <f>B23-B25-B27</f>
        <v>157.79999999999998</v>
      </c>
      <c r="C52" s="56">
        <f>C23-C25-C27</f>
        <v>114.39999999999999</v>
      </c>
      <c r="D52" s="56">
        <f>D23-D25-D27</f>
        <v>414.6</v>
      </c>
      <c r="E52" s="409">
        <f t="shared" si="26"/>
        <v>686.8</v>
      </c>
      <c r="F52" s="227">
        <f>F23-F25-F27</f>
        <v>0</v>
      </c>
      <c r="G52" s="56">
        <f>G23-G25-G27</f>
        <v>0</v>
      </c>
      <c r="H52" s="56">
        <f>H23-H25-H27</f>
        <v>431.1</v>
      </c>
      <c r="I52" s="409">
        <f t="shared" si="16"/>
        <v>431.1</v>
      </c>
      <c r="J52" s="410">
        <f t="shared" si="17"/>
        <v>157.79999999999998</v>
      </c>
      <c r="K52" s="411">
        <f t="shared" si="18"/>
        <v>114.39999999999999</v>
      </c>
      <c r="L52" s="411">
        <f t="shared" si="19"/>
        <v>-16.5</v>
      </c>
      <c r="M52" s="365">
        <f t="shared" si="20"/>
        <v>255.7</v>
      </c>
      <c r="N52" s="412">
        <f t="shared" si="27"/>
        <v>14099.429999999998</v>
      </c>
      <c r="O52" s="124">
        <f t="shared" si="21"/>
        <v>13628.471999999998</v>
      </c>
      <c r="P52" s="124">
        <f t="shared" si="28"/>
        <v>49391.298</v>
      </c>
      <c r="Q52" s="107">
        <f t="shared" si="22"/>
        <v>77119.2</v>
      </c>
      <c r="R52" s="412">
        <f t="shared" si="29"/>
        <v>0</v>
      </c>
      <c r="S52" s="124">
        <f aca="true" t="shared" si="31" ref="S52:S57">G52*F7</f>
        <v>0</v>
      </c>
      <c r="T52" s="124">
        <f t="shared" si="23"/>
        <v>51356.943</v>
      </c>
      <c r="U52" s="107">
        <f t="shared" si="24"/>
        <v>51356.943</v>
      </c>
      <c r="V52" s="412">
        <f t="shared" si="30"/>
        <v>14099.429999999998</v>
      </c>
      <c r="W52" s="124">
        <f t="shared" si="30"/>
        <v>13628.471999999998</v>
      </c>
      <c r="X52" s="124">
        <f t="shared" si="30"/>
        <v>-1965.6449999999968</v>
      </c>
      <c r="Y52" s="107">
        <f t="shared" si="25"/>
        <v>25762.256999999998</v>
      </c>
    </row>
    <row r="53" spans="1:25" ht="12.75">
      <c r="A53" s="232" t="s">
        <v>53</v>
      </c>
      <c r="B53" s="227">
        <f>B24-B28</f>
        <v>18.1</v>
      </c>
      <c r="C53" s="56">
        <f>C24-C28</f>
        <v>59.1</v>
      </c>
      <c r="D53" s="56">
        <f>D24-D28</f>
        <v>211</v>
      </c>
      <c r="E53" s="409">
        <f t="shared" si="26"/>
        <v>288.2</v>
      </c>
      <c r="F53" s="227">
        <f>F24-F28</f>
        <v>0</v>
      </c>
      <c r="G53" s="56">
        <f>G24-G28</f>
        <v>2.9</v>
      </c>
      <c r="H53" s="56">
        <f>H24-H28</f>
        <v>130.8</v>
      </c>
      <c r="I53" s="409">
        <f t="shared" si="16"/>
        <v>133.70000000000002</v>
      </c>
      <c r="J53" s="410">
        <f t="shared" si="17"/>
        <v>18.1</v>
      </c>
      <c r="K53" s="411">
        <f t="shared" si="18"/>
        <v>56.2</v>
      </c>
      <c r="L53" s="411">
        <f t="shared" si="19"/>
        <v>80.19999999999999</v>
      </c>
      <c r="M53" s="365">
        <f t="shared" si="20"/>
        <v>154.5</v>
      </c>
      <c r="N53" s="412">
        <f t="shared" si="27"/>
        <v>1617.2350000000001</v>
      </c>
      <c r="O53" s="124">
        <f t="shared" si="21"/>
        <v>7040.583</v>
      </c>
      <c r="P53" s="124">
        <f t="shared" si="28"/>
        <v>25136.43</v>
      </c>
      <c r="Q53" s="107">
        <f t="shared" si="22"/>
        <v>33794.248</v>
      </c>
      <c r="R53" s="412">
        <f t="shared" si="29"/>
        <v>0</v>
      </c>
      <c r="S53" s="124">
        <f t="shared" si="31"/>
        <v>345.477</v>
      </c>
      <c r="T53" s="124">
        <f t="shared" si="23"/>
        <v>15582.204000000002</v>
      </c>
      <c r="U53" s="107">
        <f t="shared" si="24"/>
        <v>15927.681000000002</v>
      </c>
      <c r="V53" s="412">
        <f t="shared" si="30"/>
        <v>1617.2350000000001</v>
      </c>
      <c r="W53" s="124">
        <f t="shared" si="30"/>
        <v>6695.106</v>
      </c>
      <c r="X53" s="124">
        <f t="shared" si="30"/>
        <v>9554.225999999999</v>
      </c>
      <c r="Y53" s="107">
        <f t="shared" si="25"/>
        <v>17866.567</v>
      </c>
    </row>
    <row r="54" spans="1:25" ht="12.75">
      <c r="A54" s="232" t="s">
        <v>45</v>
      </c>
      <c r="B54" s="227">
        <f>B25-B26</f>
        <v>134.29999999999998</v>
      </c>
      <c r="C54" s="56">
        <f>C25-C26</f>
        <v>0</v>
      </c>
      <c r="D54" s="56">
        <f>D25-D26</f>
        <v>200.2</v>
      </c>
      <c r="E54" s="409">
        <f t="shared" si="26"/>
        <v>334.5</v>
      </c>
      <c r="F54" s="227">
        <f>F25-F26</f>
        <v>0</v>
      </c>
      <c r="G54" s="56">
        <f>G25-G26</f>
        <v>0</v>
      </c>
      <c r="H54" s="56">
        <f>H25-H26</f>
        <v>409</v>
      </c>
      <c r="I54" s="409">
        <f t="shared" si="16"/>
        <v>409</v>
      </c>
      <c r="J54" s="410">
        <f t="shared" si="17"/>
        <v>134.29999999999998</v>
      </c>
      <c r="K54" s="411">
        <f t="shared" si="18"/>
        <v>0</v>
      </c>
      <c r="L54" s="411">
        <f t="shared" si="19"/>
        <v>-208.8</v>
      </c>
      <c r="M54" s="365">
        <f t="shared" si="20"/>
        <v>-74.50000000000003</v>
      </c>
      <c r="N54" s="412">
        <f t="shared" si="27"/>
        <v>28799.291999999998</v>
      </c>
      <c r="O54" s="124">
        <f t="shared" si="21"/>
        <v>0</v>
      </c>
      <c r="P54" s="124">
        <f t="shared" si="28"/>
        <v>48892.844</v>
      </c>
      <c r="Q54" s="107">
        <f t="shared" si="22"/>
        <v>77692.136</v>
      </c>
      <c r="R54" s="412">
        <f t="shared" si="29"/>
        <v>0</v>
      </c>
      <c r="S54" s="124">
        <f t="shared" si="31"/>
        <v>0</v>
      </c>
      <c r="T54" s="124">
        <f t="shared" si="23"/>
        <v>99885.98</v>
      </c>
      <c r="U54" s="107">
        <f t="shared" si="24"/>
        <v>99885.98</v>
      </c>
      <c r="V54" s="412">
        <f t="shared" si="30"/>
        <v>28799.291999999998</v>
      </c>
      <c r="W54" s="124">
        <f t="shared" si="30"/>
        <v>0</v>
      </c>
      <c r="X54" s="124">
        <f t="shared" si="30"/>
        <v>-50993.136</v>
      </c>
      <c r="Y54" s="107">
        <f t="shared" si="25"/>
        <v>-22193.844</v>
      </c>
    </row>
    <row r="55" spans="1:25" ht="12.75">
      <c r="A55" s="232" t="s">
        <v>42</v>
      </c>
      <c r="B55" s="227">
        <f>B26</f>
        <v>35.4</v>
      </c>
      <c r="C55" s="56">
        <f aca="true" t="shared" si="32" ref="B55:D57">C26</f>
        <v>0</v>
      </c>
      <c r="D55" s="56">
        <f t="shared" si="32"/>
        <v>116.8</v>
      </c>
      <c r="E55" s="409">
        <f t="shared" si="26"/>
        <v>152.2</v>
      </c>
      <c r="F55" s="227">
        <f aca="true" t="shared" si="33" ref="F55:H57">F26</f>
        <v>0</v>
      </c>
      <c r="G55" s="56">
        <f t="shared" si="33"/>
        <v>0.1</v>
      </c>
      <c r="H55" s="56">
        <f t="shared" si="33"/>
        <v>7.4</v>
      </c>
      <c r="I55" s="409">
        <f t="shared" si="16"/>
        <v>7.5</v>
      </c>
      <c r="J55" s="410">
        <f t="shared" si="17"/>
        <v>35.4</v>
      </c>
      <c r="K55" s="411">
        <f t="shared" si="18"/>
        <v>-0.1</v>
      </c>
      <c r="L55" s="411">
        <f t="shared" si="19"/>
        <v>109.39999999999999</v>
      </c>
      <c r="M55" s="365">
        <f t="shared" si="20"/>
        <v>144.7</v>
      </c>
      <c r="N55" s="412">
        <f t="shared" si="27"/>
        <v>7591.1759999999995</v>
      </c>
      <c r="O55" s="124">
        <f t="shared" si="21"/>
        <v>0</v>
      </c>
      <c r="P55" s="124">
        <f t="shared" si="28"/>
        <v>28524.896</v>
      </c>
      <c r="Q55" s="107">
        <f t="shared" si="22"/>
        <v>36116.072</v>
      </c>
      <c r="R55" s="412">
        <f t="shared" si="29"/>
        <v>0</v>
      </c>
      <c r="S55" s="124">
        <f t="shared" si="31"/>
        <v>24.422</v>
      </c>
      <c r="T55" s="124">
        <f t="shared" si="23"/>
        <v>1807.228</v>
      </c>
      <c r="U55" s="107">
        <f t="shared" si="24"/>
        <v>1831.65</v>
      </c>
      <c r="V55" s="412">
        <f t="shared" si="30"/>
        <v>7591.1759999999995</v>
      </c>
      <c r="W55" s="124">
        <f t="shared" si="30"/>
        <v>-24.422</v>
      </c>
      <c r="X55" s="124">
        <f t="shared" si="30"/>
        <v>26717.668</v>
      </c>
      <c r="Y55" s="107">
        <f t="shared" si="25"/>
        <v>34284.422</v>
      </c>
    </row>
    <row r="56" spans="1:25" ht="12.75">
      <c r="A56" s="232" t="s">
        <v>43</v>
      </c>
      <c r="B56" s="227">
        <f t="shared" si="32"/>
        <v>7.9</v>
      </c>
      <c r="C56" s="56">
        <f t="shared" si="32"/>
        <v>6.9</v>
      </c>
      <c r="D56" s="56">
        <f t="shared" si="32"/>
        <v>3.6</v>
      </c>
      <c r="E56" s="409">
        <f t="shared" si="26"/>
        <v>18.400000000000002</v>
      </c>
      <c r="F56" s="227">
        <f t="shared" si="33"/>
        <v>0</v>
      </c>
      <c r="G56" s="56">
        <f t="shared" si="33"/>
        <v>0</v>
      </c>
      <c r="H56" s="56">
        <f t="shared" si="33"/>
        <v>0.5</v>
      </c>
      <c r="I56" s="409">
        <f t="shared" si="16"/>
        <v>0.5</v>
      </c>
      <c r="J56" s="410">
        <f t="shared" si="17"/>
        <v>7.9</v>
      </c>
      <c r="K56" s="411">
        <f t="shared" si="18"/>
        <v>6.9</v>
      </c>
      <c r="L56" s="411">
        <f t="shared" si="19"/>
        <v>3.1</v>
      </c>
      <c r="M56" s="365">
        <f t="shared" si="20"/>
        <v>17.900000000000002</v>
      </c>
      <c r="N56" s="412">
        <f t="shared" si="27"/>
        <v>705.865</v>
      </c>
      <c r="O56" s="124">
        <f t="shared" si="21"/>
        <v>821.997</v>
      </c>
      <c r="P56" s="124">
        <f t="shared" si="28"/>
        <v>428.868</v>
      </c>
      <c r="Q56" s="107">
        <f t="shared" si="22"/>
        <v>1956.73</v>
      </c>
      <c r="R56" s="412">
        <f t="shared" si="29"/>
        <v>0</v>
      </c>
      <c r="S56" s="124">
        <f t="shared" si="31"/>
        <v>0</v>
      </c>
      <c r="T56" s="124">
        <f t="shared" si="23"/>
        <v>59.565</v>
      </c>
      <c r="U56" s="107">
        <f t="shared" si="24"/>
        <v>59.565</v>
      </c>
      <c r="V56" s="412">
        <f t="shared" si="30"/>
        <v>705.865</v>
      </c>
      <c r="W56" s="124">
        <f t="shared" si="30"/>
        <v>821.997</v>
      </c>
      <c r="X56" s="124">
        <f t="shared" si="30"/>
        <v>369.303</v>
      </c>
      <c r="Y56" s="107">
        <f t="shared" si="25"/>
        <v>1897.165</v>
      </c>
    </row>
    <row r="57" spans="1:25" ht="12.75">
      <c r="A57" s="232" t="s">
        <v>15</v>
      </c>
      <c r="B57" s="227">
        <f t="shared" si="32"/>
        <v>0</v>
      </c>
      <c r="C57" s="56">
        <f t="shared" si="32"/>
        <v>32.9</v>
      </c>
      <c r="D57" s="56">
        <f t="shared" si="32"/>
        <v>0</v>
      </c>
      <c r="E57" s="409">
        <f t="shared" si="26"/>
        <v>32.9</v>
      </c>
      <c r="F57" s="227">
        <f t="shared" si="33"/>
        <v>0</v>
      </c>
      <c r="G57" s="56">
        <f t="shared" si="33"/>
        <v>0.2</v>
      </c>
      <c r="H57" s="56">
        <f t="shared" si="33"/>
        <v>8.5</v>
      </c>
      <c r="I57" s="409">
        <f t="shared" si="16"/>
        <v>8.7</v>
      </c>
      <c r="J57" s="410">
        <f t="shared" si="17"/>
        <v>0</v>
      </c>
      <c r="K57" s="411">
        <f t="shared" si="18"/>
        <v>32.699999999999996</v>
      </c>
      <c r="L57" s="411">
        <f t="shared" si="19"/>
        <v>-8.5</v>
      </c>
      <c r="M57" s="365">
        <f t="shared" si="20"/>
        <v>24.199999999999996</v>
      </c>
      <c r="N57" s="412">
        <f t="shared" si="27"/>
        <v>0</v>
      </c>
      <c r="O57" s="124">
        <f t="shared" si="21"/>
        <v>3919.3769999999995</v>
      </c>
      <c r="P57" s="124">
        <f t="shared" si="28"/>
        <v>0</v>
      </c>
      <c r="Q57" s="107">
        <f t="shared" si="22"/>
        <v>3919.3769999999995</v>
      </c>
      <c r="R57" s="412">
        <f t="shared" si="29"/>
        <v>0</v>
      </c>
      <c r="S57" s="124">
        <f t="shared" si="31"/>
        <v>23.826</v>
      </c>
      <c r="T57" s="124">
        <f t="shared" si="23"/>
        <v>1012.605</v>
      </c>
      <c r="U57" s="107">
        <f t="shared" si="24"/>
        <v>1036.431</v>
      </c>
      <c r="V57" s="412">
        <f t="shared" si="30"/>
        <v>0</v>
      </c>
      <c r="W57" s="124">
        <f t="shared" si="30"/>
        <v>3895.5509999999995</v>
      </c>
      <c r="X57" s="124">
        <f t="shared" si="30"/>
        <v>-1012.605</v>
      </c>
      <c r="Y57" s="107">
        <f t="shared" si="25"/>
        <v>2882.9459999999995</v>
      </c>
    </row>
    <row r="58" spans="1:25" ht="12.75">
      <c r="A58" s="232" t="s">
        <v>177</v>
      </c>
      <c r="B58" s="227">
        <f>B29-B30</f>
        <v>4.700000000000003</v>
      </c>
      <c r="C58" s="227">
        <f>C29-C30</f>
        <v>380</v>
      </c>
      <c r="D58" s="227">
        <f>D29-D30</f>
        <v>62.9</v>
      </c>
      <c r="E58" s="409">
        <f>B58+C58+D58</f>
        <v>447.59999999999997</v>
      </c>
      <c r="F58" s="227">
        <f>F29-F30</f>
        <v>6.3</v>
      </c>
      <c r="G58" s="227">
        <f>G29-G30</f>
        <v>4.800000000000001</v>
      </c>
      <c r="H58" s="227">
        <f>H29-H30</f>
        <v>562</v>
      </c>
      <c r="I58" s="409">
        <f>F58+G58+H58</f>
        <v>573.1</v>
      </c>
      <c r="J58" s="410">
        <f t="shared" si="17"/>
        <v>-1.599999999999997</v>
      </c>
      <c r="K58" s="411">
        <f t="shared" si="18"/>
        <v>375.2</v>
      </c>
      <c r="L58" s="411">
        <f t="shared" si="19"/>
        <v>-499.1</v>
      </c>
      <c r="M58" s="365">
        <f t="shared" si="20"/>
        <v>-125.50000000000006</v>
      </c>
      <c r="N58" s="412">
        <f>B58*D13</f>
        <v>443.9150000000003</v>
      </c>
      <c r="O58" s="124">
        <f>C58*F13</f>
        <v>38197.600000000006</v>
      </c>
      <c r="P58" s="124">
        <f>D58*H13</f>
        <v>6322.7080000000005</v>
      </c>
      <c r="Q58" s="107">
        <f t="shared" si="22"/>
        <v>44964.223000000005</v>
      </c>
      <c r="R58" s="412">
        <f>F58*D13</f>
        <v>595.035</v>
      </c>
      <c r="S58" s="124">
        <f>G58*F13</f>
        <v>482.4960000000001</v>
      </c>
      <c r="T58" s="124">
        <f>H58*H13</f>
        <v>56492.240000000005</v>
      </c>
      <c r="U58" s="107">
        <f t="shared" si="24"/>
        <v>57569.77100000001</v>
      </c>
      <c r="V58" s="412">
        <f aca="true" t="shared" si="34" ref="V58:X59">N58-R58</f>
        <v>-151.11999999999966</v>
      </c>
      <c r="W58" s="124">
        <f t="shared" si="34"/>
        <v>37715.10400000001</v>
      </c>
      <c r="X58" s="124">
        <f t="shared" si="34"/>
        <v>-50169.53200000001</v>
      </c>
      <c r="Y58" s="107">
        <f t="shared" si="25"/>
        <v>-12605.548000000003</v>
      </c>
    </row>
    <row r="59" spans="1:25" ht="12.75">
      <c r="A59" s="232" t="s">
        <v>176</v>
      </c>
      <c r="B59" s="227">
        <f>B30</f>
        <v>96.5</v>
      </c>
      <c r="C59" s="56">
        <f>C30</f>
        <v>78.3</v>
      </c>
      <c r="D59" s="56">
        <f>D30</f>
        <v>0.6</v>
      </c>
      <c r="E59" s="409">
        <f>B59+C59+D59</f>
        <v>175.4</v>
      </c>
      <c r="F59" s="227">
        <f>F30</f>
        <v>0</v>
      </c>
      <c r="G59" s="56">
        <f>G30</f>
        <v>2.1</v>
      </c>
      <c r="H59" s="56">
        <f>H30</f>
        <v>0</v>
      </c>
      <c r="I59" s="409">
        <f>F59+G59+H59</f>
        <v>2.1</v>
      </c>
      <c r="J59" s="413">
        <f t="shared" si="17"/>
        <v>96.5</v>
      </c>
      <c r="K59" s="411">
        <f t="shared" si="18"/>
        <v>76.2</v>
      </c>
      <c r="L59" s="411">
        <f t="shared" si="19"/>
        <v>0.6</v>
      </c>
      <c r="M59" s="365">
        <f t="shared" si="20"/>
        <v>173.29999999999998</v>
      </c>
      <c r="N59" s="412">
        <f>B59*D14</f>
        <v>9114.425000000001</v>
      </c>
      <c r="O59" s="124">
        <f>C59*F14</f>
        <v>7870.716</v>
      </c>
      <c r="P59" s="124">
        <f>D59*H14</f>
        <v>60.312000000000005</v>
      </c>
      <c r="Q59" s="107">
        <f t="shared" si="22"/>
        <v>17045.453000000005</v>
      </c>
      <c r="R59" s="412">
        <f>F59*D14</f>
        <v>0</v>
      </c>
      <c r="S59" s="124">
        <f>G59*F14</f>
        <v>211.09200000000004</v>
      </c>
      <c r="T59" s="124">
        <f>H59*H14</f>
        <v>0</v>
      </c>
      <c r="U59" s="107">
        <f t="shared" si="24"/>
        <v>211.09200000000004</v>
      </c>
      <c r="V59" s="412">
        <f>N59-R59</f>
        <v>9114.425000000001</v>
      </c>
      <c r="W59" s="124">
        <f t="shared" si="34"/>
        <v>7659.624000000001</v>
      </c>
      <c r="X59" s="124">
        <f t="shared" si="34"/>
        <v>60.312000000000005</v>
      </c>
      <c r="Y59" s="107">
        <f t="shared" si="25"/>
        <v>16834.361000000004</v>
      </c>
    </row>
    <row r="60" spans="1:25" ht="13.5" thickBot="1">
      <c r="A60" s="233" t="s">
        <v>56</v>
      </c>
      <c r="B60" s="414">
        <f>SUM(B50:B59)</f>
        <v>722.3</v>
      </c>
      <c r="C60" s="415">
        <f>SUM(C50:C59)</f>
        <v>766.3</v>
      </c>
      <c r="D60" s="416">
        <f>SUM(D50:D59)</f>
        <v>4068.3999999999996</v>
      </c>
      <c r="E60" s="417">
        <f>SUM(E50:E59)</f>
        <v>5556.999999999999</v>
      </c>
      <c r="F60" s="418">
        <f aca="true" t="shared" si="35" ref="F60:Y60">SUM(F50:F59)</f>
        <v>124</v>
      </c>
      <c r="G60" s="418">
        <f t="shared" si="35"/>
        <v>178.4</v>
      </c>
      <c r="H60" s="418">
        <f t="shared" si="35"/>
        <v>3835.6</v>
      </c>
      <c r="I60" s="417">
        <f t="shared" si="35"/>
        <v>4138</v>
      </c>
      <c r="J60" s="418">
        <f t="shared" si="35"/>
        <v>598.2999999999998</v>
      </c>
      <c r="K60" s="415">
        <f t="shared" si="35"/>
        <v>587.9</v>
      </c>
      <c r="L60" s="415">
        <f t="shared" si="35"/>
        <v>232.80000000000015</v>
      </c>
      <c r="M60" s="419">
        <f t="shared" si="35"/>
        <v>1419.0000000000002</v>
      </c>
      <c r="N60" s="420">
        <f t="shared" si="35"/>
        <v>82672.09999999999</v>
      </c>
      <c r="O60" s="202">
        <f t="shared" si="35"/>
        <v>82760.35600000001</v>
      </c>
      <c r="P60" s="202">
        <f t="shared" si="35"/>
        <v>373848.86299999995</v>
      </c>
      <c r="Q60" s="203">
        <f t="shared" si="35"/>
        <v>539281.319</v>
      </c>
      <c r="R60" s="420">
        <f t="shared" si="35"/>
        <v>6942.596</v>
      </c>
      <c r="S60" s="202">
        <f t="shared" si="35"/>
        <v>11232.617000000002</v>
      </c>
      <c r="T60" s="202">
        <f t="shared" si="35"/>
        <v>381781.93399999995</v>
      </c>
      <c r="U60" s="203">
        <f t="shared" si="35"/>
        <v>399957.147</v>
      </c>
      <c r="V60" s="420">
        <f t="shared" si="35"/>
        <v>75729.50400000002</v>
      </c>
      <c r="W60" s="202">
        <f t="shared" si="35"/>
        <v>71527.739</v>
      </c>
      <c r="X60" s="202">
        <f t="shared" si="35"/>
        <v>-7933.071000000009</v>
      </c>
      <c r="Y60" s="203">
        <f t="shared" si="35"/>
        <v>139324.172</v>
      </c>
    </row>
    <row r="61" spans="1:25" ht="13.5" thickBot="1">
      <c r="A61" s="10"/>
      <c r="B61" s="421"/>
      <c r="C61" s="421"/>
      <c r="D61" s="421"/>
      <c r="E61" s="422"/>
      <c r="F61" s="421"/>
      <c r="G61" s="421"/>
      <c r="H61" s="421"/>
      <c r="I61" s="422"/>
      <c r="J61" s="421"/>
      <c r="K61" s="421"/>
      <c r="L61" s="421"/>
      <c r="M61" s="421"/>
      <c r="N61" s="55"/>
      <c r="O61" s="55"/>
      <c r="P61" s="55"/>
      <c r="Q61" s="55"/>
      <c r="R61" s="55"/>
      <c r="S61" s="55"/>
      <c r="T61" s="55"/>
      <c r="U61" s="55"/>
      <c r="V61" s="55"/>
      <c r="W61" s="55"/>
      <c r="X61" s="55"/>
      <c r="Y61" s="55" t="s">
        <v>24</v>
      </c>
    </row>
    <row r="62" spans="1:10" ht="15.75" thickBot="1">
      <c r="A62" s="129" t="s">
        <v>107</v>
      </c>
      <c r="B62" s="18"/>
      <c r="C62" s="18"/>
      <c r="D62" s="18"/>
      <c r="F62" s="69"/>
      <c r="G62" s="34"/>
      <c r="H62" s="34"/>
      <c r="I62" s="9"/>
      <c r="J62" s="18"/>
    </row>
    <row r="63" spans="1:10" ht="13.5" thickBot="1">
      <c r="A63" s="675" t="s">
        <v>3</v>
      </c>
      <c r="B63" s="688" t="s">
        <v>221</v>
      </c>
      <c r="C63" s="689"/>
      <c r="D63" s="690"/>
      <c r="E63" s="691" t="s">
        <v>235</v>
      </c>
      <c r="F63" s="692"/>
      <c r="G63" s="692"/>
      <c r="H63" s="693"/>
      <c r="I63" s="9"/>
      <c r="J63" s="18"/>
    </row>
    <row r="64" spans="1:10" ht="66" thickBot="1">
      <c r="A64" s="676"/>
      <c r="B64" s="498" t="s">
        <v>222</v>
      </c>
      <c r="C64" s="139" t="s">
        <v>223</v>
      </c>
      <c r="D64" s="140" t="s">
        <v>224</v>
      </c>
      <c r="E64" s="350" t="s">
        <v>222</v>
      </c>
      <c r="F64" s="139" t="s">
        <v>223</v>
      </c>
      <c r="G64" s="139" t="s">
        <v>224</v>
      </c>
      <c r="H64" s="143" t="s">
        <v>236</v>
      </c>
      <c r="I64" s="138" t="s">
        <v>237</v>
      </c>
      <c r="J64" s="509" t="s">
        <v>238</v>
      </c>
    </row>
    <row r="65" spans="1:10" ht="12.75">
      <c r="A65" s="354" t="s">
        <v>52</v>
      </c>
      <c r="B65" s="505">
        <f>N21-N22-N29</f>
        <v>0</v>
      </c>
      <c r="C65" s="398">
        <f>O21-O22-O29</f>
        <v>0</v>
      </c>
      <c r="D65" s="506">
        <f>P21-P22-P29</f>
        <v>0</v>
      </c>
      <c r="E65" s="507">
        <f>B65*D5</f>
        <v>0</v>
      </c>
      <c r="F65" s="298">
        <f>C65*F5</f>
        <v>0</v>
      </c>
      <c r="G65" s="298">
        <f>D65*H5</f>
        <v>0</v>
      </c>
      <c r="H65" s="508">
        <f aca="true" t="shared" si="36" ref="H65:H74">E65+F65+G65</f>
        <v>0</v>
      </c>
      <c r="I65" s="507">
        <v>0</v>
      </c>
      <c r="J65" s="508">
        <v>0</v>
      </c>
    </row>
    <row r="66" spans="1:10" ht="12.75">
      <c r="A66" s="257" t="s">
        <v>55</v>
      </c>
      <c r="B66" s="227">
        <f>N22-N23-N24</f>
        <v>0</v>
      </c>
      <c r="C66" s="56">
        <f>O22-O23-O24</f>
        <v>0</v>
      </c>
      <c r="D66" s="423">
        <f>P22-P23-P24</f>
        <v>0</v>
      </c>
      <c r="E66" s="424">
        <f aca="true" t="shared" si="37" ref="E66:E72">B66*D6</f>
        <v>0</v>
      </c>
      <c r="F66" s="59">
        <f aca="true" t="shared" si="38" ref="F66:F72">C66*F6</f>
        <v>0</v>
      </c>
      <c r="G66" s="59">
        <f aca="true" t="shared" si="39" ref="G66:G72">D66*H6</f>
        <v>0</v>
      </c>
      <c r="H66" s="228">
        <f t="shared" si="36"/>
        <v>0</v>
      </c>
      <c r="I66" s="424">
        <v>0</v>
      </c>
      <c r="J66" s="228">
        <v>0</v>
      </c>
    </row>
    <row r="67" spans="1:10" ht="12.75">
      <c r="A67" s="257" t="s">
        <v>54</v>
      </c>
      <c r="B67" s="227">
        <f>N23-N25-N27</f>
        <v>0</v>
      </c>
      <c r="C67" s="56">
        <f>O23-O25-O27</f>
        <v>0</v>
      </c>
      <c r="D67" s="423">
        <f>P23-P25-P27</f>
        <v>0</v>
      </c>
      <c r="E67" s="424">
        <f t="shared" si="37"/>
        <v>0</v>
      </c>
      <c r="F67" s="59">
        <f t="shared" si="38"/>
        <v>0</v>
      </c>
      <c r="G67" s="59">
        <f t="shared" si="39"/>
        <v>0</v>
      </c>
      <c r="H67" s="228">
        <f t="shared" si="36"/>
        <v>0</v>
      </c>
      <c r="I67" s="424">
        <v>0</v>
      </c>
      <c r="J67" s="228">
        <v>0</v>
      </c>
    </row>
    <row r="68" spans="1:10" ht="12.75">
      <c r="A68" s="257" t="s">
        <v>53</v>
      </c>
      <c r="B68" s="227">
        <f>N24-N28</f>
        <v>0</v>
      </c>
      <c r="C68" s="56">
        <f>O24-O28</f>
        <v>0</v>
      </c>
      <c r="D68" s="423">
        <f>P24-P28</f>
        <v>0</v>
      </c>
      <c r="E68" s="424">
        <f t="shared" si="37"/>
        <v>0</v>
      </c>
      <c r="F68" s="59">
        <f t="shared" si="38"/>
        <v>0</v>
      </c>
      <c r="G68" s="59">
        <f t="shared" si="39"/>
        <v>0</v>
      </c>
      <c r="H68" s="228">
        <f t="shared" si="36"/>
        <v>0</v>
      </c>
      <c r="I68" s="424">
        <v>0</v>
      </c>
      <c r="J68" s="228">
        <v>0</v>
      </c>
    </row>
    <row r="69" spans="1:10" ht="12.75">
      <c r="A69" s="257" t="s">
        <v>45</v>
      </c>
      <c r="B69" s="227">
        <f>N25-N26</f>
        <v>0</v>
      </c>
      <c r="C69" s="56">
        <f>O25-O26</f>
        <v>0</v>
      </c>
      <c r="D69" s="423">
        <f>P25-P26</f>
        <v>0</v>
      </c>
      <c r="E69" s="424">
        <f t="shared" si="37"/>
        <v>0</v>
      </c>
      <c r="F69" s="59">
        <f t="shared" si="38"/>
        <v>0</v>
      </c>
      <c r="G69" s="59">
        <f t="shared" si="39"/>
        <v>0</v>
      </c>
      <c r="H69" s="228">
        <f t="shared" si="36"/>
        <v>0</v>
      </c>
      <c r="I69" s="424">
        <v>0</v>
      </c>
      <c r="J69" s="228">
        <v>0</v>
      </c>
    </row>
    <row r="70" spans="1:10" ht="12.75">
      <c r="A70" s="257" t="s">
        <v>42</v>
      </c>
      <c r="B70" s="227">
        <f aca="true" t="shared" si="40" ref="B70:D72">N26</f>
        <v>0</v>
      </c>
      <c r="C70" s="56">
        <f t="shared" si="40"/>
        <v>0</v>
      </c>
      <c r="D70" s="423">
        <f t="shared" si="40"/>
        <v>0</v>
      </c>
      <c r="E70" s="424">
        <f t="shared" si="37"/>
        <v>0</v>
      </c>
      <c r="F70" s="59">
        <f t="shared" si="38"/>
        <v>0</v>
      </c>
      <c r="G70" s="59">
        <f t="shared" si="39"/>
        <v>0</v>
      </c>
      <c r="H70" s="228">
        <f t="shared" si="36"/>
        <v>0</v>
      </c>
      <c r="I70" s="424">
        <v>0</v>
      </c>
      <c r="J70" s="228">
        <v>0</v>
      </c>
    </row>
    <row r="71" spans="1:10" ht="12.75">
      <c r="A71" s="257" t="s">
        <v>43</v>
      </c>
      <c r="B71" s="227">
        <f t="shared" si="40"/>
        <v>0</v>
      </c>
      <c r="C71" s="56">
        <f t="shared" si="40"/>
        <v>0</v>
      </c>
      <c r="D71" s="423">
        <f t="shared" si="40"/>
        <v>0</v>
      </c>
      <c r="E71" s="424">
        <f t="shared" si="37"/>
        <v>0</v>
      </c>
      <c r="F71" s="59">
        <f t="shared" si="38"/>
        <v>0</v>
      </c>
      <c r="G71" s="59">
        <f t="shared" si="39"/>
        <v>0</v>
      </c>
      <c r="H71" s="228">
        <f t="shared" si="36"/>
        <v>0</v>
      </c>
      <c r="I71" s="424">
        <v>0</v>
      </c>
      <c r="J71" s="228">
        <v>0</v>
      </c>
    </row>
    <row r="72" spans="1:10" ht="12.75">
      <c r="A72" s="257" t="s">
        <v>15</v>
      </c>
      <c r="B72" s="227">
        <f t="shared" si="40"/>
        <v>0</v>
      </c>
      <c r="C72" s="56">
        <f t="shared" si="40"/>
        <v>0</v>
      </c>
      <c r="D72" s="423">
        <f t="shared" si="40"/>
        <v>0</v>
      </c>
      <c r="E72" s="424">
        <f t="shared" si="37"/>
        <v>0</v>
      </c>
      <c r="F72" s="59">
        <f t="shared" si="38"/>
        <v>0</v>
      </c>
      <c r="G72" s="59">
        <f t="shared" si="39"/>
        <v>0</v>
      </c>
      <c r="H72" s="228">
        <f t="shared" si="36"/>
        <v>0</v>
      </c>
      <c r="I72" s="424">
        <v>0</v>
      </c>
      <c r="J72" s="228">
        <v>0</v>
      </c>
    </row>
    <row r="73" spans="1:10" ht="12.75">
      <c r="A73" s="257" t="s">
        <v>177</v>
      </c>
      <c r="B73" s="227">
        <f>N29-N30</f>
        <v>0</v>
      </c>
      <c r="C73" s="56">
        <f>O29-O30</f>
        <v>0</v>
      </c>
      <c r="D73" s="423">
        <f>P29-P30</f>
        <v>0</v>
      </c>
      <c r="E73" s="424">
        <f>B73*D13</f>
        <v>0</v>
      </c>
      <c r="F73" s="59">
        <f>C73*F13</f>
        <v>0</v>
      </c>
      <c r="G73" s="59">
        <f>D73*H13</f>
        <v>0</v>
      </c>
      <c r="H73" s="228">
        <f t="shared" si="36"/>
        <v>0</v>
      </c>
      <c r="I73" s="424">
        <f>H73*0</f>
        <v>0</v>
      </c>
      <c r="J73" s="228">
        <f>H73*1</f>
        <v>0</v>
      </c>
    </row>
    <row r="74" spans="1:10" ht="12.75">
      <c r="A74" s="257" t="s">
        <v>176</v>
      </c>
      <c r="B74" s="227">
        <f>N30</f>
        <v>0</v>
      </c>
      <c r="C74" s="56">
        <f>O30</f>
        <v>0</v>
      </c>
      <c r="D74" s="423">
        <f>P30</f>
        <v>0</v>
      </c>
      <c r="E74" s="424">
        <f>B74*D14</f>
        <v>0</v>
      </c>
      <c r="F74" s="59">
        <f>C74*F14</f>
        <v>0</v>
      </c>
      <c r="G74" s="59">
        <f>D74*H14</f>
        <v>0</v>
      </c>
      <c r="H74" s="228">
        <f t="shared" si="36"/>
        <v>0</v>
      </c>
      <c r="I74" s="424">
        <f>H74*0</f>
        <v>0</v>
      </c>
      <c r="J74" s="228">
        <f>H74*1</f>
        <v>0</v>
      </c>
    </row>
    <row r="75" spans="1:10" ht="13.5" thickBot="1">
      <c r="A75" s="425" t="s">
        <v>56</v>
      </c>
      <c r="B75" s="418">
        <f aca="true" t="shared" si="41" ref="B75:H75">SUM(B65:B74)</f>
        <v>0</v>
      </c>
      <c r="C75" s="415">
        <f t="shared" si="41"/>
        <v>0</v>
      </c>
      <c r="D75" s="419">
        <f t="shared" si="41"/>
        <v>0</v>
      </c>
      <c r="E75" s="426">
        <f t="shared" si="41"/>
        <v>0</v>
      </c>
      <c r="F75" s="427">
        <f t="shared" si="41"/>
        <v>0</v>
      </c>
      <c r="G75" s="427">
        <f t="shared" si="41"/>
        <v>0</v>
      </c>
      <c r="H75" s="261">
        <f t="shared" si="41"/>
        <v>0</v>
      </c>
      <c r="I75" s="420">
        <f>SUM(I65:I73)</f>
        <v>0</v>
      </c>
      <c r="J75" s="261">
        <f>SUM(J65:J73)</f>
        <v>0</v>
      </c>
    </row>
  </sheetData>
  <sheetProtection/>
  <mergeCells count="21">
    <mergeCell ref="N48:Q48"/>
    <mergeCell ref="R48:U48"/>
    <mergeCell ref="V48:Y48"/>
    <mergeCell ref="A63:A64"/>
    <mergeCell ref="B63:D63"/>
    <mergeCell ref="E63:H63"/>
    <mergeCell ref="A33:B33"/>
    <mergeCell ref="A34:A35"/>
    <mergeCell ref="B34:E34"/>
    <mergeCell ref="F34:I34"/>
    <mergeCell ref="J34:M34"/>
    <mergeCell ref="A48:A49"/>
    <mergeCell ref="B48:E48"/>
    <mergeCell ref="F48:I48"/>
    <mergeCell ref="J48:M48"/>
    <mergeCell ref="A18:C18"/>
    <mergeCell ref="A19:A20"/>
    <mergeCell ref="B19:E19"/>
    <mergeCell ref="F19:I19"/>
    <mergeCell ref="J19:M19"/>
    <mergeCell ref="N19:Q19"/>
  </mergeCells>
  <printOptions/>
  <pageMargins left="0.45" right="0.45" top="0.5" bottom="0.5" header="0.3" footer="0.3"/>
  <pageSetup fitToHeight="1" fitToWidth="1" horizontalDpi="600" verticalDpi="600" orientation="landscape" scale="31" r:id="rId1"/>
</worksheet>
</file>

<file path=xl/worksheets/sheet8.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selection activeCell="A1" sqref="A1"/>
    </sheetView>
  </sheetViews>
  <sheetFormatPr defaultColWidth="9.140625" defaultRowHeight="12.75"/>
  <cols>
    <col min="1" max="1" width="45.7109375" style="0" customWidth="1"/>
    <col min="2" max="11" width="18.7109375" style="0" customWidth="1"/>
    <col min="12" max="14" width="15.7109375" style="0" customWidth="1"/>
  </cols>
  <sheetData>
    <row r="1" spans="1:13" ht="17.25">
      <c r="A1" s="3" t="s">
        <v>277</v>
      </c>
      <c r="B1" s="6"/>
      <c r="C1" s="6"/>
      <c r="D1" s="6"/>
      <c r="E1" s="52" t="s">
        <v>24</v>
      </c>
      <c r="F1" s="52" t="s">
        <v>24</v>
      </c>
      <c r="G1" s="52" t="s">
        <v>24</v>
      </c>
      <c r="H1" s="6"/>
      <c r="I1" s="6"/>
      <c r="J1" s="6"/>
      <c r="K1" s="6"/>
      <c r="L1" s="6"/>
      <c r="M1" s="6"/>
    </row>
    <row r="2" spans="1:13" ht="13.5" thickBot="1">
      <c r="A2" s="428"/>
      <c r="B2" s="6"/>
      <c r="C2" s="6"/>
      <c r="D2" s="6"/>
      <c r="E2" s="6"/>
      <c r="F2" s="6"/>
      <c r="G2" s="6"/>
      <c r="H2" s="6"/>
      <c r="I2" s="6"/>
      <c r="J2" s="6"/>
      <c r="K2" s="6"/>
      <c r="L2" s="6"/>
      <c r="M2" s="6"/>
    </row>
    <row r="3" spans="1:13" ht="18" thickBot="1">
      <c r="A3" s="101" t="s">
        <v>0</v>
      </c>
      <c r="B3" s="6"/>
      <c r="C3" s="6"/>
      <c r="D3" s="1" t="s">
        <v>24</v>
      </c>
      <c r="E3" s="6"/>
      <c r="F3" s="6"/>
      <c r="G3" s="6"/>
      <c r="H3" s="6"/>
      <c r="I3" s="6"/>
      <c r="J3" s="6"/>
      <c r="K3" s="6"/>
      <c r="L3" s="6"/>
      <c r="M3" s="6"/>
    </row>
    <row r="4" spans="1:13" ht="12.75">
      <c r="A4" s="92" t="s">
        <v>1</v>
      </c>
      <c r="B4" s="93">
        <v>0.157</v>
      </c>
      <c r="C4" s="6"/>
      <c r="D4" s="21" t="s">
        <v>24</v>
      </c>
      <c r="E4" s="23" t="s">
        <v>24</v>
      </c>
      <c r="F4" s="23" t="s">
        <v>24</v>
      </c>
      <c r="G4" s="23" t="s">
        <v>24</v>
      </c>
      <c r="H4" s="23" t="s">
        <v>24</v>
      </c>
      <c r="I4" s="23" t="s">
        <v>24</v>
      </c>
      <c r="J4" s="23" t="s">
        <v>24</v>
      </c>
      <c r="K4" s="6"/>
      <c r="L4" s="23" t="s">
        <v>24</v>
      </c>
      <c r="M4" s="23"/>
    </row>
    <row r="5" spans="1:13" ht="12.75">
      <c r="A5" s="94" t="s">
        <v>2</v>
      </c>
      <c r="B5" s="95">
        <v>0.0564</v>
      </c>
      <c r="C5" s="6"/>
      <c r="D5" s="429" t="s">
        <v>24</v>
      </c>
      <c r="E5" s="14" t="s">
        <v>24</v>
      </c>
      <c r="F5" s="30" t="s">
        <v>24</v>
      </c>
      <c r="G5" s="30" t="s">
        <v>24</v>
      </c>
      <c r="H5" s="30" t="s">
        <v>24</v>
      </c>
      <c r="I5" s="30" t="s">
        <v>24</v>
      </c>
      <c r="J5" s="23" t="s">
        <v>24</v>
      </c>
      <c r="K5" s="23" t="s">
        <v>24</v>
      </c>
      <c r="L5" s="14" t="s">
        <v>24</v>
      </c>
      <c r="M5" s="14"/>
    </row>
    <row r="6" spans="1:13" ht="12.75">
      <c r="A6" s="50" t="s">
        <v>4</v>
      </c>
      <c r="B6" s="96">
        <v>1.0917</v>
      </c>
      <c r="C6" s="6"/>
      <c r="D6" s="61" t="s">
        <v>24</v>
      </c>
      <c r="E6" s="37" t="s">
        <v>24</v>
      </c>
      <c r="F6" s="15" t="s">
        <v>24</v>
      </c>
      <c r="G6" s="31" t="s">
        <v>24</v>
      </c>
      <c r="H6" s="20" t="s">
        <v>24</v>
      </c>
      <c r="I6" s="20" t="s">
        <v>24</v>
      </c>
      <c r="J6" s="20" t="s">
        <v>24</v>
      </c>
      <c r="K6" s="33" t="s">
        <v>24</v>
      </c>
      <c r="L6" s="16" t="s">
        <v>24</v>
      </c>
      <c r="M6" s="16"/>
    </row>
    <row r="7" spans="1:13" ht="12.75">
      <c r="A7" s="50" t="s">
        <v>38</v>
      </c>
      <c r="B7" s="97">
        <v>163654.8</v>
      </c>
      <c r="C7" s="6"/>
      <c r="D7" s="10" t="s">
        <v>24</v>
      </c>
      <c r="E7" s="14" t="s">
        <v>24</v>
      </c>
      <c r="F7" s="36" t="s">
        <v>24</v>
      </c>
      <c r="G7" s="15" t="s">
        <v>24</v>
      </c>
      <c r="H7" s="15" t="s">
        <v>24</v>
      </c>
      <c r="I7" s="15" t="s">
        <v>24</v>
      </c>
      <c r="J7" s="31" t="s">
        <v>24</v>
      </c>
      <c r="K7" s="20"/>
      <c r="L7" s="14" t="s">
        <v>24</v>
      </c>
      <c r="M7" s="14"/>
    </row>
    <row r="8" spans="1:13" ht="12.75">
      <c r="A8" s="50" t="s">
        <v>39</v>
      </c>
      <c r="B8" s="98" t="s">
        <v>239</v>
      </c>
      <c r="C8" s="6"/>
      <c r="D8" s="10" t="s">
        <v>24</v>
      </c>
      <c r="E8" s="14" t="s">
        <v>24</v>
      </c>
      <c r="F8" s="15" t="s">
        <v>24</v>
      </c>
      <c r="G8" s="31" t="s">
        <v>24</v>
      </c>
      <c r="H8" s="31" t="s">
        <v>24</v>
      </c>
      <c r="I8" s="31" t="s">
        <v>24</v>
      </c>
      <c r="J8" s="20" t="s">
        <v>24</v>
      </c>
      <c r="K8" s="20"/>
      <c r="L8" s="14" t="s">
        <v>35</v>
      </c>
      <c r="M8" s="14"/>
    </row>
    <row r="9" spans="1:13" ht="12.75">
      <c r="A9" s="50" t="s">
        <v>40</v>
      </c>
      <c r="B9" s="99">
        <f>0.8*'BRA Load Pricing Results'!B9</f>
        <v>3322.55</v>
      </c>
      <c r="C9" s="6" t="s">
        <v>24</v>
      </c>
      <c r="D9" s="9" t="s">
        <v>24</v>
      </c>
      <c r="E9" s="16" t="s">
        <v>24</v>
      </c>
      <c r="F9" s="15" t="s">
        <v>24</v>
      </c>
      <c r="G9" s="31" t="s">
        <v>24</v>
      </c>
      <c r="H9" s="31" t="s">
        <v>24</v>
      </c>
      <c r="I9" s="31" t="s">
        <v>24</v>
      </c>
      <c r="J9" s="20" t="s">
        <v>24</v>
      </c>
      <c r="K9" s="20"/>
      <c r="L9" s="16" t="s">
        <v>24</v>
      </c>
      <c r="M9" s="16"/>
    </row>
    <row r="10" spans="1:13" ht="13.5" thickBot="1">
      <c r="A10" s="51" t="s">
        <v>23</v>
      </c>
      <c r="B10" s="100">
        <f>(B15-B9)/(G59*B6)</f>
        <v>1.024965511331713</v>
      </c>
      <c r="C10" s="430" t="s">
        <v>24</v>
      </c>
      <c r="D10" s="431" t="s">
        <v>24</v>
      </c>
      <c r="E10" s="14" t="s">
        <v>24</v>
      </c>
      <c r="F10" s="36" t="s">
        <v>24</v>
      </c>
      <c r="G10" s="31" t="s">
        <v>24</v>
      </c>
      <c r="H10" s="31" t="s">
        <v>24</v>
      </c>
      <c r="I10" s="31" t="s">
        <v>24</v>
      </c>
      <c r="J10" s="31" t="s">
        <v>24</v>
      </c>
      <c r="K10" s="20" t="s">
        <v>24</v>
      </c>
      <c r="L10" s="14" t="s">
        <v>24</v>
      </c>
      <c r="M10" s="14"/>
    </row>
    <row r="11" spans="1:13" ht="12.75">
      <c r="A11" s="6"/>
      <c r="B11" s="7"/>
      <c r="C11" s="6"/>
      <c r="D11" s="12"/>
      <c r="E11" s="7" t="s">
        <v>24</v>
      </c>
      <c r="F11" s="4" t="s">
        <v>24</v>
      </c>
      <c r="G11" s="7" t="s">
        <v>24</v>
      </c>
      <c r="H11" s="28" t="s">
        <v>24</v>
      </c>
      <c r="I11" s="6"/>
      <c r="J11" s="6"/>
      <c r="K11" s="6"/>
      <c r="L11" s="6" t="s">
        <v>24</v>
      </c>
      <c r="M11" s="6"/>
    </row>
    <row r="12" spans="1:13" ht="13.5" thickBot="1">
      <c r="A12" s="12"/>
      <c r="B12" s="432"/>
      <c r="C12" s="433"/>
      <c r="D12" s="34"/>
      <c r="E12" s="35"/>
      <c r="F12" s="25"/>
      <c r="G12" s="434" t="s">
        <v>24</v>
      </c>
      <c r="H12" s="25"/>
      <c r="I12" s="63"/>
      <c r="J12" s="63"/>
      <c r="K12" s="63"/>
      <c r="L12" s="47"/>
      <c r="M12" s="47"/>
    </row>
    <row r="13" spans="1:13" ht="15.75" thickBot="1">
      <c r="A13" s="206" t="s">
        <v>68</v>
      </c>
      <c r="B13" s="34"/>
      <c r="C13" s="34"/>
      <c r="D13" s="34"/>
      <c r="E13" s="185" t="s">
        <v>24</v>
      </c>
      <c r="F13" s="435"/>
      <c r="G13" s="435"/>
      <c r="H13" s="435"/>
      <c r="I13" s="63"/>
      <c r="J13" s="63"/>
      <c r="K13" s="63"/>
      <c r="L13" s="47"/>
      <c r="M13" s="47"/>
    </row>
    <row r="14" spans="1:13" ht="79.5" customHeight="1">
      <c r="A14" s="88" t="s">
        <v>3</v>
      </c>
      <c r="B14" s="90" t="s">
        <v>240</v>
      </c>
      <c r="C14" s="90" t="s">
        <v>241</v>
      </c>
      <c r="D14" s="90" t="s">
        <v>242</v>
      </c>
      <c r="E14" s="90" t="s">
        <v>243</v>
      </c>
      <c r="F14" s="90" t="s">
        <v>119</v>
      </c>
      <c r="G14" s="90" t="s">
        <v>244</v>
      </c>
      <c r="H14" s="90" t="s">
        <v>245</v>
      </c>
      <c r="I14" s="90" t="s">
        <v>246</v>
      </c>
      <c r="J14" s="90" t="s">
        <v>247</v>
      </c>
      <c r="K14" s="91" t="s">
        <v>248</v>
      </c>
      <c r="L14" s="71"/>
      <c r="M14" s="71"/>
    </row>
    <row r="15" spans="1:13" ht="12.75">
      <c r="A15" s="50" t="s">
        <v>6</v>
      </c>
      <c r="B15" s="151">
        <f>'BRA Resource Clearing Results'!E19-'1stIA Resource Clearing Results'!M21+B9</f>
        <v>171063.25</v>
      </c>
      <c r="C15" s="157">
        <f>('BRA Resource Clearing Results'!E19*'BRA Resource Clearing Results'!B5-'1stIA Resource Clearing Results'!M21*'1stIA Resource Clearing Results'!B5)/('BRA Resource Clearing Results'!E19-'1stIA Resource Clearing Results'!M21)</f>
        <v>59.416019600490515</v>
      </c>
      <c r="D15" s="157">
        <f>('BRA Resource Clearing Results'!E19*'BRA Resource Clearing Results'!C5-'1stIA Resource Clearing Results'!M21*'1stIA Resource Clearing Results'!C5)/('BRA Resource Clearing Results'!E19-'1stIA Resource Clearing Results'!M21)</f>
        <v>0</v>
      </c>
      <c r="E15" s="152">
        <f>('BRA Resource Clearing Results'!C19+'BRA Resource Clearing Results'!D19)*'BRA Resource Clearing Results'!E5-('1stIA Resource Clearing Results'!K21+'1stIA Resource Clearing Results'!L21)*'1stIA Resource Clearing Results'!E5</f>
        <v>-4981.649000000001</v>
      </c>
      <c r="F15" s="157">
        <f>E15/B15</f>
        <v>-0.029121678677331345</v>
      </c>
      <c r="G15" s="152">
        <f>'BRA Resource Clearing Results'!D19*'BRA Resource Clearing Results'!G5-'1stIA Resource Clearing Results'!L21*'1stIA Resource Clearing Results'!G5</f>
        <v>0</v>
      </c>
      <c r="H15" s="157">
        <f>G15/B15</f>
        <v>0</v>
      </c>
      <c r="I15" s="152">
        <f>'BRA Resource Clearing Results'!J46+'1stIA Resource Clearing Results'!I65</f>
        <v>0</v>
      </c>
      <c r="J15" s="204">
        <f>I15/B15</f>
        <v>0</v>
      </c>
      <c r="K15" s="207">
        <f>C15+D15+F15+H15+J15</f>
        <v>59.38689792181318</v>
      </c>
      <c r="L15" s="182"/>
      <c r="M15" s="182"/>
    </row>
    <row r="16" spans="1:13" ht="12.75">
      <c r="A16" s="50" t="s">
        <v>30</v>
      </c>
      <c r="B16" s="151">
        <f>K39+K43+K49+(SUM(K51:K58))</f>
        <v>68548.52480269049</v>
      </c>
      <c r="C16" s="157">
        <f>$C$15</f>
        <v>59.416019600490515</v>
      </c>
      <c r="D16" s="157">
        <f>D15+('BRA Resource Clearing Results'!E20*'BRA Resource Clearing Results'!C6-'1stIA Resource Clearing Results'!M22*'1stIA Resource Clearing Results'!C6)/('BRA Resource Clearing Results'!E20-'1stIA Resource Clearing Results'!M22)</f>
        <v>60.133112049275496</v>
      </c>
      <c r="E16" s="152">
        <f>('BRA Resource Clearing Results'!C20+'BRA Resource Clearing Results'!D20)*('BRA Resource Clearing Results'!E6-'BRA Resource Clearing Results'!E5)-('1stIA Resource Clearing Results'!K22+'1stIA Resource Clearing Results'!L22)*('1stIA Resource Clearing Results'!E6-'1stIA Resource Clearing Results'!E5)</f>
        <v>-11511.205</v>
      </c>
      <c r="F16" s="157">
        <f>F15+(E16/B16)</f>
        <v>-0.19704950838823698</v>
      </c>
      <c r="G16" s="152">
        <f>'BRA Resource Clearing Results'!D20*('BRA Resource Clearing Results'!G6-'BRA Resource Clearing Results'!G5)-'1stIA Resource Clearing Results'!L22*('1stIA Resource Clearing Results'!G6-'1stIA Resource Clearing Results'!G5)</f>
        <v>0</v>
      </c>
      <c r="H16" s="157">
        <f>H15+(G16/B16)</f>
        <v>0</v>
      </c>
      <c r="I16" s="152">
        <f>'BRA Resource Clearing Results'!J47+'1stIA Resource Clearing Results'!I66</f>
        <v>0</v>
      </c>
      <c r="J16" s="204">
        <f>J15+I16/B16</f>
        <v>0</v>
      </c>
      <c r="K16" s="207">
        <f>C16+D16+F16+H16+J16</f>
        <v>119.35208214137778</v>
      </c>
      <c r="L16" s="182"/>
      <c r="M16" s="182"/>
    </row>
    <row r="17" spans="1:13" ht="12.75">
      <c r="A17" s="50" t="s">
        <v>41</v>
      </c>
      <c r="B17" s="151">
        <f>K39+K49+K51+K53+K57+K58</f>
        <v>37412.10493814507</v>
      </c>
      <c r="C17" s="157">
        <f>$C$15</f>
        <v>59.416019600490515</v>
      </c>
      <c r="D17" s="157">
        <f>D16+('BRA Resource Clearing Results'!E21*'BRA Resource Clearing Results'!C7-'1stIA Resource Clearing Results'!M23*'1stIA Resource Clearing Results'!C7)/('BRA Resource Clearing Results'!E21-'1stIA Resource Clearing Results'!M23)</f>
        <v>60.133112049275496</v>
      </c>
      <c r="E17" s="152">
        <f>('BRA Resource Clearing Results'!C21+'BRA Resource Clearing Results'!D21)*('BRA Resource Clearing Results'!E7-'BRA Resource Clearing Results'!E6)-('1stIA Resource Clearing Results'!K23+'1stIA Resource Clearing Results'!L23)*('1stIA Resource Clearing Results'!E7-'1stIA Resource Clearing Results'!E6)</f>
        <v>0</v>
      </c>
      <c r="F17" s="157">
        <f>F16+(E17/B17)</f>
        <v>-0.19704950838823698</v>
      </c>
      <c r="G17" s="152">
        <f>'BRA Resource Clearing Results'!D21*('BRA Resource Clearing Results'!G7-'BRA Resource Clearing Results'!G6)-'1stIA Resource Clearing Results'!L23*('1stIA Resource Clearing Results'!G7-'1stIA Resource Clearing Results'!G6)</f>
        <v>0</v>
      </c>
      <c r="H17" s="157">
        <f>H16+(G17/B17)</f>
        <v>0</v>
      </c>
      <c r="I17" s="152">
        <f>'BRA Resource Clearing Results'!J48+'1stIA Resource Clearing Results'!I67</f>
        <v>0</v>
      </c>
      <c r="J17" s="204">
        <f>J16+I17/B17</f>
        <v>0</v>
      </c>
      <c r="K17" s="207">
        <f>C17+D17+F17+H17+J17</f>
        <v>119.35208214137778</v>
      </c>
      <c r="L17" s="182"/>
      <c r="M17" s="182"/>
    </row>
    <row r="18" spans="1:13" ht="12.75">
      <c r="A18" s="50" t="s">
        <v>5</v>
      </c>
      <c r="B18" s="151">
        <f>K43+K55</f>
        <v>15811.413081715327</v>
      </c>
      <c r="C18" s="157">
        <f>$C$15</f>
        <v>59.416019600490515</v>
      </c>
      <c r="D18" s="157">
        <f>D16+('BRA Resource Clearing Results'!E22*'BRA Resource Clearing Results'!C8-'1stIA Resource Clearing Results'!M24*'1stIA Resource Clearing Results'!C8)/('BRA Resource Clearing Results'!E22-'1stIA Resource Clearing Results'!M24)</f>
        <v>60.133112049275496</v>
      </c>
      <c r="E18" s="152">
        <f>('BRA Resource Clearing Results'!C22+'BRA Resource Clearing Results'!D22)*('BRA Resource Clearing Results'!E8-'BRA Resource Clearing Results'!E6)-('1stIA Resource Clearing Results'!K24+'1stIA Resource Clearing Results'!L24)*('1stIA Resource Clearing Results'!E8-'1stIA Resource Clearing Results'!E6)</f>
        <v>0</v>
      </c>
      <c r="F18" s="157">
        <f>F16+(E18/B18)</f>
        <v>-0.19704950838823698</v>
      </c>
      <c r="G18" s="152">
        <f>'BRA Resource Clearing Results'!D22*('BRA Resource Clearing Results'!G8-'BRA Resource Clearing Results'!G6)-'1stIA Resource Clearing Results'!L24*('1stIA Resource Clearing Results'!G8-'1stIA Resource Clearing Results'!G6)</f>
        <v>0</v>
      </c>
      <c r="H18" s="157">
        <f>H16+(G18/B18)</f>
        <v>0</v>
      </c>
      <c r="I18" s="152">
        <f>'BRA Resource Clearing Results'!J49+'1stIA Resource Clearing Results'!I68</f>
        <v>0</v>
      </c>
      <c r="J18" s="204">
        <f>J16+I18/B18</f>
        <v>0</v>
      </c>
      <c r="K18" s="207">
        <f>C18+D18+F18+H18+J18</f>
        <v>119.35208214137778</v>
      </c>
      <c r="L18" s="182"/>
      <c r="M18" s="182"/>
    </row>
    <row r="19" spans="1:13" ht="13.5" thickBot="1">
      <c r="A19" s="51" t="s">
        <v>15</v>
      </c>
      <c r="B19" s="510">
        <f>K55</f>
        <v>7650.859434530962</v>
      </c>
      <c r="C19" s="436">
        <f>$C$15</f>
        <v>59.416019600490515</v>
      </c>
      <c r="D19" s="436">
        <f>D18+('BRA Resource Clearing Results'!E26*'BRA Resource Clearing Results'!C12-'1stIA Resource Clearing Results'!M28*'1stIA Resource Clearing Results'!C12)/('BRA Resource Clearing Results'!E26-'1stIA Resource Clearing Results'!M28)</f>
        <v>60.133112049275496</v>
      </c>
      <c r="E19" s="437">
        <f>('BRA Resource Clearing Results'!C26+'BRA Resource Clearing Results'!D26)*('BRA Resource Clearing Results'!E12-'BRA Resource Clearing Results'!E8)-('1stIA Resource Clearing Results'!K28+'1stIA Resource Clearing Results'!L28)*('1stIA Resource Clearing Results'!E12-'1stIA Resource Clearing Results'!E8)</f>
        <v>0</v>
      </c>
      <c r="F19" s="436">
        <f>F18+(E19/B19)</f>
        <v>-0.19704950838823698</v>
      </c>
      <c r="G19" s="437">
        <f>'BRA Resource Clearing Results'!D26*('BRA Resource Clearing Results'!G12-'BRA Resource Clearing Results'!G8)-'1stIA Resource Clearing Results'!L28*('1stIA Resource Clearing Results'!G12-'1stIA Resource Clearing Results'!G8)</f>
        <v>0</v>
      </c>
      <c r="H19" s="436">
        <f>H18+(G19/B19)</f>
        <v>0</v>
      </c>
      <c r="I19" s="437">
        <f>'BRA Resource Clearing Results'!J53+'1stIA Resource Clearing Results'!I72</f>
        <v>0</v>
      </c>
      <c r="J19" s="511">
        <f>J18+I19/B19</f>
        <v>0</v>
      </c>
      <c r="K19" s="512">
        <f>C19+D19+F19+H19+J19</f>
        <v>119.35208214137778</v>
      </c>
      <c r="L19" s="182"/>
      <c r="M19" s="182"/>
    </row>
    <row r="20" spans="1:13" ht="12.75">
      <c r="A20" s="12" t="s">
        <v>121</v>
      </c>
      <c r="B20" s="34"/>
      <c r="C20" s="18"/>
      <c r="D20" s="438" t="s">
        <v>24</v>
      </c>
      <c r="E20" s="46" t="s">
        <v>24</v>
      </c>
      <c r="F20" s="69"/>
      <c r="G20" s="389" t="s">
        <v>24</v>
      </c>
      <c r="H20" s="74"/>
      <c r="I20" s="74"/>
      <c r="J20" s="385"/>
      <c r="K20" s="74"/>
      <c r="L20" s="15"/>
      <c r="M20" s="15"/>
    </row>
    <row r="21" spans="1:13" ht="12.75">
      <c r="A21" s="32" t="s">
        <v>249</v>
      </c>
      <c r="B21" s="34"/>
      <c r="C21" s="18"/>
      <c r="D21" s="18"/>
      <c r="E21" s="18"/>
      <c r="F21" s="69"/>
      <c r="H21" s="34"/>
      <c r="I21" s="34"/>
      <c r="J21" s="18"/>
      <c r="K21" s="34"/>
      <c r="L21" s="15"/>
      <c r="M21" s="15"/>
    </row>
    <row r="22" spans="1:13" ht="12.75">
      <c r="A22" s="32"/>
      <c r="B22" s="34"/>
      <c r="C22" s="18"/>
      <c r="D22" s="18"/>
      <c r="E22" s="18"/>
      <c r="F22" s="69"/>
      <c r="H22" s="34"/>
      <c r="I22" s="34"/>
      <c r="J22" s="18"/>
      <c r="K22" s="34"/>
      <c r="L22" s="15"/>
      <c r="M22" s="15"/>
    </row>
    <row r="23" spans="1:13" ht="39.75" customHeight="1" thickBot="1">
      <c r="A23" s="439" t="s">
        <v>101</v>
      </c>
      <c r="B23" s="6"/>
      <c r="C23" s="6" t="s">
        <v>24</v>
      </c>
      <c r="D23" s="66" t="s">
        <v>24</v>
      </c>
      <c r="E23" s="19" t="s">
        <v>24</v>
      </c>
      <c r="F23" s="6"/>
      <c r="G23" s="6"/>
      <c r="H23" s="6"/>
      <c r="I23" s="6"/>
      <c r="J23" s="38" t="s">
        <v>24</v>
      </c>
      <c r="K23" s="53" t="s">
        <v>24</v>
      </c>
      <c r="L23" s="6"/>
      <c r="M23" s="6"/>
    </row>
    <row r="24" spans="1:13" ht="79.5" customHeight="1">
      <c r="A24" s="440" t="s">
        <v>71</v>
      </c>
      <c r="B24" s="90" t="s">
        <v>311</v>
      </c>
      <c r="C24" s="90" t="s">
        <v>250</v>
      </c>
      <c r="D24" s="89" t="s">
        <v>279</v>
      </c>
      <c r="E24" s="90" t="s">
        <v>251</v>
      </c>
      <c r="F24" s="90" t="s">
        <v>252</v>
      </c>
      <c r="G24" s="90" t="s">
        <v>253</v>
      </c>
      <c r="H24" s="90" t="s">
        <v>254</v>
      </c>
      <c r="I24" s="89" t="s">
        <v>280</v>
      </c>
      <c r="J24" s="89" t="s">
        <v>281</v>
      </c>
      <c r="K24" s="103" t="s">
        <v>255</v>
      </c>
      <c r="L24" s="6"/>
      <c r="M24" s="6"/>
    </row>
    <row r="25" spans="1:13" ht="12.75">
      <c r="A25" s="50" t="s">
        <v>45</v>
      </c>
      <c r="B25" s="43"/>
      <c r="C25" s="151">
        <f>'BRA Resource Clearing Results'!E36-'1stIA Resource Clearing Results'!M54</f>
        <v>2670.9999999999995</v>
      </c>
      <c r="D25" s="59">
        <f>('BRA Resource Clearing Results'!E23*'BRA Resource Clearing Results'!C9-'1stIA Resource Clearing Results'!M25*'1stIA Resource Clearing Results'!C9)/('BRA Resource Clearing Results'!E23-'1stIA Resource Clearing Results'!M25)</f>
        <v>99.58574658018112</v>
      </c>
      <c r="E25" s="59">
        <f>('BRA Resource Clearing Results'!C36+'BRA Resource Clearing Results'!D36)*('BRA Resource Clearing Results'!E9-'BRA Resource Clearing Results'!E7)-('1stIA Resource Clearing Results'!K54+'1stIA Resource Clearing Results'!L54)*('1stIA Resource Clearing Results'!E9-'1stIA Resource Clearing Results'!E7)</f>
        <v>0</v>
      </c>
      <c r="F25" s="59"/>
      <c r="G25" s="59">
        <f>'BRA Resource Clearing Results'!D36*('BRA Resource Clearing Results'!G9-'BRA Resource Clearing Results'!G7)-'1stIA Resource Clearing Results'!L54*('1stIA Resource Clearing Results'!G9-'1stIA Resource Clearing Results'!G7)</f>
        <v>0</v>
      </c>
      <c r="H25" s="59"/>
      <c r="I25" s="152">
        <f>'BRA Resource Clearing Results'!J50+'1stIA Resource Clearing Results'!I69</f>
        <v>0</v>
      </c>
      <c r="J25" s="43"/>
      <c r="K25" s="105"/>
      <c r="L25" s="6"/>
      <c r="M25" s="6"/>
    </row>
    <row r="26" spans="1:13" ht="12.75">
      <c r="A26" s="50" t="s">
        <v>42</v>
      </c>
      <c r="B26" s="43"/>
      <c r="C26" s="151">
        <f>'BRA Resource Clearing Results'!E37-'1stIA Resource Clearing Results'!M55</f>
        <v>3557.4</v>
      </c>
      <c r="D26" s="59">
        <f>D25+('BRA Resource Clearing Results'!E24*'BRA Resource Clearing Results'!C10-'1stIA Resource Clearing Results'!M26*'1stIA Resource Clearing Results'!C10)/('BRA Resource Clearing Results'!E24-'1stIA Resource Clearing Results'!M26)</f>
        <v>99.58574658018112</v>
      </c>
      <c r="E26" s="59">
        <f>('BRA Resource Clearing Results'!C37+'BRA Resource Clearing Results'!D37)*('BRA Resource Clearing Results'!E10-'BRA Resource Clearing Results'!E7)-('1stIA Resource Clearing Results'!K55+'1stIA Resource Clearing Results'!L55)*('1stIA Resource Clearing Results'!E10-'1stIA Resource Clearing Results'!E7)</f>
        <v>0</v>
      </c>
      <c r="F26" s="59"/>
      <c r="G26" s="59">
        <f>'BRA Resource Clearing Results'!D37*('BRA Resource Clearing Results'!G10-'BRA Resource Clearing Results'!G7)-'1stIA Resource Clearing Results'!L55*('1stIA Resource Clearing Results'!G10-'1stIA Resource Clearing Results'!G7)</f>
        <v>0</v>
      </c>
      <c r="H26" s="59"/>
      <c r="I26" s="152">
        <f>'BRA Resource Clearing Results'!J51+'1stIA Resource Clearing Results'!I70</f>
        <v>0</v>
      </c>
      <c r="J26" s="43"/>
      <c r="K26" s="105"/>
      <c r="L26" s="6"/>
      <c r="M26" s="6"/>
    </row>
    <row r="27" spans="1:13" ht="12.75">
      <c r="A27" s="300" t="s">
        <v>8</v>
      </c>
      <c r="B27" s="159">
        <f>K17</f>
        <v>119.35208214137778</v>
      </c>
      <c r="C27" s="62">
        <f>C26+C25</f>
        <v>6228.4</v>
      </c>
      <c r="D27" s="160">
        <f>(C26*D26+C25*D25)/C27</f>
        <v>99.58574658018112</v>
      </c>
      <c r="E27" s="441">
        <f>E25+E26</f>
        <v>0</v>
      </c>
      <c r="F27" s="160">
        <f>E27/K57</f>
        <v>0</v>
      </c>
      <c r="G27" s="441">
        <f>G25+G26</f>
        <v>0</v>
      </c>
      <c r="H27" s="160">
        <f>G27/K57</f>
        <v>0</v>
      </c>
      <c r="I27" s="79">
        <f>I25+I26</f>
        <v>0</v>
      </c>
      <c r="J27" s="161">
        <f>I27/K57</f>
        <v>0</v>
      </c>
      <c r="K27" s="155">
        <f>B27+D27+F27+H27+J27</f>
        <v>218.9378287215589</v>
      </c>
      <c r="L27" s="181"/>
      <c r="M27" s="181"/>
    </row>
    <row r="28" spans="1:13" ht="12.75">
      <c r="A28" s="50" t="s">
        <v>44</v>
      </c>
      <c r="B28" s="43"/>
      <c r="C28" s="62">
        <v>3105.9</v>
      </c>
      <c r="D28" s="59">
        <v>0</v>
      </c>
      <c r="E28" s="59">
        <v>0</v>
      </c>
      <c r="F28" s="59"/>
      <c r="G28" s="59">
        <v>0</v>
      </c>
      <c r="H28" s="59"/>
      <c r="I28" s="79">
        <v>0</v>
      </c>
      <c r="J28" s="43"/>
      <c r="K28" s="107"/>
      <c r="L28" s="6"/>
      <c r="M28" s="6"/>
    </row>
    <row r="29" spans="1:13" ht="12.75">
      <c r="A29" s="50" t="s">
        <v>43</v>
      </c>
      <c r="B29" s="43"/>
      <c r="C29" s="151">
        <f>'BRA Resource Clearing Results'!E38-'1stIA Resource Clearing Results'!M56</f>
        <v>1728.1</v>
      </c>
      <c r="D29" s="59">
        <f>('BRA Resource Clearing Results'!E25*'BRA Resource Clearing Results'!C11-'1stIA Resource Clearing Results'!M27*'1stIA Resource Clearing Results'!C11)/('BRA Resource Clearing Results'!E25-'1stIA Resource Clearing Results'!M27)</f>
        <v>0</v>
      </c>
      <c r="E29" s="59">
        <f>('BRA Resource Clearing Results'!C38+'BRA Resource Clearing Results'!D38)*('BRA Resource Clearing Results'!E11-'BRA Resource Clearing Results'!E7)-('1stIA Resource Clearing Results'!K56+'1stIA Resource Clearing Results'!L56)*('1stIA Resource Clearing Results'!E11-'1stIA Resource Clearing Results'!E7)</f>
        <v>0</v>
      </c>
      <c r="F29" s="78"/>
      <c r="G29" s="59">
        <f>'BRA Resource Clearing Results'!D38*('BRA Resource Clearing Results'!G11-'BRA Resource Clearing Results'!G7)-'1stIA Resource Clearing Results'!L56*('1stIA Resource Clearing Results'!G11-'1stIA Resource Clearing Results'!G7)</f>
        <v>0</v>
      </c>
      <c r="H29" s="78"/>
      <c r="I29" s="152">
        <f>'BRA Resource Clearing Results'!J52+'1stIA Resource Clearing Results'!I71</f>
        <v>0</v>
      </c>
      <c r="J29" s="43"/>
      <c r="K29" s="107"/>
      <c r="L29" s="6"/>
      <c r="M29" s="6"/>
    </row>
    <row r="30" spans="1:13" ht="12.75">
      <c r="A30" s="300" t="s">
        <v>17</v>
      </c>
      <c r="B30" s="159">
        <f>K17</f>
        <v>119.35208214137778</v>
      </c>
      <c r="C30" s="62">
        <f>C28+C29</f>
        <v>4834</v>
      </c>
      <c r="D30" s="160">
        <f>(C29*D29+C28*D28)/C30</f>
        <v>0</v>
      </c>
      <c r="E30" s="441">
        <f>E28+E29</f>
        <v>0</v>
      </c>
      <c r="F30" s="160">
        <f>E30/K49</f>
        <v>0</v>
      </c>
      <c r="G30" s="441">
        <f>G28+G29</f>
        <v>0</v>
      </c>
      <c r="H30" s="160">
        <f>G30/K49</f>
        <v>0</v>
      </c>
      <c r="I30" s="79">
        <f>I28+I29</f>
        <v>0</v>
      </c>
      <c r="J30" s="161">
        <f>I30/K49</f>
        <v>0</v>
      </c>
      <c r="K30" s="155">
        <f>B30+D30+F30+H30+J30</f>
        <v>119.35208214137778</v>
      </c>
      <c r="L30" s="181"/>
      <c r="M30" s="181"/>
    </row>
    <row r="31" spans="1:13" ht="12.75">
      <c r="A31" s="492" t="s">
        <v>177</v>
      </c>
      <c r="B31" s="285"/>
      <c r="C31" s="151">
        <f>'BRA Resource Clearing Results'!E40-'1stIA Resource Clearing Results'!M58</f>
        <v>5947.7</v>
      </c>
      <c r="D31" s="59">
        <f>('BRA Resource Clearing Results'!E27*'BRA Resource Clearing Results'!C13-'1stIA Resource Clearing Results'!M29*'1stIA Resource Clearing Results'!C13)/('BRA Resource Clearing Results'!E27-'1stIA Resource Clearing Results'!M29)</f>
        <v>35.04984926487639</v>
      </c>
      <c r="E31" s="59">
        <f>('BRA Resource Clearing Results'!C40+'BRA Resource Clearing Results'!D40)*('BRA Resource Clearing Results'!E13-'BRA Resource Clearing Results'!E5)-('1stIA Resource Clearing Results'!K58+'1stIA Resource Clearing Results'!L58)*('1stIA Resource Clearing Results'!E13-'1stIA Resource Clearing Results'!E5)</f>
        <v>102529.63</v>
      </c>
      <c r="F31" s="290"/>
      <c r="G31" s="59">
        <f>'BRA Resource Clearing Results'!D40*('BRA Resource Clearing Results'!G13-'BRA Resource Clearing Results'!G5)-'1stIA Resource Clearing Results'!L58*('1stIA Resource Clearing Results'!G13-'1stIA Resource Clearing Results'!G5)</f>
        <v>0</v>
      </c>
      <c r="H31" s="290"/>
      <c r="I31" s="152">
        <f>'BRA Resource Clearing Results'!J54+'1stIA Resource Clearing Results'!I73</f>
        <v>0</v>
      </c>
      <c r="J31" s="285"/>
      <c r="K31" s="405"/>
      <c r="L31" s="181"/>
      <c r="M31" s="181"/>
    </row>
    <row r="32" spans="1:13" ht="12.75">
      <c r="A32" s="50" t="s">
        <v>176</v>
      </c>
      <c r="B32" s="43"/>
      <c r="C32" s="151">
        <f>'BRA Resource Clearing Results'!E41-'1stIA Resource Clearing Results'!M59</f>
        <v>2676.7</v>
      </c>
      <c r="D32" s="59">
        <f>D31+('BRA Resource Clearing Results'!E28*'BRA Resource Clearing Results'!C14-'1stIA Resource Clearing Results'!M30*'1stIA Resource Clearing Results'!C14)/('BRA Resource Clearing Results'!E28-'1stIA Resource Clearing Results'!M30)</f>
        <v>35.04984926487639</v>
      </c>
      <c r="E32" s="59">
        <f>('BRA Resource Clearing Results'!C41+'BRA Resource Clearing Results'!D41)*('BRA Resource Clearing Results'!E14-'BRA Resource Clearing Results'!E5)-('1stIA Resource Clearing Results'!K59+'1stIA Resource Clearing Results'!L59)*('1stIA Resource Clearing Results'!E14-'1stIA Resource Clearing Results'!E5)</f>
        <v>49145.38800000001</v>
      </c>
      <c r="F32" s="78"/>
      <c r="G32" s="59">
        <f>'BRA Resource Clearing Results'!D41*('BRA Resource Clearing Results'!G14-'BRA Resource Clearing Results'!G5)-'1stIA Resource Clearing Results'!L59*('1stIA Resource Clearing Results'!G14-'1stIA Resource Clearing Results'!G5)</f>
        <v>0</v>
      </c>
      <c r="H32" s="78"/>
      <c r="I32" s="152">
        <f>'BRA Resource Clearing Results'!J55+'1stIA Resource Clearing Results'!I74</f>
        <v>0</v>
      </c>
      <c r="J32" s="43"/>
      <c r="K32" s="107"/>
      <c r="L32" s="181"/>
      <c r="M32" s="181"/>
    </row>
    <row r="33" spans="1:13" ht="13.5" thickBot="1">
      <c r="A33" s="442" t="s">
        <v>51</v>
      </c>
      <c r="B33" s="162">
        <f>K15</f>
        <v>59.38689792181318</v>
      </c>
      <c r="C33" s="443">
        <f>C31+C32</f>
        <v>8624.4</v>
      </c>
      <c r="D33" s="163">
        <f>(C32*D32+C31*D31)/C33</f>
        <v>35.0498492648764</v>
      </c>
      <c r="E33" s="444">
        <f>E31+E32+990.978</f>
        <v>152665.996</v>
      </c>
      <c r="F33" s="163">
        <f>E33/K42</f>
        <v>10.279954483797404</v>
      </c>
      <c r="G33" s="444">
        <f>G31+G32</f>
        <v>0</v>
      </c>
      <c r="H33" s="163">
        <f>G33/K42</f>
        <v>0</v>
      </c>
      <c r="I33" s="164">
        <f>I31+I32</f>
        <v>0</v>
      </c>
      <c r="J33" s="165">
        <f>I33/K42</f>
        <v>0</v>
      </c>
      <c r="K33" s="156">
        <f>B33+D33+F33+H33+J33</f>
        <v>104.716701670487</v>
      </c>
      <c r="L33" s="181"/>
      <c r="M33" s="181"/>
    </row>
    <row r="34" spans="1:13" ht="13.5" customHeight="1">
      <c r="A34" s="698" t="s">
        <v>312</v>
      </c>
      <c r="B34" s="698"/>
      <c r="C34" s="385"/>
      <c r="D34" s="561"/>
      <c r="E34" s="560"/>
      <c r="F34" s="561"/>
      <c r="G34" s="561"/>
      <c r="H34" s="561"/>
      <c r="I34" s="562"/>
      <c r="J34" s="562"/>
      <c r="K34" s="563"/>
      <c r="L34" s="181"/>
      <c r="M34" s="181"/>
    </row>
    <row r="35" spans="1:13" ht="12.75">
      <c r="A35" s="32" t="s">
        <v>249</v>
      </c>
      <c r="B35" s="32"/>
      <c r="C35" s="32"/>
      <c r="D35" s="32"/>
      <c r="E35" s="32"/>
      <c r="F35" s="32"/>
      <c r="G35" s="32"/>
      <c r="H35" s="52"/>
      <c r="I35" s="52"/>
      <c r="J35" s="52"/>
      <c r="K35" s="52"/>
      <c r="L35" s="6"/>
      <c r="M35" s="6"/>
    </row>
    <row r="36" spans="1:13" ht="13.5" thickBot="1">
      <c r="A36" s="10"/>
      <c r="B36" s="9"/>
      <c r="C36" s="9" t="s">
        <v>24</v>
      </c>
      <c r="D36" s="9" t="s">
        <v>24</v>
      </c>
      <c r="E36" s="61" t="s">
        <v>24</v>
      </c>
      <c r="F36" s="42" t="s">
        <v>24</v>
      </c>
      <c r="G36" s="5"/>
      <c r="H36" s="5"/>
      <c r="I36" s="5"/>
      <c r="J36" s="5"/>
      <c r="K36" s="5"/>
      <c r="L36" s="13"/>
      <c r="M36" s="13"/>
    </row>
    <row r="37" spans="1:13" ht="18" thickBot="1">
      <c r="A37" s="87" t="s">
        <v>256</v>
      </c>
      <c r="B37" s="3"/>
      <c r="C37" s="2"/>
      <c r="D37" s="2"/>
      <c r="E37" s="72"/>
      <c r="F37" s="72"/>
      <c r="G37" s="445"/>
      <c r="H37" s="72"/>
      <c r="I37" s="72"/>
      <c r="J37" s="72"/>
      <c r="K37" s="72"/>
      <c r="L37" s="41"/>
      <c r="M37" s="19" t="s">
        <v>24</v>
      </c>
    </row>
    <row r="38" spans="1:14" ht="79.5" customHeight="1" thickBot="1">
      <c r="A38" s="446" t="s">
        <v>7</v>
      </c>
      <c r="B38" s="447" t="s">
        <v>28</v>
      </c>
      <c r="C38" s="447" t="s">
        <v>27</v>
      </c>
      <c r="D38" s="447" t="s">
        <v>36</v>
      </c>
      <c r="E38" s="447" t="s">
        <v>282</v>
      </c>
      <c r="F38" s="447" t="s">
        <v>22</v>
      </c>
      <c r="G38" s="447" t="s">
        <v>283</v>
      </c>
      <c r="H38" s="447" t="s">
        <v>286</v>
      </c>
      <c r="I38" s="448" t="s">
        <v>23</v>
      </c>
      <c r="J38" s="448" t="s">
        <v>257</v>
      </c>
      <c r="K38" s="448" t="s">
        <v>258</v>
      </c>
      <c r="L38" s="449" t="s">
        <v>259</v>
      </c>
      <c r="M38" s="449" t="s">
        <v>310</v>
      </c>
      <c r="N38" s="446" t="s">
        <v>7</v>
      </c>
    </row>
    <row r="39" spans="1:17" ht="12.75">
      <c r="A39" s="92" t="s">
        <v>16</v>
      </c>
      <c r="B39" s="450" t="s">
        <v>30</v>
      </c>
      <c r="C39" s="450" t="s">
        <v>41</v>
      </c>
      <c r="D39" s="450"/>
      <c r="E39" s="451">
        <v>2590</v>
      </c>
      <c r="F39" s="452">
        <f>G39/E39</f>
        <v>1.0532818532818533</v>
      </c>
      <c r="G39" s="453">
        <v>2728</v>
      </c>
      <c r="H39" s="513">
        <f>0.8*'BRA Load Pricing Results'!H37</f>
        <v>60.65871730476038</v>
      </c>
      <c r="I39" s="454">
        <f>$B$10</f>
        <v>1.024965511331713</v>
      </c>
      <c r="J39" s="455">
        <f>I39*F39</f>
        <v>1.0795775733254491</v>
      </c>
      <c r="K39" s="456">
        <f>E39*J39*$B$6+H39</f>
        <v>3113.1675446151876</v>
      </c>
      <c r="L39" s="457">
        <f>K17</f>
        <v>119.35208214137778</v>
      </c>
      <c r="M39" s="557">
        <v>119.34365379777387</v>
      </c>
      <c r="N39" s="92" t="s">
        <v>16</v>
      </c>
      <c r="Q39" s="389"/>
    </row>
    <row r="40" spans="1:17" ht="12.75">
      <c r="A40" s="50" t="s">
        <v>260</v>
      </c>
      <c r="B40" s="80"/>
      <c r="C40" s="80"/>
      <c r="D40" s="80"/>
      <c r="E40" s="458">
        <f>22670-11681.1</f>
        <v>10988.9</v>
      </c>
      <c r="F40" s="459">
        <v>1.0210851345390384</v>
      </c>
      <c r="G40" s="460">
        <f>E40*F40</f>
        <v>11220.602434936038</v>
      </c>
      <c r="H40" s="76">
        <f>0.8*'BRA Load Pricing Results'!H38</f>
        <v>259.58396947889037</v>
      </c>
      <c r="I40" s="461">
        <f aca="true" t="shared" si="0" ref="I40:I58">$B$10</f>
        <v>1.024965511331713</v>
      </c>
      <c r="J40" s="77">
        <f>I40*F40</f>
        <v>1.0465770470360165</v>
      </c>
      <c r="K40" s="75">
        <f>E40*J40*$B$6+H40</f>
        <v>12814.931469619332</v>
      </c>
      <c r="L40" s="153">
        <f>K15</f>
        <v>59.38689792181318</v>
      </c>
      <c r="M40" s="558">
        <v>59.38270416857256</v>
      </c>
      <c r="N40" s="50" t="s">
        <v>32</v>
      </c>
      <c r="Q40" s="389"/>
    </row>
    <row r="41" spans="1:17" ht="12.75">
      <c r="A41" s="50" t="s">
        <v>19</v>
      </c>
      <c r="B41" s="80" t="s">
        <v>24</v>
      </c>
      <c r="C41" s="80"/>
      <c r="D41" s="80"/>
      <c r="E41" s="458">
        <v>8270</v>
      </c>
      <c r="F41" s="459">
        <f>G41/E41</f>
        <v>1.0590084643288997</v>
      </c>
      <c r="G41" s="460">
        <v>8758</v>
      </c>
      <c r="H41" s="76">
        <f>0.8*'BRA Load Pricing Results'!H39</f>
        <v>191.56991022272635</v>
      </c>
      <c r="I41" s="461">
        <f t="shared" si="0"/>
        <v>1.024965511331713</v>
      </c>
      <c r="J41" s="77">
        <f>I41*F41</f>
        <v>1.085447152145483</v>
      </c>
      <c r="K41" s="75">
        <f>E41*J41*$B$6+H41</f>
        <v>9991.376475319767</v>
      </c>
      <c r="L41" s="153">
        <f>K15</f>
        <v>59.38689792181318</v>
      </c>
      <c r="M41" s="558">
        <v>59.38270416857255</v>
      </c>
      <c r="N41" s="50" t="s">
        <v>19</v>
      </c>
      <c r="Q41" s="389"/>
    </row>
    <row r="42" spans="1:17" ht="12.75">
      <c r="A42" s="50" t="s">
        <v>51</v>
      </c>
      <c r="B42" s="80"/>
      <c r="C42" s="80"/>
      <c r="D42" s="80" t="s">
        <v>51</v>
      </c>
      <c r="E42" s="458">
        <v>12680</v>
      </c>
      <c r="F42" s="459">
        <f>G42/E42</f>
        <v>1.0262618296529968</v>
      </c>
      <c r="G42" s="460">
        <v>13013</v>
      </c>
      <c r="H42" s="76">
        <f>0.8*'BRA Load Pricing Results'!H40</f>
        <v>289.88412888813417</v>
      </c>
      <c r="I42" s="461">
        <f t="shared" si="0"/>
        <v>1.024965511331713</v>
      </c>
      <c r="J42" s="77">
        <f>I42*F42</f>
        <v>1.0518829809905033</v>
      </c>
      <c r="K42" s="75">
        <f>E42*J42*$B$6+H42</f>
        <v>14850.843575292307</v>
      </c>
      <c r="L42" s="153">
        <f>K33</f>
        <v>104.716701670487</v>
      </c>
      <c r="M42" s="558">
        <v>104.70930684061129</v>
      </c>
      <c r="N42" s="50" t="s">
        <v>51</v>
      </c>
      <c r="Q42" s="389"/>
    </row>
    <row r="43" spans="1:17" ht="12.75">
      <c r="A43" s="50" t="s">
        <v>11</v>
      </c>
      <c r="B43" s="80" t="s">
        <v>30</v>
      </c>
      <c r="C43" s="80" t="s">
        <v>5</v>
      </c>
      <c r="D43" s="80"/>
      <c r="E43" s="458">
        <v>6920</v>
      </c>
      <c r="F43" s="459">
        <f>G43/E43</f>
        <v>1.0333815028901734</v>
      </c>
      <c r="G43" s="460">
        <v>7151</v>
      </c>
      <c r="H43" s="76">
        <f>0.8*'BRA Load Pricing Results'!H41</f>
        <v>158.90752398170153</v>
      </c>
      <c r="I43" s="461">
        <f t="shared" si="0"/>
        <v>1.024965511331713</v>
      </c>
      <c r="J43" s="77">
        <f>I43*F43</f>
        <v>1.0591804005105607</v>
      </c>
      <c r="K43" s="75">
        <f aca="true" t="shared" si="1" ref="K43:K58">E43*J43*$B$6+H43</f>
        <v>8160.553647184364</v>
      </c>
      <c r="L43" s="153">
        <f>K18</f>
        <v>119.35208214137778</v>
      </c>
      <c r="M43" s="558">
        <v>119.34365379777388</v>
      </c>
      <c r="N43" s="50" t="s">
        <v>11</v>
      </c>
      <c r="Q43" s="389"/>
    </row>
    <row r="44" spans="1:17" ht="12.75">
      <c r="A44" s="50" t="s">
        <v>20</v>
      </c>
      <c r="B44" s="80"/>
      <c r="C44" s="80"/>
      <c r="D44" s="80"/>
      <c r="E44" s="458">
        <v>21830</v>
      </c>
      <c r="F44" s="459">
        <f>G44/E44</f>
        <v>1.0607420980302336</v>
      </c>
      <c r="G44" s="460">
        <v>23156</v>
      </c>
      <c r="H44" s="76">
        <f>0.8*'BRA Load Pricing Results'!H42</f>
        <v>512.4811256402185</v>
      </c>
      <c r="I44" s="461">
        <f t="shared" si="0"/>
        <v>1.024965511331713</v>
      </c>
      <c r="J44" s="77">
        <f aca="true" t="shared" si="2" ref="J44:J57">I44*F44</f>
        <v>1.0872240668986324</v>
      </c>
      <c r="K44" s="75">
        <f t="shared" si="1"/>
        <v>26422.999602619777</v>
      </c>
      <c r="L44" s="153">
        <f>K15</f>
        <v>59.38689792181318</v>
      </c>
      <c r="M44" s="558">
        <v>59.38270416857256</v>
      </c>
      <c r="N44" s="50" t="s">
        <v>20</v>
      </c>
      <c r="Q44" s="389"/>
    </row>
    <row r="45" spans="1:17" ht="12.75">
      <c r="A45" s="50" t="s">
        <v>21</v>
      </c>
      <c r="B45" s="80"/>
      <c r="C45" s="80"/>
      <c r="D45" s="80"/>
      <c r="E45" s="458">
        <v>3260</v>
      </c>
      <c r="F45" s="459">
        <f>G45/E45</f>
        <v>1.0613496932515338</v>
      </c>
      <c r="G45" s="460">
        <v>3460</v>
      </c>
      <c r="H45" s="76">
        <f>0.8*'BRA Load Pricing Results'!H43</f>
        <v>77.53501032916172</v>
      </c>
      <c r="I45" s="461">
        <f t="shared" si="0"/>
        <v>1.024965511331713</v>
      </c>
      <c r="J45" s="77">
        <f t="shared" si="2"/>
        <v>1.0878468310453153</v>
      </c>
      <c r="K45" s="75">
        <f t="shared" si="1"/>
        <v>3949.118786903238</v>
      </c>
      <c r="L45" s="153">
        <f>K15</f>
        <v>59.38689792181318</v>
      </c>
      <c r="M45" s="558">
        <v>59.38270416857256</v>
      </c>
      <c r="N45" s="50" t="s">
        <v>21</v>
      </c>
      <c r="Q45" s="389"/>
    </row>
    <row r="46" spans="1:17" ht="12.75">
      <c r="A46" s="50" t="s">
        <v>261</v>
      </c>
      <c r="B46" s="80"/>
      <c r="C46" s="80"/>
      <c r="D46" s="80"/>
      <c r="E46" s="458">
        <f>5270-860</f>
        <v>4410</v>
      </c>
      <c r="F46" s="459">
        <v>1.0406072106261859</v>
      </c>
      <c r="G46" s="460">
        <f>E46*F46</f>
        <v>4589.07779886148</v>
      </c>
      <c r="H46" s="76">
        <f>0.8*'BRA Load Pricing Results'!H44</f>
        <v>101.99523184287563</v>
      </c>
      <c r="I46" s="461">
        <f t="shared" si="0"/>
        <v>1.024965511331713</v>
      </c>
      <c r="J46" s="77">
        <f>I46*F46</f>
        <v>1.0665865017349363</v>
      </c>
      <c r="K46" s="75">
        <f>E46*J46*$B$6+H46</f>
        <v>5236.966086036048</v>
      </c>
      <c r="L46" s="153">
        <f>K15</f>
        <v>59.38689792181318</v>
      </c>
      <c r="M46" s="558">
        <v>59.38270416857255</v>
      </c>
      <c r="N46" s="50" t="s">
        <v>65</v>
      </c>
      <c r="Q46" s="389"/>
    </row>
    <row r="47" spans="1:17" ht="12.75">
      <c r="A47" s="50" t="s">
        <v>50</v>
      </c>
      <c r="B47" s="80"/>
      <c r="C47" s="80"/>
      <c r="D47" s="80"/>
      <c r="E47" s="458">
        <v>2820</v>
      </c>
      <c r="F47" s="459">
        <f aca="true" t="shared" si="3" ref="F47:F58">G47/E47</f>
        <v>1.0453900709219859</v>
      </c>
      <c r="G47" s="460">
        <v>2948</v>
      </c>
      <c r="H47" s="76">
        <f>0.8*'BRA Load Pricing Results'!H45</f>
        <v>65.32477248204964</v>
      </c>
      <c r="I47" s="461">
        <f t="shared" si="0"/>
        <v>1.024965511331713</v>
      </c>
      <c r="J47" s="77">
        <f t="shared" si="2"/>
        <v>1.0714887685836492</v>
      </c>
      <c r="K47" s="75">
        <f t="shared" si="1"/>
        <v>3364.00366651106</v>
      </c>
      <c r="L47" s="153">
        <f>K15</f>
        <v>59.38689792181318</v>
      </c>
      <c r="M47" s="558">
        <v>59.38270416857256</v>
      </c>
      <c r="N47" s="50" t="s">
        <v>50</v>
      </c>
      <c r="Q47" s="389"/>
    </row>
    <row r="48" spans="1:17" ht="12.75">
      <c r="A48" s="50" t="s">
        <v>33</v>
      </c>
      <c r="B48" s="80"/>
      <c r="C48" s="80"/>
      <c r="D48" s="80"/>
      <c r="E48" s="458">
        <v>18980</v>
      </c>
      <c r="F48" s="459">
        <f t="shared" si="3"/>
        <v>1.0845100105374077</v>
      </c>
      <c r="G48" s="460">
        <v>20584</v>
      </c>
      <c r="H48" s="76">
        <f>0.8*'BRA Load Pricing Results'!H46</f>
        <v>445.1285815157021</v>
      </c>
      <c r="I48" s="461">
        <f t="shared" si="0"/>
        <v>1.024965511331713</v>
      </c>
      <c r="J48" s="77">
        <f t="shared" si="2"/>
        <v>1.1115853574948356</v>
      </c>
      <c r="K48" s="75">
        <f t="shared" si="1"/>
        <v>23477.695187585286</v>
      </c>
      <c r="L48" s="153">
        <f>K15</f>
        <v>59.38689792181318</v>
      </c>
      <c r="M48" s="558">
        <v>59.382704168572566</v>
      </c>
      <c r="N48" s="50" t="s">
        <v>33</v>
      </c>
      <c r="Q48" s="389"/>
    </row>
    <row r="49" spans="1:17" ht="12.75">
      <c r="A49" s="50" t="s">
        <v>17</v>
      </c>
      <c r="B49" s="80" t="s">
        <v>30</v>
      </c>
      <c r="C49" s="80" t="s">
        <v>41</v>
      </c>
      <c r="D49" s="80" t="s">
        <v>17</v>
      </c>
      <c r="E49" s="458">
        <v>3970</v>
      </c>
      <c r="F49" s="459">
        <f t="shared" si="3"/>
        <v>1.043073047858942</v>
      </c>
      <c r="G49" s="460">
        <v>4141</v>
      </c>
      <c r="H49" s="76">
        <f>0.8*'BRA Load Pricing Results'!H47</f>
        <v>91.83843180720731</v>
      </c>
      <c r="I49" s="461">
        <f t="shared" si="0"/>
        <v>1.024965511331713</v>
      </c>
      <c r="J49" s="77">
        <f t="shared" si="2"/>
        <v>1.069113899855069</v>
      </c>
      <c r="K49" s="75">
        <f t="shared" si="1"/>
        <v>4725.4304603601695</v>
      </c>
      <c r="L49" s="153">
        <f>K30</f>
        <v>119.35208214137778</v>
      </c>
      <c r="M49" s="558">
        <v>119.34365379777387</v>
      </c>
      <c r="N49" s="50" t="s">
        <v>17</v>
      </c>
      <c r="Q49" s="389"/>
    </row>
    <row r="50" spans="1:17" ht="12.75">
      <c r="A50" s="50" t="s">
        <v>284</v>
      </c>
      <c r="B50" s="80"/>
      <c r="C50" s="80"/>
      <c r="D50" s="80"/>
      <c r="E50" s="458">
        <v>2033.3</v>
      </c>
      <c r="F50" s="459">
        <v>1.0370786516853931</v>
      </c>
      <c r="G50" s="460">
        <f>E50*F50</f>
        <v>2108.6920224719097</v>
      </c>
      <c r="H50" s="76">
        <f>0.8*'BRA Load Pricing Results'!H48</f>
        <v>47.259184418802384</v>
      </c>
      <c r="I50" s="461">
        <f t="shared" si="0"/>
        <v>1.024965511331713</v>
      </c>
      <c r="J50" s="77">
        <f t="shared" si="2"/>
        <v>1.0629698505159226</v>
      </c>
      <c r="K50" s="75">
        <f>E50*J50*$B$6+H50</f>
        <v>2406.7903474226814</v>
      </c>
      <c r="L50" s="153">
        <f>K15</f>
        <v>59.38689792181318</v>
      </c>
      <c r="M50" s="558">
        <v>59.38270416857256</v>
      </c>
      <c r="N50" s="50" t="s">
        <v>185</v>
      </c>
      <c r="Q50" s="389"/>
    </row>
    <row r="51" spans="1:17" ht="12.75">
      <c r="A51" s="50" t="s">
        <v>12</v>
      </c>
      <c r="B51" s="80" t="s">
        <v>30</v>
      </c>
      <c r="C51" s="80" t="s">
        <v>41</v>
      </c>
      <c r="D51" s="80"/>
      <c r="E51" s="458">
        <v>6020</v>
      </c>
      <c r="F51" s="459">
        <f t="shared" si="3"/>
        <v>1.0491694352159469</v>
      </c>
      <c r="G51" s="460">
        <v>6316</v>
      </c>
      <c r="H51" s="76">
        <f>0.8*'BRA Load Pricing Results'!H49</f>
        <v>139.13129946861108</v>
      </c>
      <c r="I51" s="461">
        <f t="shared" si="0"/>
        <v>1.024965511331713</v>
      </c>
      <c r="J51" s="77">
        <f t="shared" si="2"/>
        <v>1.0753624866397176</v>
      </c>
      <c r="K51" s="75">
        <f t="shared" si="1"/>
        <v>7206.45012398938</v>
      </c>
      <c r="L51" s="153">
        <f>K17</f>
        <v>119.35208214137778</v>
      </c>
      <c r="M51" s="558">
        <v>119.34365379777388</v>
      </c>
      <c r="N51" s="50" t="s">
        <v>12</v>
      </c>
      <c r="Q51" s="389"/>
    </row>
    <row r="52" spans="1:17" ht="12.75">
      <c r="A52" s="50" t="s">
        <v>13</v>
      </c>
      <c r="B52" s="80" t="s">
        <v>30</v>
      </c>
      <c r="C52" s="80"/>
      <c r="D52" s="80"/>
      <c r="E52" s="458">
        <v>2840</v>
      </c>
      <c r="F52" s="459">
        <f t="shared" si="3"/>
        <v>1.0616197183098592</v>
      </c>
      <c r="G52" s="460">
        <v>3015</v>
      </c>
      <c r="H52" s="76">
        <f>0.8*'BRA Load Pricing Results'!H50</f>
        <v>66.89466020524976</v>
      </c>
      <c r="I52" s="461">
        <f t="shared" si="0"/>
        <v>1.024965511331713</v>
      </c>
      <c r="J52" s="77">
        <f t="shared" si="2"/>
        <v>1.088123597417294</v>
      </c>
      <c r="K52" s="75">
        <f t="shared" si="1"/>
        <v>3440.5435290985556</v>
      </c>
      <c r="L52" s="153">
        <f>K16</f>
        <v>119.35208214137778</v>
      </c>
      <c r="M52" s="558">
        <v>119.34365379777387</v>
      </c>
      <c r="N52" s="50" t="s">
        <v>13</v>
      </c>
      <c r="Q52" s="389"/>
    </row>
    <row r="53" spans="1:17" ht="12.75">
      <c r="A53" s="50" t="s">
        <v>9</v>
      </c>
      <c r="B53" s="80" t="s">
        <v>30</v>
      </c>
      <c r="C53" s="80" t="s">
        <v>41</v>
      </c>
      <c r="D53" s="80"/>
      <c r="E53" s="458">
        <v>8360</v>
      </c>
      <c r="F53" s="459">
        <f t="shared" si="3"/>
        <v>1.0494019138755981</v>
      </c>
      <c r="G53" s="460">
        <v>8773</v>
      </c>
      <c r="H53" s="76">
        <f>0.8*'BRA Load Pricing Results'!H51</f>
        <v>194.22999775370434</v>
      </c>
      <c r="I53" s="461">
        <f t="shared" si="0"/>
        <v>1.024965511331713</v>
      </c>
      <c r="J53" s="77">
        <f t="shared" si="2"/>
        <v>1.0756007692479808</v>
      </c>
      <c r="K53" s="75">
        <f t="shared" si="1"/>
        <v>10010.820885581556</v>
      </c>
      <c r="L53" s="153">
        <f>K17</f>
        <v>119.35208214137778</v>
      </c>
      <c r="M53" s="558">
        <v>119.34365379777385</v>
      </c>
      <c r="N53" s="50" t="s">
        <v>9</v>
      </c>
      <c r="Q53" s="389"/>
    </row>
    <row r="54" spans="1:17" ht="12.75">
      <c r="A54" s="50" t="s">
        <v>14</v>
      </c>
      <c r="B54" s="80" t="s">
        <v>30</v>
      </c>
      <c r="C54" s="80"/>
      <c r="D54" s="80"/>
      <c r="E54" s="458">
        <v>2770</v>
      </c>
      <c r="F54" s="459">
        <f t="shared" si="3"/>
        <v>1.0743682310469314</v>
      </c>
      <c r="G54" s="460">
        <v>2976</v>
      </c>
      <c r="H54" s="76">
        <f>0.8*'BRA Load Pricing Results'!H52</f>
        <v>66.3713642975164</v>
      </c>
      <c r="I54" s="461">
        <f t="shared" si="0"/>
        <v>1.024965511331713</v>
      </c>
      <c r="J54" s="77">
        <f t="shared" si="2"/>
        <v>1.101190383293566</v>
      </c>
      <c r="K54" s="75">
        <f t="shared" si="1"/>
        <v>3396.3809940907095</v>
      </c>
      <c r="L54" s="153">
        <f>K16</f>
        <v>119.35208214137778</v>
      </c>
      <c r="M54" s="558">
        <v>119.34365379777388</v>
      </c>
      <c r="N54" s="50" t="s">
        <v>14</v>
      </c>
      <c r="Q54" s="389"/>
    </row>
    <row r="55" spans="1:17" ht="12.75">
      <c r="A55" s="50" t="s">
        <v>15</v>
      </c>
      <c r="B55" s="80" t="s">
        <v>30</v>
      </c>
      <c r="C55" s="80" t="s">
        <v>5</v>
      </c>
      <c r="D55" s="80" t="s">
        <v>15</v>
      </c>
      <c r="E55" s="458">
        <v>6520</v>
      </c>
      <c r="F55" s="459">
        <f t="shared" si="3"/>
        <v>1.0283742331288344</v>
      </c>
      <c r="G55" s="460">
        <v>6705</v>
      </c>
      <c r="H55" s="76">
        <f>0.8*'BRA Load Pricing Results'!H53</f>
        <v>148.26717385778957</v>
      </c>
      <c r="I55" s="461">
        <f t="shared" si="0"/>
        <v>1.024965511331713</v>
      </c>
      <c r="J55" s="77">
        <f t="shared" si="2"/>
        <v>1.054048121699254</v>
      </c>
      <c r="K55" s="75">
        <f t="shared" si="1"/>
        <v>7650.859434530962</v>
      </c>
      <c r="L55" s="153">
        <f>K19</f>
        <v>119.35208214137778</v>
      </c>
      <c r="M55" s="558">
        <v>119.34365379777387</v>
      </c>
      <c r="N55" s="50" t="s">
        <v>15</v>
      </c>
      <c r="Q55" s="389"/>
    </row>
    <row r="56" spans="1:17" ht="12.75">
      <c r="A56" s="50" t="s">
        <v>10</v>
      </c>
      <c r="B56" s="80" t="s">
        <v>30</v>
      </c>
      <c r="C56" s="80"/>
      <c r="D56" s="80"/>
      <c r="E56" s="458">
        <v>7115</v>
      </c>
      <c r="F56" s="459">
        <f t="shared" si="3"/>
        <v>1.0453970484891075</v>
      </c>
      <c r="G56" s="460">
        <f>7242+196</f>
        <v>7438</v>
      </c>
      <c r="H56" s="76">
        <f>0.8*'BRA Load Pricing Results'!H54</f>
        <v>165.29609485527982</v>
      </c>
      <c r="I56" s="461">
        <f t="shared" si="0"/>
        <v>1.024965511331713</v>
      </c>
      <c r="J56" s="77">
        <f t="shared" si="2"/>
        <v>1.0714959203493017</v>
      </c>
      <c r="K56" s="75">
        <f t="shared" si="1"/>
        <v>8488.08225964082</v>
      </c>
      <c r="L56" s="153">
        <f>K16</f>
        <v>119.35208214137778</v>
      </c>
      <c r="M56" s="558">
        <v>119.34365379777387</v>
      </c>
      <c r="N56" s="50" t="s">
        <v>10</v>
      </c>
      <c r="Q56" s="389"/>
    </row>
    <row r="57" spans="1:18" ht="12.75">
      <c r="A57" s="50" t="s">
        <v>8</v>
      </c>
      <c r="B57" s="80" t="s">
        <v>30</v>
      </c>
      <c r="C57" s="80" t="s">
        <v>41</v>
      </c>
      <c r="D57" s="80" t="s">
        <v>8</v>
      </c>
      <c r="E57" s="458">
        <v>10120</v>
      </c>
      <c r="F57" s="459">
        <f t="shared" si="3"/>
        <v>1.0292490118577076</v>
      </c>
      <c r="G57" s="460">
        <v>10416</v>
      </c>
      <c r="H57" s="76">
        <f>0.8*'BRA Load Pricing Results'!H55</f>
        <v>231.1223592489073</v>
      </c>
      <c r="I57" s="461">
        <f t="shared" si="0"/>
        <v>1.024965511331713</v>
      </c>
      <c r="J57" s="77">
        <f t="shared" si="2"/>
        <v>1.0549447397263956</v>
      </c>
      <c r="K57" s="75">
        <f t="shared" si="1"/>
        <v>11886.156063525084</v>
      </c>
      <c r="L57" s="153">
        <f>K27</f>
        <v>218.9378287215589</v>
      </c>
      <c r="M57" s="558">
        <v>218.92236788321196</v>
      </c>
      <c r="N57" s="50" t="s">
        <v>8</v>
      </c>
      <c r="Q57" s="389"/>
      <c r="R57" t="s">
        <v>24</v>
      </c>
    </row>
    <row r="58" spans="1:17" ht="13.5" thickBot="1">
      <c r="A58" s="51" t="s">
        <v>18</v>
      </c>
      <c r="B58" s="84" t="s">
        <v>30</v>
      </c>
      <c r="C58" s="84" t="s">
        <v>41</v>
      </c>
      <c r="D58" s="84"/>
      <c r="E58" s="462">
        <v>400</v>
      </c>
      <c r="F58" s="463">
        <f t="shared" si="3"/>
        <v>1.03</v>
      </c>
      <c r="G58" s="464">
        <v>412</v>
      </c>
      <c r="H58" s="514">
        <f>0.8*'BRA Load Pricing Results'!H56</f>
        <v>9.070462400711833</v>
      </c>
      <c r="I58" s="465">
        <f t="shared" si="0"/>
        <v>1.024965511331713</v>
      </c>
      <c r="J58" s="86">
        <f>I58*F58</f>
        <v>1.0557144766716646</v>
      </c>
      <c r="K58" s="209">
        <f t="shared" si="1"/>
        <v>470.0798600736943</v>
      </c>
      <c r="L58" s="154">
        <f>K17</f>
        <v>119.35208214137778</v>
      </c>
      <c r="M58" s="559">
        <v>119.34365379777387</v>
      </c>
      <c r="N58" s="51" t="s">
        <v>18</v>
      </c>
      <c r="Q58" s="389"/>
    </row>
    <row r="59" spans="2:16" ht="30" customHeight="1" thickBot="1">
      <c r="B59" s="12"/>
      <c r="C59" s="6"/>
      <c r="D59" s="6"/>
      <c r="E59" s="466">
        <f>SUM(E39:E58)</f>
        <v>142897.2</v>
      </c>
      <c r="F59" s="467"/>
      <c r="G59" s="468">
        <f>SUM(G39:G58)</f>
        <v>149908.37225626945</v>
      </c>
      <c r="H59" s="468">
        <f>SUM(H39:H58)</f>
        <v>3322.5499999999997</v>
      </c>
      <c r="I59" s="4"/>
      <c r="J59" s="4"/>
      <c r="K59" s="469">
        <f>SUM(K39:K58)</f>
        <v>171063.24999999997</v>
      </c>
      <c r="L59" s="695" t="s">
        <v>313</v>
      </c>
      <c r="M59" s="696"/>
      <c r="N59" s="697"/>
      <c r="P59" t="s">
        <v>24</v>
      </c>
    </row>
    <row r="60" spans="1:16" ht="12.75">
      <c r="A60" s="470" t="s">
        <v>90</v>
      </c>
      <c r="B60" s="12"/>
      <c r="C60" s="6"/>
      <c r="D60" s="6"/>
      <c r="E60" s="471" t="s">
        <v>24</v>
      </c>
      <c r="F60" s="467"/>
      <c r="G60" s="301" t="s">
        <v>24</v>
      </c>
      <c r="H60" s="301"/>
      <c r="I60" s="4"/>
      <c r="J60" s="4"/>
      <c r="K60" s="472"/>
      <c r="L60" s="473"/>
      <c r="M60" s="473"/>
      <c r="P60" t="s">
        <v>24</v>
      </c>
    </row>
    <row r="61" spans="1:16" ht="12.75">
      <c r="A61" s="694" t="s">
        <v>262</v>
      </c>
      <c r="B61" s="694"/>
      <c r="C61" s="6"/>
      <c r="D61" s="6"/>
      <c r="E61" s="474" t="s">
        <v>24</v>
      </c>
      <c r="F61" s="6"/>
      <c r="G61" s="474" t="s">
        <v>24</v>
      </c>
      <c r="H61" s="6"/>
      <c r="I61" s="6"/>
      <c r="J61" s="6"/>
      <c r="K61" s="6"/>
      <c r="L61" s="473"/>
      <c r="M61" s="473"/>
      <c r="P61" t="s">
        <v>24</v>
      </c>
    </row>
    <row r="62" spans="1:14" ht="12.75" customHeight="1">
      <c r="A62" s="699" t="s">
        <v>263</v>
      </c>
      <c r="B62" s="699"/>
      <c r="C62" s="699"/>
      <c r="D62" s="699"/>
      <c r="E62" s="699"/>
      <c r="F62" s="699"/>
      <c r="G62" s="699"/>
      <c r="H62" s="699"/>
      <c r="I62" s="699"/>
      <c r="J62" s="699"/>
      <c r="K62" s="699"/>
      <c r="L62" s="699"/>
      <c r="M62" s="699"/>
      <c r="N62" s="699"/>
    </row>
  </sheetData>
  <sheetProtection/>
  <mergeCells count="4">
    <mergeCell ref="A61:B61"/>
    <mergeCell ref="L59:N59"/>
    <mergeCell ref="A34:B34"/>
    <mergeCell ref="A62:N62"/>
  </mergeCells>
  <printOptions/>
  <pageMargins left="0.45" right="0.45" top="0.5" bottom="0.5" header="0.3" footer="0.3"/>
  <pageSetup fitToHeight="1" fitToWidth="1" horizontalDpi="600" verticalDpi="600" orientation="landscape" scale="46" r:id="rId1"/>
</worksheet>
</file>

<file path=xl/worksheets/sheet9.xml><?xml version="1.0" encoding="utf-8"?>
<worksheet xmlns="http://schemas.openxmlformats.org/spreadsheetml/2006/main" xmlns:r="http://schemas.openxmlformats.org/officeDocument/2006/relationships">
  <sheetPr>
    <pageSetUpPr fitToPage="1"/>
  </sheetPr>
  <dimension ref="A1:Y42"/>
  <sheetViews>
    <sheetView zoomScalePageLayoutView="0" workbookViewId="0" topLeftCell="A1">
      <selection activeCell="A1" sqref="A1"/>
    </sheetView>
  </sheetViews>
  <sheetFormatPr defaultColWidth="9.140625" defaultRowHeight="12.75"/>
  <cols>
    <col min="1" max="22" width="18.7109375" style="0" customWidth="1"/>
  </cols>
  <sheetData>
    <row r="1" spans="1:19" ht="17.25">
      <c r="A1" s="24" t="s">
        <v>285</v>
      </c>
      <c r="B1" s="6"/>
      <c r="C1" s="6"/>
      <c r="D1" s="6"/>
      <c r="E1" s="6"/>
      <c r="F1" s="475" t="s">
        <v>24</v>
      </c>
      <c r="G1" s="6"/>
      <c r="H1" s="6"/>
      <c r="I1" s="6"/>
      <c r="J1" s="6"/>
      <c r="K1" s="6"/>
      <c r="L1" s="6"/>
      <c r="M1" s="6"/>
      <c r="N1" s="6"/>
      <c r="O1" s="6"/>
      <c r="P1" s="6"/>
      <c r="Q1" s="6"/>
      <c r="R1" s="6"/>
      <c r="S1" s="6"/>
    </row>
    <row r="2" spans="1:19" ht="18" thickBot="1">
      <c r="A2" s="1" t="s">
        <v>24</v>
      </c>
      <c r="B2" s="6"/>
      <c r="C2" s="6" t="s">
        <v>24</v>
      </c>
      <c r="D2" s="38" t="s">
        <v>24</v>
      </c>
      <c r="E2" s="476" t="s">
        <v>24</v>
      </c>
      <c r="F2" s="6"/>
      <c r="G2" s="6"/>
      <c r="H2" s="6"/>
      <c r="I2" s="6"/>
      <c r="J2" s="6"/>
      <c r="K2" s="6"/>
      <c r="L2" s="6"/>
      <c r="M2" s="6"/>
      <c r="N2" s="6"/>
      <c r="O2" s="6"/>
      <c r="P2" s="6"/>
      <c r="Q2" s="6"/>
      <c r="R2" s="6"/>
      <c r="S2" s="6"/>
    </row>
    <row r="3" spans="1:19" ht="18" thickBot="1">
      <c r="A3" s="101" t="s">
        <v>85</v>
      </c>
      <c r="B3" s="1"/>
      <c r="C3" s="477" t="s">
        <v>24</v>
      </c>
      <c r="D3" s="1"/>
      <c r="E3" s="328" t="s">
        <v>24</v>
      </c>
      <c r="F3" s="328"/>
      <c r="G3" s="6"/>
      <c r="H3" s="6"/>
      <c r="I3" s="6" t="s">
        <v>24</v>
      </c>
      <c r="J3" s="6"/>
      <c r="K3" s="19"/>
      <c r="L3" s="19"/>
      <c r="S3" s="19"/>
    </row>
    <row r="4" spans="1:18" ht="92.25">
      <c r="A4" s="210" t="s">
        <v>3</v>
      </c>
      <c r="B4" s="90" t="s">
        <v>240</v>
      </c>
      <c r="C4" s="90" t="s">
        <v>264</v>
      </c>
      <c r="D4" s="90" t="s">
        <v>287</v>
      </c>
      <c r="E4" s="90" t="s">
        <v>265</v>
      </c>
      <c r="F4" s="89" t="s">
        <v>88</v>
      </c>
      <c r="G4" s="89" t="s">
        <v>266</v>
      </c>
      <c r="H4" s="89" t="s">
        <v>96</v>
      </c>
      <c r="I4" s="89" t="s">
        <v>316</v>
      </c>
      <c r="J4" s="103" t="s">
        <v>267</v>
      </c>
      <c r="K4" s="23"/>
      <c r="N4" s="23"/>
      <c r="O4" s="23"/>
      <c r="P4" s="23"/>
      <c r="Q4" s="23"/>
      <c r="R4" s="23"/>
    </row>
    <row r="5" spans="1:18" ht="12.75">
      <c r="A5" s="211" t="s">
        <v>30</v>
      </c>
      <c r="B5" s="137">
        <f>'1st IA Load Pricing Results'!B16</f>
        <v>68548.52480269049</v>
      </c>
      <c r="C5" s="75">
        <f>'BRA Resource Clearing Results'!E20-'1stIA Resource Clearing Results'!M22</f>
        <v>65541.7</v>
      </c>
      <c r="D5" s="56">
        <f>'1st IA Load Pricing Results'!H52+'1st IA Load Pricing Results'!H54+'1st IA Load Pricing Results'!H56+D6+D7</f>
        <v>1331.788085181439</v>
      </c>
      <c r="E5" s="606">
        <f>B5-C5-D5-81.2924499233347</f>
        <v>1593.7442675857174</v>
      </c>
      <c r="F5" s="336">
        <v>0</v>
      </c>
      <c r="G5" s="56">
        <f aca="true" t="shared" si="0" ref="G5:G11">E5-F5</f>
        <v>1593.7442675857174</v>
      </c>
      <c r="H5" s="56">
        <f>'1st IA ICTRs'!B19</f>
        <v>159</v>
      </c>
      <c r="I5" s="56">
        <f>'1st IA ICTRs'!B12+'1st IA ICTRs'!B17</f>
        <v>738</v>
      </c>
      <c r="J5" s="423">
        <f aca="true" t="shared" si="1" ref="J5:J11">G5-H5-I5</f>
        <v>696.7442675857174</v>
      </c>
      <c r="K5" s="134"/>
      <c r="N5" s="9"/>
      <c r="O5" s="9"/>
      <c r="P5" s="9"/>
      <c r="Q5" s="9"/>
      <c r="R5" s="9"/>
    </row>
    <row r="6" spans="1:18" ht="12.75">
      <c r="A6" s="211" t="s">
        <v>41</v>
      </c>
      <c r="B6" s="137">
        <f>'1st IA Load Pricing Results'!B17</f>
        <v>37412.10493814507</v>
      </c>
      <c r="C6" s="75">
        <f>'BRA Resource Clearing Results'!E21-'1stIA Resource Clearing Results'!M23</f>
        <v>31177.9</v>
      </c>
      <c r="D6" s="56">
        <f>'1st IA Load Pricing Results'!H39+'1st IA Load Pricing Results'!H49+'1st IA Load Pricing Results'!H51+'1st IA Load Pricing Results'!H53+'1st IA Load Pricing Results'!H57+'1st IA Load Pricing Results'!H58</f>
        <v>726.0512679839022</v>
      </c>
      <c r="E6" s="607">
        <f>B6-C6-D6</f>
        <v>5508.1536701611685</v>
      </c>
      <c r="F6" s="336">
        <v>0</v>
      </c>
      <c r="G6" s="57">
        <f t="shared" si="0"/>
        <v>5508.1536701611685</v>
      </c>
      <c r="H6" s="56">
        <v>0</v>
      </c>
      <c r="I6" s="56">
        <f>'1st IA ICTRs'!C12+'1st IA ICTRs'!C17</f>
        <v>898</v>
      </c>
      <c r="J6" s="212">
        <f t="shared" si="1"/>
        <v>4610.1536701611685</v>
      </c>
      <c r="K6" s="134"/>
      <c r="N6" s="9" t="s">
        <v>24</v>
      </c>
      <c r="O6" s="9"/>
      <c r="P6" s="9"/>
      <c r="Q6" s="9"/>
      <c r="R6" s="9"/>
    </row>
    <row r="7" spans="1:18" ht="12.75">
      <c r="A7" s="211" t="s">
        <v>5</v>
      </c>
      <c r="B7" s="137">
        <f>'1st IA Load Pricing Results'!B18</f>
        <v>15811.413081715327</v>
      </c>
      <c r="C7" s="75">
        <f>'BRA Resource Clearing Results'!E22-'1stIA Resource Clearing Results'!M24</f>
        <v>11871.3</v>
      </c>
      <c r="D7" s="56">
        <f>'1st IA Load Pricing Results'!H43+'1st IA Load Pricing Results'!H55</f>
        <v>307.1746978394911</v>
      </c>
      <c r="E7" s="607">
        <f>B7-C7-D7</f>
        <v>3632.9383838758367</v>
      </c>
      <c r="F7" s="336">
        <v>0</v>
      </c>
      <c r="G7" s="57">
        <f t="shared" si="0"/>
        <v>3632.9383838758367</v>
      </c>
      <c r="H7" s="56">
        <v>0</v>
      </c>
      <c r="I7" s="56">
        <f>'1st IA ICTRs'!D12+'1st IA ICTRs'!D17</f>
        <v>237</v>
      </c>
      <c r="J7" s="212">
        <f t="shared" si="1"/>
        <v>3395.9383838758367</v>
      </c>
      <c r="K7" s="134"/>
      <c r="N7" s="9"/>
      <c r="O7" s="9"/>
      <c r="P7" s="9"/>
      <c r="Q7" s="9"/>
      <c r="R7" s="9"/>
    </row>
    <row r="8" spans="1:18" ht="12.75">
      <c r="A8" s="211" t="s">
        <v>48</v>
      </c>
      <c r="B8" s="137">
        <f>'1st IA Load Pricing Results'!K57</f>
        <v>11886.156063525084</v>
      </c>
      <c r="C8" s="75">
        <f>'1st IA Load Pricing Results'!C27</f>
        <v>6228.4</v>
      </c>
      <c r="D8" s="56">
        <f>'1st IA Load Pricing Results'!H57</f>
        <v>231.1223592489073</v>
      </c>
      <c r="E8" s="608">
        <f>B8-C8-D8-2.10599415279916</f>
        <v>5424.527710123378</v>
      </c>
      <c r="F8" s="336">
        <v>0</v>
      </c>
      <c r="G8" s="57">
        <f t="shared" si="0"/>
        <v>5424.527710123378</v>
      </c>
      <c r="H8" s="56">
        <v>0</v>
      </c>
      <c r="I8" s="56">
        <f>('1st IA ICTRs'!C95+'1st IA ICTRs'!C96)/L16</f>
        <v>499.4</v>
      </c>
      <c r="J8" s="212">
        <f t="shared" si="1"/>
        <v>4925.127710123378</v>
      </c>
      <c r="K8" s="134"/>
      <c r="N8" s="9"/>
      <c r="O8" s="9"/>
      <c r="P8" s="9"/>
      <c r="Q8" s="9"/>
      <c r="R8" s="9"/>
    </row>
    <row r="9" spans="1:18" ht="12.75">
      <c r="A9" s="211" t="s">
        <v>46</v>
      </c>
      <c r="B9" s="137">
        <f>'1st IA Load Pricing Results'!K49</f>
        <v>4725.4304603601695</v>
      </c>
      <c r="C9" s="75">
        <f>'1st IA Load Pricing Results'!C30</f>
        <v>4834</v>
      </c>
      <c r="D9" s="56">
        <f>'1st IA Load Pricing Results'!H49</f>
        <v>91.83843180720731</v>
      </c>
      <c r="E9" s="607">
        <f>MAX(0,B9-C9-D9)</f>
        <v>0</v>
      </c>
      <c r="F9" s="336">
        <v>0</v>
      </c>
      <c r="G9" s="411">
        <f t="shared" si="0"/>
        <v>0</v>
      </c>
      <c r="H9" s="56">
        <f>'1st IA ICTRs'!H21</f>
        <v>0</v>
      </c>
      <c r="I9" s="56">
        <v>0</v>
      </c>
      <c r="J9" s="478">
        <f t="shared" si="1"/>
        <v>0</v>
      </c>
      <c r="K9" s="134"/>
      <c r="N9" s="9"/>
      <c r="O9" s="9"/>
      <c r="P9" s="9"/>
      <c r="Q9" s="9"/>
      <c r="R9" s="9"/>
    </row>
    <row r="10" spans="1:18" ht="12.75">
      <c r="A10" s="211" t="s">
        <v>15</v>
      </c>
      <c r="B10" s="137">
        <f>'1st IA Load Pricing Results'!B19</f>
        <v>7650.859434530962</v>
      </c>
      <c r="C10" s="75">
        <f>'BRA Resource Clearing Results'!E26-'1stIA Resource Clearing Results'!M28</f>
        <v>6069.5</v>
      </c>
      <c r="D10" s="56">
        <f>'1st IA Load Pricing Results'!H55</f>
        <v>148.26717385778957</v>
      </c>
      <c r="E10" s="607">
        <f>B10-C10-D10</f>
        <v>1433.0922606731724</v>
      </c>
      <c r="F10" s="336">
        <v>0</v>
      </c>
      <c r="G10" s="56">
        <f t="shared" si="0"/>
        <v>1433.0922606731724</v>
      </c>
      <c r="H10" s="56">
        <v>0</v>
      </c>
      <c r="I10" s="56">
        <v>0</v>
      </c>
      <c r="J10" s="212">
        <f t="shared" si="1"/>
        <v>1433.0922606731724</v>
      </c>
      <c r="K10" s="134"/>
      <c r="N10" s="9"/>
      <c r="O10" s="9"/>
      <c r="P10" s="9"/>
      <c r="Q10" s="9"/>
      <c r="R10" s="9"/>
    </row>
    <row r="11" spans="1:18" ht="13.5" thickBot="1">
      <c r="A11" s="213" t="s">
        <v>51</v>
      </c>
      <c r="B11" s="214">
        <f>'1st IA Load Pricing Results'!K42</f>
        <v>14850.843575292307</v>
      </c>
      <c r="C11" s="209">
        <f>'1st IA Load Pricing Results'!C33</f>
        <v>8624.4</v>
      </c>
      <c r="D11" s="108">
        <f>'1st IA Load Pricing Results'!H42</f>
        <v>289.88412888813417</v>
      </c>
      <c r="E11" s="609">
        <f>B11-C11-D11-50.1430972418248</f>
        <v>5886.4163491623485</v>
      </c>
      <c r="F11" s="337">
        <v>0</v>
      </c>
      <c r="G11" s="108">
        <f t="shared" si="0"/>
        <v>5886.4163491623485</v>
      </c>
      <c r="H11" s="108">
        <v>0</v>
      </c>
      <c r="I11" s="108">
        <v>0</v>
      </c>
      <c r="J11" s="215">
        <f t="shared" si="1"/>
        <v>5886.4163491623485</v>
      </c>
      <c r="K11" s="134"/>
      <c r="N11" s="9"/>
      <c r="O11" s="9"/>
      <c r="P11" s="9"/>
      <c r="Q11" s="9"/>
      <c r="R11" s="9"/>
    </row>
    <row r="12" spans="1:18" ht="12.75">
      <c r="A12" s="6" t="s">
        <v>268</v>
      </c>
      <c r="B12" s="40"/>
      <c r="C12" s="40"/>
      <c r="D12" s="18"/>
      <c r="E12" s="479"/>
      <c r="F12" s="18"/>
      <c r="G12" s="26"/>
      <c r="H12" s="20"/>
      <c r="I12" s="26"/>
      <c r="J12" s="25"/>
      <c r="K12" s="55"/>
      <c r="N12" s="9"/>
      <c r="O12" s="9"/>
      <c r="P12" s="9"/>
      <c r="Q12" s="9"/>
      <c r="R12" s="9"/>
    </row>
    <row r="13" spans="1:18" ht="13.5" thickBot="1">
      <c r="A13" s="32"/>
      <c r="B13" s="40"/>
      <c r="C13" s="40"/>
      <c r="D13" s="18"/>
      <c r="E13" s="40"/>
      <c r="F13" s="18"/>
      <c r="G13" s="26"/>
      <c r="H13" s="20"/>
      <c r="I13" s="26"/>
      <c r="J13" s="25"/>
      <c r="K13" s="55"/>
      <c r="N13" s="9"/>
      <c r="O13" s="9"/>
      <c r="P13" s="9"/>
      <c r="Q13" s="9"/>
      <c r="R13" s="9"/>
    </row>
    <row r="14" spans="1:19" ht="14.25" thickBot="1">
      <c r="A14" s="704" t="s">
        <v>116</v>
      </c>
      <c r="B14" s="705"/>
      <c r="C14" s="705"/>
      <c r="D14" s="706"/>
      <c r="E14" s="54"/>
      <c r="F14" s="22"/>
      <c r="G14" s="22"/>
      <c r="H14" s="22"/>
      <c r="I14" s="22"/>
      <c r="J14" s="22"/>
      <c r="K14" s="22"/>
      <c r="L14" s="22"/>
      <c r="M14" s="22"/>
      <c r="N14" s="22"/>
      <c r="O14" s="22"/>
      <c r="P14" s="22"/>
      <c r="Q14" s="22"/>
      <c r="R14" s="22"/>
      <c r="S14" s="22"/>
    </row>
    <row r="15" spans="1:21" ht="13.5">
      <c r="A15" s="707"/>
      <c r="B15" s="708"/>
      <c r="C15" s="708"/>
      <c r="D15" s="709"/>
      <c r="E15" s="639" t="s">
        <v>30</v>
      </c>
      <c r="F15" s="700"/>
      <c r="G15" s="700" t="s">
        <v>41</v>
      </c>
      <c r="H15" s="700"/>
      <c r="I15" s="700" t="s">
        <v>5</v>
      </c>
      <c r="J15" s="700"/>
      <c r="K15" s="700" t="s">
        <v>48</v>
      </c>
      <c r="L15" s="700"/>
      <c r="M15" s="700" t="s">
        <v>46</v>
      </c>
      <c r="N15" s="700"/>
      <c r="O15" s="700" t="s">
        <v>15</v>
      </c>
      <c r="P15" s="640"/>
      <c r="Q15" s="700" t="s">
        <v>51</v>
      </c>
      <c r="R15" s="640"/>
      <c r="S15" s="22"/>
      <c r="T15" s="22"/>
      <c r="U15" s="22"/>
    </row>
    <row r="16" spans="1:21" ht="49.5" customHeight="1" thickBot="1">
      <c r="A16" s="707"/>
      <c r="B16" s="708"/>
      <c r="C16" s="708"/>
      <c r="D16" s="709"/>
      <c r="E16" s="480" t="s">
        <v>269</v>
      </c>
      <c r="F16" s="481">
        <f>'1st IA Load Pricing Results'!D16</f>
        <v>60.133112049275496</v>
      </c>
      <c r="G16" s="482" t="s">
        <v>269</v>
      </c>
      <c r="H16" s="481">
        <f>'1st IA Load Pricing Results'!D17-'1st IA Load Pricing Results'!D16</f>
        <v>0</v>
      </c>
      <c r="I16" s="482" t="s">
        <v>269</v>
      </c>
      <c r="J16" s="483">
        <f>'1st IA Load Pricing Results'!D18-'1st IA Load Pricing Results'!D16</f>
        <v>0</v>
      </c>
      <c r="K16" s="482" t="s">
        <v>269</v>
      </c>
      <c r="L16" s="481">
        <f>'1st IA Load Pricing Results'!D27</f>
        <v>99.58574658018112</v>
      </c>
      <c r="M16" s="482" t="s">
        <v>269</v>
      </c>
      <c r="N16" s="481">
        <f>'1st IA Load Pricing Results'!D30</f>
        <v>0</v>
      </c>
      <c r="O16" s="482" t="s">
        <v>269</v>
      </c>
      <c r="P16" s="484">
        <f>'1st IA Load Pricing Results'!D19-'1st IA Load Pricing Results'!D18</f>
        <v>0</v>
      </c>
      <c r="Q16" s="482" t="s">
        <v>269</v>
      </c>
      <c r="R16" s="484">
        <f>'1st IA Load Pricing Results'!D33</f>
        <v>35.0498492648764</v>
      </c>
      <c r="S16" s="22"/>
      <c r="T16" s="22"/>
      <c r="U16" s="22"/>
    </row>
    <row r="17" spans="1:22" ht="69.75" customHeight="1">
      <c r="A17" s="220" t="s">
        <v>7</v>
      </c>
      <c r="B17" s="82" t="s">
        <v>28</v>
      </c>
      <c r="C17" s="82" t="s">
        <v>27</v>
      </c>
      <c r="D17" s="82" t="s">
        <v>36</v>
      </c>
      <c r="E17" s="82" t="s">
        <v>104</v>
      </c>
      <c r="F17" s="82" t="s">
        <v>117</v>
      </c>
      <c r="G17" s="82" t="s">
        <v>104</v>
      </c>
      <c r="H17" s="82" t="s">
        <v>117</v>
      </c>
      <c r="I17" s="82" t="s">
        <v>104</v>
      </c>
      <c r="J17" s="82" t="s">
        <v>117</v>
      </c>
      <c r="K17" s="82" t="s">
        <v>104</v>
      </c>
      <c r="L17" s="82" t="s">
        <v>117</v>
      </c>
      <c r="M17" s="82" t="s">
        <v>104</v>
      </c>
      <c r="N17" s="82" t="s">
        <v>117</v>
      </c>
      <c r="O17" s="82" t="s">
        <v>104</v>
      </c>
      <c r="P17" s="82" t="s">
        <v>117</v>
      </c>
      <c r="Q17" s="82" t="s">
        <v>104</v>
      </c>
      <c r="R17" s="82" t="s">
        <v>117</v>
      </c>
      <c r="S17" s="82" t="s">
        <v>270</v>
      </c>
      <c r="T17" s="82" t="s">
        <v>271</v>
      </c>
      <c r="U17" s="82" t="s">
        <v>272</v>
      </c>
      <c r="V17" s="221" t="s">
        <v>273</v>
      </c>
    </row>
    <row r="18" spans="1:25" ht="12.75">
      <c r="A18" s="127" t="s">
        <v>16</v>
      </c>
      <c r="B18" s="80" t="s">
        <v>30</v>
      </c>
      <c r="C18" s="80" t="s">
        <v>41</v>
      </c>
      <c r="D18" s="80"/>
      <c r="E18" s="58">
        <f>IF(B18="MAAC",$J$5*'1st IA Load Pricing Results'!K39/'1st IA Load Pricing Results'!$B$16,0)</f>
        <v>31.643009780122938</v>
      </c>
      <c r="F18" s="485">
        <f>E18*$F$16</f>
        <v>1902.792652684453</v>
      </c>
      <c r="G18" s="58">
        <f>IF(C18="EMAAC",$J$6*'1st IA Load Pricing Results'!K39/'1st IA Load Pricing Results'!$B$17,0)</f>
        <v>383.6239849472082</v>
      </c>
      <c r="H18" s="485">
        <f>G18*$H$16</f>
        <v>0</v>
      </c>
      <c r="I18" s="58">
        <f>IF(C18="SWMAAC",$J$7*'1st IA Load Pricing Results'!K39/'1st IA Load Pricing Results'!$B$18,0)</f>
        <v>0</v>
      </c>
      <c r="J18" s="485">
        <f>I18*$J$16</f>
        <v>0</v>
      </c>
      <c r="K18" s="58">
        <f>IF(D18="PS",$J$8*'1st IA Load Pricing Results'!K39/'1st IA Load Pricing Results'!$K$57,0)</f>
        <v>0</v>
      </c>
      <c r="L18" s="485">
        <f>K18*$L$16</f>
        <v>0</v>
      </c>
      <c r="M18" s="58">
        <f>IF(D18="DPL",$J$9*'1st IA Load Pricing Results'!K39/'1st IA Load Pricing Results'!$K$49,0)</f>
        <v>0</v>
      </c>
      <c r="N18" s="485">
        <f>M18*$N$16</f>
        <v>0</v>
      </c>
      <c r="O18" s="58">
        <f>IF(D18="PEPCO",$J$10*'1st IA Load Pricing Results'!K39/'1st IA Load Pricing Results'!$K$55,0)</f>
        <v>0</v>
      </c>
      <c r="P18" s="485">
        <f>O18*$P$16</f>
        <v>0</v>
      </c>
      <c r="Q18" s="58">
        <f>IF(D18="ATSI",$J$11*'1st IA Load Pricing Results'!K39/'1st IA Load Pricing Results'!$K$42,0)</f>
        <v>0</v>
      </c>
      <c r="R18" s="485">
        <f>Q18*$R$16</f>
        <v>0</v>
      </c>
      <c r="S18" s="56">
        <f>MAX(E18,G18,I18,K18,M18,O18,Q18)</f>
        <v>383.6239849472082</v>
      </c>
      <c r="T18" s="59">
        <f>F18+H18+J18+L18+N18+P18+R18</f>
        <v>1902.792652684453</v>
      </c>
      <c r="U18" s="59">
        <f>T18/'1st IA Load Pricing Results'!K39</f>
        <v>0.6112079177928258</v>
      </c>
      <c r="V18" s="228">
        <f>IF(S18=0,0,T18/S18)</f>
        <v>4.960046105944869</v>
      </c>
      <c r="X18" s="389"/>
      <c r="Y18" s="389"/>
    </row>
    <row r="19" spans="1:25" ht="12.75">
      <c r="A19" s="127" t="s">
        <v>32</v>
      </c>
      <c r="B19" s="80"/>
      <c r="C19" s="80"/>
      <c r="D19" s="80"/>
      <c r="E19" s="58">
        <f>IF(B19="MAAC",$J$5*'1st IA Load Pricing Results'!K40/'1st IA Load Pricing Results'!$B$16,0)</f>
        <v>0</v>
      </c>
      <c r="F19" s="485">
        <f aca="true" t="shared" si="2" ref="F19:F37">E19*$F$16</f>
        <v>0</v>
      </c>
      <c r="G19" s="58">
        <f>IF(C19="EMAAC",$J$6*'1st IA Load Pricing Results'!K40/'1st IA Load Pricing Results'!$B$17,0)</f>
        <v>0</v>
      </c>
      <c r="H19" s="485">
        <f>G19*$H$16</f>
        <v>0</v>
      </c>
      <c r="I19" s="58">
        <f>IF(C19="SWMAAC",$J$7*'1st IA Load Pricing Results'!K40/'1st IA Load Pricing Results'!$B$18,0)</f>
        <v>0</v>
      </c>
      <c r="J19" s="485">
        <f>I19*$J$16</f>
        <v>0</v>
      </c>
      <c r="K19" s="58">
        <f>IF(D19="PS",$J$8*'1st IA Load Pricing Results'!K40/'1st IA Load Pricing Results'!$K$57,0)</f>
        <v>0</v>
      </c>
      <c r="L19" s="485">
        <f>K19*$L$16</f>
        <v>0</v>
      </c>
      <c r="M19" s="58">
        <f>IF(D19="DPL",$J$9*'1st IA Load Pricing Results'!K40/'1st IA Load Pricing Results'!$K$49,0)</f>
        <v>0</v>
      </c>
      <c r="N19" s="485">
        <f aca="true" t="shared" si="3" ref="N19:N37">M19*$N$16</f>
        <v>0</v>
      </c>
      <c r="O19" s="58">
        <f>IF(D19="PEPCO",$J$10*'1st IA Load Pricing Results'!K40/'1st IA Load Pricing Results'!$K$55,0)</f>
        <v>0</v>
      </c>
      <c r="P19" s="485">
        <f>O19*$P$16</f>
        <v>0</v>
      </c>
      <c r="Q19" s="58">
        <f>IF(D19="ATSI",$J$11*'1st IA Load Pricing Results'!K40/'1st IA Load Pricing Results'!$K$42,0)</f>
        <v>0</v>
      </c>
      <c r="R19" s="485">
        <f>Q19*$R$16</f>
        <v>0</v>
      </c>
      <c r="S19" s="56">
        <f aca="true" t="shared" si="4" ref="S19:S37">MAX(E19,G19,I19,K19,M19,O19,Q19)</f>
        <v>0</v>
      </c>
      <c r="T19" s="59">
        <f aca="true" t="shared" si="5" ref="T19:T37">F19+H19+J19+L19+N19+P19+R19</f>
        <v>0</v>
      </c>
      <c r="U19" s="59">
        <f>T19/'1st IA Load Pricing Results'!K40</f>
        <v>0</v>
      </c>
      <c r="V19" s="228">
        <f aca="true" t="shared" si="6" ref="V19:V36">IF(S19=0,0,T19/S19)</f>
        <v>0</v>
      </c>
      <c r="X19" s="389"/>
      <c r="Y19" s="389"/>
    </row>
    <row r="20" spans="1:25" ht="12.75">
      <c r="A20" s="127" t="s">
        <v>19</v>
      </c>
      <c r="B20" s="80" t="s">
        <v>24</v>
      </c>
      <c r="C20" s="80"/>
      <c r="D20" s="80"/>
      <c r="E20" s="58">
        <f>IF(B20="MAAC",$J$5*'1st IA Load Pricing Results'!K41/'1st IA Load Pricing Results'!$B$16,0)</f>
        <v>0</v>
      </c>
      <c r="F20" s="485">
        <f t="shared" si="2"/>
        <v>0</v>
      </c>
      <c r="G20" s="58">
        <f>IF(C20="EMAAC",$J$6*'1st IA Load Pricing Results'!K41/'1st IA Load Pricing Results'!$B$17,0)</f>
        <v>0</v>
      </c>
      <c r="H20" s="485">
        <f>G20*$H$16</f>
        <v>0</v>
      </c>
      <c r="I20" s="58">
        <f>IF(C20="SWMAAC",$J$7*'1st IA Load Pricing Results'!K41/'1st IA Load Pricing Results'!$B$18,0)</f>
        <v>0</v>
      </c>
      <c r="J20" s="485">
        <f>I20*$J$16</f>
        <v>0</v>
      </c>
      <c r="K20" s="58">
        <f>IF(D20="PS",$J$8*'1st IA Load Pricing Results'!K41/'1st IA Load Pricing Results'!$K$57,0)</f>
        <v>0</v>
      </c>
      <c r="L20" s="485">
        <f>K20*$L$16</f>
        <v>0</v>
      </c>
      <c r="M20" s="58">
        <f>IF(D20="DPL",$J$9*'1st IA Load Pricing Results'!K41/'1st IA Load Pricing Results'!$K$49,0)</f>
        <v>0</v>
      </c>
      <c r="N20" s="485">
        <f t="shared" si="3"/>
        <v>0</v>
      </c>
      <c r="O20" s="58">
        <f>IF(D20="PEPCO",$J$10*'1st IA Load Pricing Results'!K41/'1st IA Load Pricing Results'!$K$55,0)</f>
        <v>0</v>
      </c>
      <c r="P20" s="485">
        <f aca="true" t="shared" si="7" ref="P20:P33">O20*$P$16</f>
        <v>0</v>
      </c>
      <c r="Q20" s="58">
        <f>IF(D20="ATSI",$J$11*'1st IA Load Pricing Results'!K41/'1st IA Load Pricing Results'!$K$42,0)</f>
        <v>0</v>
      </c>
      <c r="R20" s="485">
        <f aca="true" t="shared" si="8" ref="R20:R37">Q20*$R$16</f>
        <v>0</v>
      </c>
      <c r="S20" s="56">
        <f t="shared" si="4"/>
        <v>0</v>
      </c>
      <c r="T20" s="59">
        <f t="shared" si="5"/>
        <v>0</v>
      </c>
      <c r="U20" s="59">
        <f>T20/'1st IA Load Pricing Results'!K41</f>
        <v>0</v>
      </c>
      <c r="V20" s="228">
        <f t="shared" si="6"/>
        <v>0</v>
      </c>
      <c r="X20" s="389"/>
      <c r="Y20" s="389"/>
    </row>
    <row r="21" spans="1:25" ht="12.75">
      <c r="A21" s="127" t="s">
        <v>51</v>
      </c>
      <c r="B21" s="80"/>
      <c r="C21" s="80"/>
      <c r="D21" s="80" t="s">
        <v>51</v>
      </c>
      <c r="E21" s="58">
        <f>IF(B21="MAAC",$J$5*'1st IA Load Pricing Results'!K42/'1st IA Load Pricing Results'!$B$16,0)</f>
        <v>0</v>
      </c>
      <c r="F21" s="485">
        <f>E21*$F$16</f>
        <v>0</v>
      </c>
      <c r="G21" s="58">
        <f>IF(C21="EMAAC",$J$6*'1st IA Load Pricing Results'!K42/'1st IA Load Pricing Results'!$B$17,0)</f>
        <v>0</v>
      </c>
      <c r="H21" s="485">
        <f>G21*$H$16</f>
        <v>0</v>
      </c>
      <c r="I21" s="58">
        <f>IF(C21="SWMAAC",$J$7*'1st IA Load Pricing Results'!K42/'1st IA Load Pricing Results'!$B$18,0)</f>
        <v>0</v>
      </c>
      <c r="J21" s="485">
        <f>I21*$J$16</f>
        <v>0</v>
      </c>
      <c r="K21" s="58">
        <f>IF(D21="PS",$J$8*'1st IA Load Pricing Results'!K42/'1st IA Load Pricing Results'!$K$57,0)</f>
        <v>0</v>
      </c>
      <c r="L21" s="485">
        <f aca="true" t="shared" si="9" ref="L21:L35">K21*$L$16</f>
        <v>0</v>
      </c>
      <c r="M21" s="58">
        <f>IF(D21="DPL",$J$9*'1st IA Load Pricing Results'!K42/'1st IA Load Pricing Results'!$K$49,0)</f>
        <v>0</v>
      </c>
      <c r="N21" s="485">
        <f t="shared" si="3"/>
        <v>0</v>
      </c>
      <c r="O21" s="58">
        <f>IF(D21="PEPCO",$J$10*'1st IA Load Pricing Results'!K42/'1st IA Load Pricing Results'!$K$55,0)</f>
        <v>0</v>
      </c>
      <c r="P21" s="485">
        <f t="shared" si="7"/>
        <v>0</v>
      </c>
      <c r="Q21" s="58">
        <f>IF(D21="ATSI",$J$11*'1st IA Load Pricing Results'!K42/'1st IA Load Pricing Results'!$K$42,0)</f>
        <v>5886.4163491623485</v>
      </c>
      <c r="R21" s="485">
        <f>Q21*$R$16</f>
        <v>206318.00574844435</v>
      </c>
      <c r="S21" s="56">
        <f t="shared" si="4"/>
        <v>5886.4163491623485</v>
      </c>
      <c r="T21" s="59">
        <f t="shared" si="5"/>
        <v>206318.00574844435</v>
      </c>
      <c r="U21" s="59">
        <f>T21/'1st IA Load Pricing Results'!K42</f>
        <v>13.892679207240484</v>
      </c>
      <c r="V21" s="228">
        <f>IF(S21=0,0,T21/S21)</f>
        <v>35.0498492648764</v>
      </c>
      <c r="X21" s="389"/>
      <c r="Y21" s="389"/>
    </row>
    <row r="22" spans="1:25" ht="12.75">
      <c r="A22" s="127" t="s">
        <v>11</v>
      </c>
      <c r="B22" s="80" t="s">
        <v>30</v>
      </c>
      <c r="C22" s="80" t="s">
        <v>5</v>
      </c>
      <c r="D22" s="80"/>
      <c r="E22" s="58">
        <f>IF(B22="MAAC",$J$5*'1st IA Load Pricing Results'!K43/'1st IA Load Pricing Results'!$B$16,0)</f>
        <v>82.94589840361174</v>
      </c>
      <c r="F22" s="485">
        <f t="shared" si="2"/>
        <v>4987.795002732206</v>
      </c>
      <c r="G22" s="58">
        <f>IF(C22="EMAAC",$J$6*'1st IA Load Pricing Results'!K43/'1st IA Load Pricing Results'!$B$17,0)</f>
        <v>0</v>
      </c>
      <c r="H22" s="485">
        <f aca="true" t="shared" si="10" ref="H22:H35">G22*$H$16</f>
        <v>0</v>
      </c>
      <c r="I22" s="58">
        <f>IF(C22="SWMAAC",$J$7*'1st IA Load Pricing Results'!K43/'1st IA Load Pricing Results'!$B$18,0)</f>
        <v>1752.7046583963433</v>
      </c>
      <c r="J22" s="485">
        <f>I22*$J$16</f>
        <v>0</v>
      </c>
      <c r="K22" s="58">
        <f>IF(D22="PS",$J$8*'1st IA Load Pricing Results'!K43/'1st IA Load Pricing Results'!$K$57,0)</f>
        <v>0</v>
      </c>
      <c r="L22" s="485">
        <f t="shared" si="9"/>
        <v>0</v>
      </c>
      <c r="M22" s="58">
        <f>IF(D22="DPL",$J$9*'1st IA Load Pricing Results'!K43/'1st IA Load Pricing Results'!$K$49,0)</f>
        <v>0</v>
      </c>
      <c r="N22" s="485">
        <f t="shared" si="3"/>
        <v>0</v>
      </c>
      <c r="O22" s="58">
        <f>IF(D22="PEPCO",$J$10*'1st IA Load Pricing Results'!K43/'1st IA Load Pricing Results'!$K$55,0)</f>
        <v>0</v>
      </c>
      <c r="P22" s="485">
        <f>O22*$P$16</f>
        <v>0</v>
      </c>
      <c r="Q22" s="58">
        <f>IF(D22="ATSI",$J$11*'1st IA Load Pricing Results'!K43/'1st IA Load Pricing Results'!$K$42,0)</f>
        <v>0</v>
      </c>
      <c r="R22" s="485">
        <f t="shared" si="8"/>
        <v>0</v>
      </c>
      <c r="S22" s="56">
        <f t="shared" si="4"/>
        <v>1752.7046583963433</v>
      </c>
      <c r="T22" s="59">
        <f t="shared" si="5"/>
        <v>4987.795002732206</v>
      </c>
      <c r="U22" s="59">
        <f>T22/'1st IA Load Pricing Results'!K43</f>
        <v>0.6112079177928258</v>
      </c>
      <c r="V22" s="486">
        <f t="shared" si="6"/>
        <v>2.8457703805590637</v>
      </c>
      <c r="X22" s="389"/>
      <c r="Y22" s="389"/>
    </row>
    <row r="23" spans="1:25" ht="12.75">
      <c r="A23" s="127" t="s">
        <v>20</v>
      </c>
      <c r="B23" s="80"/>
      <c r="C23" s="80"/>
      <c r="D23" s="80"/>
      <c r="E23" s="58">
        <f>IF(B23="MAAC",$J$5*'1st IA Load Pricing Results'!K44/'1st IA Load Pricing Results'!$B$16,0)</f>
        <v>0</v>
      </c>
      <c r="F23" s="485">
        <f t="shared" si="2"/>
        <v>0</v>
      </c>
      <c r="G23" s="58">
        <f>IF(C23="EMAAC",$J$6*'1st IA Load Pricing Results'!K44/'1st IA Load Pricing Results'!$B$17,0)</f>
        <v>0</v>
      </c>
      <c r="H23" s="485">
        <f t="shared" si="10"/>
        <v>0</v>
      </c>
      <c r="I23" s="58">
        <f>IF(C23="SWMAAC",$J$7*'1st IA Load Pricing Results'!K44/'1st IA Load Pricing Results'!$B$18,0)</f>
        <v>0</v>
      </c>
      <c r="J23" s="485">
        <f aca="true" t="shared" si="11" ref="J23:J36">I23*$J$16</f>
        <v>0</v>
      </c>
      <c r="K23" s="58">
        <f>IF(D23="PS",$J$8*'1st IA Load Pricing Results'!K44/'1st IA Load Pricing Results'!$K$57,0)</f>
        <v>0</v>
      </c>
      <c r="L23" s="485">
        <f t="shared" si="9"/>
        <v>0</v>
      </c>
      <c r="M23" s="58">
        <f>IF(D23="DPL",$J$9*'1st IA Load Pricing Results'!K44/'1st IA Load Pricing Results'!$K$49,0)</f>
        <v>0</v>
      </c>
      <c r="N23" s="485">
        <f t="shared" si="3"/>
        <v>0</v>
      </c>
      <c r="O23" s="58">
        <f>IF(D23="PEPCO",$J$10*'1st IA Load Pricing Results'!K44/'1st IA Load Pricing Results'!$K$55,0)</f>
        <v>0</v>
      </c>
      <c r="P23" s="485">
        <f t="shared" si="7"/>
        <v>0</v>
      </c>
      <c r="Q23" s="58">
        <f>IF(D23="ATSI",$J$11*'1st IA Load Pricing Results'!K44/'1st IA Load Pricing Results'!$K$42,0)</f>
        <v>0</v>
      </c>
      <c r="R23" s="485">
        <f t="shared" si="8"/>
        <v>0</v>
      </c>
      <c r="S23" s="56">
        <f t="shared" si="4"/>
        <v>0</v>
      </c>
      <c r="T23" s="59">
        <f t="shared" si="5"/>
        <v>0</v>
      </c>
      <c r="U23" s="59">
        <f>T23/'1st IA Load Pricing Results'!K44</f>
        <v>0</v>
      </c>
      <c r="V23" s="228">
        <f t="shared" si="6"/>
        <v>0</v>
      </c>
      <c r="X23" s="389"/>
      <c r="Y23" s="389"/>
    </row>
    <row r="24" spans="1:25" ht="12.75">
      <c r="A24" s="127" t="s">
        <v>21</v>
      </c>
      <c r="B24" s="80"/>
      <c r="C24" s="80"/>
      <c r="D24" s="80"/>
      <c r="E24" s="58">
        <f>IF(B24="MAAC",$J$5*'1st IA Load Pricing Results'!K45/'1st IA Load Pricing Results'!$B$16,0)</f>
        <v>0</v>
      </c>
      <c r="F24" s="485">
        <f t="shared" si="2"/>
        <v>0</v>
      </c>
      <c r="G24" s="58">
        <f>IF(C24="EMAAC",$J$6*'1st IA Load Pricing Results'!K45/'1st IA Load Pricing Results'!$B$17,0)</f>
        <v>0</v>
      </c>
      <c r="H24" s="485">
        <f>G24*$H$16</f>
        <v>0</v>
      </c>
      <c r="I24" s="58">
        <f>IF(C24="SWMAAC",$J$7*'1st IA Load Pricing Results'!K45/'1st IA Load Pricing Results'!$B$18,0)</f>
        <v>0</v>
      </c>
      <c r="J24" s="485">
        <f>I24*$J$16</f>
        <v>0</v>
      </c>
      <c r="K24" s="58">
        <f>IF(D24="PS",$J$8*'1st IA Load Pricing Results'!K45/'1st IA Load Pricing Results'!$K$57,0)</f>
        <v>0</v>
      </c>
      <c r="L24" s="485">
        <f t="shared" si="9"/>
        <v>0</v>
      </c>
      <c r="M24" s="58">
        <f>IF(D24="DPL",$J$9*'1st IA Load Pricing Results'!K45/'1st IA Load Pricing Results'!$K$49,0)</f>
        <v>0</v>
      </c>
      <c r="N24" s="485">
        <f t="shared" si="3"/>
        <v>0</v>
      </c>
      <c r="O24" s="58">
        <f>IF(D24="PEPCO",$J$10*'1st IA Load Pricing Results'!K45/'1st IA Load Pricing Results'!$K$55,0)</f>
        <v>0</v>
      </c>
      <c r="P24" s="485">
        <f t="shared" si="7"/>
        <v>0</v>
      </c>
      <c r="Q24" s="58">
        <f>IF(D24="ATSI",$J$11*'1st IA Load Pricing Results'!K45/'1st IA Load Pricing Results'!$K$42,0)</f>
        <v>0</v>
      </c>
      <c r="R24" s="485">
        <f t="shared" si="8"/>
        <v>0</v>
      </c>
      <c r="S24" s="56">
        <f t="shared" si="4"/>
        <v>0</v>
      </c>
      <c r="T24" s="59">
        <f t="shared" si="5"/>
        <v>0</v>
      </c>
      <c r="U24" s="59">
        <f>T24/'1st IA Load Pricing Results'!K45</f>
        <v>0</v>
      </c>
      <c r="V24" s="228">
        <f t="shared" si="6"/>
        <v>0</v>
      </c>
      <c r="X24" s="389"/>
      <c r="Y24" s="389"/>
    </row>
    <row r="25" spans="1:25" ht="12.75">
      <c r="A25" s="127" t="s">
        <v>65</v>
      </c>
      <c r="B25" s="80"/>
      <c r="C25" s="80"/>
      <c r="D25" s="80"/>
      <c r="E25" s="58">
        <f>IF(B25="MAAC",$J$5*'1st IA Load Pricing Results'!K46/'1st IA Load Pricing Results'!$B$16,0)</f>
        <v>0</v>
      </c>
      <c r="F25" s="485">
        <f>E25*$F$16</f>
        <v>0</v>
      </c>
      <c r="G25" s="58">
        <f>IF(C25="EMAAC",$J$6*'1st IA Load Pricing Results'!K46/'1st IA Load Pricing Results'!$B$17,0)</f>
        <v>0</v>
      </c>
      <c r="H25" s="485">
        <f>G25*$H$16</f>
        <v>0</v>
      </c>
      <c r="I25" s="58">
        <f>IF(C25="SWMAAC",$J$7*'1st IA Load Pricing Results'!K46/'1st IA Load Pricing Results'!$B$18,0)</f>
        <v>0</v>
      </c>
      <c r="J25" s="485">
        <f>I25*$J$16</f>
        <v>0</v>
      </c>
      <c r="K25" s="58">
        <f>IF(D25="PS",$J$8*'1st IA Load Pricing Results'!K46/'1st IA Load Pricing Results'!$K$57,0)</f>
        <v>0</v>
      </c>
      <c r="L25" s="485">
        <f t="shared" si="9"/>
        <v>0</v>
      </c>
      <c r="M25" s="58">
        <f>IF(D25="DPL",$J$9*'1st IA Load Pricing Results'!K46/'1st IA Load Pricing Results'!$K$49,0)</f>
        <v>0</v>
      </c>
      <c r="N25" s="485">
        <f t="shared" si="3"/>
        <v>0</v>
      </c>
      <c r="O25" s="58">
        <f>IF(D25="PEPCO",$J$10*'1st IA Load Pricing Results'!K46/'1st IA Load Pricing Results'!$K$55,0)</f>
        <v>0</v>
      </c>
      <c r="P25" s="485">
        <f t="shared" si="7"/>
        <v>0</v>
      </c>
      <c r="Q25" s="58">
        <f>IF(D25="ATSI",$J$11*'1st IA Load Pricing Results'!K46/'1st IA Load Pricing Results'!$K$42,0)</f>
        <v>0</v>
      </c>
      <c r="R25" s="485">
        <f t="shared" si="8"/>
        <v>0</v>
      </c>
      <c r="S25" s="56">
        <f t="shared" si="4"/>
        <v>0</v>
      </c>
      <c r="T25" s="59">
        <f t="shared" si="5"/>
        <v>0</v>
      </c>
      <c r="U25" s="59">
        <f>T25/'1st IA Load Pricing Results'!K46</f>
        <v>0</v>
      </c>
      <c r="V25" s="228">
        <f>IF(S25=0,0,T25/S25)</f>
        <v>0</v>
      </c>
      <c r="X25" s="389"/>
      <c r="Y25" s="389"/>
    </row>
    <row r="26" spans="1:25" ht="12.75">
      <c r="A26" s="127" t="s">
        <v>50</v>
      </c>
      <c r="B26" s="80"/>
      <c r="C26" s="80"/>
      <c r="D26" s="80"/>
      <c r="E26" s="58">
        <f>IF(B26="MAAC",$J$5*'1st IA Load Pricing Results'!K47/'1st IA Load Pricing Results'!$B$16,0)</f>
        <v>0</v>
      </c>
      <c r="F26" s="485">
        <f t="shared" si="2"/>
        <v>0</v>
      </c>
      <c r="G26" s="58">
        <f>IF(C26="EMAAC",$J$6*'1st IA Load Pricing Results'!K47/'1st IA Load Pricing Results'!$B$17,0)</f>
        <v>0</v>
      </c>
      <c r="H26" s="485">
        <f>G26*$H$16</f>
        <v>0</v>
      </c>
      <c r="I26" s="58">
        <f>IF(C26="SWMAAC",$J$7*'1st IA Load Pricing Results'!K47/'1st IA Load Pricing Results'!$B$18,0)</f>
        <v>0</v>
      </c>
      <c r="J26" s="485">
        <f>I26*$J$16</f>
        <v>0</v>
      </c>
      <c r="K26" s="58">
        <f>IF(D26="PS",$J$8*'1st IA Load Pricing Results'!K47/'1st IA Load Pricing Results'!$K$57,0)</f>
        <v>0</v>
      </c>
      <c r="L26" s="485">
        <f t="shared" si="9"/>
        <v>0</v>
      </c>
      <c r="M26" s="58">
        <f>IF(D26="DPL",$J$9*'1st IA Load Pricing Results'!K47/'1st IA Load Pricing Results'!$K$49,0)</f>
        <v>0</v>
      </c>
      <c r="N26" s="485">
        <f t="shared" si="3"/>
        <v>0</v>
      </c>
      <c r="O26" s="58">
        <f>IF(D26="PEPCO",$J$10*'1st IA Load Pricing Results'!K47/'1st IA Load Pricing Results'!$K$55,0)</f>
        <v>0</v>
      </c>
      <c r="P26" s="485">
        <f t="shared" si="7"/>
        <v>0</v>
      </c>
      <c r="Q26" s="58">
        <f>IF(D26="ATSI",$J$11*'1st IA Load Pricing Results'!K47/'1st IA Load Pricing Results'!$K$42,0)</f>
        <v>0</v>
      </c>
      <c r="R26" s="485">
        <f t="shared" si="8"/>
        <v>0</v>
      </c>
      <c r="S26" s="56">
        <f t="shared" si="4"/>
        <v>0</v>
      </c>
      <c r="T26" s="59">
        <f t="shared" si="5"/>
        <v>0</v>
      </c>
      <c r="U26" s="59">
        <f>T26/'1st IA Load Pricing Results'!K47</f>
        <v>0</v>
      </c>
      <c r="V26" s="228">
        <f t="shared" si="6"/>
        <v>0</v>
      </c>
      <c r="X26" s="389"/>
      <c r="Y26" s="389"/>
    </row>
    <row r="27" spans="1:25" ht="12.75">
      <c r="A27" s="127" t="s">
        <v>33</v>
      </c>
      <c r="B27" s="80"/>
      <c r="C27" s="80"/>
      <c r="D27" s="80"/>
      <c r="E27" s="58">
        <f>IF(B27="MAAC",$J$5*'1st IA Load Pricing Results'!K48/'1st IA Load Pricing Results'!$B$16,0)</f>
        <v>0</v>
      </c>
      <c r="F27" s="485">
        <f t="shared" si="2"/>
        <v>0</v>
      </c>
      <c r="G27" s="58">
        <f>IF(C27="EMAAC",$J$6*'1st IA Load Pricing Results'!K48/'1st IA Load Pricing Results'!$B$17,0)</f>
        <v>0</v>
      </c>
      <c r="H27" s="485">
        <f t="shared" si="10"/>
        <v>0</v>
      </c>
      <c r="I27" s="58">
        <f>IF(C27="SWMAAC",$J$7*'1st IA Load Pricing Results'!K48/'1st IA Load Pricing Results'!$B$18,0)</f>
        <v>0</v>
      </c>
      <c r="J27" s="485">
        <f>I27*$J$16</f>
        <v>0</v>
      </c>
      <c r="K27" s="58">
        <f>IF(D27="PS",$J$8*'1st IA Load Pricing Results'!K48/'1st IA Load Pricing Results'!$K$57,0)</f>
        <v>0</v>
      </c>
      <c r="L27" s="485">
        <f t="shared" si="9"/>
        <v>0</v>
      </c>
      <c r="M27" s="58">
        <f>IF(D27="DPL",$J$9*'1st IA Load Pricing Results'!K48/'1st IA Load Pricing Results'!$K$49,0)</f>
        <v>0</v>
      </c>
      <c r="N27" s="485">
        <f t="shared" si="3"/>
        <v>0</v>
      </c>
      <c r="O27" s="58">
        <f>IF(D27="PEPCO",$J$10*'1st IA Load Pricing Results'!K48/'1st IA Load Pricing Results'!$K$55,0)</f>
        <v>0</v>
      </c>
      <c r="P27" s="485">
        <f t="shared" si="7"/>
        <v>0</v>
      </c>
      <c r="Q27" s="58">
        <f>IF(D27="ATSI",$J$11*'1st IA Load Pricing Results'!K48/'1st IA Load Pricing Results'!$K$42,0)</f>
        <v>0</v>
      </c>
      <c r="R27" s="485">
        <f t="shared" si="8"/>
        <v>0</v>
      </c>
      <c r="S27" s="56">
        <f t="shared" si="4"/>
        <v>0</v>
      </c>
      <c r="T27" s="59">
        <f t="shared" si="5"/>
        <v>0</v>
      </c>
      <c r="U27" s="59">
        <f>T27/'1st IA Load Pricing Results'!K48</f>
        <v>0</v>
      </c>
      <c r="V27" s="228">
        <f t="shared" si="6"/>
        <v>0</v>
      </c>
      <c r="X27" s="389"/>
      <c r="Y27" s="389"/>
    </row>
    <row r="28" spans="1:25" ht="12.75">
      <c r="A28" s="127" t="s">
        <v>17</v>
      </c>
      <c r="B28" s="80" t="s">
        <v>30</v>
      </c>
      <c r="C28" s="80" t="s">
        <v>41</v>
      </c>
      <c r="D28" s="80" t="s">
        <v>17</v>
      </c>
      <c r="E28" s="58">
        <f>IF(B28="MAAC",$J$5*'1st IA Load Pricing Results'!K49/'1st IA Load Pricing Results'!$B$16,0)</f>
        <v>48.0304513424286</v>
      </c>
      <c r="F28" s="485">
        <f t="shared" si="2"/>
        <v>2888.2205123515337</v>
      </c>
      <c r="G28" s="58">
        <f>IF(C28="EMAAC",$J$6*'1st IA Load Pricing Results'!K49/'1st IA Load Pricing Results'!$B$17,0)</f>
        <v>582.2971098776388</v>
      </c>
      <c r="H28" s="485">
        <f>G28*$H$16</f>
        <v>0</v>
      </c>
      <c r="I28" s="58">
        <f>IF(C28="SWMAAC",$J$7*'1st IA Load Pricing Results'!K49/'1st IA Load Pricing Results'!$B$18,0)</f>
        <v>0</v>
      </c>
      <c r="J28" s="485">
        <f t="shared" si="11"/>
        <v>0</v>
      </c>
      <c r="K28" s="58">
        <f>IF(D28="PS",$J$8*'1st IA Load Pricing Results'!K49/'1st IA Load Pricing Results'!$K$57,0)</f>
        <v>0</v>
      </c>
      <c r="L28" s="485">
        <f t="shared" si="9"/>
        <v>0</v>
      </c>
      <c r="M28" s="58">
        <f>IF(D28="DPL",$J$9*'1st IA Load Pricing Results'!K49/'1st IA Load Pricing Results'!$K$49,0)</f>
        <v>0</v>
      </c>
      <c r="N28" s="485">
        <f t="shared" si="3"/>
        <v>0</v>
      </c>
      <c r="O28" s="58">
        <f>IF(D28="PEPCO",$J$10*'1st IA Load Pricing Results'!K49/'1st IA Load Pricing Results'!$K$55,0)</f>
        <v>0</v>
      </c>
      <c r="P28" s="485">
        <f t="shared" si="7"/>
        <v>0</v>
      </c>
      <c r="Q28" s="58">
        <f>IF(D28="ATSI",$J$11*'1st IA Load Pricing Results'!K49/'1st IA Load Pricing Results'!$K$42,0)</f>
        <v>0</v>
      </c>
      <c r="R28" s="485">
        <f t="shared" si="8"/>
        <v>0</v>
      </c>
      <c r="S28" s="56">
        <f t="shared" si="4"/>
        <v>582.2971098776388</v>
      </c>
      <c r="T28" s="59">
        <f t="shared" si="5"/>
        <v>2888.2205123515337</v>
      </c>
      <c r="U28" s="59">
        <f>T28/'1st IA Load Pricing Results'!K49</f>
        <v>0.6112079177928258</v>
      </c>
      <c r="V28" s="228">
        <f t="shared" si="6"/>
        <v>4.960046105944868</v>
      </c>
      <c r="X28" s="389"/>
      <c r="Y28" s="389"/>
    </row>
    <row r="29" spans="1:25" ht="12.75">
      <c r="A29" s="127" t="s">
        <v>185</v>
      </c>
      <c r="B29" s="80"/>
      <c r="C29" s="80"/>
      <c r="D29" s="80"/>
      <c r="E29" s="58">
        <f>IF(B29="MAAC",$J$5*'1st IA Load Pricing Results'!K50/'1st IA Load Pricing Results'!$B$16,0)</f>
        <v>0</v>
      </c>
      <c r="F29" s="485">
        <f>E29*$F$16</f>
        <v>0</v>
      </c>
      <c r="G29" s="58">
        <f>IF(C29="EMAAC",$J$6*'1st IA Load Pricing Results'!K50/'1st IA Load Pricing Results'!$B$17,0)</f>
        <v>0</v>
      </c>
      <c r="H29" s="485">
        <f>G29*$H$16</f>
        <v>0</v>
      </c>
      <c r="I29" s="58">
        <f>IF(C29="SWMAAC",$J$7*'1st IA Load Pricing Results'!K50/'1st IA Load Pricing Results'!$B$18,0)</f>
        <v>0</v>
      </c>
      <c r="J29" s="485">
        <f>I29*$J$16</f>
        <v>0</v>
      </c>
      <c r="K29" s="58">
        <f>IF(D29="PS",$J$8*'1st IA Load Pricing Results'!K50/'1st IA Load Pricing Results'!$K$57,0)</f>
        <v>0</v>
      </c>
      <c r="L29" s="485">
        <f>K29*$L$16</f>
        <v>0</v>
      </c>
      <c r="M29" s="58">
        <f>IF(D29="DPL",$J$9*'1st IA Load Pricing Results'!K50/'1st IA Load Pricing Results'!$K$49,0)</f>
        <v>0</v>
      </c>
      <c r="N29" s="485">
        <f t="shared" si="3"/>
        <v>0</v>
      </c>
      <c r="O29" s="58">
        <f>IF(D29="PEPCO",$J$10*'1st IA Load Pricing Results'!K50/'1st IA Load Pricing Results'!$K$55,0)</f>
        <v>0</v>
      </c>
      <c r="P29" s="485">
        <f>O29*$P$16</f>
        <v>0</v>
      </c>
      <c r="Q29" s="58">
        <f>IF(D29="ATSI",$J$11*'1st IA Load Pricing Results'!K50/'1st IA Load Pricing Results'!$K$42,0)</f>
        <v>0</v>
      </c>
      <c r="R29" s="485">
        <f>Q29*$R$16</f>
        <v>0</v>
      </c>
      <c r="S29" s="56">
        <f>MAX(E29,G29,I29,K29,M29,O29,Q29)</f>
        <v>0</v>
      </c>
      <c r="T29" s="59">
        <f>F29+H29+J29+L29+N29+P29+R29</f>
        <v>0</v>
      </c>
      <c r="U29" s="59">
        <f>T29/'1st IA Load Pricing Results'!K50</f>
        <v>0</v>
      </c>
      <c r="V29" s="228">
        <f>IF(S29=0,0,T29/S29)</f>
        <v>0</v>
      </c>
      <c r="X29" s="389"/>
      <c r="Y29" s="389"/>
    </row>
    <row r="30" spans="1:25" ht="12.75">
      <c r="A30" s="127" t="s">
        <v>12</v>
      </c>
      <c r="B30" s="80" t="s">
        <v>30</v>
      </c>
      <c r="C30" s="80" t="s">
        <v>41</v>
      </c>
      <c r="D30" s="80"/>
      <c r="E30" s="58">
        <f>IF(B30="MAAC",$J$5*'1st IA Load Pricing Results'!K51/'1st IA Load Pricing Results'!$B$16,0)</f>
        <v>73.24815272078487</v>
      </c>
      <c r="F30" s="485">
        <f t="shared" si="2"/>
        <v>4404.639374961401</v>
      </c>
      <c r="G30" s="58">
        <f>IF(C30="EMAAC",$J$6*'1st IA Load Pricing Results'!K51/'1st IA Load Pricing Results'!$B$17,0)</f>
        <v>888.023877375296</v>
      </c>
      <c r="H30" s="485">
        <f>G30*$H$16</f>
        <v>0</v>
      </c>
      <c r="I30" s="58">
        <f>IF(C30="SWMAAC",$J$7*'1st IA Load Pricing Results'!K51/'1st IA Load Pricing Results'!$B$18,0)</f>
        <v>0</v>
      </c>
      <c r="J30" s="485">
        <f t="shared" si="11"/>
        <v>0</v>
      </c>
      <c r="K30" s="58">
        <f>IF(D30="PS",$J$8*'1st IA Load Pricing Results'!K51/'1st IA Load Pricing Results'!$K$57,0)</f>
        <v>0</v>
      </c>
      <c r="L30" s="485">
        <f t="shared" si="9"/>
        <v>0</v>
      </c>
      <c r="M30" s="58">
        <f>IF(D30="DPL",$J$9*'1st IA Load Pricing Results'!K51/'1st IA Load Pricing Results'!$K$49,0)</f>
        <v>0</v>
      </c>
      <c r="N30" s="485">
        <f t="shared" si="3"/>
        <v>0</v>
      </c>
      <c r="O30" s="58">
        <f>IF(D30="PEPCO",$J$10*'1st IA Load Pricing Results'!K51/'1st IA Load Pricing Results'!$K$55,0)</f>
        <v>0</v>
      </c>
      <c r="P30" s="485">
        <f t="shared" si="7"/>
        <v>0</v>
      </c>
      <c r="Q30" s="58">
        <f>IF(D30="ATSI",$J$11*'1st IA Load Pricing Results'!K51/'1st IA Load Pricing Results'!$K$42,0)</f>
        <v>0</v>
      </c>
      <c r="R30" s="485">
        <f t="shared" si="8"/>
        <v>0</v>
      </c>
      <c r="S30" s="56">
        <f t="shared" si="4"/>
        <v>888.023877375296</v>
      </c>
      <c r="T30" s="59">
        <f t="shared" si="5"/>
        <v>4404.639374961401</v>
      </c>
      <c r="U30" s="59">
        <f>T30/'1st IA Load Pricing Results'!K51</f>
        <v>0.6112079177928259</v>
      </c>
      <c r="V30" s="228">
        <f t="shared" si="6"/>
        <v>4.960046105944869</v>
      </c>
      <c r="X30" s="389"/>
      <c r="Y30" s="389"/>
    </row>
    <row r="31" spans="1:25" ht="12.75">
      <c r="A31" s="127" t="s">
        <v>13</v>
      </c>
      <c r="B31" s="80" t="s">
        <v>30</v>
      </c>
      <c r="C31" s="80"/>
      <c r="D31" s="80"/>
      <c r="E31" s="58">
        <f>IF(B31="MAAC",$J$5*'1st IA Load Pricing Results'!K52/'1st IA Load Pricing Results'!$B$16,0)</f>
        <v>34.97054076916422</v>
      </c>
      <c r="F31" s="485">
        <f t="shared" si="2"/>
        <v>2102.8874464959085</v>
      </c>
      <c r="G31" s="58">
        <f>IF(C31="EMAAC",$J$6*'1st IA Load Pricing Results'!K52/'1st IA Load Pricing Results'!$B$17,0)</f>
        <v>0</v>
      </c>
      <c r="H31" s="485">
        <f t="shared" si="10"/>
        <v>0</v>
      </c>
      <c r="I31" s="58">
        <f>IF(C31="SWMAAC",$J$7*'1st IA Load Pricing Results'!K52/'1st IA Load Pricing Results'!$B$18,0)</f>
        <v>0</v>
      </c>
      <c r="J31" s="485">
        <f t="shared" si="11"/>
        <v>0</v>
      </c>
      <c r="K31" s="58">
        <f>IF(D31="PS",$J$8*'1st IA Load Pricing Results'!K52/'1st IA Load Pricing Results'!$K$57,0)</f>
        <v>0</v>
      </c>
      <c r="L31" s="485">
        <f t="shared" si="9"/>
        <v>0</v>
      </c>
      <c r="M31" s="58">
        <f>IF(D31="DPL",$J$9*'1st IA Load Pricing Results'!K52/'1st IA Load Pricing Results'!$K$49,0)</f>
        <v>0</v>
      </c>
      <c r="N31" s="485">
        <f t="shared" si="3"/>
        <v>0</v>
      </c>
      <c r="O31" s="58">
        <f>IF(D31="PEPCO",$J$10*'1st IA Load Pricing Results'!K52/'1st IA Load Pricing Results'!$K$55,0)</f>
        <v>0</v>
      </c>
      <c r="P31" s="485">
        <f t="shared" si="7"/>
        <v>0</v>
      </c>
      <c r="Q31" s="58">
        <f>IF(D31="ATSI",$J$11*'1st IA Load Pricing Results'!K52/'1st IA Load Pricing Results'!$K$42,0)</f>
        <v>0</v>
      </c>
      <c r="R31" s="485">
        <f t="shared" si="8"/>
        <v>0</v>
      </c>
      <c r="S31" s="56">
        <f t="shared" si="4"/>
        <v>34.97054076916422</v>
      </c>
      <c r="T31" s="59">
        <f t="shared" si="5"/>
        <v>2102.8874464959085</v>
      </c>
      <c r="U31" s="59">
        <f>T31/'1st IA Load Pricing Results'!K52</f>
        <v>0.6112079177928258</v>
      </c>
      <c r="V31" s="228">
        <f t="shared" si="6"/>
        <v>60.13311204927549</v>
      </c>
      <c r="X31" s="389"/>
      <c r="Y31" s="389"/>
    </row>
    <row r="32" spans="1:25" ht="12.75">
      <c r="A32" s="127" t="s">
        <v>9</v>
      </c>
      <c r="B32" s="80" t="s">
        <v>30</v>
      </c>
      <c r="C32" s="80" t="s">
        <v>41</v>
      </c>
      <c r="D32" s="80"/>
      <c r="E32" s="58">
        <f>IF(B32="MAAC",$J$5*'1st IA Load Pricing Results'!K53/'1st IA Load Pricing Results'!$B$16,0)</f>
        <v>101.7524751398087</v>
      </c>
      <c r="F32" s="485">
        <f t="shared" si="2"/>
        <v>6118.692988873236</v>
      </c>
      <c r="G32" s="58">
        <f>IF(C32="EMAAC",$J$6*'1st IA Load Pricing Results'!K53/'1st IA Load Pricing Results'!$B$17,0)</f>
        <v>1233.5959904767155</v>
      </c>
      <c r="H32" s="485">
        <f>G32*$H$16</f>
        <v>0</v>
      </c>
      <c r="I32" s="58">
        <f>IF(C32="SWMAAC",$J$7*'1st IA Load Pricing Results'!K53/'1st IA Load Pricing Results'!$B$18,0)</f>
        <v>0</v>
      </c>
      <c r="J32" s="485">
        <f t="shared" si="11"/>
        <v>0</v>
      </c>
      <c r="K32" s="58">
        <f>IF(D32="PS",$J$8*'1st IA Load Pricing Results'!K53/'1st IA Load Pricing Results'!$K$57,0)</f>
        <v>0</v>
      </c>
      <c r="L32" s="485">
        <f t="shared" si="9"/>
        <v>0</v>
      </c>
      <c r="M32" s="58">
        <f>IF(D32="DPL",$J$9*'1st IA Load Pricing Results'!K53/'1st IA Load Pricing Results'!$K$49,0)</f>
        <v>0</v>
      </c>
      <c r="N32" s="485">
        <f t="shared" si="3"/>
        <v>0</v>
      </c>
      <c r="O32" s="58">
        <f>IF(D32="PEPCO",$J$10*'1st IA Load Pricing Results'!K53/'1st IA Load Pricing Results'!$K$55,0)</f>
        <v>0</v>
      </c>
      <c r="P32" s="485">
        <f t="shared" si="7"/>
        <v>0</v>
      </c>
      <c r="Q32" s="58">
        <f>IF(D32="ATSI",$J$11*'1st IA Load Pricing Results'!K53/'1st IA Load Pricing Results'!$K$42,0)</f>
        <v>0</v>
      </c>
      <c r="R32" s="485">
        <f t="shared" si="8"/>
        <v>0</v>
      </c>
      <c r="S32" s="56">
        <f t="shared" si="4"/>
        <v>1233.5959904767155</v>
      </c>
      <c r="T32" s="59">
        <f t="shared" si="5"/>
        <v>6118.692988873236</v>
      </c>
      <c r="U32" s="59">
        <f>T32/'1st IA Load Pricing Results'!K53</f>
        <v>0.6112079177928259</v>
      </c>
      <c r="V32" s="228">
        <f t="shared" si="6"/>
        <v>4.960046105944868</v>
      </c>
      <c r="X32" s="389"/>
      <c r="Y32" s="389"/>
    </row>
    <row r="33" spans="1:25" ht="12.75">
      <c r="A33" s="127" t="s">
        <v>14</v>
      </c>
      <c r="B33" s="80" t="s">
        <v>30</v>
      </c>
      <c r="C33" s="80"/>
      <c r="D33" s="80"/>
      <c r="E33" s="58">
        <f>IF(B33="MAAC",$J$5*'1st IA Load Pricing Results'!K54/'1st IA Load Pricing Results'!$B$16,0)</f>
        <v>34.52166177144197</v>
      </c>
      <c r="F33" s="485">
        <f t="shared" si="2"/>
        <v>2075.8949554293104</v>
      </c>
      <c r="G33" s="58">
        <f>IF(C33="EMAAC",$J$6*'1st IA Load Pricing Results'!K54/'1st IA Load Pricing Results'!$B$17,0)</f>
        <v>0</v>
      </c>
      <c r="H33" s="485">
        <f t="shared" si="10"/>
        <v>0</v>
      </c>
      <c r="I33" s="58">
        <f>IF(C33="SWMAAC",$J$7*'1st IA Load Pricing Results'!K54/'1st IA Load Pricing Results'!$B$18,0)</f>
        <v>0</v>
      </c>
      <c r="J33" s="485">
        <f t="shared" si="11"/>
        <v>0</v>
      </c>
      <c r="K33" s="58">
        <f>IF(D33="PS",$J$8*'1st IA Load Pricing Results'!K54/'1st IA Load Pricing Results'!$K$57,0)</f>
        <v>0</v>
      </c>
      <c r="L33" s="485">
        <f t="shared" si="9"/>
        <v>0</v>
      </c>
      <c r="M33" s="58">
        <f>IF(D33="DPL",$J$9*'1st IA Load Pricing Results'!K54/'1st IA Load Pricing Results'!$K$49,0)</f>
        <v>0</v>
      </c>
      <c r="N33" s="485">
        <f t="shared" si="3"/>
        <v>0</v>
      </c>
      <c r="O33" s="58">
        <f>IF(D33="PEPCO",$J$10*'1st IA Load Pricing Results'!K54/'1st IA Load Pricing Results'!$K$55,0)</f>
        <v>0</v>
      </c>
      <c r="P33" s="485">
        <f t="shared" si="7"/>
        <v>0</v>
      </c>
      <c r="Q33" s="58">
        <f>IF(D33="ATSI",$J$11*'1st IA Load Pricing Results'!K54/'1st IA Load Pricing Results'!$K$42,0)</f>
        <v>0</v>
      </c>
      <c r="R33" s="485">
        <f t="shared" si="8"/>
        <v>0</v>
      </c>
      <c r="S33" s="56">
        <f t="shared" si="4"/>
        <v>34.52166177144197</v>
      </c>
      <c r="T33" s="59">
        <f t="shared" si="5"/>
        <v>2075.8949554293104</v>
      </c>
      <c r="U33" s="59">
        <f>T33/'1st IA Load Pricing Results'!K54</f>
        <v>0.6112079177928258</v>
      </c>
      <c r="V33" s="228">
        <f t="shared" si="6"/>
        <v>60.133112049275496</v>
      </c>
      <c r="X33" s="389"/>
      <c r="Y33" s="389"/>
    </row>
    <row r="34" spans="1:25" ht="12.75">
      <c r="A34" s="127" t="s">
        <v>15</v>
      </c>
      <c r="B34" s="80" t="s">
        <v>30</v>
      </c>
      <c r="C34" s="80" t="s">
        <v>5</v>
      </c>
      <c r="D34" s="80" t="s">
        <v>15</v>
      </c>
      <c r="E34" s="58">
        <f>IF(B34="MAAC",$J$5*'1st IA Load Pricing Results'!K55/'1st IA Load Pricing Results'!$B$16,0)</f>
        <v>77.76523956507265</v>
      </c>
      <c r="F34" s="485">
        <f t="shared" si="2"/>
        <v>4676.2658643052655</v>
      </c>
      <c r="G34" s="58">
        <f>IF(C34="EMAAC",$J$6*'1st IA Load Pricing Results'!K55/'1st IA Load Pricing Results'!$B$17,0)</f>
        <v>0</v>
      </c>
      <c r="H34" s="485">
        <f t="shared" si="10"/>
        <v>0</v>
      </c>
      <c r="I34" s="58">
        <f>IF(C34="SWMAAC",$J$7*'1st IA Load Pricing Results'!K55/'1st IA Load Pricing Results'!$B$18,0)</f>
        <v>1643.2337254794934</v>
      </c>
      <c r="J34" s="485">
        <f t="shared" si="11"/>
        <v>0</v>
      </c>
      <c r="K34" s="58">
        <f>IF(D34="PS",$J$8*'1st IA Load Pricing Results'!K55/'1st IA Load Pricing Results'!$K$57,0)</f>
        <v>0</v>
      </c>
      <c r="L34" s="485">
        <f t="shared" si="9"/>
        <v>0</v>
      </c>
      <c r="M34" s="58">
        <f>IF(D34="DPL",$J$9*'1st IA Load Pricing Results'!K55/'1st IA Load Pricing Results'!$K$49,0)</f>
        <v>0</v>
      </c>
      <c r="N34" s="485">
        <f t="shared" si="3"/>
        <v>0</v>
      </c>
      <c r="O34" s="58">
        <f>IF(D34="PEPCO",$J$10*'1st IA Load Pricing Results'!K55/'1st IA Load Pricing Results'!$K$55,0)</f>
        <v>1433.0922606731724</v>
      </c>
      <c r="P34" s="485">
        <f>O34*$P$16</f>
        <v>0</v>
      </c>
      <c r="Q34" s="58">
        <f>IF(D34="ATSI",$J$11*'1st IA Load Pricing Results'!K55/'1st IA Load Pricing Results'!$K$42,0)</f>
        <v>0</v>
      </c>
      <c r="R34" s="485">
        <f t="shared" si="8"/>
        <v>0</v>
      </c>
      <c r="S34" s="56">
        <f t="shared" si="4"/>
        <v>1643.2337254794934</v>
      </c>
      <c r="T34" s="59">
        <f t="shared" si="5"/>
        <v>4676.2658643052655</v>
      </c>
      <c r="U34" s="59">
        <f>T34/'1st IA Load Pricing Results'!K55</f>
        <v>0.6112079177928258</v>
      </c>
      <c r="V34" s="228">
        <f t="shared" si="6"/>
        <v>2.8457703805590633</v>
      </c>
      <c r="X34" s="389"/>
      <c r="Y34" s="389"/>
    </row>
    <row r="35" spans="1:25" ht="12.75">
      <c r="A35" s="127" t="s">
        <v>10</v>
      </c>
      <c r="B35" s="80" t="s">
        <v>30</v>
      </c>
      <c r="C35" s="80"/>
      <c r="D35" s="80"/>
      <c r="E35" s="58">
        <f>IF(B35="MAAC",$J$5*'1st IA Load Pricing Results'!K56/'1st IA Load Pricing Results'!$B$16,0)</f>
        <v>86.27498074136005</v>
      </c>
      <c r="F35" s="485">
        <f t="shared" si="2"/>
        <v>5187.9830839692895</v>
      </c>
      <c r="G35" s="58">
        <f>IF(C35="EMAAC",$J$6*'1st IA Load Pricing Results'!K56/'1st IA Load Pricing Results'!$B$17,0)</f>
        <v>0</v>
      </c>
      <c r="H35" s="485">
        <f t="shared" si="10"/>
        <v>0</v>
      </c>
      <c r="I35" s="58">
        <f>IF(C35="SWMAAC",$J$7*'1st IA Load Pricing Results'!K56/'1st IA Load Pricing Results'!$B$18,0)</f>
        <v>0</v>
      </c>
      <c r="J35" s="485">
        <f t="shared" si="11"/>
        <v>0</v>
      </c>
      <c r="K35" s="58">
        <f>IF(D35="PS",$J$8*'1st IA Load Pricing Results'!K56/'1st IA Load Pricing Results'!$K$57,0)</f>
        <v>0</v>
      </c>
      <c r="L35" s="485">
        <f t="shared" si="9"/>
        <v>0</v>
      </c>
      <c r="M35" s="58">
        <f>IF(D35="DPL",$J$9*'1st IA Load Pricing Results'!K56/'1st IA Load Pricing Results'!$K$49,0)</f>
        <v>0</v>
      </c>
      <c r="N35" s="485">
        <f t="shared" si="3"/>
        <v>0</v>
      </c>
      <c r="O35" s="58">
        <f>IF(D35="PEPCO",$J$10*'1st IA Load Pricing Results'!K56/'1st IA Load Pricing Results'!$K$55,0)</f>
        <v>0</v>
      </c>
      <c r="P35" s="485">
        <f>O35*$P$16</f>
        <v>0</v>
      </c>
      <c r="Q35" s="58">
        <f>IF(D35="ATSI",$J$11*'1st IA Load Pricing Results'!K56/'1st IA Load Pricing Results'!$K$42,0)</f>
        <v>0</v>
      </c>
      <c r="R35" s="485">
        <f t="shared" si="8"/>
        <v>0</v>
      </c>
      <c r="S35" s="56">
        <f t="shared" si="4"/>
        <v>86.27498074136005</v>
      </c>
      <c r="T35" s="59">
        <f t="shared" si="5"/>
        <v>5187.9830839692895</v>
      </c>
      <c r="U35" s="59">
        <f>T35/'1st IA Load Pricing Results'!K56</f>
        <v>0.6112079177928258</v>
      </c>
      <c r="V35" s="228">
        <f t="shared" si="6"/>
        <v>60.133112049275496</v>
      </c>
      <c r="X35" s="389"/>
      <c r="Y35" s="389"/>
    </row>
    <row r="36" spans="1:25" ht="12.75">
      <c r="A36" s="127" t="s">
        <v>8</v>
      </c>
      <c r="B36" s="80" t="s">
        <v>30</v>
      </c>
      <c r="C36" s="80" t="s">
        <v>41</v>
      </c>
      <c r="D36" s="80" t="s">
        <v>8</v>
      </c>
      <c r="E36" s="58">
        <f>IF(B36="MAAC",$J$5*'1st IA Load Pricing Results'!K57/'1st IA Load Pricing Results'!$B$16,0)</f>
        <v>120.81384865287822</v>
      </c>
      <c r="F36" s="485">
        <f t="shared" si="2"/>
        <v>7264.9126981477375</v>
      </c>
      <c r="G36" s="58">
        <f>IF(C36="EMAAC",$J$6*'1st IA Load Pricing Results'!K57/'1st IA Load Pricing Results'!$B$17,0)</f>
        <v>1464.6865256837773</v>
      </c>
      <c r="H36" s="485">
        <f>G36*$H$16</f>
        <v>0</v>
      </c>
      <c r="I36" s="58">
        <f>IF(C36="SWMAAC",$J$7*'1st IA Load Pricing Results'!K57/'1st IA Load Pricing Results'!$B$18,0)</f>
        <v>0</v>
      </c>
      <c r="J36" s="485">
        <f t="shared" si="11"/>
        <v>0</v>
      </c>
      <c r="K36" s="58">
        <f>IF(D36="PS",$J$8*'1st IA Load Pricing Results'!K57/'1st IA Load Pricing Results'!$K$57,0)</f>
        <v>4925.127710123378</v>
      </c>
      <c r="L36" s="485">
        <f>K36*$L$16</f>
        <v>490472.52001537447</v>
      </c>
      <c r="M36" s="58">
        <f>IF(D36="DPL",$J$9*'1st IA Load Pricing Results'!K57/'1st IA Load Pricing Results'!$K$49,0)</f>
        <v>0</v>
      </c>
      <c r="N36" s="485">
        <f t="shared" si="3"/>
        <v>0</v>
      </c>
      <c r="O36" s="58">
        <f>IF(D36="PEPCO",$J$10*'1st IA Load Pricing Results'!K57/'1st IA Load Pricing Results'!$K$55,0)</f>
        <v>0</v>
      </c>
      <c r="P36" s="485">
        <f>O36*$P$16</f>
        <v>0</v>
      </c>
      <c r="Q36" s="58">
        <f>IF(D36="ATSI",$J$11*'1st IA Load Pricing Results'!K57/'1st IA Load Pricing Results'!$K$42,0)</f>
        <v>0</v>
      </c>
      <c r="R36" s="485">
        <f t="shared" si="8"/>
        <v>0</v>
      </c>
      <c r="S36" s="56">
        <f t="shared" si="4"/>
        <v>4925.127710123378</v>
      </c>
      <c r="T36" s="59">
        <f t="shared" si="5"/>
        <v>497737.4327135222</v>
      </c>
      <c r="U36" s="59">
        <f>T36/'1st IA Load Pricing Results'!K57</f>
        <v>41.875391005585364</v>
      </c>
      <c r="V36" s="228">
        <f t="shared" si="6"/>
        <v>101.06081750742125</v>
      </c>
      <c r="X36" s="389"/>
      <c r="Y36" s="389"/>
    </row>
    <row r="37" spans="1:25" ht="13.5" thickBot="1">
      <c r="A37" s="487" t="s">
        <v>18</v>
      </c>
      <c r="B37" s="488" t="s">
        <v>30</v>
      </c>
      <c r="C37" s="488" t="s">
        <v>41</v>
      </c>
      <c r="D37" s="488"/>
      <c r="E37" s="58">
        <f>IF(B37="MAAC",$J$5*'1st IA Load Pricing Results'!K58/'1st IA Load Pricing Results'!$B$16,0)</f>
        <v>4.77800869904333</v>
      </c>
      <c r="F37" s="489">
        <f t="shared" si="2"/>
        <v>287.31653247198557</v>
      </c>
      <c r="G37" s="58">
        <f>IF(C37="EMAAC",$J$6*'1st IA Load Pricing Results'!K58/'1st IA Load Pricing Results'!$B$17,0)</f>
        <v>57.926181800532476</v>
      </c>
      <c r="H37" s="489">
        <f>G37*$H$16</f>
        <v>0</v>
      </c>
      <c r="I37" s="58">
        <f>IF(C37="SWMAAC",$J$7*'1st IA Load Pricing Results'!K58/'1st IA Load Pricing Results'!$B$18,0)</f>
        <v>0</v>
      </c>
      <c r="J37" s="489">
        <f>I37*$J$16</f>
        <v>0</v>
      </c>
      <c r="K37" s="58">
        <f>IF(D37="PS",$J$8*'1st IA Load Pricing Results'!K58/'1st IA Load Pricing Results'!$K$57,0)</f>
        <v>0</v>
      </c>
      <c r="L37" s="489">
        <f>K37*$L$16</f>
        <v>0</v>
      </c>
      <c r="M37" s="58">
        <f>IF(D37="DPL",$J$9*'1st IA Load Pricing Results'!K58/'1st IA Load Pricing Results'!$K$49,0)</f>
        <v>0</v>
      </c>
      <c r="N37" s="485">
        <f t="shared" si="3"/>
        <v>0</v>
      </c>
      <c r="O37" s="58">
        <f>IF(D37="PEPCO",$J$10*'1st IA Load Pricing Results'!K58/'1st IA Load Pricing Results'!$K$55,0)</f>
        <v>0</v>
      </c>
      <c r="P37" s="489">
        <f>O37*$P$16</f>
        <v>0</v>
      </c>
      <c r="Q37" s="58">
        <f>IF(D37="ATSI",$J$11*'1st IA Load Pricing Results'!K58/'1st IA Load Pricing Results'!$K$42,0)</f>
        <v>0</v>
      </c>
      <c r="R37" s="485">
        <f t="shared" si="8"/>
        <v>0</v>
      </c>
      <c r="S37" s="56">
        <f t="shared" si="4"/>
        <v>57.926181800532476</v>
      </c>
      <c r="T37" s="59">
        <f t="shared" si="5"/>
        <v>287.31653247198557</v>
      </c>
      <c r="U37" s="59">
        <f>T37/'1st IA Load Pricing Results'!K58</f>
        <v>0.6112079177928257</v>
      </c>
      <c r="V37" s="249">
        <f>IF(S37=0,0,T37/S37)</f>
        <v>4.960046105944867</v>
      </c>
      <c r="X37" s="389"/>
      <c r="Y37" s="389"/>
    </row>
    <row r="38" spans="1:22" ht="13.5" thickBot="1">
      <c r="A38" s="701" t="s">
        <v>89</v>
      </c>
      <c r="B38" s="702"/>
      <c r="C38" s="702"/>
      <c r="D38" s="703"/>
      <c r="E38" s="490">
        <f aca="true" t="shared" si="12" ref="E38:R38">SUM(E18:E37)</f>
        <v>696.7442675857171</v>
      </c>
      <c r="F38" s="253">
        <f t="shared" si="12"/>
        <v>41897.40111242233</v>
      </c>
      <c r="G38" s="490">
        <f t="shared" si="12"/>
        <v>4610.1536701611685</v>
      </c>
      <c r="H38" s="253">
        <f t="shared" si="12"/>
        <v>0</v>
      </c>
      <c r="I38" s="490">
        <f t="shared" si="12"/>
        <v>3395.9383838758367</v>
      </c>
      <c r="J38" s="253">
        <f t="shared" si="12"/>
        <v>0</v>
      </c>
      <c r="K38" s="490">
        <f t="shared" si="12"/>
        <v>4925.127710123378</v>
      </c>
      <c r="L38" s="253">
        <f t="shared" si="12"/>
        <v>490472.52001537447</v>
      </c>
      <c r="M38" s="490">
        <f t="shared" si="12"/>
        <v>0</v>
      </c>
      <c r="N38" s="253">
        <f t="shared" si="12"/>
        <v>0</v>
      </c>
      <c r="O38" s="490">
        <f t="shared" si="12"/>
        <v>1433.0922606731724</v>
      </c>
      <c r="P38" s="253">
        <f t="shared" si="12"/>
        <v>0</v>
      </c>
      <c r="Q38" s="490">
        <f t="shared" si="12"/>
        <v>5886.4163491623485</v>
      </c>
      <c r="R38" s="253">
        <f t="shared" si="12"/>
        <v>206318.00574844435</v>
      </c>
      <c r="S38" s="491"/>
      <c r="T38" s="253">
        <f>SUM(T18:T37)</f>
        <v>738687.9268762412</v>
      </c>
      <c r="U38" s="254"/>
      <c r="V38" s="255"/>
    </row>
    <row r="39" spans="1:20" ht="12.75">
      <c r="A39" s="12" t="s">
        <v>90</v>
      </c>
      <c r="T39" s="389"/>
    </row>
    <row r="40" ht="12.75">
      <c r="A40" s="12" t="s">
        <v>274</v>
      </c>
    </row>
    <row r="41" ht="12.75">
      <c r="A41" s="12" t="s">
        <v>92</v>
      </c>
    </row>
    <row r="42" ht="12.75">
      <c r="A42" s="12" t="s">
        <v>275</v>
      </c>
    </row>
  </sheetData>
  <sheetProtection/>
  <mergeCells count="9">
    <mergeCell ref="O15:P15"/>
    <mergeCell ref="Q15:R15"/>
    <mergeCell ref="A38:D38"/>
    <mergeCell ref="A14:D16"/>
    <mergeCell ref="E15:F15"/>
    <mergeCell ref="G15:H15"/>
    <mergeCell ref="I15:J15"/>
    <mergeCell ref="K15:L15"/>
    <mergeCell ref="M15:N15"/>
  </mergeCells>
  <printOptions/>
  <pageMargins left="0.45" right="0.45" top="0.5" bottom="0.5" header="0.3" footer="0.3"/>
  <pageSetup fitToHeight="1"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Bernstein, Jared</cp:lastModifiedBy>
  <cp:lastPrinted>2015-07-23T20:42:52Z</cp:lastPrinted>
  <dcterms:created xsi:type="dcterms:W3CDTF">2007-03-21T19:37:11Z</dcterms:created>
  <dcterms:modified xsi:type="dcterms:W3CDTF">2015-07-27T14:20:24Z</dcterms:modified>
  <cp:category/>
  <cp:version/>
  <cp:contentType/>
  <cp:contentStatus/>
</cp:coreProperties>
</file>