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91" windowWidth="14940" windowHeight="9150" activeTab="0"/>
  </bookViews>
  <sheets>
    <sheet name="2016-2017 Parameters" sheetId="1" r:id="rId1"/>
    <sheet name="Net CONE" sheetId="2" r:id="rId2"/>
    <sheet name="Key Transmission Upgrades" sheetId="3" r:id="rId3"/>
    <sheet name="Min Res Req'ments" sheetId="4" r:id="rId4"/>
  </sheets>
  <definedNames>
    <definedName name="_xlnm.Print_Area" localSheetId="0">'2016-2017 Parameters'!$A$1:$K$81</definedName>
    <definedName name="_xlnm.Print_Area" localSheetId="2">'Key Transmission Upgrades'!$A$1:$C$60</definedName>
    <definedName name="_xlnm.Print_Area" localSheetId="3">'Min Res Req''ments'!$A$1:$K$22</definedName>
    <definedName name="_xlnm.Print_Area" localSheetId="1">'Net CONE'!$A$1:$H$23</definedName>
  </definedNames>
  <calcPr fullCalcOnLoad="1"/>
</workbook>
</file>

<file path=xl/sharedStrings.xml><?xml version="1.0" encoding="utf-8"?>
<sst xmlns="http://schemas.openxmlformats.org/spreadsheetml/2006/main" count="492" uniqueCount="299">
  <si>
    <t>APS</t>
  </si>
  <si>
    <t>DPL</t>
  </si>
  <si>
    <t>AE</t>
  </si>
  <si>
    <t>BGE</t>
  </si>
  <si>
    <t>DLCO</t>
  </si>
  <si>
    <t>JCPL</t>
  </si>
  <si>
    <t>PECO</t>
  </si>
  <si>
    <t>PEPCO</t>
  </si>
  <si>
    <t>PS</t>
  </si>
  <si>
    <t>CETO</t>
  </si>
  <si>
    <t>Reliability Requirement</t>
  </si>
  <si>
    <t>CETL</t>
  </si>
  <si>
    <t xml:space="preserve"> </t>
  </si>
  <si>
    <t>RTO</t>
  </si>
  <si>
    <t>SWMAAC</t>
  </si>
  <si>
    <t>Western MAAC</t>
  </si>
  <si>
    <t>EMAAC</t>
  </si>
  <si>
    <t>MAAC</t>
  </si>
  <si>
    <t>COMED</t>
  </si>
  <si>
    <t>DAYTON</t>
  </si>
  <si>
    <t>DOM</t>
  </si>
  <si>
    <t>METED</t>
  </si>
  <si>
    <t>PENLC</t>
  </si>
  <si>
    <t>NA</t>
  </si>
  <si>
    <t>Point (a) UCAP Price, $/MW-Day</t>
  </si>
  <si>
    <t>Point (b) UCAP Price, $/MW-Day</t>
  </si>
  <si>
    <t>Point (c) UCAP Price, $/MW-Day</t>
  </si>
  <si>
    <t>Point (a) UCAP Level, MW</t>
  </si>
  <si>
    <t>Point (b) UCAP Level, MW</t>
  </si>
  <si>
    <t>Point (c) UCAP Level, MW</t>
  </si>
  <si>
    <t>Preliminary Zonal Peak Load Forecast</t>
  </si>
  <si>
    <t>Base Zonal FRR Scaling Factor</t>
  </si>
  <si>
    <t>PL (incl. UGI)</t>
  </si>
  <si>
    <t>Western PJM</t>
  </si>
  <si>
    <t xml:space="preserve">Installed Reserve Margin (IRM) </t>
  </si>
  <si>
    <t>Pool-Wide Average EFORd</t>
  </si>
  <si>
    <t>Forecast Pool Requirement (FPR)</t>
  </si>
  <si>
    <t>Preliminary Forecast Peak Load</t>
  </si>
  <si>
    <t>LDA/Zone</t>
  </si>
  <si>
    <t>RECO</t>
  </si>
  <si>
    <t>Pre-Clearing BRA Credit Rate, $/MW</t>
  </si>
  <si>
    <t>Notes:</t>
  </si>
  <si>
    <t>Demand Resource (DR) Factor</t>
  </si>
  <si>
    <t>LDA</t>
  </si>
  <si>
    <t>Short-Term Resource Procurement Target</t>
  </si>
  <si>
    <t>PS NORTH</t>
  </si>
  <si>
    <t>DPL SOUTH</t>
  </si>
  <si>
    <t>Preliminary FRR Obligation</t>
  </si>
  <si>
    <t>Total Peak Load of FRR Entities</t>
  </si>
  <si>
    <t>Reliability Requirement adjusted for FRR</t>
  </si>
  <si>
    <t>Net CONE, $/MW-Day (UCAP Price)</t>
  </si>
  <si>
    <t>* (Asterisk) – LDA has adequate internal resources to meet the reliability criterion.</t>
  </si>
  <si>
    <t>Variable Resource Requirement Curve:</t>
  </si>
  <si>
    <t>CETL to CETO Ratio</t>
  </si>
  <si>
    <t>&gt; 115%</t>
  </si>
  <si>
    <t>LDA CETO/CETL Data; Zonal Peak Loads, Base Zonal FRR Scaling Factors, and Zonal Short-Term Resource Procurement Target.</t>
  </si>
  <si>
    <t>ATSI</t>
  </si>
  <si>
    <t>LOCATIONAL DELIVERABILITY AREA (LDA)</t>
  </si>
  <si>
    <t>UCAP Price = ICAP Price/(1 - Pool-Wide Average EFORd)</t>
  </si>
  <si>
    <t>CONE Area 1</t>
  </si>
  <si>
    <t>CONE Area 2</t>
  </si>
  <si>
    <t>CONE Area 3</t>
  </si>
  <si>
    <t>CONE Area 4</t>
  </si>
  <si>
    <t>CONE Area 5</t>
  </si>
  <si>
    <t>Ancillary Services Offset, $/MW-Year per Tariff</t>
  </si>
  <si>
    <t>BGE Zonal LMP</t>
  </si>
  <si>
    <t>ComEd Zonal LMP</t>
  </si>
  <si>
    <t>MetEd Zonal LMP</t>
  </si>
  <si>
    <t>Dominion Zonal LMP</t>
  </si>
  <si>
    <t>Net CONE, $/MW-Day, ICAP Price</t>
  </si>
  <si>
    <t>Net CONE, $/MW-Day, UCAP Price</t>
  </si>
  <si>
    <t>CONE Area 1: AE, DPL, JCPL, PECO, PS, RECO</t>
  </si>
  <si>
    <t>CONE Area 2: BGE, PEPCO</t>
  </si>
  <si>
    <t>CONE Area 4: MetEd, Penelec, PPL</t>
  </si>
  <si>
    <t>CONE Area 5: Dominion</t>
  </si>
  <si>
    <t>North Atlantic</t>
  </si>
  <si>
    <t>North Central</t>
  </si>
  <si>
    <t>South Atlantic</t>
  </si>
  <si>
    <t>ICAP to UCAP Conversion Factor:</t>
  </si>
  <si>
    <t>Upgrade ID</t>
  </si>
  <si>
    <t>Description</t>
  </si>
  <si>
    <t>Transmission Owner</t>
  </si>
  <si>
    <t>AE Zonal LMP</t>
  </si>
  <si>
    <t xml:space="preserve">FRR Portion of the Preliminary Peak Load Forecast       </t>
  </si>
  <si>
    <t>AEP</t>
  </si>
  <si>
    <t>Minimum Extended Summer Resource Requirement</t>
  </si>
  <si>
    <t>Min Ext Summer Resource Req'ment, MW</t>
  </si>
  <si>
    <t>Min Annual Resource Req'ment, MW</t>
  </si>
  <si>
    <t>Forecast Pool Requirement</t>
  </si>
  <si>
    <t>Demand Resource Factor</t>
  </si>
  <si>
    <t>PJM Region</t>
  </si>
  <si>
    <t>Preliminary Peak Load Forecast</t>
  </si>
  <si>
    <t>FRR Peak Load</t>
  </si>
  <si>
    <t>Peak Load Forecast adjusted for FRR</t>
  </si>
  <si>
    <t>Percent of Preliminary Forecast Peak Load</t>
  </si>
  <si>
    <t>Unforced Capacity, MW</t>
  </si>
  <si>
    <t>Minimum Annual Resource Requirement</t>
  </si>
  <si>
    <t>MAAC: Used   Area 2 CONE</t>
  </si>
  <si>
    <t>** Used to allocate Short-Term Resource Procurement Target to Zones.</t>
  </si>
  <si>
    <t>Region basis for the Handy Whitman Index</t>
  </si>
  <si>
    <t>FRR Load Requirements:</t>
  </si>
  <si>
    <t>Min % Internal Resource Req'ment</t>
  </si>
  <si>
    <t>Min % Ext Summer Resource Req'ment</t>
  </si>
  <si>
    <t>Min % Annual Resource Req'ment</t>
  </si>
  <si>
    <t>Post-Clearing BRA Credit Rate (LMT), $/MW</t>
  </si>
  <si>
    <t>Post-Clearing BRA Credit Rate (ES), $/MW</t>
  </si>
  <si>
    <t>Post-Clearing BRA Credit Rate (ANL), $/MW</t>
  </si>
  <si>
    <t>DEOK</t>
  </si>
  <si>
    <t>Dominion</t>
  </si>
  <si>
    <t>MAAC CONE used is the lowest of the three CONE Areas 1, 2, and 4.</t>
  </si>
  <si>
    <t>Zonal LMP used for Net Energy Offset Calculation</t>
  </si>
  <si>
    <t>PJM Average LMP</t>
  </si>
  <si>
    <t>PPL</t>
  </si>
  <si>
    <t>PSEG</t>
  </si>
  <si>
    <t>b1251</t>
  </si>
  <si>
    <t>Rebuild the existing Bagley - Raphael Rd. 230 kV line to double circuit 230 kV line</t>
  </si>
  <si>
    <t>ComEd</t>
  </si>
  <si>
    <t>b1663</t>
  </si>
  <si>
    <t>b1801</t>
  </si>
  <si>
    <t>Build a 250 MVAR SVC at Altoona 230 kV</t>
  </si>
  <si>
    <t>ME</t>
  </si>
  <si>
    <t>PENELEC</t>
  </si>
  <si>
    <t>Minimum Resource Requirements for RPM, MW</t>
  </si>
  <si>
    <t>Limiting conditions at the CETL for modeled LDAs:</t>
  </si>
  <si>
    <t>CETL (Changes shown in red)</t>
  </si>
  <si>
    <t xml:space="preserve">  Extended Summer Demand Resource Reliability Target</t>
  </si>
  <si>
    <t xml:space="preserve">  Minimum Resource Requirements for FRR (% Obligation)</t>
  </si>
  <si>
    <t xml:space="preserve">  Limited Demand Resource Reliability Target</t>
  </si>
  <si>
    <t xml:space="preserve">  Quantities are in Unforced Capacity Megawatts</t>
  </si>
  <si>
    <t>Preliminary Zonal Peak Load Forecast less FRR load**</t>
  </si>
  <si>
    <t>ATSI-CLEVELAND</t>
  </si>
  <si>
    <t>RPM CONE and E&amp;AS Values for 2016/2017 Base Residual Auction</t>
  </si>
  <si>
    <t>2012 Zonal W/N Coincident Peak Loads</t>
  </si>
  <si>
    <t>1. Load data: from 2013 Load Report.</t>
  </si>
  <si>
    <t>2016-2017 RPM Base Residual Auction Planning Parameters</t>
  </si>
  <si>
    <t>CONE Area 3: AEP, APS, ATSI, ComEd, Dayton, DEOK, Duquesne (DLCo), EKPC</t>
  </si>
  <si>
    <t xml:space="preserve">Settlement CONE (2015/2016) approved by FERC: Levelized Revenue Requirement, $/MW-Year </t>
  </si>
  <si>
    <t>12 Months Handy Whitman Index (July 1, 2012)</t>
  </si>
  <si>
    <t>2016/2017 BRA CONE, escalated by Handy Whitman Index, $/MW-Year</t>
  </si>
  <si>
    <t>Historic (2010-2012) Net Energy Revenue Offset, $/MW-Year for the Zone in the CONE Area Specified</t>
  </si>
  <si>
    <t>2016/2017 Minimum Resource Requirements</t>
  </si>
  <si>
    <t>&gt; 1185</t>
  </si>
  <si>
    <t>&gt; 2427</t>
  </si>
  <si>
    <t>&gt; 2266</t>
  </si>
  <si>
    <t>&gt; 4370</t>
  </si>
  <si>
    <t>&gt; 1530</t>
  </si>
  <si>
    <t>&gt; 1104</t>
  </si>
  <si>
    <t>&gt; 1553</t>
  </si>
  <si>
    <t>&gt; 1150</t>
  </si>
  <si>
    <t>EKPC</t>
  </si>
  <si>
    <t>&gt; 667</t>
  </si>
  <si>
    <t>&gt; 1346</t>
  </si>
  <si>
    <t>&gt; 3289</t>
  </si>
  <si>
    <t>&gt; 1495</t>
  </si>
  <si>
    <t>&gt; 6831</t>
  </si>
  <si>
    <t>&gt; 1564</t>
  </si>
  <si>
    <t xml:space="preserve">  Voltage/Loss of Keeney - Rock Springs 500 kV</t>
  </si>
  <si>
    <t xml:space="preserve">  Thermal/Roseland - Cedar Grove 230 kV F</t>
  </si>
  <si>
    <t xml:space="preserve">  Thermal/Ashtabula 345/138 kV transformer</t>
  </si>
  <si>
    <t>b1589</t>
  </si>
  <si>
    <t>Re-configure the Kearny 230 kV substation and loop the P-2216-1 (Essex - NJT Meadows) 230 kV circuit</t>
  </si>
  <si>
    <t>b1591</t>
  </si>
  <si>
    <t>Reconductor the underground portion of the Richmond - Waneeta 230 kV, replace terminal equipments, and replace three 230 kV circuit breakers to give an emergency rating of 1195 MVA</t>
  </si>
  <si>
    <t>b1592</t>
  </si>
  <si>
    <t>Reconductor the Oak Grove – Bowie 230 kV circuit and upgrade terminal equipments at Oak Grove and Bowie 230 kV substations</t>
  </si>
  <si>
    <t>b1593</t>
  </si>
  <si>
    <t>Reconductor the Bowie - Burtonsville 230 kV circuit and upgrade terminal equipments at Bowie and Burtonsville 230 kV substations</t>
  </si>
  <si>
    <t>b1594</t>
  </si>
  <si>
    <t>Reconductor the Oak Grove – Bowie 230 kV ‘23042’ circuit and upgrade terminal equipments at Oak Grove and Bowie 230 kV substations</t>
  </si>
  <si>
    <t>b1595</t>
  </si>
  <si>
    <t>Reconductor the Bowie – Burtonsville 230 kV ‘23042’ circuit and upgrade terminal equipments at Oak Grove and Burtonsville 230 kV substations</t>
  </si>
  <si>
    <t>b1596</t>
  </si>
  <si>
    <t>Reconductor the Dickerson station “H” – Quince Orchard 230 kV ‘23032’ circuit and upgrade terminal equipments at Dickerson station “H” and Quince Orchard 230 kV substations</t>
  </si>
  <si>
    <t>b1597</t>
  </si>
  <si>
    <t>Reconductor the Oak Grove  - Aquasco 230 kV ‘23062’ circuit and upgrade terminal equipments at Oak Grove and Aquasco 230 kV substations</t>
  </si>
  <si>
    <t>Install a new 765/138 transformer, 6 new 138 kV breakers at Jackson's Ferry, breaker disconnect switches and associated bus work, 2 new 138 kV breakers at Wythe, breaker disconnect switches and associ</t>
  </si>
  <si>
    <t>b1663.2</t>
  </si>
  <si>
    <t>Install 2 765 kV circuit breakers, breaker disconnect switches and associated bus work for the new 765 kV breakers, and new relays for the 765 kV breakers at Jackson's Ferry</t>
  </si>
  <si>
    <t>b1690</t>
  </si>
  <si>
    <t>Build a new third 230 kV line into the Red Bank 230 kV substation</t>
  </si>
  <si>
    <t>b1694</t>
  </si>
  <si>
    <t>Rebuild Loudoun - Brambleton 500 kV</t>
  </si>
  <si>
    <t>b1697</t>
  </si>
  <si>
    <t>Build a 2nd Clark - Idylwood 230 kV line and install 230 kV gas-hybrid breakers at Clark</t>
  </si>
  <si>
    <t>b1698</t>
  </si>
  <si>
    <t>Install a 2nd 500/230 kV transformer at Brambleton</t>
  </si>
  <si>
    <t>b1699</t>
  </si>
  <si>
    <t>Reconfigure Line #203 to feed Edwards Ferry sub radial from Pleasant View 230 kV and install new breaker bay at Pleasant View Sub</t>
  </si>
  <si>
    <t>b1701</t>
  </si>
  <si>
    <t>Reconductor Fredericksburg - Cranes Corner 230 kV</t>
  </si>
  <si>
    <t>b1787</t>
  </si>
  <si>
    <t>Build a second 230 kV circuit from Cox's Corner - Lumberton</t>
  </si>
  <si>
    <t>b1800</t>
  </si>
  <si>
    <t>Build a 500 MVAR SVC at Hunterstown 500 kV</t>
  </si>
  <si>
    <t>b1804</t>
  </si>
  <si>
    <t>Build a 600 MVAR SVC at Meadow Brook 500 kV</t>
  </si>
  <si>
    <t>b1805</t>
  </si>
  <si>
    <t>Build a 250 MVAR SVC at Mt. Storm 500 kV &amp; change voltage regulation at Mt. Storm to 1.05 pu</t>
  </si>
  <si>
    <t>b1813.8</t>
  </si>
  <si>
    <t>Build a new Paupack - North 230 kV line (Approximately 21 miles)</t>
  </si>
  <si>
    <t>b1819</t>
  </si>
  <si>
    <t>Rebuild the Robinson Park - Sorenson 138 kV line corridor as a 345 kV double circuit line with one side operated at 345 kV and one side at 138 kV</t>
  </si>
  <si>
    <t>b1847</t>
  </si>
  <si>
    <t>Add 230 MVAR of capacitors at TSS 141 Pleasant Valley</t>
  </si>
  <si>
    <t>b1864.1</t>
  </si>
  <si>
    <t>Add two additional 345/138 kV transformers at Kammer</t>
  </si>
  <si>
    <t>b1864.2</t>
  </si>
  <si>
    <t>Add second West Bellaire - Brues 138 kV circuit</t>
  </si>
  <si>
    <t>b1905.1</t>
  </si>
  <si>
    <t>Surry to Skiffes Creek 500 kV Line (7 miles overhead)</t>
  </si>
  <si>
    <t>b1905.2</t>
  </si>
  <si>
    <t>Surry 500 kV Station Work</t>
  </si>
  <si>
    <t>b1905.3</t>
  </si>
  <si>
    <t>Skiffes Creek 500-230 kV Tx and Switching Station</t>
  </si>
  <si>
    <t>b1905.4</t>
  </si>
  <si>
    <t>New Skiffes Creek - Whealton 230 kV line</t>
  </si>
  <si>
    <t>b1906.5</t>
  </si>
  <si>
    <t>Install a third 500/230 kV TX at Yadkin</t>
  </si>
  <si>
    <t>b1907</t>
  </si>
  <si>
    <t>Install a 3rd 500/230 kV TX at Clover</t>
  </si>
  <si>
    <t>b1908</t>
  </si>
  <si>
    <t xml:space="preserve">Rebuild Lexington – Dooms 500 kV </t>
  </si>
  <si>
    <t>b1909</t>
  </si>
  <si>
    <t>Uprate Bremo – Midlothian 230 kV to its maximum operating temperature</t>
  </si>
  <si>
    <t>b1910</t>
  </si>
  <si>
    <t>Build a Suffolk – Yadkin 230 kV line (14 miles) and install 4 breakers</t>
  </si>
  <si>
    <t>b1911</t>
  </si>
  <si>
    <t xml:space="preserve">Add a second Valley 500/230 kV TX </t>
  </si>
  <si>
    <t>b1912</t>
  </si>
  <si>
    <t>Install a 500 MVAR SVC at Landstown 230 kV</t>
  </si>
  <si>
    <t>b1913.1</t>
  </si>
  <si>
    <t>Convert Eastlake unit 1 to synchronous condensers</t>
  </si>
  <si>
    <t>b1913.2</t>
  </si>
  <si>
    <t>Convert Eastlake unit 2 to synchronous condensers</t>
  </si>
  <si>
    <t>b1913.3</t>
  </si>
  <si>
    <t>Convert Eastlake unit 3 to synchronous condensers</t>
  </si>
  <si>
    <t>b1914</t>
  </si>
  <si>
    <t>Convert Lakeshore 18 to a synchronous condenser</t>
  </si>
  <si>
    <t>b1924</t>
  </si>
  <si>
    <t>Build a new Mansfield - Northfield ("Glen Willow") 345 kV line</t>
  </si>
  <si>
    <t>b1936</t>
  </si>
  <si>
    <t>Build new Allen Jct - Midway - Lemonye 345 kV line (48 miles of open tower position)</t>
  </si>
  <si>
    <t>b1948</t>
  </si>
  <si>
    <t>Establish a new 765/345 interconnection at Sporn. Install a 765/345 kV transformer at Mountaineer and build ¾ mile of 345 kV to Sporn</t>
  </si>
  <si>
    <t>b1959</t>
  </si>
  <si>
    <t>Build a new West Fremont-Groton-Hayes 138kV line</t>
  </si>
  <si>
    <t>b1972</t>
  </si>
  <si>
    <t>Replace disconnect switch on the South Canton 765/345 kV transformer</t>
  </si>
  <si>
    <t>b1977</t>
  </si>
  <si>
    <t>Build new Toronto 345/138 kV substation by looping in the Sammis – Wylie Ridge 345 kV line and tie in four 138 kV lines</t>
  </si>
  <si>
    <t>b1983</t>
  </si>
  <si>
    <t>Add 150 MVAR SVC and a 100 MVAR capacitor at New Castle</t>
  </si>
  <si>
    <t>b2003</t>
  </si>
  <si>
    <t>Construct a Whippany to Montville 230 kV line (6.4 miles)</t>
  </si>
  <si>
    <t>b2017</t>
  </si>
  <si>
    <t>Reconductor or rebuild Sporn - Waterford - Muskingum River 345 kV line</t>
  </si>
  <si>
    <t>b2019</t>
  </si>
  <si>
    <t>Establish Burger 345/138 kV station</t>
  </si>
  <si>
    <t>b2127</t>
  </si>
  <si>
    <t>Install two 300 MVAR SVC's on the 138 kV red and blue buses at Prospect Heights substation</t>
  </si>
  <si>
    <t>New Key Transmission Upgrades included for 2016/2017 model</t>
  </si>
  <si>
    <t>Key Transmission Upgrades included for 2015/2016 model but not included for 2016/2017 model</t>
  </si>
  <si>
    <t>b0497</t>
  </si>
  <si>
    <t>Install a second Conastone - Graceton 230 kV circuit and replace Conastone 230 kV breaker 2323/2302</t>
  </si>
  <si>
    <t>b1016</t>
  </si>
  <si>
    <t>Rebuild Graceton - Bagley 230 kV as double circuit line using 1590 ACSR. Terminate new line at Graceton with a new circuit breaker.</t>
  </si>
  <si>
    <t>b1383</t>
  </si>
  <si>
    <t>Install 2nd 500/138 kV transformer at 502 Junction</t>
  </si>
  <si>
    <t>ATSI-Cleveland</t>
  </si>
  <si>
    <t>&gt; 3795</t>
  </si>
  <si>
    <t>*</t>
  </si>
  <si>
    <t>Percent of Preliminary Forecast Peak Load *</t>
  </si>
  <si>
    <t xml:space="preserve">Pool-Wide Average EFORd for 2016/2017 = </t>
  </si>
  <si>
    <t>2. Adjustments were made in the Zonal Peak Load Forecast of AEP, DEOK, and EKPC to account for EKPC integration.</t>
  </si>
  <si>
    <t>CONE values are as filed on November 21, 2012, in Docket No. ER12-513-000 and approved by FERC January 31, 2013.</t>
  </si>
  <si>
    <t xml:space="preserve">ATSI, DPL and PS Zonal peak loads and Short-Term Resource Procurement Targets include the corresponding sub-zonal values. </t>
  </si>
  <si>
    <t xml:space="preserve">  Violation/Limiting Facility</t>
  </si>
  <si>
    <t xml:space="preserve">MAAC  </t>
  </si>
  <si>
    <t xml:space="preserve">EMAAC  </t>
  </si>
  <si>
    <t xml:space="preserve">SWMAAC  </t>
  </si>
  <si>
    <t xml:space="preserve">PS  </t>
  </si>
  <si>
    <t xml:space="preserve">PSNORTH  </t>
  </si>
  <si>
    <t xml:space="preserve">DPLSOUTH  </t>
  </si>
  <si>
    <t xml:space="preserve">PEPCO  </t>
  </si>
  <si>
    <t xml:space="preserve">ATSI  </t>
  </si>
  <si>
    <t xml:space="preserve">ATSI-CLEVELAND  </t>
  </si>
  <si>
    <t>Customer-Funded ICTRs Awarded</t>
  </si>
  <si>
    <t>&gt; 5900</t>
  </si>
  <si>
    <t xml:space="preserve">  Thermal/Sandy Springs-High Ridge 230 kV</t>
  </si>
  <si>
    <t xml:space="preserve">  Thermal/Graceton - Bagley 230 kV</t>
  </si>
  <si>
    <t xml:space="preserve">  Thermal/Cedar Grove F - Clifton K 230 kV line</t>
  </si>
  <si>
    <t xml:space="preserve">  Thermal/Easton - Trappe Tap 69 kV</t>
  </si>
  <si>
    <t xml:space="preserve">  Thermal/Conastone - Northwest 230 kV</t>
  </si>
  <si>
    <t>3. See "Net CONE" worksheet for Net CONE calculations.</t>
  </si>
  <si>
    <t xml:space="preserve">Planning Parameters were updated on 4/16/2013 to reflect: (1) FRR Elections for which FRR Obligations were satisfied by the 4/13/2013 deadline; (2) increased CETL for SWMAAC, PEPCO and DPL SOUTH LDAs associated with customer-funded upgrades for which ICTR certifications were made by the 3/29/2013 deadline; and (3) 13 MW decrease in EKPC forecast load due to correction of historical load data used in original EKPC load forecast.  </t>
  </si>
  <si>
    <t>Limited DR Reliability Targets revised based on FERC approved alternate methodology (Filing 20121130-er13-486-000).</t>
  </si>
  <si>
    <t>* Limited Demand Resource Reliability Targets revised based on FERC approved alternate methodology (Filing 20121130-er13-486-000).</t>
  </si>
  <si>
    <t>734653-v7</t>
  </si>
  <si>
    <t xml:space="preserve">Updated on 5/29/2013 - Added Post-Clearing Credit Rate. 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</si>
</sst>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%"/>
    <numFmt numFmtId="172" formatCode="0.0"/>
    <numFmt numFmtId="173" formatCode="&quot;$&quot;#,##0.00"/>
    <numFmt numFmtId="174" formatCode="#,##0.0"/>
    <numFmt numFmtId="175" formatCode="0.00000"/>
    <numFmt numFmtId="176" formatCode="&quot;$&quot;#,##0"/>
    <numFmt numFmtId="177" formatCode="#,##0.0000"/>
    <numFmt numFmtId="178" formatCode="[$-409]dddd\,\ mmmm\ dd\,\ yyyy"/>
    <numFmt numFmtId="179" formatCode="[$-409]h:mm:ss\ AM/PM"/>
    <numFmt numFmtId="180" formatCode="&quot;$&quot;#,##0.0"/>
    <numFmt numFmtId="181" formatCode="_(* #,##0.0_);_(* \(#,##0.0\);_(* &quot;-&quot;?_);_(@_)"/>
    <numFmt numFmtId="182" formatCode="_(* #,##0.0_);_(* \(#,##0.0\);_(* &quot;-&quot;??_);_(@_)"/>
    <numFmt numFmtId="183" formatCode="_(* #,##0.00000_);_(* \(#,##0.00000\);_(* &quot;-&quot;??_);_(@_)"/>
    <numFmt numFmtId="184" formatCode="_(* #,##0.0000_);_(* \(#,##0.0000\);_(* &quot;-&quot;????_);_(@_)"/>
    <numFmt numFmtId="185" formatCode="#,##0.000"/>
    <numFmt numFmtId="186" formatCode="0.0000000"/>
    <numFmt numFmtId="187" formatCode="0.000000"/>
    <numFmt numFmtId="188" formatCode="&quot;$&quot;#,##0.0_);[Red]\(&quot;$&quot;#,##0.0\)"/>
    <numFmt numFmtId="189" formatCode="&quot;$&quot;#,##0.000_);[Red]\(&quot;$&quot;#,##0.000\)"/>
    <numFmt numFmtId="190" formatCode="_(* #,##0.00000_);_(* \(#,##0.00000\);_(* &quot;-&quot;?????_);_(@_)"/>
    <numFmt numFmtId="191" formatCode="_(* #,##0_);_(* \(#,##0\);_(* &quot;-&quot;??_);_(@_)"/>
    <numFmt numFmtId="192" formatCode="0.000%"/>
    <numFmt numFmtId="193" formatCode="_(* #,##0.000_);_(* \(#,##0.000\);_(* &quot;-&quot;??_);_(@_)"/>
    <numFmt numFmtId="194" formatCode="_(* #,##0.0000_);_(* \(#,##0.0000\);_(* &quot;-&quot;??_);_(@_)"/>
    <numFmt numFmtId="195" formatCode="_(* #,##0.000000_);_(* \(#,##0.000000\);_(* &quot;-&quot;??_);_(@_)"/>
    <numFmt numFmtId="196" formatCode="m/d/yy\ h:mm;@"/>
    <numFmt numFmtId="197" formatCode="m/d/yy\ hhmm;@"/>
    <numFmt numFmtId="198" formatCode="_(* #,##0.0000000_);_(* \(#,##0.0000000\);_(* &quot;-&quot;??_);_(@_)"/>
    <numFmt numFmtId="199" formatCode="0.0000000000000000"/>
    <numFmt numFmtId="200" formatCode="0.00000000000000000"/>
    <numFmt numFmtId="201" formatCode="0.000000000000000000000"/>
    <numFmt numFmtId="202" formatCode="0.000000000000000"/>
    <numFmt numFmtId="203" formatCode="0.00000000000000"/>
    <numFmt numFmtId="204" formatCode="0.0000000000000"/>
    <numFmt numFmtId="205" formatCode="0.000000000000"/>
    <numFmt numFmtId="206" formatCode="0.00000000000"/>
    <numFmt numFmtId="207" formatCode="0.0000000000"/>
    <numFmt numFmtId="208" formatCode="0.000000000"/>
    <numFmt numFmtId="209" formatCode="0.00000000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</numFmts>
  <fonts count="6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56"/>
      <name val="Arial"/>
      <family val="2"/>
    </font>
    <font>
      <sz val="11"/>
      <color indexed="56"/>
      <name val="Calibri"/>
      <family val="2"/>
    </font>
    <font>
      <sz val="12"/>
      <color indexed="8"/>
      <name val="Symbol"/>
      <family val="1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002060"/>
      <name val="Arial"/>
      <family val="2"/>
    </font>
    <font>
      <sz val="11"/>
      <color rgb="FF1F497D"/>
      <name val="Calibri"/>
      <family val="2"/>
    </font>
    <font>
      <sz val="10"/>
      <color rgb="FF000000"/>
      <name val="Arial"/>
      <family val="2"/>
    </font>
    <font>
      <sz val="12"/>
      <color rgb="FF000000"/>
      <name val="Symbol"/>
      <family val="1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174" fontId="7" fillId="0" borderId="10" xfId="0" applyNumberFormat="1" applyFont="1" applyBorder="1" applyAlignment="1">
      <alignment horizontal="center" vertical="center" wrapText="1"/>
    </xf>
    <xf numFmtId="174" fontId="7" fillId="0" borderId="10" xfId="0" applyNumberFormat="1" applyFont="1" applyBorder="1" applyAlignment="1">
      <alignment horizontal="center" vertical="center"/>
    </xf>
    <xf numFmtId="174" fontId="7" fillId="0" borderId="10" xfId="61" applyNumberFormat="1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54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173" fontId="6" fillId="0" borderId="0" xfId="0" applyNumberFormat="1" applyFont="1" applyBorder="1" applyAlignment="1">
      <alignment horizontal="center" wrapText="1"/>
    </xf>
    <xf numFmtId="15" fontId="55" fillId="0" borderId="0" xfId="0" applyNumberFormat="1" applyFont="1" applyAlignment="1">
      <alignment horizontal="center"/>
    </xf>
    <xf numFmtId="0" fontId="6" fillId="12" borderId="10" xfId="0" applyFont="1" applyFill="1" applyBorder="1" applyAlignment="1">
      <alignment wrapText="1"/>
    </xf>
    <xf numFmtId="0" fontId="7" fillId="0" borderId="10" xfId="0" applyFont="1" applyBorder="1" applyAlignment="1">
      <alignment vertical="center" wrapText="1"/>
    </xf>
    <xf numFmtId="6" fontId="7" fillId="0" borderId="10" xfId="0" applyNumberFormat="1" applyFont="1" applyBorder="1" applyAlignment="1">
      <alignment horizontal="center" vertical="center" wrapText="1"/>
    </xf>
    <xf numFmtId="171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5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7" fillId="0" borderId="0" xfId="0" applyFont="1" applyAlignment="1">
      <alignment/>
    </xf>
    <xf numFmtId="182" fontId="7" fillId="0" borderId="10" xfId="42" applyNumberFormat="1" applyFont="1" applyBorder="1" applyAlignment="1">
      <alignment horizontal="center" vertical="center" wrapText="1"/>
    </xf>
    <xf numFmtId="182" fontId="2" fillId="0" borderId="0" xfId="0" applyNumberFormat="1" applyFont="1" applyFill="1" applyBorder="1" applyAlignment="1">
      <alignment horizontal="right"/>
    </xf>
    <xf numFmtId="173" fontId="0" fillId="0" borderId="0" xfId="0" applyNumberFormat="1" applyFont="1" applyAlignment="1">
      <alignment/>
    </xf>
    <xf numFmtId="0" fontId="7" fillId="0" borderId="10" xfId="0" applyFont="1" applyBorder="1" applyAlignment="1">
      <alignment vertical="center"/>
    </xf>
    <xf numFmtId="10" fontId="6" fillId="0" borderId="10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175" fontId="7" fillId="0" borderId="10" xfId="61" applyNumberFormat="1" applyFont="1" applyBorder="1" applyAlignment="1">
      <alignment horizontal="center" vertical="center"/>
    </xf>
    <xf numFmtId="172" fontId="7" fillId="0" borderId="10" xfId="61" applyNumberFormat="1" applyFont="1" applyBorder="1" applyAlignment="1">
      <alignment horizontal="center" vertical="center"/>
    </xf>
    <xf numFmtId="171" fontId="7" fillId="0" borderId="10" xfId="61" applyNumberFormat="1" applyFont="1" applyBorder="1" applyAlignment="1">
      <alignment horizontal="right" vertical="center"/>
    </xf>
    <xf numFmtId="171" fontId="7" fillId="0" borderId="10" xfId="0" applyNumberFormat="1" applyFont="1" applyBorder="1" applyAlignment="1">
      <alignment horizontal="right" vertical="center"/>
    </xf>
    <xf numFmtId="173" fontId="7" fillId="0" borderId="10" xfId="0" applyNumberFormat="1" applyFont="1" applyBorder="1" applyAlignment="1">
      <alignment horizontal="right" vertical="center" wrapText="1"/>
    </xf>
    <xf numFmtId="174" fontId="7" fillId="0" borderId="10" xfId="0" applyNumberFormat="1" applyFont="1" applyBorder="1" applyAlignment="1">
      <alignment horizontal="right" vertical="center" wrapText="1"/>
    </xf>
    <xf numFmtId="172" fontId="7" fillId="0" borderId="10" xfId="0" applyNumberFormat="1" applyFont="1" applyBorder="1" applyAlignment="1">
      <alignment horizontal="right" vertical="center"/>
    </xf>
    <xf numFmtId="174" fontId="7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174" fontId="6" fillId="0" borderId="10" xfId="0" applyNumberFormat="1" applyFont="1" applyBorder="1" applyAlignment="1">
      <alignment horizontal="right" vertical="center" wrapText="1"/>
    </xf>
    <xf numFmtId="173" fontId="6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174" fontId="7" fillId="0" borderId="10" xfId="61" applyNumberFormat="1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4" fontId="5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171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171" fontId="7" fillId="0" borderId="10" xfId="61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1" fontId="7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14" fontId="5" fillId="0" borderId="11" xfId="0" applyNumberFormat="1" applyFont="1" applyBorder="1" applyAlignment="1">
      <alignment horizontal="center" vertical="center"/>
    </xf>
    <xf numFmtId="173" fontId="0" fillId="0" borderId="0" xfId="0" applyNumberFormat="1" applyAlignment="1">
      <alignment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1" fontId="7" fillId="0" borderId="13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0" fontId="6" fillId="0" borderId="10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 vertical="center"/>
    </xf>
    <xf numFmtId="176" fontId="5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/>
    </xf>
    <xf numFmtId="0" fontId="6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174" fontId="7" fillId="0" borderId="10" xfId="42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/>
    </xf>
    <xf numFmtId="3" fontId="7" fillId="0" borderId="10" xfId="42" applyNumberFormat="1" applyFont="1" applyFill="1" applyBorder="1" applyAlignment="1">
      <alignment horizontal="right" vertical="center"/>
    </xf>
    <xf numFmtId="171" fontId="6" fillId="0" borderId="10" xfId="0" applyNumberFormat="1" applyFont="1" applyFill="1" applyBorder="1" applyAlignment="1">
      <alignment horizontal="right" vertical="center"/>
    </xf>
    <xf numFmtId="182" fontId="7" fillId="0" borderId="10" xfId="42" applyNumberFormat="1" applyFont="1" applyFill="1" applyBorder="1" applyAlignment="1">
      <alignment horizontal="right" vertical="center"/>
    </xf>
    <xf numFmtId="191" fontId="7" fillId="0" borderId="10" xfId="0" applyNumberFormat="1" applyFont="1" applyFill="1" applyBorder="1" applyAlignment="1">
      <alignment horizontal="right" vertical="center"/>
    </xf>
    <xf numFmtId="182" fontId="7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182" fontId="6" fillId="0" borderId="10" xfId="0" applyNumberFormat="1" applyFont="1" applyFill="1" applyBorder="1" applyAlignment="1">
      <alignment horizontal="right" vertical="center"/>
    </xf>
    <xf numFmtId="171" fontId="6" fillId="0" borderId="10" xfId="61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/>
    </xf>
    <xf numFmtId="191" fontId="58" fillId="0" borderId="10" xfId="0" applyNumberFormat="1" applyFont="1" applyFill="1" applyBorder="1" applyAlignment="1">
      <alignment horizontal="right" vertical="center"/>
    </xf>
    <xf numFmtId="0" fontId="7" fillId="0" borderId="17" xfId="0" applyFont="1" applyBorder="1" applyAlignment="1">
      <alignment horizontal="left" vertical="center" wrapText="1"/>
    </xf>
    <xf numFmtId="174" fontId="7" fillId="0" borderId="10" xfId="61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9" fontId="7" fillId="0" borderId="10" xfId="61" applyFont="1" applyBorder="1" applyAlignment="1">
      <alignment horizontal="center" vertical="center"/>
    </xf>
    <xf numFmtId="9" fontId="7" fillId="0" borderId="10" xfId="61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61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top" wrapText="1"/>
    </xf>
    <xf numFmtId="0" fontId="9" fillId="0" borderId="19" xfId="58" applyFont="1" applyBorder="1" applyAlignment="1">
      <alignment vertical="center"/>
      <protection/>
    </xf>
    <xf numFmtId="0" fontId="9" fillId="0" borderId="20" xfId="58" applyFont="1" applyBorder="1" applyAlignment="1">
      <alignment horizontal="center" vertical="center"/>
      <protection/>
    </xf>
    <xf numFmtId="0" fontId="9" fillId="0" borderId="21" xfId="58" applyFont="1" applyBorder="1" applyAlignment="1">
      <alignment vertical="center" wrapText="1"/>
      <protection/>
    </xf>
    <xf numFmtId="0" fontId="59" fillId="0" borderId="0" xfId="0" applyFont="1" applyAlignment="1">
      <alignment/>
    </xf>
    <xf numFmtId="182" fontId="7" fillId="0" borderId="10" xfId="42" applyNumberFormat="1" applyFont="1" applyBorder="1" applyAlignment="1">
      <alignment vertical="center" wrapText="1"/>
    </xf>
    <xf numFmtId="172" fontId="6" fillId="0" borderId="10" xfId="0" applyNumberFormat="1" applyFont="1" applyFill="1" applyBorder="1" applyAlignment="1">
      <alignment horizontal="right" vertical="center"/>
    </xf>
    <xf numFmtId="171" fontId="7" fillId="0" borderId="10" xfId="61" applyNumberFormat="1" applyFont="1" applyBorder="1" applyAlignment="1">
      <alignment vertical="center" wrapText="1"/>
    </xf>
    <xf numFmtId="171" fontId="7" fillId="0" borderId="16" xfId="61" applyNumberFormat="1" applyFont="1" applyBorder="1" applyAlignment="1">
      <alignment vertical="center" wrapText="1"/>
    </xf>
    <xf numFmtId="0" fontId="0" fillId="0" borderId="12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60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14" xfId="0" applyFont="1" applyFill="1" applyBorder="1" applyAlignment="1">
      <alignment vertical="top"/>
    </xf>
    <xf numFmtId="0" fontId="0" fillId="0" borderId="2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vertical="top"/>
    </xf>
    <xf numFmtId="0" fontId="0" fillId="0" borderId="23" xfId="0" applyFont="1" applyFill="1" applyBorder="1" applyAlignment="1">
      <alignment horizontal="center" vertical="top"/>
    </xf>
    <xf numFmtId="0" fontId="0" fillId="0" borderId="24" xfId="0" applyFont="1" applyFill="1" applyBorder="1" applyAlignment="1">
      <alignment vertical="top"/>
    </xf>
    <xf numFmtId="0" fontId="0" fillId="0" borderId="25" xfId="0" applyFont="1" applyFill="1" applyBorder="1" applyAlignment="1">
      <alignment vertical="top"/>
    </xf>
    <xf numFmtId="0" fontId="0" fillId="0" borderId="26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vertical="top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horizontal="center" vertical="top"/>
    </xf>
    <xf numFmtId="0" fontId="0" fillId="0" borderId="25" xfId="0" applyFont="1" applyFill="1" applyBorder="1" applyAlignment="1">
      <alignment vertical="top" wrapText="1"/>
    </xf>
    <xf numFmtId="172" fontId="7" fillId="0" borderId="10" xfId="42" applyNumberFormat="1" applyFont="1" applyBorder="1" applyAlignment="1">
      <alignment vertical="center" wrapText="1"/>
    </xf>
    <xf numFmtId="0" fontId="53" fillId="0" borderId="0" xfId="0" applyFont="1" applyAlignment="1">
      <alignment/>
    </xf>
    <xf numFmtId="0" fontId="61" fillId="0" borderId="0" xfId="0" applyFont="1" applyAlignment="1">
      <alignment horizontal="left" indent="4"/>
    </xf>
    <xf numFmtId="193" fontId="0" fillId="0" borderId="0" xfId="0" applyNumberFormat="1" applyFont="1" applyAlignment="1">
      <alignment/>
    </xf>
    <xf numFmtId="174" fontId="7" fillId="0" borderId="30" xfId="61" applyNumberFormat="1" applyFont="1" applyFill="1" applyBorder="1" applyAlignment="1">
      <alignment horizontal="right" vertical="center"/>
    </xf>
    <xf numFmtId="1" fontId="6" fillId="0" borderId="13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vertical="center"/>
    </xf>
    <xf numFmtId="208" fontId="7" fillId="0" borderId="0" xfId="0" applyNumberFormat="1" applyFont="1" applyBorder="1" applyAlignment="1">
      <alignment/>
    </xf>
    <xf numFmtId="0" fontId="7" fillId="0" borderId="31" xfId="0" applyFont="1" applyFill="1" applyBorder="1" applyAlignment="1">
      <alignment/>
    </xf>
    <xf numFmtId="173" fontId="54" fillId="0" borderId="10" xfId="45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/>
    </xf>
    <xf numFmtId="0" fontId="56" fillId="0" borderId="32" xfId="0" applyFont="1" applyBorder="1" applyAlignment="1">
      <alignment horizontal="left"/>
    </xf>
    <xf numFmtId="0" fontId="56" fillId="0" borderId="33" xfId="0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7" fillId="0" borderId="10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174" fontId="8" fillId="0" borderId="10" xfId="61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4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5" xfId="0" applyFont="1" applyBorder="1" applyAlignment="1">
      <alignment vertical="center"/>
    </xf>
    <xf numFmtId="0" fontId="6" fillId="0" borderId="0" xfId="58" applyFont="1" applyBorder="1" applyAlignment="1">
      <alignment horizontal="center" vertical="center"/>
      <protection/>
    </xf>
    <xf numFmtId="0" fontId="2" fillId="0" borderId="0" xfId="58" applyFont="1" applyBorder="1" applyAlignment="1">
      <alignment horizontal="center" vertical="center"/>
      <protection/>
    </xf>
    <xf numFmtId="0" fontId="62" fillId="0" borderId="19" xfId="0" applyFont="1" applyBorder="1" applyAlignment="1">
      <alignment horizontal="center" vertical="top"/>
    </xf>
    <xf numFmtId="0" fontId="62" fillId="0" borderId="20" xfId="0" applyFont="1" applyBorder="1" applyAlignment="1">
      <alignment horizontal="center" vertical="top"/>
    </xf>
    <xf numFmtId="0" fontId="62" fillId="0" borderId="21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zoomScaleSheetLayoutView="75" workbookViewId="0" topLeftCell="A1">
      <selection activeCell="A1" sqref="A1:F1"/>
    </sheetView>
  </sheetViews>
  <sheetFormatPr defaultColWidth="30.7109375" defaultRowHeight="12.75"/>
  <cols>
    <col min="1" max="1" width="47.00390625" style="0" customWidth="1"/>
    <col min="2" max="7" width="16.7109375" style="1" customWidth="1"/>
    <col min="8" max="8" width="16.7109375" style="0" customWidth="1"/>
    <col min="9" max="9" width="17.7109375" style="0" customWidth="1"/>
    <col min="10" max="11" width="18.7109375" style="0" customWidth="1"/>
  </cols>
  <sheetData>
    <row r="1" spans="1:9" ht="24.75" customHeight="1" thickBot="1">
      <c r="A1" s="169" t="s">
        <v>134</v>
      </c>
      <c r="B1" s="170"/>
      <c r="C1" s="170"/>
      <c r="D1" s="170"/>
      <c r="E1" s="170"/>
      <c r="F1" s="171"/>
      <c r="G1" s="68">
        <v>41423</v>
      </c>
      <c r="H1" s="109" t="s">
        <v>297</v>
      </c>
      <c r="I1" s="56" t="s">
        <v>12</v>
      </c>
    </row>
    <row r="2" spans="1:9" ht="18.75" thickBot="1">
      <c r="A2" s="151" t="s">
        <v>298</v>
      </c>
      <c r="B2" s="152"/>
      <c r="C2" s="152"/>
      <c r="D2" s="152"/>
      <c r="E2" s="152"/>
      <c r="F2" s="153"/>
      <c r="G2" s="58"/>
      <c r="H2" s="56"/>
      <c r="I2" s="56"/>
    </row>
    <row r="3" spans="1:12" ht="19.5" customHeight="1">
      <c r="A3" s="145"/>
      <c r="B3" s="146" t="s">
        <v>13</v>
      </c>
      <c r="C3" s="157" t="s">
        <v>41</v>
      </c>
      <c r="D3" s="157"/>
      <c r="E3" s="157"/>
      <c r="F3" s="157"/>
      <c r="G3" s="158"/>
      <c r="H3" s="158"/>
      <c r="I3" s="158"/>
      <c r="J3" s="158"/>
      <c r="K3" s="158"/>
      <c r="L3" s="119" t="s">
        <v>12</v>
      </c>
    </row>
    <row r="4" spans="1:11" ht="19.5" customHeight="1">
      <c r="A4" s="59" t="s">
        <v>34</v>
      </c>
      <c r="B4" s="60">
        <v>0.156</v>
      </c>
      <c r="C4" s="158" t="s">
        <v>133</v>
      </c>
      <c r="D4" s="158"/>
      <c r="E4" s="158"/>
      <c r="F4" s="158"/>
      <c r="G4" s="158"/>
      <c r="H4" s="158"/>
      <c r="I4" s="158"/>
      <c r="J4" s="158"/>
      <c r="K4" s="158"/>
    </row>
    <row r="5" spans="1:11" ht="19.5" customHeight="1">
      <c r="A5" s="59" t="s">
        <v>35</v>
      </c>
      <c r="B5" s="61">
        <v>0.0569</v>
      </c>
      <c r="C5" s="158" t="s">
        <v>273</v>
      </c>
      <c r="D5" s="158"/>
      <c r="E5" s="158"/>
      <c r="F5" s="158"/>
      <c r="G5" s="158"/>
      <c r="H5" s="158"/>
      <c r="I5" s="158"/>
      <c r="J5" s="158"/>
      <c r="K5" s="158"/>
    </row>
    <row r="6" spans="1:11" ht="19.5" customHeight="1">
      <c r="A6" s="59" t="s">
        <v>36</v>
      </c>
      <c r="B6" s="62">
        <v>1.0902</v>
      </c>
      <c r="C6" s="154" t="s">
        <v>293</v>
      </c>
      <c r="D6" s="154"/>
      <c r="E6" s="154"/>
      <c r="F6" s="154"/>
      <c r="G6" s="154"/>
      <c r="H6" s="154"/>
      <c r="I6" s="154"/>
      <c r="J6" s="154"/>
      <c r="K6" s="154"/>
    </row>
    <row r="7" spans="1:11" ht="19.5" customHeight="1">
      <c r="A7" s="59" t="s">
        <v>42</v>
      </c>
      <c r="B7" s="63">
        <v>0.955</v>
      </c>
      <c r="C7" s="163" t="s">
        <v>294</v>
      </c>
      <c r="D7" s="163"/>
      <c r="E7" s="163"/>
      <c r="F7" s="163"/>
      <c r="G7" s="163"/>
      <c r="H7" s="163"/>
      <c r="I7" s="163"/>
      <c r="J7" s="163"/>
      <c r="K7" s="163"/>
    </row>
    <row r="8" spans="1:11" ht="19.5" customHeight="1">
      <c r="A8" s="59" t="s">
        <v>37</v>
      </c>
      <c r="B8" s="6">
        <f>F42</f>
        <v>165412</v>
      </c>
      <c r="C8" s="163"/>
      <c r="D8" s="163"/>
      <c r="E8" s="163"/>
      <c r="F8" s="163"/>
      <c r="G8" s="163"/>
      <c r="H8" s="163"/>
      <c r="I8" s="163"/>
      <c r="J8" s="163"/>
      <c r="K8" s="163"/>
    </row>
    <row r="9" spans="1:11" ht="19.5" customHeight="1">
      <c r="A9" s="59" t="s">
        <v>44</v>
      </c>
      <c r="B9" s="64">
        <v>0.025</v>
      </c>
      <c r="C9" s="163"/>
      <c r="D9" s="163"/>
      <c r="E9" s="163"/>
      <c r="F9" s="163"/>
      <c r="G9" s="163"/>
      <c r="H9" s="163"/>
      <c r="I9" s="163"/>
      <c r="J9" s="163"/>
      <c r="K9" s="163"/>
    </row>
    <row r="10" spans="1:11" ht="19.5" customHeight="1">
      <c r="A10" s="59" t="s">
        <v>40</v>
      </c>
      <c r="B10" s="78">
        <f>ROUND(MAX(B20*0.3,20)*365,2)</f>
        <v>36193.04</v>
      </c>
      <c r="C10" s="164" t="s">
        <v>295</v>
      </c>
      <c r="D10" s="165"/>
      <c r="E10" s="165"/>
      <c r="F10" s="165"/>
      <c r="G10" s="165"/>
      <c r="H10" s="165"/>
      <c r="I10" s="165"/>
      <c r="J10" s="165"/>
      <c r="K10" s="166"/>
    </row>
    <row r="11" spans="1:11" ht="19.5" customHeight="1">
      <c r="A11" s="59"/>
      <c r="B11" s="79" t="s">
        <v>12</v>
      </c>
      <c r="C11" s="168" t="s">
        <v>57</v>
      </c>
      <c r="D11" s="168"/>
      <c r="E11" s="168"/>
      <c r="F11" s="168"/>
      <c r="G11" s="168"/>
      <c r="H11" s="168"/>
      <c r="I11" s="168"/>
      <c r="J11" s="168"/>
      <c r="K11" s="168"/>
    </row>
    <row r="12" spans="1:11" ht="31.5" customHeight="1">
      <c r="A12" s="77" t="s">
        <v>12</v>
      </c>
      <c r="B12" s="70" t="s">
        <v>13</v>
      </c>
      <c r="C12" s="70" t="s">
        <v>17</v>
      </c>
      <c r="D12" s="70" t="s">
        <v>16</v>
      </c>
      <c r="E12" s="70" t="s">
        <v>14</v>
      </c>
      <c r="F12" s="70" t="s">
        <v>8</v>
      </c>
      <c r="G12" s="70" t="s">
        <v>45</v>
      </c>
      <c r="H12" s="70" t="s">
        <v>46</v>
      </c>
      <c r="I12" s="70" t="s">
        <v>7</v>
      </c>
      <c r="J12" s="65" t="s">
        <v>56</v>
      </c>
      <c r="K12" s="65" t="s">
        <v>268</v>
      </c>
    </row>
    <row r="13" spans="1:11" ht="19.5" customHeight="1">
      <c r="A13" s="71" t="s">
        <v>9</v>
      </c>
      <c r="B13" s="45" t="s">
        <v>23</v>
      </c>
      <c r="C13" s="45">
        <f>B69</f>
        <v>5220</v>
      </c>
      <c r="D13" s="47">
        <f>B66</f>
        <v>6140</v>
      </c>
      <c r="E13" s="47">
        <f>B67</f>
        <v>5840</v>
      </c>
      <c r="F13" s="47">
        <f>B63</f>
        <v>6450</v>
      </c>
      <c r="G13" s="47">
        <f>B64</f>
        <v>2450</v>
      </c>
      <c r="H13" s="47">
        <f>B55</f>
        <v>1580</v>
      </c>
      <c r="I13" s="47">
        <f>B61</f>
        <v>2730</v>
      </c>
      <c r="J13" s="47">
        <f>B46</f>
        <v>5390</v>
      </c>
      <c r="K13" s="47">
        <f>B47</f>
        <v>3800</v>
      </c>
    </row>
    <row r="14" spans="1:11" ht="19.5" customHeight="1">
      <c r="A14" s="71" t="s">
        <v>11</v>
      </c>
      <c r="B14" s="45" t="s">
        <v>23</v>
      </c>
      <c r="C14" s="45">
        <f>C69</f>
        <v>6495</v>
      </c>
      <c r="D14" s="47">
        <f>C66</f>
        <v>8916</v>
      </c>
      <c r="E14" s="47">
        <f>C67</f>
        <v>8786</v>
      </c>
      <c r="F14" s="47">
        <f>C63</f>
        <v>6581</v>
      </c>
      <c r="G14" s="47">
        <f>C64</f>
        <v>2936</v>
      </c>
      <c r="H14" s="47">
        <f>C55</f>
        <v>1901</v>
      </c>
      <c r="I14" s="47">
        <f>C61</f>
        <v>6846</v>
      </c>
      <c r="J14" s="47">
        <f>C46</f>
        <v>7881</v>
      </c>
      <c r="K14" s="47">
        <f>C47</f>
        <v>5245</v>
      </c>
    </row>
    <row r="15" spans="1:13" ht="19.5" customHeight="1">
      <c r="A15" s="72" t="s">
        <v>10</v>
      </c>
      <c r="B15" s="45">
        <f>ROUND((B8*B6),1)</f>
        <v>180332.2</v>
      </c>
      <c r="C15" s="45">
        <v>72299</v>
      </c>
      <c r="D15" s="108">
        <v>39694</v>
      </c>
      <c r="E15" s="108">
        <v>17316</v>
      </c>
      <c r="F15" s="108">
        <v>12870</v>
      </c>
      <c r="G15" s="108">
        <v>6440</v>
      </c>
      <c r="H15" s="108">
        <v>3160</v>
      </c>
      <c r="I15" s="108">
        <v>9012</v>
      </c>
      <c r="J15" s="108">
        <v>16255</v>
      </c>
      <c r="K15" s="108">
        <v>6164</v>
      </c>
      <c r="L15" s="143" t="s">
        <v>12</v>
      </c>
      <c r="M15" s="57"/>
    </row>
    <row r="16" spans="1:11" ht="19.5" customHeight="1">
      <c r="A16" s="71" t="s">
        <v>48</v>
      </c>
      <c r="B16" s="47">
        <f>I42</f>
        <v>13029.4</v>
      </c>
      <c r="C16" s="48">
        <f>I69</f>
        <v>0</v>
      </c>
      <c r="D16" s="48">
        <f>I66</f>
        <v>0</v>
      </c>
      <c r="E16" s="48">
        <f>I67</f>
        <v>0</v>
      </c>
      <c r="F16" s="48">
        <f>I63</f>
        <v>0</v>
      </c>
      <c r="G16" s="48">
        <f>I64</f>
        <v>0</v>
      </c>
      <c r="H16" s="48">
        <f>I55</f>
        <v>0</v>
      </c>
      <c r="I16" s="48">
        <f>I61</f>
        <v>0</v>
      </c>
      <c r="J16" s="48">
        <v>0</v>
      </c>
      <c r="K16" s="48">
        <v>0</v>
      </c>
    </row>
    <row r="17" spans="1:11" ht="19.5" customHeight="1">
      <c r="A17" s="71" t="s">
        <v>47</v>
      </c>
      <c r="B17" s="47">
        <f>ROUND(B16*$B$6,1)</f>
        <v>14204.7</v>
      </c>
      <c r="C17" s="49">
        <f aca="true" t="shared" si="0" ref="C17:I17">ROUND(C16*$B$6,1)</f>
        <v>0</v>
      </c>
      <c r="D17" s="49">
        <f t="shared" si="0"/>
        <v>0</v>
      </c>
      <c r="E17" s="49">
        <f t="shared" si="0"/>
        <v>0</v>
      </c>
      <c r="F17" s="49">
        <f t="shared" si="0"/>
        <v>0</v>
      </c>
      <c r="G17" s="49">
        <f t="shared" si="0"/>
        <v>0</v>
      </c>
      <c r="H17" s="49">
        <f t="shared" si="0"/>
        <v>0</v>
      </c>
      <c r="I17" s="49">
        <f t="shared" si="0"/>
        <v>0</v>
      </c>
      <c r="J17" s="49">
        <f>ROUND(J16*$B$6,1)</f>
        <v>0</v>
      </c>
      <c r="K17" s="49">
        <f>ROUND(K16*$B$6,1)</f>
        <v>0</v>
      </c>
    </row>
    <row r="18" spans="1:11" ht="19.5" customHeight="1">
      <c r="A18" s="144" t="s">
        <v>49</v>
      </c>
      <c r="B18" s="50">
        <f>B15-B17</f>
        <v>166127.5</v>
      </c>
      <c r="C18" s="50">
        <f aca="true" t="shared" si="1" ref="C18:I18">C15-C17</f>
        <v>72299</v>
      </c>
      <c r="D18" s="50">
        <f t="shared" si="1"/>
        <v>39694</v>
      </c>
      <c r="E18" s="50">
        <f t="shared" si="1"/>
        <v>17316</v>
      </c>
      <c r="F18" s="50">
        <f t="shared" si="1"/>
        <v>12870</v>
      </c>
      <c r="G18" s="50">
        <f t="shared" si="1"/>
        <v>6440</v>
      </c>
      <c r="H18" s="50">
        <f t="shared" si="1"/>
        <v>3160</v>
      </c>
      <c r="I18" s="50">
        <f t="shared" si="1"/>
        <v>9012</v>
      </c>
      <c r="J18" s="50">
        <f>J15-J17</f>
        <v>16255</v>
      </c>
      <c r="K18" s="50">
        <f>K15-K17</f>
        <v>6164</v>
      </c>
    </row>
    <row r="19" spans="1:12" ht="19.5" customHeight="1">
      <c r="A19" s="72" t="s">
        <v>44</v>
      </c>
      <c r="B19" s="45">
        <f>ROUND((B18*B9),1)</f>
        <v>4153.2</v>
      </c>
      <c r="C19" s="45">
        <f>H69</f>
        <v>1664.740304995452</v>
      </c>
      <c r="D19" s="47">
        <f>H66</f>
        <v>907.5669190576875</v>
      </c>
      <c r="E19" s="47">
        <f>H67</f>
        <v>383.96957132900997</v>
      </c>
      <c r="F19" s="47">
        <f>H63</f>
        <v>288.9038512271086</v>
      </c>
      <c r="G19" s="47">
        <f>H64</f>
        <v>140.11836784514767</v>
      </c>
      <c r="H19" s="47">
        <f>H55</f>
        <v>66.46696433844808</v>
      </c>
      <c r="I19" s="47">
        <f>H61</f>
        <v>185.3345460702206</v>
      </c>
      <c r="J19" s="47">
        <f>H46</f>
        <v>362.35629264758575</v>
      </c>
      <c r="K19" s="47">
        <f>H47</f>
        <v>124.3458528729658</v>
      </c>
      <c r="L19" s="4" t="s">
        <v>12</v>
      </c>
    </row>
    <row r="20" spans="1:11" ht="19.5" customHeight="1">
      <c r="A20" s="73" t="s">
        <v>50</v>
      </c>
      <c r="B20" s="51">
        <f>'Net CONE'!H23</f>
        <v>330.53</v>
      </c>
      <c r="C20" s="51">
        <f>'Net CONE'!G23</f>
        <v>276.9</v>
      </c>
      <c r="D20" s="51">
        <f>'Net CONE'!B23</f>
        <v>329.94</v>
      </c>
      <c r="E20" s="51">
        <f>'Net CONE'!C23</f>
        <v>276.9</v>
      </c>
      <c r="F20" s="51">
        <f>'Net CONE'!B23</f>
        <v>329.94</v>
      </c>
      <c r="G20" s="51">
        <f>'Net CONE'!B23</f>
        <v>329.94</v>
      </c>
      <c r="H20" s="51">
        <f>'Net CONE'!B23</f>
        <v>329.94</v>
      </c>
      <c r="I20" s="51">
        <f>'Net CONE'!C23</f>
        <v>276.9</v>
      </c>
      <c r="J20" s="51">
        <f>'Net CONE'!D23</f>
        <v>362.64</v>
      </c>
      <c r="K20" s="51">
        <f>'Net CONE'!D23</f>
        <v>362.64</v>
      </c>
    </row>
    <row r="21" spans="1:11" ht="19.5" customHeight="1">
      <c r="A21" s="73" t="s">
        <v>52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2" spans="1:11" ht="19.5" customHeight="1">
      <c r="A22" s="71" t="s">
        <v>24</v>
      </c>
      <c r="B22" s="44">
        <f>ROUND(B$20*1.5,2)</f>
        <v>495.8</v>
      </c>
      <c r="C22" s="44">
        <f aca="true" t="shared" si="2" ref="C22:H22">ROUND(C$20*1.5,2)</f>
        <v>415.35</v>
      </c>
      <c r="D22" s="44">
        <f t="shared" si="2"/>
        <v>494.91</v>
      </c>
      <c r="E22" s="44">
        <f t="shared" si="2"/>
        <v>415.35</v>
      </c>
      <c r="F22" s="44">
        <f t="shared" si="2"/>
        <v>494.91</v>
      </c>
      <c r="G22" s="44">
        <f t="shared" si="2"/>
        <v>494.91</v>
      </c>
      <c r="H22" s="44">
        <f t="shared" si="2"/>
        <v>494.91</v>
      </c>
      <c r="I22" s="44">
        <f>ROUND(I$20*1.5,2)</f>
        <v>415.35</v>
      </c>
      <c r="J22" s="44">
        <f>ROUND(J$20*1.5,2)</f>
        <v>543.96</v>
      </c>
      <c r="K22" s="44">
        <f>ROUND(K$20*1.5,2)</f>
        <v>543.96</v>
      </c>
    </row>
    <row r="23" spans="1:11" ht="19.5" customHeight="1">
      <c r="A23" s="71" t="s">
        <v>25</v>
      </c>
      <c r="B23" s="44">
        <f>ROUND(B$20,2)</f>
        <v>330.53</v>
      </c>
      <c r="C23" s="44">
        <f aca="true" t="shared" si="3" ref="C23:H23">ROUND(C$20,2)</f>
        <v>276.9</v>
      </c>
      <c r="D23" s="44">
        <f t="shared" si="3"/>
        <v>329.94</v>
      </c>
      <c r="E23" s="44">
        <f t="shared" si="3"/>
        <v>276.9</v>
      </c>
      <c r="F23" s="44">
        <f t="shared" si="3"/>
        <v>329.94</v>
      </c>
      <c r="G23" s="44">
        <f t="shared" si="3"/>
        <v>329.94</v>
      </c>
      <c r="H23" s="44">
        <f t="shared" si="3"/>
        <v>329.94</v>
      </c>
      <c r="I23" s="44">
        <f>ROUND(I$20,2)</f>
        <v>276.9</v>
      </c>
      <c r="J23" s="44">
        <f>ROUND(J$20,2)</f>
        <v>362.64</v>
      </c>
      <c r="K23" s="44">
        <f>ROUND(K$20,2)</f>
        <v>362.64</v>
      </c>
    </row>
    <row r="24" spans="1:11" ht="19.5" customHeight="1">
      <c r="A24" s="71" t="s">
        <v>26</v>
      </c>
      <c r="B24" s="44">
        <f>ROUND(B$20*0.2,2)</f>
        <v>66.11</v>
      </c>
      <c r="C24" s="44">
        <f aca="true" t="shared" si="4" ref="C24:H24">ROUND(C$20*0.2,2)</f>
        <v>55.38</v>
      </c>
      <c r="D24" s="44">
        <f t="shared" si="4"/>
        <v>65.99</v>
      </c>
      <c r="E24" s="44">
        <f t="shared" si="4"/>
        <v>55.38</v>
      </c>
      <c r="F24" s="44">
        <f t="shared" si="4"/>
        <v>65.99</v>
      </c>
      <c r="G24" s="44">
        <f t="shared" si="4"/>
        <v>65.99</v>
      </c>
      <c r="H24" s="44">
        <f t="shared" si="4"/>
        <v>65.99</v>
      </c>
      <c r="I24" s="44">
        <f>ROUND(I$20*0.2,2)</f>
        <v>55.38</v>
      </c>
      <c r="J24" s="44">
        <f>ROUND(J$20*0.2,2)</f>
        <v>72.53</v>
      </c>
      <c r="K24" s="44">
        <f>ROUND(K$20*0.2,2)</f>
        <v>72.53</v>
      </c>
    </row>
    <row r="25" spans="1:11" ht="19.5" customHeight="1">
      <c r="A25" s="71" t="s">
        <v>27</v>
      </c>
      <c r="B25" s="45">
        <f aca="true" t="shared" si="5" ref="B25:I25">ROUND(B$18*(1+$B$4-3%)/(1+$B$4)-B19,1)</f>
        <v>157663</v>
      </c>
      <c r="C25" s="45">
        <f t="shared" si="5"/>
        <v>68758</v>
      </c>
      <c r="D25" s="45">
        <f t="shared" si="5"/>
        <v>37756.3</v>
      </c>
      <c r="E25" s="45">
        <f t="shared" si="5"/>
        <v>16482.7</v>
      </c>
      <c r="F25" s="45">
        <f t="shared" si="5"/>
        <v>12247.1</v>
      </c>
      <c r="G25" s="45">
        <f t="shared" si="5"/>
        <v>6132.8</v>
      </c>
      <c r="H25" s="45">
        <f t="shared" si="5"/>
        <v>3011.5</v>
      </c>
      <c r="I25" s="45">
        <f t="shared" si="5"/>
        <v>8592.8</v>
      </c>
      <c r="J25" s="45">
        <f>ROUND(J$18*(1+$B$4-3%)/(1+$B$4)-J19,1)</f>
        <v>15470.8</v>
      </c>
      <c r="K25" s="45">
        <f>ROUND(K$18*(1+$B$4-3%)/(1+$B$4)-K19,1)</f>
        <v>5879.7</v>
      </c>
    </row>
    <row r="26" spans="1:11" ht="19.5" customHeight="1">
      <c r="A26" s="71" t="s">
        <v>28</v>
      </c>
      <c r="B26" s="45">
        <f aca="true" t="shared" si="6" ref="B26:I26">ROUND(B$18*(1+$B$4+1%)/(1+$B$4)-B19,1)</f>
        <v>163411.4</v>
      </c>
      <c r="C26" s="45">
        <f t="shared" si="6"/>
        <v>71259.7</v>
      </c>
      <c r="D26" s="45">
        <f t="shared" si="6"/>
        <v>39129.8</v>
      </c>
      <c r="E26" s="45">
        <f t="shared" si="6"/>
        <v>17081.8</v>
      </c>
      <c r="F26" s="45">
        <f t="shared" si="6"/>
        <v>12692.4</v>
      </c>
      <c r="G26" s="45">
        <f t="shared" si="6"/>
        <v>6355.6</v>
      </c>
      <c r="H26" s="45">
        <f t="shared" si="6"/>
        <v>3120.9</v>
      </c>
      <c r="I26" s="45">
        <f t="shared" si="6"/>
        <v>8904.6</v>
      </c>
      <c r="J26" s="45">
        <f>ROUND(J$18*(1+$B$4+1%)/(1+$B$4)-J19,1)</f>
        <v>16033.3</v>
      </c>
      <c r="K26" s="45">
        <f>ROUND(K$18*(1+$B$4+1%)/(1+$B$4)-K19,1)</f>
        <v>6093</v>
      </c>
    </row>
    <row r="27" spans="1:11" ht="19.5" customHeight="1">
      <c r="A27" s="71" t="s">
        <v>29</v>
      </c>
      <c r="B27" s="45">
        <f aca="true" t="shared" si="7" ref="B27:I27">ROUND(B$18*(1+$B$4+5%)/(1+$B$4)-B19,1)</f>
        <v>169159.7</v>
      </c>
      <c r="C27" s="45">
        <f t="shared" si="7"/>
        <v>73761.4</v>
      </c>
      <c r="D27" s="45">
        <f t="shared" si="7"/>
        <v>40503.3</v>
      </c>
      <c r="E27" s="45">
        <f t="shared" si="7"/>
        <v>17681</v>
      </c>
      <c r="F27" s="45">
        <f t="shared" si="7"/>
        <v>13137.8</v>
      </c>
      <c r="G27" s="45">
        <f t="shared" si="7"/>
        <v>6578.4</v>
      </c>
      <c r="H27" s="45">
        <f t="shared" si="7"/>
        <v>3230.2</v>
      </c>
      <c r="I27" s="45">
        <f t="shared" si="7"/>
        <v>9216.5</v>
      </c>
      <c r="J27" s="45">
        <f>ROUND(J$18*(1+$B$4+5%)/(1+$B$4)-J19,1)</f>
        <v>16595.7</v>
      </c>
      <c r="K27" s="45">
        <f>ROUND(K$18*(1+$B$4+5%)/(1+$B$4)-K19,1)</f>
        <v>6306.3</v>
      </c>
    </row>
    <row r="28" spans="1:11" ht="19.5" customHeight="1">
      <c r="A28" s="71" t="s">
        <v>286</v>
      </c>
      <c r="B28" s="66" t="s">
        <v>23</v>
      </c>
      <c r="C28" s="46">
        <v>159</v>
      </c>
      <c r="D28" s="46" t="s">
        <v>23</v>
      </c>
      <c r="E28" s="46">
        <v>444</v>
      </c>
      <c r="F28" s="43" t="s">
        <v>23</v>
      </c>
      <c r="G28" s="43" t="s">
        <v>23</v>
      </c>
      <c r="H28" s="46">
        <v>37</v>
      </c>
      <c r="I28" s="46">
        <v>191</v>
      </c>
      <c r="J28" s="43" t="s">
        <v>23</v>
      </c>
      <c r="K28" s="43" t="s">
        <v>23</v>
      </c>
    </row>
    <row r="29" spans="1:11" ht="19.5" customHeight="1">
      <c r="A29" s="107" t="s">
        <v>104</v>
      </c>
      <c r="B29" s="150">
        <f>ROUND(MAX(59.37*0.2,20)*365,2)</f>
        <v>7300</v>
      </c>
      <c r="C29" s="150">
        <f>ROUND(MAX(119.13*0.2,20)*365,2)</f>
        <v>8696.49</v>
      </c>
      <c r="D29" s="150">
        <f aca="true" t="shared" si="8" ref="D29:E31">ROUND(MAX(119.13*0.2,20)*365,2)</f>
        <v>8696.49</v>
      </c>
      <c r="E29" s="150">
        <f t="shared" si="8"/>
        <v>8696.49</v>
      </c>
      <c r="F29" s="150">
        <f aca="true" t="shared" si="9" ref="F29:G31">ROUND(MAX(219*0.2,20)*365,2)</f>
        <v>15987</v>
      </c>
      <c r="G29" s="150">
        <f t="shared" si="9"/>
        <v>15987</v>
      </c>
      <c r="H29" s="150">
        <f aca="true" t="shared" si="10" ref="H29:I31">ROUND(MAX(119.13*0.2,20)*365,2)</f>
        <v>8696.49</v>
      </c>
      <c r="I29" s="150">
        <f t="shared" si="10"/>
        <v>8696.49</v>
      </c>
      <c r="J29" s="150">
        <f>ROUND(MAX(94.45*0.2,20)*365,2)</f>
        <v>7300</v>
      </c>
      <c r="K29" s="150">
        <f>ROUND(MAX(94.45*0.2,20)*365,2)</f>
        <v>7300</v>
      </c>
    </row>
    <row r="30" spans="1:11" ht="19.5" customHeight="1">
      <c r="A30" s="107" t="s">
        <v>105</v>
      </c>
      <c r="B30" s="150">
        <f>ROUND(MAX(59.37*0.2,20)*365,2)</f>
        <v>7300</v>
      </c>
      <c r="C30" s="150">
        <f>ROUND(MAX(119.13*0.2,20)*365,2)</f>
        <v>8696.49</v>
      </c>
      <c r="D30" s="150">
        <f t="shared" si="8"/>
        <v>8696.49</v>
      </c>
      <c r="E30" s="150">
        <f t="shared" si="8"/>
        <v>8696.49</v>
      </c>
      <c r="F30" s="150">
        <f t="shared" si="9"/>
        <v>15987</v>
      </c>
      <c r="G30" s="150">
        <f t="shared" si="9"/>
        <v>15987</v>
      </c>
      <c r="H30" s="150">
        <f t="shared" si="10"/>
        <v>8696.49</v>
      </c>
      <c r="I30" s="150">
        <f t="shared" si="10"/>
        <v>8696.49</v>
      </c>
      <c r="J30" s="150">
        <f>ROUND(MAX(114.23*0.2,20)*365,2)</f>
        <v>8338.79</v>
      </c>
      <c r="K30" s="150">
        <f>ROUND(MAX(114.23*0.2,20)*365,2)</f>
        <v>8338.79</v>
      </c>
    </row>
    <row r="31" spans="1:11" ht="19.5" customHeight="1">
      <c r="A31" s="107" t="s">
        <v>106</v>
      </c>
      <c r="B31" s="150">
        <f>ROUND(MAX(59.37*0.2,20)*365,2)</f>
        <v>7300</v>
      </c>
      <c r="C31" s="150">
        <f>ROUND(MAX(119.13*0.2,20)*365,2)</f>
        <v>8696.49</v>
      </c>
      <c r="D31" s="150">
        <f t="shared" si="8"/>
        <v>8696.49</v>
      </c>
      <c r="E31" s="150">
        <f t="shared" si="8"/>
        <v>8696.49</v>
      </c>
      <c r="F31" s="150">
        <f t="shared" si="9"/>
        <v>15987</v>
      </c>
      <c r="G31" s="150">
        <f t="shared" si="9"/>
        <v>15987</v>
      </c>
      <c r="H31" s="150">
        <f t="shared" si="10"/>
        <v>8696.49</v>
      </c>
      <c r="I31" s="150">
        <f t="shared" si="10"/>
        <v>8696.49</v>
      </c>
      <c r="J31" s="150">
        <f>ROUND(MAX(114.23*0.2,20)*365,2)</f>
        <v>8338.79</v>
      </c>
      <c r="K31" s="150">
        <f>ROUND(MAX(114.23*0.2,20)*365,2)</f>
        <v>8338.79</v>
      </c>
    </row>
    <row r="32" spans="1:11" ht="19.5" customHeight="1">
      <c r="A32" s="71" t="s">
        <v>86</v>
      </c>
      <c r="B32" s="120">
        <f>'Min Res Req''ments'!B17</f>
        <v>158512.2</v>
      </c>
      <c r="C32" s="120">
        <f>'Min Res Req''ments'!C17</f>
        <v>62179.2</v>
      </c>
      <c r="D32" s="120">
        <f>'Min Res Req''ments'!D17</f>
        <v>28559.2</v>
      </c>
      <c r="E32" s="120">
        <f>'Min Res Req''ments'!E17</f>
        <v>7503.3</v>
      </c>
      <c r="F32" s="120">
        <f>'Min Res Req''ments'!F17</f>
        <v>5483.4</v>
      </c>
      <c r="G32" s="120">
        <f>'Min Res Req''ments'!G17</f>
        <v>3113.3</v>
      </c>
      <c r="H32" s="120">
        <f>'Min Res Req''ments'!H17</f>
        <v>1114.3</v>
      </c>
      <c r="I32" s="120">
        <f>'Min Res Req''ments'!I17</f>
        <v>1712.9</v>
      </c>
      <c r="J32" s="120">
        <f>'Min Res Req''ments'!J17</f>
        <v>7668.1</v>
      </c>
      <c r="K32" s="120">
        <f>'Min Res Req''ments'!K17</f>
        <v>676.8</v>
      </c>
    </row>
    <row r="33" spans="1:11" ht="19.5" customHeight="1">
      <c r="A33" s="71" t="s">
        <v>87</v>
      </c>
      <c r="B33" s="120">
        <f>'Min Res Req''ments'!B18</f>
        <v>149469.1</v>
      </c>
      <c r="C33" s="120">
        <f>'Min Res Req''ments'!C18</f>
        <v>58109.3</v>
      </c>
      <c r="D33" s="120">
        <f>'Min Res Req''ments'!D18</f>
        <v>24606.9</v>
      </c>
      <c r="E33" s="120">
        <f>'Min Res Req''ments'!E18</f>
        <v>6183.2</v>
      </c>
      <c r="F33" s="120">
        <f>'Min Res Req''ments'!F18</f>
        <v>4214.2</v>
      </c>
      <c r="G33" s="120">
        <f>'Min Res Req''ments'!G18</f>
        <v>2503.1</v>
      </c>
      <c r="H33" s="120">
        <f>'Min Res Req''ments'!H18</f>
        <v>903.5</v>
      </c>
      <c r="I33" s="120">
        <f>'Min Res Req''ments'!I18</f>
        <v>750</v>
      </c>
      <c r="J33" s="120">
        <f>'Min Res Req''ments'!J18</f>
        <v>6200.8</v>
      </c>
      <c r="K33" s="139">
        <f>'Min Res Req''ments'!K18</f>
        <v>0</v>
      </c>
    </row>
    <row r="34" spans="1:11" ht="19.5" customHeight="1">
      <c r="A34" s="74" t="s">
        <v>100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</row>
    <row r="35" spans="1:11" ht="19.5" customHeight="1">
      <c r="A35" s="71" t="s">
        <v>101</v>
      </c>
      <c r="B35" s="66" t="s">
        <v>23</v>
      </c>
      <c r="C35" s="42">
        <f>ROUND((C15-C14)/(F69*$B$6),3)</f>
        <v>0.988</v>
      </c>
      <c r="D35" s="42">
        <f>ROUND((D15-D14)/(F66*$B$6),3)</f>
        <v>0.848</v>
      </c>
      <c r="E35" s="42">
        <f>ROUND((E15-E14)/(F67*$B$6),3)</f>
        <v>0.555</v>
      </c>
      <c r="F35" s="42">
        <f>ROUND((F15-F14)/(F63*$B$6),3)</f>
        <v>0.544</v>
      </c>
      <c r="G35" s="42">
        <f>ROUND((G15-G14)/(F64*$B$6),3)</f>
        <v>0.625</v>
      </c>
      <c r="H35" s="43">
        <f>ROUND((H15-H14)/(F55*$B$6),3)</f>
        <v>0.474</v>
      </c>
      <c r="I35" s="42">
        <f>ROUND((I15-I14)/(F61*$B$6),3)</f>
        <v>0.292</v>
      </c>
      <c r="J35" s="42">
        <f>ROUND((J15-J14)/(F46*$B$6),3)</f>
        <v>0.578</v>
      </c>
      <c r="K35" s="42">
        <f>ROUND((K15-K14)/(F47*$B$6),3)</f>
        <v>0.185</v>
      </c>
    </row>
    <row r="36" spans="1:11" ht="19.5" customHeight="1">
      <c r="A36" s="75" t="s">
        <v>102</v>
      </c>
      <c r="B36" s="122">
        <f>'Min Res Req''ments'!B20</f>
        <v>0.9502404699738695</v>
      </c>
      <c r="C36" s="122">
        <f>'Min Res Req''ments'!C20</f>
        <v>0.8600285638811048</v>
      </c>
      <c r="D36" s="122">
        <f>'Min Res Req''ments'!D20</f>
        <v>0.7194837238329218</v>
      </c>
      <c r="E36" s="122">
        <f>'Min Res Req''ments'!E20</f>
        <v>0.4333141829198429</v>
      </c>
      <c r="F36" s="122">
        <f>'Min Res Req''ments'!F20</f>
        <v>0.4260578938772339</v>
      </c>
      <c r="G36" s="122">
        <f>'Min Res Req''ments'!G20</f>
        <v>0.4834265637712733</v>
      </c>
      <c r="H36" s="122">
        <f>'Min Res Req''ments'!H20</f>
        <v>0.35261875261648734</v>
      </c>
      <c r="I36" s="122">
        <f>'Min Res Req''ments'!I20</f>
        <v>0.19006829081225032</v>
      </c>
      <c r="J36" s="122">
        <f>'Min Res Req''ments'!J20</f>
        <v>0.471735438366964</v>
      </c>
      <c r="K36" s="122">
        <f>'Min Res Req''ments'!K20</f>
        <v>0.10979074029862103</v>
      </c>
    </row>
    <row r="37" spans="1:11" ht="19.5" customHeight="1">
      <c r="A37" s="82" t="s">
        <v>103</v>
      </c>
      <c r="B37" s="123">
        <f>'Min Res Req''ments'!B21</f>
        <v>0.8911510280678394</v>
      </c>
      <c r="C37" s="123">
        <f>'Min Res Req''ments'!C21</f>
        <v>0.8037353218456686</v>
      </c>
      <c r="D37" s="123">
        <f>'Min Res Req''ments'!D21</f>
        <v>0.6199155076257873</v>
      </c>
      <c r="E37" s="123">
        <f>'Min Res Req''ments'!E21</f>
        <v>0.35707928474936473</v>
      </c>
      <c r="F37" s="123">
        <f>'Min Res Req''ments'!F21</f>
        <v>0.32744477196581195</v>
      </c>
      <c r="G37" s="123">
        <f>'Min Res Req''ments'!G21</f>
        <v>0.38867723606413046</v>
      </c>
      <c r="H37" s="123">
        <f>'Min Res Req''ments'!H21</f>
        <v>0.28592902596898734</v>
      </c>
      <c r="I37" s="123">
        <f>'Min Res Req''ments'!I21</f>
        <v>0.08322772303595208</v>
      </c>
      <c r="J37" s="122">
        <f>'Min Res Req''ments'!J21</f>
        <v>0.38147097961150417</v>
      </c>
      <c r="K37" s="122">
        <f>'Min Res Req''ments'!K21</f>
        <v>0</v>
      </c>
    </row>
    <row r="38" spans="1:10" ht="19.5" customHeight="1">
      <c r="A38" s="174" t="s">
        <v>55</v>
      </c>
      <c r="B38" s="174"/>
      <c r="C38" s="174"/>
      <c r="D38" s="174"/>
      <c r="E38" s="174"/>
      <c r="F38" s="174"/>
      <c r="G38" s="174"/>
      <c r="H38" s="174"/>
      <c r="I38" s="175"/>
      <c r="J38" s="175"/>
    </row>
    <row r="39" spans="1:11" ht="19.5" customHeight="1">
      <c r="A39" s="174" t="s">
        <v>51</v>
      </c>
      <c r="B39" s="174"/>
      <c r="C39" s="174"/>
      <c r="D39" s="174"/>
      <c r="E39" s="174"/>
      <c r="F39" s="174"/>
      <c r="G39" s="174"/>
      <c r="H39" s="174"/>
      <c r="I39" s="175"/>
      <c r="J39" s="175"/>
      <c r="K39" s="4" t="s">
        <v>12</v>
      </c>
    </row>
    <row r="40" spans="1:10" ht="18" customHeight="1">
      <c r="A40" s="174" t="s">
        <v>275</v>
      </c>
      <c r="B40" s="174"/>
      <c r="C40" s="174"/>
      <c r="D40" s="174"/>
      <c r="E40" s="174"/>
      <c r="F40" s="174"/>
      <c r="G40" s="174"/>
      <c r="H40" s="174"/>
      <c r="I40" s="175"/>
      <c r="J40" s="175"/>
    </row>
    <row r="41" spans="1:10" s="3" customFormat="1" ht="84.75" customHeight="1">
      <c r="A41" s="83" t="s">
        <v>38</v>
      </c>
      <c r="B41" s="80" t="s">
        <v>9</v>
      </c>
      <c r="C41" s="80" t="s">
        <v>124</v>
      </c>
      <c r="D41" s="80" t="s">
        <v>53</v>
      </c>
      <c r="E41" s="80" t="s">
        <v>132</v>
      </c>
      <c r="F41" s="80" t="s">
        <v>30</v>
      </c>
      <c r="G41" s="80" t="s">
        <v>31</v>
      </c>
      <c r="H41" s="80" t="s">
        <v>44</v>
      </c>
      <c r="I41" s="80" t="s">
        <v>83</v>
      </c>
      <c r="J41" s="80" t="s">
        <v>129</v>
      </c>
    </row>
    <row r="42" spans="1:10" s="3" customFormat="1" ht="19.5" customHeight="1">
      <c r="A42" s="84" t="s">
        <v>13</v>
      </c>
      <c r="B42" s="52" t="s">
        <v>23</v>
      </c>
      <c r="C42" s="52" t="s">
        <v>23</v>
      </c>
      <c r="D42" s="5" t="s">
        <v>23</v>
      </c>
      <c r="E42" s="8">
        <f>E43+E44+E45+E46+E48+E49+E50+E51+E52+E53+E54+E56+E57+E58+E59+E60+E61+E62+E63+E65</f>
        <v>154501.8</v>
      </c>
      <c r="F42" s="8">
        <f>F43+F44+F45+F46+F48+F49+F50+F51+F52+F53+F54+F56+F57+F58+F59+F60+F61+F62+F63+F65</f>
        <v>165412</v>
      </c>
      <c r="G42" s="39" t="s">
        <v>23</v>
      </c>
      <c r="H42" s="8">
        <f>B19</f>
        <v>4153.2</v>
      </c>
      <c r="I42" s="8">
        <f>I43+I44+I45+I46+I48+I49+I50+I51+I52+I53+I54+I56+I57+I58+I59+I60+I61+I62+I63+I65</f>
        <v>13029.4</v>
      </c>
      <c r="J42" s="8">
        <f>J43+J44+J45+J46+J48+J49+J50+J51+J52+J53+J54+J56+J57+J58+J59+J60+J61+J62+J63+J65</f>
        <v>152382.6</v>
      </c>
    </row>
    <row r="43" spans="1:11" s="2" customFormat="1" ht="19.5" customHeight="1">
      <c r="A43" s="49" t="s">
        <v>2</v>
      </c>
      <c r="B43" s="81">
        <v>1030</v>
      </c>
      <c r="C43" s="6" t="s">
        <v>141</v>
      </c>
      <c r="D43" s="7" t="s">
        <v>54</v>
      </c>
      <c r="E43" s="7">
        <v>2600</v>
      </c>
      <c r="F43" s="7">
        <v>2782</v>
      </c>
      <c r="G43" s="40">
        <f>F43/E43</f>
        <v>1.07</v>
      </c>
      <c r="H43" s="7">
        <f>$H$42*J43/$J$42</f>
        <v>75.8236334069638</v>
      </c>
      <c r="I43" s="113">
        <v>0</v>
      </c>
      <c r="J43" s="7">
        <f>F43-I43</f>
        <v>2782</v>
      </c>
      <c r="K43" s="2" t="s">
        <v>12</v>
      </c>
    </row>
    <row r="44" spans="1:12" s="2" customFormat="1" ht="19.5" customHeight="1">
      <c r="A44" s="85" t="s">
        <v>84</v>
      </c>
      <c r="B44" s="89">
        <v>2110</v>
      </c>
      <c r="C44" s="6" t="s">
        <v>142</v>
      </c>
      <c r="D44" s="7" t="s">
        <v>54</v>
      </c>
      <c r="E44" s="53">
        <v>22663.9</v>
      </c>
      <c r="F44" s="53">
        <v>24007.6</v>
      </c>
      <c r="G44" s="40">
        <f aca="true" t="shared" si="11" ref="G44:G54">F44/E44</f>
        <v>1.0592881189909944</v>
      </c>
      <c r="H44" s="7">
        <f>$H$42*J44/$J$42</f>
        <v>324.47990754849957</v>
      </c>
      <c r="I44" s="5">
        <v>12102.3</v>
      </c>
      <c r="J44" s="7">
        <f>F44-I44</f>
        <v>11905.3</v>
      </c>
      <c r="K44" s="148" t="s">
        <v>12</v>
      </c>
      <c r="L44" s="2" t="s">
        <v>12</v>
      </c>
    </row>
    <row r="45" spans="1:12" s="2" customFormat="1" ht="19.5" customHeight="1">
      <c r="A45" s="85" t="s">
        <v>0</v>
      </c>
      <c r="B45" s="89">
        <v>1970</v>
      </c>
      <c r="C45" s="6" t="s">
        <v>143</v>
      </c>
      <c r="D45" s="7" t="s">
        <v>54</v>
      </c>
      <c r="E45" s="53">
        <v>8210</v>
      </c>
      <c r="F45" s="53">
        <v>8786</v>
      </c>
      <c r="G45" s="40">
        <f t="shared" si="11"/>
        <v>1.0701583434835567</v>
      </c>
      <c r="H45" s="7">
        <f aca="true" t="shared" si="12" ref="H45:H65">$H$42*J45/$J$42</f>
        <v>239.4631355548468</v>
      </c>
      <c r="I45" s="113">
        <v>0</v>
      </c>
      <c r="J45" s="7">
        <f aca="true" t="shared" si="13" ref="J45:J65">F45-I45</f>
        <v>8786</v>
      </c>
      <c r="L45" s="2" t="s">
        <v>12</v>
      </c>
    </row>
    <row r="46" spans="1:12" s="2" customFormat="1" ht="19.5" customHeight="1">
      <c r="A46" s="85" t="s">
        <v>56</v>
      </c>
      <c r="B46" s="89">
        <v>5390</v>
      </c>
      <c r="C46" s="81">
        <v>7881</v>
      </c>
      <c r="D46" s="111">
        <f>C46/B46</f>
        <v>1.462152133580705</v>
      </c>
      <c r="E46" s="53">
        <v>12660</v>
      </c>
      <c r="F46" s="53">
        <v>13295</v>
      </c>
      <c r="G46" s="40">
        <f t="shared" si="11"/>
        <v>1.0501579778830963</v>
      </c>
      <c r="H46" s="7">
        <f>$H$42*J46/$J$42</f>
        <v>362.35629264758575</v>
      </c>
      <c r="I46" s="113">
        <v>0</v>
      </c>
      <c r="J46" s="7">
        <f t="shared" si="13"/>
        <v>13295</v>
      </c>
      <c r="K46" s="2" t="s">
        <v>12</v>
      </c>
      <c r="L46" s="2" t="s">
        <v>12</v>
      </c>
    </row>
    <row r="47" spans="1:12" s="2" customFormat="1" ht="19.5" customHeight="1">
      <c r="A47" s="85" t="s">
        <v>130</v>
      </c>
      <c r="B47" s="89">
        <v>3800</v>
      </c>
      <c r="C47" s="81">
        <v>5245</v>
      </c>
      <c r="D47" s="111">
        <f>C47/B47</f>
        <v>1.3802631578947369</v>
      </c>
      <c r="E47" s="53" t="s">
        <v>23</v>
      </c>
      <c r="F47" s="7">
        <f>ROUND(F46*0.34316,1)</f>
        <v>4562.3</v>
      </c>
      <c r="G47" s="40" t="s">
        <v>23</v>
      </c>
      <c r="H47" s="7">
        <f>$H$42*J47/$J$42</f>
        <v>124.3458528729658</v>
      </c>
      <c r="I47" s="113">
        <v>0</v>
      </c>
      <c r="J47" s="7">
        <f>F47-I47</f>
        <v>4562.3</v>
      </c>
      <c r="L47" s="2" t="s">
        <v>12</v>
      </c>
    </row>
    <row r="48" spans="1:13" s="2" customFormat="1" ht="19.5" customHeight="1">
      <c r="A48" s="49" t="s">
        <v>3</v>
      </c>
      <c r="B48" s="81">
        <v>5130</v>
      </c>
      <c r="C48" s="6" t="s">
        <v>287</v>
      </c>
      <c r="D48" s="7" t="s">
        <v>54</v>
      </c>
      <c r="E48" s="7">
        <v>6870</v>
      </c>
      <c r="F48" s="7">
        <v>7288</v>
      </c>
      <c r="G48" s="40">
        <f t="shared" si="11"/>
        <v>1.060844250363901</v>
      </c>
      <c r="H48" s="7">
        <f t="shared" si="12"/>
        <v>198.63502525878937</v>
      </c>
      <c r="I48" s="113">
        <v>0</v>
      </c>
      <c r="J48" s="7">
        <f t="shared" si="13"/>
        <v>7288</v>
      </c>
      <c r="L48" s="2" t="s">
        <v>12</v>
      </c>
      <c r="M48" s="2" t="s">
        <v>12</v>
      </c>
    </row>
    <row r="49" spans="1:12" s="2" customFormat="1" ht="19.5" customHeight="1">
      <c r="A49" s="49" t="s">
        <v>18</v>
      </c>
      <c r="B49" s="81">
        <v>1330</v>
      </c>
      <c r="C49" s="6" t="s">
        <v>145</v>
      </c>
      <c r="D49" s="7" t="s">
        <v>54</v>
      </c>
      <c r="E49" s="7">
        <v>21650</v>
      </c>
      <c r="F49" s="7">
        <v>23504</v>
      </c>
      <c r="G49" s="40">
        <f t="shared" si="11"/>
        <v>1.085635103926097</v>
      </c>
      <c r="H49" s="7">
        <f t="shared" si="12"/>
        <v>640.6034074756566</v>
      </c>
      <c r="I49" s="113">
        <v>0</v>
      </c>
      <c r="J49" s="7">
        <f t="shared" si="13"/>
        <v>23504</v>
      </c>
      <c r="L49" s="2" t="s">
        <v>12</v>
      </c>
    </row>
    <row r="50" spans="1:12" s="2" customFormat="1" ht="19.5" customHeight="1">
      <c r="A50" s="49" t="s">
        <v>19</v>
      </c>
      <c r="B50" s="81">
        <v>960</v>
      </c>
      <c r="C50" s="6" t="s">
        <v>146</v>
      </c>
      <c r="D50" s="7" t="s">
        <v>54</v>
      </c>
      <c r="E50" s="7">
        <v>3230</v>
      </c>
      <c r="F50" s="7">
        <v>3556</v>
      </c>
      <c r="G50" s="40">
        <f t="shared" si="11"/>
        <v>1.1009287925696594</v>
      </c>
      <c r="H50" s="7">
        <f t="shared" si="12"/>
        <v>96.91906556260359</v>
      </c>
      <c r="I50" s="113">
        <v>0</v>
      </c>
      <c r="J50" s="7">
        <f t="shared" si="13"/>
        <v>3556</v>
      </c>
      <c r="L50" s="2" t="s">
        <v>12</v>
      </c>
    </row>
    <row r="51" spans="1:12" s="2" customFormat="1" ht="19.5" customHeight="1">
      <c r="A51" s="49" t="s">
        <v>107</v>
      </c>
      <c r="B51" s="81">
        <v>3800</v>
      </c>
      <c r="C51" s="6" t="s">
        <v>144</v>
      </c>
      <c r="D51" s="7" t="s">
        <v>54</v>
      </c>
      <c r="E51" s="7">
        <v>5246.5</v>
      </c>
      <c r="F51" s="7">
        <v>5572.2</v>
      </c>
      <c r="G51" s="40">
        <f>F51/E51</f>
        <v>1.0620794815591346</v>
      </c>
      <c r="H51" s="7">
        <f>$H$42*J51/$J$42</f>
        <v>127.49381464812912</v>
      </c>
      <c r="I51" s="5">
        <v>894.4</v>
      </c>
      <c r="J51" s="7">
        <f t="shared" si="13"/>
        <v>4677.8</v>
      </c>
      <c r="L51" s="2" t="s">
        <v>12</v>
      </c>
    </row>
    <row r="52" spans="1:12" s="2" customFormat="1" ht="19.5" customHeight="1">
      <c r="A52" s="49" t="s">
        <v>4</v>
      </c>
      <c r="B52" s="81">
        <v>1350</v>
      </c>
      <c r="C52" s="6" t="s">
        <v>147</v>
      </c>
      <c r="D52" s="7" t="s">
        <v>54</v>
      </c>
      <c r="E52" s="7">
        <v>2800</v>
      </c>
      <c r="F52" s="7">
        <v>2996</v>
      </c>
      <c r="G52" s="40">
        <f t="shared" si="11"/>
        <v>1.07</v>
      </c>
      <c r="H52" s="7">
        <f t="shared" si="12"/>
        <v>81.65622059211483</v>
      </c>
      <c r="I52" s="113">
        <v>0</v>
      </c>
      <c r="J52" s="7">
        <f t="shared" si="13"/>
        <v>2996</v>
      </c>
      <c r="L52" s="2" t="s">
        <v>12</v>
      </c>
    </row>
    <row r="53" spans="1:12" s="2" customFormat="1" ht="19.5" customHeight="1">
      <c r="A53" s="49" t="s">
        <v>20</v>
      </c>
      <c r="B53" s="81">
        <v>-70</v>
      </c>
      <c r="C53" s="6" t="s">
        <v>270</v>
      </c>
      <c r="D53" s="7" t="s">
        <v>270</v>
      </c>
      <c r="E53" s="7">
        <v>18570</v>
      </c>
      <c r="F53" s="7">
        <v>20415</v>
      </c>
      <c r="G53" s="40">
        <f t="shared" si="11"/>
        <v>1.0993537964458804</v>
      </c>
      <c r="H53" s="7">
        <f t="shared" si="12"/>
        <v>556.4124644152284</v>
      </c>
      <c r="I53" s="113">
        <v>0</v>
      </c>
      <c r="J53" s="7">
        <f t="shared" si="13"/>
        <v>20415</v>
      </c>
      <c r="L53" s="2" t="s">
        <v>12</v>
      </c>
    </row>
    <row r="54" spans="1:12" s="2" customFormat="1" ht="19.5" customHeight="1">
      <c r="A54" s="49" t="s">
        <v>1</v>
      </c>
      <c r="B54" s="81">
        <v>1000</v>
      </c>
      <c r="C54" s="6" t="s">
        <v>148</v>
      </c>
      <c r="D54" s="7" t="s">
        <v>54</v>
      </c>
      <c r="E54" s="7">
        <v>3950</v>
      </c>
      <c r="F54" s="7">
        <v>4212</v>
      </c>
      <c r="G54" s="40">
        <f t="shared" si="11"/>
        <v>1.0663291139240507</v>
      </c>
      <c r="H54" s="7">
        <f t="shared" si="12"/>
        <v>114.798398242319</v>
      </c>
      <c r="I54" s="113">
        <v>0</v>
      </c>
      <c r="J54" s="7">
        <f t="shared" si="13"/>
        <v>4212</v>
      </c>
      <c r="L54" s="2" t="s">
        <v>12</v>
      </c>
    </row>
    <row r="55" spans="1:12" s="2" customFormat="1" ht="19.5" customHeight="1">
      <c r="A55" s="49" t="s">
        <v>46</v>
      </c>
      <c r="B55" s="81">
        <v>1580</v>
      </c>
      <c r="C55" s="81">
        <f>1864+37</f>
        <v>1901</v>
      </c>
      <c r="D55" s="111">
        <f>C55/B55</f>
        <v>1.2031645569620253</v>
      </c>
      <c r="E55" s="7" t="s">
        <v>23</v>
      </c>
      <c r="F55" s="7">
        <f>ROUND(F54*0.579,1)</f>
        <v>2438.7</v>
      </c>
      <c r="G55" s="40" t="s">
        <v>23</v>
      </c>
      <c r="H55" s="7">
        <f t="shared" si="12"/>
        <v>66.46696433844808</v>
      </c>
      <c r="I55" s="113">
        <v>0</v>
      </c>
      <c r="J55" s="7">
        <f t="shared" si="13"/>
        <v>2438.7</v>
      </c>
      <c r="L55" s="2" t="s">
        <v>12</v>
      </c>
    </row>
    <row r="56" spans="1:12" s="2" customFormat="1" ht="19.5" customHeight="1">
      <c r="A56" s="49" t="s">
        <v>149</v>
      </c>
      <c r="B56" s="81">
        <v>580</v>
      </c>
      <c r="C56" s="6" t="s">
        <v>150</v>
      </c>
      <c r="D56" s="7" t="s">
        <v>54</v>
      </c>
      <c r="E56" s="7">
        <v>2096.4</v>
      </c>
      <c r="F56" s="7">
        <v>2200.2</v>
      </c>
      <c r="G56" s="40">
        <f>F56/E56</f>
        <v>1.049513451631368</v>
      </c>
      <c r="H56" s="7">
        <f t="shared" si="12"/>
        <v>59.075386559882816</v>
      </c>
      <c r="I56" s="5">
        <v>32.7</v>
      </c>
      <c r="J56" s="7">
        <f t="shared" si="13"/>
        <v>2167.5</v>
      </c>
      <c r="L56" s="2" t="s">
        <v>12</v>
      </c>
    </row>
    <row r="57" spans="1:12" s="2" customFormat="1" ht="19.5" customHeight="1">
      <c r="A57" s="49" t="s">
        <v>5</v>
      </c>
      <c r="B57" s="81">
        <v>3300</v>
      </c>
      <c r="C57" s="6" t="s">
        <v>269</v>
      </c>
      <c r="D57" s="7" t="s">
        <v>54</v>
      </c>
      <c r="E57" s="7">
        <v>5960</v>
      </c>
      <c r="F57" s="7">
        <v>6381</v>
      </c>
      <c r="G57" s="40">
        <f aca="true" t="shared" si="14" ref="G57:G63">F57/E57</f>
        <v>1.0706375838926174</v>
      </c>
      <c r="H57" s="7">
        <f t="shared" si="12"/>
        <v>173.91466742265848</v>
      </c>
      <c r="I57" s="113">
        <v>0</v>
      </c>
      <c r="J57" s="7">
        <f t="shared" si="13"/>
        <v>6381</v>
      </c>
      <c r="L57" s="2" t="s">
        <v>12</v>
      </c>
    </row>
    <row r="58" spans="1:10" s="2" customFormat="1" ht="19.5" customHeight="1">
      <c r="A58" s="49" t="s">
        <v>21</v>
      </c>
      <c r="B58" s="81">
        <v>1170</v>
      </c>
      <c r="C58" s="6" t="s">
        <v>151</v>
      </c>
      <c r="D58" s="7" t="s">
        <v>54</v>
      </c>
      <c r="E58" s="7">
        <v>2820</v>
      </c>
      <c r="F58" s="7">
        <v>3068</v>
      </c>
      <c r="G58" s="40">
        <f t="shared" si="14"/>
        <v>1.0879432624113474</v>
      </c>
      <c r="H58" s="7">
        <f t="shared" si="12"/>
        <v>83.61858637403482</v>
      </c>
      <c r="I58" s="113">
        <v>0</v>
      </c>
      <c r="J58" s="7">
        <f t="shared" si="13"/>
        <v>3068</v>
      </c>
    </row>
    <row r="59" spans="1:10" s="2" customFormat="1" ht="19.5" customHeight="1">
      <c r="A59" s="49" t="s">
        <v>6</v>
      </c>
      <c r="B59" s="81">
        <v>2860</v>
      </c>
      <c r="C59" s="6" t="s">
        <v>152</v>
      </c>
      <c r="D59" s="7" t="s">
        <v>54</v>
      </c>
      <c r="E59" s="7">
        <v>8320</v>
      </c>
      <c r="F59" s="7">
        <v>8908</v>
      </c>
      <c r="G59" s="40">
        <f t="shared" si="14"/>
        <v>1.070673076923077</v>
      </c>
      <c r="H59" s="7">
        <f t="shared" si="12"/>
        <v>242.788255351989</v>
      </c>
      <c r="I59" s="113">
        <v>0</v>
      </c>
      <c r="J59" s="7">
        <f t="shared" si="13"/>
        <v>8908</v>
      </c>
    </row>
    <row r="60" spans="1:10" s="2" customFormat="1" ht="19.5" customHeight="1">
      <c r="A60" s="49" t="s">
        <v>22</v>
      </c>
      <c r="B60" s="81">
        <v>1300</v>
      </c>
      <c r="C60" s="6" t="s">
        <v>153</v>
      </c>
      <c r="D60" s="7" t="s">
        <v>54</v>
      </c>
      <c r="E60" s="7">
        <v>2740</v>
      </c>
      <c r="F60" s="7">
        <v>3044</v>
      </c>
      <c r="G60" s="40">
        <f t="shared" si="14"/>
        <v>1.110948905109489</v>
      </c>
      <c r="H60" s="7">
        <f t="shared" si="12"/>
        <v>82.96446444672816</v>
      </c>
      <c r="I60" s="113">
        <v>0</v>
      </c>
      <c r="J60" s="7">
        <f t="shared" si="13"/>
        <v>3044</v>
      </c>
    </row>
    <row r="61" spans="1:10" s="2" customFormat="1" ht="19.5" customHeight="1">
      <c r="A61" s="49" t="s">
        <v>7</v>
      </c>
      <c r="B61" s="81">
        <v>2730</v>
      </c>
      <c r="C61" s="81">
        <f>6655+191</f>
        <v>6846</v>
      </c>
      <c r="D61" s="111">
        <f>C61/B61</f>
        <v>2.5076923076923077</v>
      </c>
      <c r="E61" s="7">
        <v>6540</v>
      </c>
      <c r="F61" s="7">
        <v>6800</v>
      </c>
      <c r="G61" s="40">
        <f t="shared" si="14"/>
        <v>1.039755351681957</v>
      </c>
      <c r="H61" s="7">
        <f t="shared" si="12"/>
        <v>185.3345460702206</v>
      </c>
      <c r="I61" s="113">
        <v>0</v>
      </c>
      <c r="J61" s="7">
        <f t="shared" si="13"/>
        <v>6800</v>
      </c>
    </row>
    <row r="62" spans="1:10" s="2" customFormat="1" ht="19.5" customHeight="1">
      <c r="A62" s="49" t="s">
        <v>32</v>
      </c>
      <c r="B62" s="81">
        <v>1360</v>
      </c>
      <c r="C62" s="81" t="s">
        <v>155</v>
      </c>
      <c r="D62" s="7" t="s">
        <v>54</v>
      </c>
      <c r="E62" s="7">
        <f>6890+185</f>
        <v>7075</v>
      </c>
      <c r="F62" s="7">
        <f>7383+198</f>
        <v>7581</v>
      </c>
      <c r="G62" s="40">
        <f t="shared" si="14"/>
        <v>1.0715194346289754</v>
      </c>
      <c r="H62" s="7">
        <f t="shared" si="12"/>
        <v>206.62076378799154</v>
      </c>
      <c r="I62" s="113">
        <v>0</v>
      </c>
      <c r="J62" s="7">
        <f t="shared" si="13"/>
        <v>7581</v>
      </c>
    </row>
    <row r="63" spans="1:10" s="2" customFormat="1" ht="19.5" customHeight="1">
      <c r="A63" s="49" t="s">
        <v>8</v>
      </c>
      <c r="B63" s="81">
        <v>6450</v>
      </c>
      <c r="C63" s="81">
        <v>6581</v>
      </c>
      <c r="D63" s="112">
        <f>C63/B63</f>
        <v>1.0203100775193799</v>
      </c>
      <c r="E63" s="7">
        <v>10100</v>
      </c>
      <c r="F63" s="7">
        <v>10600</v>
      </c>
      <c r="G63" s="40">
        <f t="shared" si="14"/>
        <v>1.0495049504950495</v>
      </c>
      <c r="H63" s="7">
        <f>$H$42*J63/$J$42</f>
        <v>288.9038512271086</v>
      </c>
      <c r="I63" s="113">
        <v>0</v>
      </c>
      <c r="J63" s="7">
        <f t="shared" si="13"/>
        <v>10600</v>
      </c>
    </row>
    <row r="64" spans="1:10" s="2" customFormat="1" ht="19.5" customHeight="1">
      <c r="A64" s="49" t="s">
        <v>45</v>
      </c>
      <c r="B64" s="81">
        <v>2450</v>
      </c>
      <c r="C64" s="81">
        <v>2936</v>
      </c>
      <c r="D64" s="112">
        <f>C64/B64</f>
        <v>1.1983673469387754</v>
      </c>
      <c r="E64" s="7" t="s">
        <v>23</v>
      </c>
      <c r="F64" s="7">
        <f>ROUND(F63*0.485,1)</f>
        <v>5141</v>
      </c>
      <c r="G64" s="40" t="s">
        <v>23</v>
      </c>
      <c r="H64" s="7">
        <f t="shared" si="12"/>
        <v>140.11836784514767</v>
      </c>
      <c r="I64" s="113">
        <v>0</v>
      </c>
      <c r="J64" s="7">
        <f t="shared" si="13"/>
        <v>5141</v>
      </c>
    </row>
    <row r="65" spans="1:10" s="2" customFormat="1" ht="19.5" customHeight="1">
      <c r="A65" s="49" t="s">
        <v>39</v>
      </c>
      <c r="B65" s="81" t="s">
        <v>23</v>
      </c>
      <c r="C65" s="6" t="s">
        <v>23</v>
      </c>
      <c r="D65" s="7" t="s">
        <v>23</v>
      </c>
      <c r="E65" s="7">
        <v>400</v>
      </c>
      <c r="F65" s="7">
        <v>416</v>
      </c>
      <c r="G65" s="40">
        <f>F65/E65</f>
        <v>1.04</v>
      </c>
      <c r="H65" s="7">
        <f t="shared" si="12"/>
        <v>11.33811340664879</v>
      </c>
      <c r="I65" s="113">
        <v>0</v>
      </c>
      <c r="J65" s="7">
        <f t="shared" si="13"/>
        <v>416</v>
      </c>
    </row>
    <row r="66" spans="1:10" s="2" customFormat="1" ht="19.5" customHeight="1">
      <c r="A66" s="49" t="s">
        <v>16</v>
      </c>
      <c r="B66" s="81">
        <v>6140</v>
      </c>
      <c r="C66" s="81">
        <v>8916</v>
      </c>
      <c r="D66" s="112">
        <f>C66/B66</f>
        <v>1.4521172638436481</v>
      </c>
      <c r="E66" s="7" t="s">
        <v>23</v>
      </c>
      <c r="F66" s="7">
        <f>F43+F54+F57+F59+F63+F65</f>
        <v>33299</v>
      </c>
      <c r="G66" s="41" t="s">
        <v>23</v>
      </c>
      <c r="H66" s="7">
        <f>H43+H54+H57+H59+H63+H65</f>
        <v>907.5669190576875</v>
      </c>
      <c r="I66" s="114">
        <f>I43+I54+I57+I59+I63+I65</f>
        <v>0</v>
      </c>
      <c r="J66" s="172" t="s">
        <v>98</v>
      </c>
    </row>
    <row r="67" spans="1:11" s="2" customFormat="1" ht="19.5" customHeight="1">
      <c r="A67" s="49" t="s">
        <v>14</v>
      </c>
      <c r="B67" s="81">
        <v>5840</v>
      </c>
      <c r="C67" s="81">
        <f>8342+444</f>
        <v>8786</v>
      </c>
      <c r="D67" s="112">
        <f>C67/B67</f>
        <v>1.5044520547945206</v>
      </c>
      <c r="E67" s="7" t="s">
        <v>23</v>
      </c>
      <c r="F67" s="7">
        <f>F48+F61</f>
        <v>14088</v>
      </c>
      <c r="G67" s="41" t="s">
        <v>23</v>
      </c>
      <c r="H67" s="7">
        <f>H48+H61</f>
        <v>383.96957132900997</v>
      </c>
      <c r="I67" s="114">
        <f>I48+I61</f>
        <v>0</v>
      </c>
      <c r="J67" s="173"/>
      <c r="K67" s="2" t="s">
        <v>12</v>
      </c>
    </row>
    <row r="68" spans="1:10" s="2" customFormat="1" ht="19.5" customHeight="1">
      <c r="A68" s="85" t="s">
        <v>15</v>
      </c>
      <c r="B68" s="89">
        <v>-3840</v>
      </c>
      <c r="C68" s="6" t="s">
        <v>270</v>
      </c>
      <c r="D68" s="7" t="s">
        <v>270</v>
      </c>
      <c r="E68" s="7" t="s">
        <v>23</v>
      </c>
      <c r="F68" s="7">
        <f>F58+F60+F62</f>
        <v>13693</v>
      </c>
      <c r="G68" s="41" t="s">
        <v>23</v>
      </c>
      <c r="H68" s="7">
        <f>H58+H60+H62</f>
        <v>373.20381460875456</v>
      </c>
      <c r="I68" s="114">
        <f>I58+I60+I62</f>
        <v>0</v>
      </c>
      <c r="J68" s="173"/>
    </row>
    <row r="69" spans="1:10" s="2" customFormat="1" ht="19.5" customHeight="1">
      <c r="A69" s="49" t="s">
        <v>17</v>
      </c>
      <c r="B69" s="81">
        <v>5220</v>
      </c>
      <c r="C69" s="81">
        <v>6495</v>
      </c>
      <c r="D69" s="112">
        <f>C69/B69</f>
        <v>1.2442528735632183</v>
      </c>
      <c r="E69" s="7" t="s">
        <v>23</v>
      </c>
      <c r="F69" s="7">
        <f>F66+F67+F68</f>
        <v>61080</v>
      </c>
      <c r="G69" s="41" t="s">
        <v>23</v>
      </c>
      <c r="H69" s="7">
        <f>H66+H67+H68</f>
        <v>1664.740304995452</v>
      </c>
      <c r="I69" s="114">
        <f>I66+I67+I68</f>
        <v>0</v>
      </c>
      <c r="J69" s="173"/>
    </row>
    <row r="70" spans="1:10" s="2" customFormat="1" ht="19.5" customHeight="1">
      <c r="A70" s="85" t="s">
        <v>33</v>
      </c>
      <c r="B70" s="89">
        <v>5940</v>
      </c>
      <c r="C70" s="6" t="s">
        <v>154</v>
      </c>
      <c r="D70" s="7" t="s">
        <v>54</v>
      </c>
      <c r="E70" s="7" t="s">
        <v>23</v>
      </c>
      <c r="F70" s="7">
        <f>F44+F45+F46+F49+F50+F51+F52+F56</f>
        <v>83917</v>
      </c>
      <c r="G70" s="41" t="s">
        <v>23</v>
      </c>
      <c r="H70" s="7">
        <f>H44+H45+H46+H49+H50+H51+H52+H56</f>
        <v>1932.047230589319</v>
      </c>
      <c r="I70" s="7">
        <f>I44+I51+I56</f>
        <v>13029.4</v>
      </c>
      <c r="J70" s="173"/>
    </row>
    <row r="71" spans="1:10" ht="15.75">
      <c r="A71" s="167" t="s">
        <v>123</v>
      </c>
      <c r="B71" s="167"/>
      <c r="C71" s="76"/>
      <c r="D71" s="76"/>
      <c r="E71" s="76"/>
      <c r="F71" s="76"/>
      <c r="G71" s="76"/>
      <c r="H71" s="86"/>
      <c r="I71" s="86"/>
      <c r="J71" s="87"/>
    </row>
    <row r="72" spans="1:10" ht="15.75">
      <c r="A72" s="88" t="s">
        <v>43</v>
      </c>
      <c r="B72" s="159" t="s">
        <v>276</v>
      </c>
      <c r="C72" s="160"/>
      <c r="D72" s="160"/>
      <c r="E72" s="160"/>
      <c r="F72" s="160"/>
      <c r="G72" s="160"/>
      <c r="H72" s="161"/>
      <c r="I72" s="161"/>
      <c r="J72" s="162"/>
    </row>
    <row r="73" spans="1:10" ht="15">
      <c r="A73" s="49" t="s">
        <v>277</v>
      </c>
      <c r="B73" s="155" t="s">
        <v>288</v>
      </c>
      <c r="C73" s="155"/>
      <c r="D73" s="155"/>
      <c r="E73" s="155"/>
      <c r="F73" s="155"/>
      <c r="G73" s="155"/>
      <c r="H73" s="155"/>
      <c r="I73" s="156"/>
      <c r="J73" s="156"/>
    </row>
    <row r="74" spans="1:10" ht="15">
      <c r="A74" s="49" t="s">
        <v>278</v>
      </c>
      <c r="B74" s="155" t="s">
        <v>156</v>
      </c>
      <c r="C74" s="155"/>
      <c r="D74" s="155"/>
      <c r="E74" s="155"/>
      <c r="F74" s="155"/>
      <c r="G74" s="155"/>
      <c r="H74" s="155"/>
      <c r="I74" s="156"/>
      <c r="J74" s="156"/>
    </row>
    <row r="75" spans="1:10" ht="15">
      <c r="A75" s="49" t="s">
        <v>279</v>
      </c>
      <c r="B75" s="155" t="s">
        <v>289</v>
      </c>
      <c r="C75" s="155"/>
      <c r="D75" s="155"/>
      <c r="E75" s="155"/>
      <c r="F75" s="155"/>
      <c r="G75" s="155"/>
      <c r="H75" s="155"/>
      <c r="I75" s="156"/>
      <c r="J75" s="156"/>
    </row>
    <row r="76" spans="1:10" ht="15">
      <c r="A76" s="49" t="s">
        <v>280</v>
      </c>
      <c r="B76" s="155" t="s">
        <v>157</v>
      </c>
      <c r="C76" s="155"/>
      <c r="D76" s="155"/>
      <c r="E76" s="155"/>
      <c r="F76" s="155"/>
      <c r="G76" s="155"/>
      <c r="H76" s="155"/>
      <c r="I76" s="156"/>
      <c r="J76" s="156"/>
    </row>
    <row r="77" spans="1:10" ht="15">
      <c r="A77" s="49" t="s">
        <v>281</v>
      </c>
      <c r="B77" s="155" t="s">
        <v>290</v>
      </c>
      <c r="C77" s="155"/>
      <c r="D77" s="155"/>
      <c r="E77" s="155"/>
      <c r="F77" s="155"/>
      <c r="G77" s="155"/>
      <c r="H77" s="155"/>
      <c r="I77" s="156"/>
      <c r="J77" s="156"/>
    </row>
    <row r="78" spans="1:10" ht="15">
      <c r="A78" s="49" t="s">
        <v>282</v>
      </c>
      <c r="B78" s="155" t="s">
        <v>291</v>
      </c>
      <c r="C78" s="155"/>
      <c r="D78" s="155"/>
      <c r="E78" s="155"/>
      <c r="F78" s="155"/>
      <c r="G78" s="155"/>
      <c r="H78" s="155"/>
      <c r="I78" s="156"/>
      <c r="J78" s="156"/>
    </row>
    <row r="79" spans="1:10" ht="15">
      <c r="A79" s="49" t="s">
        <v>283</v>
      </c>
      <c r="B79" s="155" t="s">
        <v>292</v>
      </c>
      <c r="C79" s="155"/>
      <c r="D79" s="155"/>
      <c r="E79" s="155"/>
      <c r="F79" s="155"/>
      <c r="G79" s="155"/>
      <c r="H79" s="155"/>
      <c r="I79" s="156"/>
      <c r="J79" s="156"/>
    </row>
    <row r="80" spans="1:10" ht="15">
      <c r="A80" s="85" t="s">
        <v>284</v>
      </c>
      <c r="B80" s="155" t="s">
        <v>158</v>
      </c>
      <c r="C80" s="155"/>
      <c r="D80" s="155"/>
      <c r="E80" s="155"/>
      <c r="F80" s="155"/>
      <c r="G80" s="155"/>
      <c r="H80" s="155"/>
      <c r="I80" s="156"/>
      <c r="J80" s="156"/>
    </row>
    <row r="81" spans="1:10" ht="15">
      <c r="A81" s="85" t="s">
        <v>285</v>
      </c>
      <c r="B81" s="155" t="s">
        <v>158</v>
      </c>
      <c r="C81" s="155"/>
      <c r="D81" s="155"/>
      <c r="E81" s="155"/>
      <c r="F81" s="155"/>
      <c r="G81" s="155"/>
      <c r="H81" s="155"/>
      <c r="I81" s="156"/>
      <c r="J81" s="156"/>
    </row>
  </sheetData>
  <sheetProtection/>
  <mergeCells count="24">
    <mergeCell ref="A1:F1"/>
    <mergeCell ref="J66:J70"/>
    <mergeCell ref="B78:J78"/>
    <mergeCell ref="A38:J38"/>
    <mergeCell ref="A39:J39"/>
    <mergeCell ref="B74:J74"/>
    <mergeCell ref="B77:J77"/>
    <mergeCell ref="A40:J40"/>
    <mergeCell ref="B73:J73"/>
    <mergeCell ref="B81:J81"/>
    <mergeCell ref="B80:J80"/>
    <mergeCell ref="A71:B71"/>
    <mergeCell ref="B79:J79"/>
    <mergeCell ref="B76:J76"/>
    <mergeCell ref="C11:K11"/>
    <mergeCell ref="A2:F2"/>
    <mergeCell ref="C6:K6"/>
    <mergeCell ref="B75:J75"/>
    <mergeCell ref="C3:K3"/>
    <mergeCell ref="B72:J72"/>
    <mergeCell ref="C4:K4"/>
    <mergeCell ref="C5:K5"/>
    <mergeCell ref="C7:K9"/>
    <mergeCell ref="C10:K10"/>
  </mergeCells>
  <printOptions gridLines="1" horizontalCentered="1" verticalCentered="1"/>
  <pageMargins left="0.25" right="0.25" top="0.25" bottom="0.25" header="0.3" footer="0.3"/>
  <pageSetup fitToHeight="1" fitToWidth="1" horizontalDpi="600" verticalDpi="600" orientation="portrait" scale="46" r:id="rId1"/>
  <rowBreaks count="1" manualBreakCount="1">
    <brk id="39" max="255" man="1"/>
  </rowBreaks>
  <colBreaks count="1" manualBreakCount="1">
    <brk id="7" max="80" man="1"/>
  </colBreaks>
  <ignoredErrors>
    <ignoredError sqref="E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65.7109375" style="0" customWidth="1"/>
    <col min="2" max="2" width="21.7109375" style="0" customWidth="1"/>
    <col min="3" max="8" width="18.7109375" style="0" customWidth="1"/>
    <col min="9" max="9" width="15.140625" style="0" bestFit="1" customWidth="1"/>
    <col min="10" max="10" width="40.7109375" style="0" customWidth="1"/>
  </cols>
  <sheetData>
    <row r="1" spans="1:7" ht="19.5" customHeight="1">
      <c r="A1" s="176" t="s">
        <v>131</v>
      </c>
      <c r="B1" s="176"/>
      <c r="C1" s="176"/>
      <c r="D1" s="14" t="s">
        <v>12</v>
      </c>
      <c r="E1" s="21" t="s">
        <v>12</v>
      </c>
      <c r="F1" s="15"/>
      <c r="G1" s="15"/>
    </row>
    <row r="2" spans="1:7" ht="19.5" customHeight="1">
      <c r="A2" s="177" t="s">
        <v>274</v>
      </c>
      <c r="B2" s="177"/>
      <c r="C2" s="177"/>
      <c r="D2" s="177"/>
      <c r="E2" s="177"/>
      <c r="F2" s="15"/>
      <c r="G2" s="15"/>
    </row>
    <row r="3" spans="1:7" ht="24.75" customHeight="1">
      <c r="A3" s="158" t="s">
        <v>78</v>
      </c>
      <c r="B3" s="158"/>
      <c r="C3" s="141" t="s">
        <v>12</v>
      </c>
      <c r="D3" s="13" t="s">
        <v>12</v>
      </c>
      <c r="E3" s="15"/>
      <c r="F3" s="15"/>
      <c r="G3" s="15"/>
    </row>
    <row r="4" spans="1:7" ht="24.75" customHeight="1">
      <c r="A4" s="178" t="s">
        <v>58</v>
      </c>
      <c r="B4" s="179"/>
      <c r="C4" s="17" t="s">
        <v>12</v>
      </c>
      <c r="D4" s="13"/>
      <c r="E4" s="15"/>
      <c r="F4" s="15"/>
      <c r="G4" s="15"/>
    </row>
    <row r="5" spans="1:7" ht="24.75" customHeight="1">
      <c r="A5" s="37" t="s">
        <v>272</v>
      </c>
      <c r="B5" s="38">
        <f>'2016-2017 Parameters'!B5</f>
        <v>0.0569</v>
      </c>
      <c r="C5" s="16" t="s">
        <v>12</v>
      </c>
      <c r="D5" s="13" t="s">
        <v>12</v>
      </c>
      <c r="E5" s="15"/>
      <c r="F5" s="15"/>
      <c r="G5" s="15"/>
    </row>
    <row r="6" spans="1:7" ht="24.75" customHeight="1">
      <c r="A6" s="178"/>
      <c r="B6" s="184"/>
      <c r="C6" s="16"/>
      <c r="D6" s="13"/>
      <c r="E6" s="15"/>
      <c r="F6" s="15"/>
      <c r="G6" s="15"/>
    </row>
    <row r="7" spans="1:7" ht="24.75" customHeight="1">
      <c r="A7" s="180" t="s">
        <v>71</v>
      </c>
      <c r="B7" s="181"/>
      <c r="C7" s="16"/>
      <c r="D7" s="13"/>
      <c r="E7" s="15"/>
      <c r="F7" s="15"/>
      <c r="G7" s="15"/>
    </row>
    <row r="8" spans="1:7" ht="24.75" customHeight="1">
      <c r="A8" s="180" t="s">
        <v>72</v>
      </c>
      <c r="B8" s="181"/>
      <c r="C8" s="16"/>
      <c r="D8" s="13"/>
      <c r="E8" s="15"/>
      <c r="F8" s="15"/>
      <c r="G8" s="15"/>
    </row>
    <row r="9" spans="1:7" ht="24.75" customHeight="1">
      <c r="A9" s="182" t="s">
        <v>135</v>
      </c>
      <c r="B9" s="183"/>
      <c r="C9" s="16"/>
      <c r="D9" s="13"/>
      <c r="E9" s="15"/>
      <c r="F9" s="15"/>
      <c r="G9" s="15"/>
    </row>
    <row r="10" spans="1:7" ht="24.75" customHeight="1">
      <c r="A10" s="180" t="s">
        <v>73</v>
      </c>
      <c r="B10" s="181"/>
      <c r="C10" s="16"/>
      <c r="D10" s="13"/>
      <c r="E10" s="15"/>
      <c r="F10" s="15"/>
      <c r="G10" s="15"/>
    </row>
    <row r="11" spans="1:7" ht="24.75" customHeight="1">
      <c r="A11" s="182" t="s">
        <v>74</v>
      </c>
      <c r="B11" s="183"/>
      <c r="C11" s="16"/>
      <c r="D11" s="13"/>
      <c r="E11" s="15"/>
      <c r="F11" s="15"/>
      <c r="G11" s="15"/>
    </row>
    <row r="12" spans="1:7" ht="24.75" customHeight="1">
      <c r="A12" s="158" t="s">
        <v>109</v>
      </c>
      <c r="B12" s="158"/>
      <c r="C12" s="16"/>
      <c r="D12" s="67" t="s">
        <v>12</v>
      </c>
      <c r="E12" s="15"/>
      <c r="F12" s="15"/>
      <c r="G12" s="15"/>
    </row>
    <row r="13" spans="1:7" ht="19.5" customHeight="1">
      <c r="A13" s="12"/>
      <c r="B13" s="18"/>
      <c r="C13" s="13"/>
      <c r="D13" s="13"/>
      <c r="E13" s="15"/>
      <c r="F13" s="15"/>
      <c r="G13" s="15"/>
    </row>
    <row r="14" spans="1:10" ht="34.5" customHeight="1">
      <c r="A14" s="22"/>
      <c r="B14" s="27" t="s">
        <v>59</v>
      </c>
      <c r="C14" s="27" t="s">
        <v>60</v>
      </c>
      <c r="D14" s="27" t="s">
        <v>61</v>
      </c>
      <c r="E14" s="27" t="s">
        <v>62</v>
      </c>
      <c r="F14" s="27" t="s">
        <v>63</v>
      </c>
      <c r="G14" s="27" t="s">
        <v>97</v>
      </c>
      <c r="H14" s="27" t="s">
        <v>13</v>
      </c>
      <c r="J14" s="29" t="s">
        <v>12</v>
      </c>
    </row>
    <row r="15" spans="1:8" ht="34.5" customHeight="1">
      <c r="A15" s="23" t="s">
        <v>136</v>
      </c>
      <c r="B15" s="24">
        <v>140000</v>
      </c>
      <c r="C15" s="24">
        <v>130600</v>
      </c>
      <c r="D15" s="24">
        <v>127500</v>
      </c>
      <c r="E15" s="24">
        <v>134500</v>
      </c>
      <c r="F15" s="24">
        <v>114500</v>
      </c>
      <c r="G15" s="24">
        <f>C15</f>
        <v>130600</v>
      </c>
      <c r="H15" s="24">
        <v>128000</v>
      </c>
    </row>
    <row r="16" spans="1:10" ht="24.75" customHeight="1">
      <c r="A16" s="23" t="s">
        <v>137</v>
      </c>
      <c r="B16" s="25">
        <v>0.089</v>
      </c>
      <c r="C16" s="25">
        <v>0.089</v>
      </c>
      <c r="D16" s="25">
        <v>0.094</v>
      </c>
      <c r="E16" s="25">
        <v>0.089</v>
      </c>
      <c r="F16" s="25">
        <v>0.091</v>
      </c>
      <c r="G16" s="25">
        <f>C16</f>
        <v>0.089</v>
      </c>
      <c r="H16" s="25">
        <f>C16</f>
        <v>0.089</v>
      </c>
      <c r="I16" s="110" t="s">
        <v>12</v>
      </c>
      <c r="J16" s="28" t="s">
        <v>12</v>
      </c>
    </row>
    <row r="17" spans="1:8" ht="24.75" customHeight="1">
      <c r="A17" s="23" t="s">
        <v>99</v>
      </c>
      <c r="B17" s="24" t="s">
        <v>75</v>
      </c>
      <c r="C17" s="24" t="s">
        <v>75</v>
      </c>
      <c r="D17" s="24" t="s">
        <v>76</v>
      </c>
      <c r="E17" s="24" t="s">
        <v>75</v>
      </c>
      <c r="F17" s="24" t="s">
        <v>77</v>
      </c>
      <c r="G17" s="24" t="s">
        <v>75</v>
      </c>
      <c r="H17" s="24" t="s">
        <v>75</v>
      </c>
    </row>
    <row r="18" spans="1:8" ht="34.5" customHeight="1">
      <c r="A18" s="23" t="s">
        <v>138</v>
      </c>
      <c r="B18" s="24">
        <f>B15+B15*B16</f>
        <v>152460</v>
      </c>
      <c r="C18" s="24">
        <f aca="true" t="shared" si="0" ref="C18:H18">C15+C15*C16</f>
        <v>142223.4</v>
      </c>
      <c r="D18" s="24">
        <f t="shared" si="0"/>
        <v>139485</v>
      </c>
      <c r="E18" s="24">
        <f t="shared" si="0"/>
        <v>146470.5</v>
      </c>
      <c r="F18" s="24">
        <f t="shared" si="0"/>
        <v>124919.5</v>
      </c>
      <c r="G18" s="24">
        <f t="shared" si="0"/>
        <v>142223.4</v>
      </c>
      <c r="H18" s="24">
        <f t="shared" si="0"/>
        <v>139392</v>
      </c>
    </row>
    <row r="19" spans="1:10" ht="34.5" customHeight="1">
      <c r="A19" s="23" t="s">
        <v>139</v>
      </c>
      <c r="B19" s="9">
        <v>36685.978606553</v>
      </c>
      <c r="C19" s="9">
        <v>44707.47316531741</v>
      </c>
      <c r="D19" s="9">
        <v>12453.46792217979</v>
      </c>
      <c r="E19" s="9">
        <v>32929.449068682814</v>
      </c>
      <c r="F19" s="9">
        <v>34129.04624434063</v>
      </c>
      <c r="G19" s="9">
        <f>C19</f>
        <v>44707.47316531741</v>
      </c>
      <c r="H19" s="9">
        <v>23414.73485594577</v>
      </c>
      <c r="I19" s="55" t="s">
        <v>12</v>
      </c>
      <c r="J19" s="54" t="s">
        <v>12</v>
      </c>
    </row>
    <row r="20" spans="1:8" ht="30" customHeight="1">
      <c r="A20" s="23" t="s">
        <v>110</v>
      </c>
      <c r="B20" s="9" t="s">
        <v>82</v>
      </c>
      <c r="C20" s="9" t="s">
        <v>65</v>
      </c>
      <c r="D20" s="9" t="s">
        <v>66</v>
      </c>
      <c r="E20" s="9" t="s">
        <v>67</v>
      </c>
      <c r="F20" s="9" t="s">
        <v>68</v>
      </c>
      <c r="G20" s="9" t="s">
        <v>65</v>
      </c>
      <c r="H20" s="9" t="s">
        <v>111</v>
      </c>
    </row>
    <row r="21" spans="1:8" ht="24.75" customHeight="1">
      <c r="A21" s="23" t="s">
        <v>64</v>
      </c>
      <c r="B21" s="9">
        <v>2199</v>
      </c>
      <c r="C21" s="9">
        <v>2199</v>
      </c>
      <c r="D21" s="9">
        <v>2199</v>
      </c>
      <c r="E21" s="9">
        <v>2199</v>
      </c>
      <c r="F21" s="9">
        <v>2199</v>
      </c>
      <c r="G21" s="9">
        <f>C21</f>
        <v>2199</v>
      </c>
      <c r="H21" s="9">
        <f>D21</f>
        <v>2199</v>
      </c>
    </row>
    <row r="22" spans="1:8" ht="24.75" customHeight="1">
      <c r="A22" s="23" t="s">
        <v>69</v>
      </c>
      <c r="B22" s="10">
        <f aca="true" t="shared" si="1" ref="B22:H22">(B18-B19-B21)/365</f>
        <v>311.1644421738274</v>
      </c>
      <c r="C22" s="10">
        <f t="shared" si="1"/>
        <v>261.14226530050024</v>
      </c>
      <c r="D22" s="10">
        <f t="shared" si="1"/>
        <v>342.00693719950743</v>
      </c>
      <c r="E22" s="10">
        <f t="shared" si="1"/>
        <v>305.046714880321</v>
      </c>
      <c r="F22" s="10">
        <f t="shared" si="1"/>
        <v>242.71631165934073</v>
      </c>
      <c r="G22" s="10">
        <f t="shared" si="1"/>
        <v>261.14226530050024</v>
      </c>
      <c r="H22" s="10">
        <f t="shared" si="1"/>
        <v>311.72127436727186</v>
      </c>
    </row>
    <row r="23" spans="1:10" ht="24.75" customHeight="1">
      <c r="A23" s="26" t="s">
        <v>70</v>
      </c>
      <c r="B23" s="11">
        <f>ROUND(B22/(1-$B$5),2)</f>
        <v>329.94</v>
      </c>
      <c r="C23" s="11">
        <f aca="true" t="shared" si="2" ref="C23:H23">ROUND(C22/(1-$B$5),2)</f>
        <v>276.9</v>
      </c>
      <c r="D23" s="11">
        <f t="shared" si="2"/>
        <v>362.64</v>
      </c>
      <c r="E23" s="11">
        <f t="shared" si="2"/>
        <v>323.45</v>
      </c>
      <c r="F23" s="11">
        <f t="shared" si="2"/>
        <v>257.36</v>
      </c>
      <c r="G23" s="11">
        <f t="shared" si="2"/>
        <v>276.9</v>
      </c>
      <c r="H23" s="11">
        <f t="shared" si="2"/>
        <v>330.53</v>
      </c>
      <c r="I23" s="69" t="s">
        <v>12</v>
      </c>
      <c r="J23" s="36" t="s">
        <v>12</v>
      </c>
    </row>
    <row r="24" spans="1:8" ht="19.5" customHeight="1">
      <c r="A24" s="19"/>
      <c r="B24" s="20" t="s">
        <v>12</v>
      </c>
      <c r="C24" s="20" t="s">
        <v>12</v>
      </c>
      <c r="D24" s="20" t="s">
        <v>12</v>
      </c>
      <c r="E24" s="20" t="s">
        <v>12</v>
      </c>
      <c r="F24" s="20" t="s">
        <v>12</v>
      </c>
      <c r="G24" s="20" t="s">
        <v>12</v>
      </c>
      <c r="H24" s="20" t="s">
        <v>12</v>
      </c>
    </row>
  </sheetData>
  <sheetProtection/>
  <mergeCells count="11">
    <mergeCell ref="A12:B12"/>
    <mergeCell ref="A6:B6"/>
    <mergeCell ref="A7:B7"/>
    <mergeCell ref="A8:B8"/>
    <mergeCell ref="A9:B9"/>
    <mergeCell ref="A1:C1"/>
    <mergeCell ref="A2:E2"/>
    <mergeCell ref="A4:B4"/>
    <mergeCell ref="A3:B3"/>
    <mergeCell ref="A10:B10"/>
    <mergeCell ref="A11:B11"/>
  </mergeCells>
  <printOptions/>
  <pageMargins left="0.25" right="0.25" top="0.25" bottom="0.25" header="0" footer="0"/>
  <pageSetup fitToHeight="1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421875" style="0" bestFit="1" customWidth="1"/>
    <col min="2" max="2" width="100.7109375" style="0" customWidth="1"/>
    <col min="3" max="3" width="15.7109375" style="0" customWidth="1"/>
  </cols>
  <sheetData>
    <row r="1" spans="1:4" ht="19.5" customHeight="1" thickBot="1">
      <c r="A1" s="185" t="s">
        <v>260</v>
      </c>
      <c r="B1" s="186"/>
      <c r="C1" s="186"/>
      <c r="D1" s="33" t="s">
        <v>12</v>
      </c>
    </row>
    <row r="2" spans="1:3" ht="30.75" thickBot="1">
      <c r="A2" s="116" t="s">
        <v>79</v>
      </c>
      <c r="B2" s="117" t="s">
        <v>80</v>
      </c>
      <c r="C2" s="118" t="s">
        <v>81</v>
      </c>
    </row>
    <row r="3" spans="1:3" ht="15" customHeight="1">
      <c r="A3" s="135" t="s">
        <v>114</v>
      </c>
      <c r="B3" s="136" t="s">
        <v>115</v>
      </c>
      <c r="C3" s="137" t="s">
        <v>3</v>
      </c>
    </row>
    <row r="4" spans="1:3" ht="15" customHeight="1">
      <c r="A4" s="130" t="s">
        <v>159</v>
      </c>
      <c r="B4" s="115" t="s">
        <v>160</v>
      </c>
      <c r="C4" s="131" t="s">
        <v>113</v>
      </c>
    </row>
    <row r="5" spans="1:3" ht="30" customHeight="1">
      <c r="A5" s="130" t="s">
        <v>161</v>
      </c>
      <c r="B5" s="115" t="s">
        <v>162</v>
      </c>
      <c r="C5" s="131" t="s">
        <v>6</v>
      </c>
    </row>
    <row r="6" spans="1:3" ht="24.75" customHeight="1">
      <c r="A6" s="130" t="s">
        <v>163</v>
      </c>
      <c r="B6" s="115" t="s">
        <v>164</v>
      </c>
      <c r="C6" s="131" t="s">
        <v>7</v>
      </c>
    </row>
    <row r="7" spans="1:3" ht="30" customHeight="1">
      <c r="A7" s="130" t="s">
        <v>165</v>
      </c>
      <c r="B7" s="115" t="s">
        <v>166</v>
      </c>
      <c r="C7" s="131" t="s">
        <v>7</v>
      </c>
    </row>
    <row r="8" spans="1:3" ht="30" customHeight="1">
      <c r="A8" s="130" t="s">
        <v>167</v>
      </c>
      <c r="B8" s="115" t="s">
        <v>168</v>
      </c>
      <c r="C8" s="131" t="s">
        <v>7</v>
      </c>
    </row>
    <row r="9" spans="1:3" ht="30" customHeight="1">
      <c r="A9" s="130" t="s">
        <v>169</v>
      </c>
      <c r="B9" s="115" t="s">
        <v>170</v>
      </c>
      <c r="C9" s="131" t="s">
        <v>7</v>
      </c>
    </row>
    <row r="10" spans="1:3" ht="30" customHeight="1">
      <c r="A10" s="130" t="s">
        <v>171</v>
      </c>
      <c r="B10" s="115" t="s">
        <v>172</v>
      </c>
      <c r="C10" s="131" t="s">
        <v>7</v>
      </c>
    </row>
    <row r="11" spans="1:3" ht="30" customHeight="1">
      <c r="A11" s="130" t="s">
        <v>173</v>
      </c>
      <c r="B11" s="115" t="s">
        <v>174</v>
      </c>
      <c r="C11" s="131" t="s">
        <v>7</v>
      </c>
    </row>
    <row r="12" spans="1:3" ht="30" customHeight="1">
      <c r="A12" s="130" t="s">
        <v>117</v>
      </c>
      <c r="B12" s="115" t="s">
        <v>175</v>
      </c>
      <c r="C12" s="131" t="s">
        <v>84</v>
      </c>
    </row>
    <row r="13" spans="1:3" ht="30" customHeight="1">
      <c r="A13" s="130" t="s">
        <v>176</v>
      </c>
      <c r="B13" s="115" t="s">
        <v>177</v>
      </c>
      <c r="C13" s="131" t="s">
        <v>84</v>
      </c>
    </row>
    <row r="14" spans="1:3" ht="15" customHeight="1">
      <c r="A14" s="130" t="s">
        <v>178</v>
      </c>
      <c r="B14" s="115" t="s">
        <v>179</v>
      </c>
      <c r="C14" s="131" t="s">
        <v>5</v>
      </c>
    </row>
    <row r="15" spans="1:3" ht="15" customHeight="1">
      <c r="A15" s="130" t="s">
        <v>180</v>
      </c>
      <c r="B15" s="115" t="s">
        <v>181</v>
      </c>
      <c r="C15" s="131" t="s">
        <v>108</v>
      </c>
    </row>
    <row r="16" spans="1:3" ht="15" customHeight="1">
      <c r="A16" s="130" t="s">
        <v>182</v>
      </c>
      <c r="B16" s="115" t="s">
        <v>183</v>
      </c>
      <c r="C16" s="131" t="s">
        <v>108</v>
      </c>
    </row>
    <row r="17" spans="1:3" ht="15" customHeight="1">
      <c r="A17" s="130" t="s">
        <v>184</v>
      </c>
      <c r="B17" s="115" t="s">
        <v>185</v>
      </c>
      <c r="C17" s="131" t="s">
        <v>108</v>
      </c>
    </row>
    <row r="18" spans="1:3" ht="30" customHeight="1">
      <c r="A18" s="130" t="s">
        <v>186</v>
      </c>
      <c r="B18" s="115" t="s">
        <v>187</v>
      </c>
      <c r="C18" s="131" t="s">
        <v>108</v>
      </c>
    </row>
    <row r="19" spans="1:3" ht="15" customHeight="1">
      <c r="A19" s="130" t="s">
        <v>188</v>
      </c>
      <c r="B19" s="115" t="s">
        <v>189</v>
      </c>
      <c r="C19" s="131" t="s">
        <v>108</v>
      </c>
    </row>
    <row r="20" spans="1:3" ht="15" customHeight="1">
      <c r="A20" s="130" t="s">
        <v>190</v>
      </c>
      <c r="B20" s="115" t="s">
        <v>191</v>
      </c>
      <c r="C20" s="131" t="s">
        <v>113</v>
      </c>
    </row>
    <row r="21" spans="1:3" ht="15" customHeight="1">
      <c r="A21" s="130" t="s">
        <v>192</v>
      </c>
      <c r="B21" s="115" t="s">
        <v>193</v>
      </c>
      <c r="C21" s="131" t="s">
        <v>120</v>
      </c>
    </row>
    <row r="22" spans="1:3" ht="15" customHeight="1">
      <c r="A22" s="130" t="s">
        <v>118</v>
      </c>
      <c r="B22" s="115" t="s">
        <v>119</v>
      </c>
      <c r="C22" s="131" t="s">
        <v>121</v>
      </c>
    </row>
    <row r="23" spans="1:3" ht="15" customHeight="1">
      <c r="A23" s="130" t="s">
        <v>194</v>
      </c>
      <c r="B23" s="115" t="s">
        <v>195</v>
      </c>
      <c r="C23" s="131" t="s">
        <v>0</v>
      </c>
    </row>
    <row r="24" spans="1:3" ht="15" customHeight="1">
      <c r="A24" s="130" t="s">
        <v>196</v>
      </c>
      <c r="B24" s="115" t="s">
        <v>197</v>
      </c>
      <c r="C24" s="131" t="s">
        <v>108</v>
      </c>
    </row>
    <row r="25" spans="1:3" ht="15" customHeight="1">
      <c r="A25" s="130" t="s">
        <v>198</v>
      </c>
      <c r="B25" s="115" t="s">
        <v>199</v>
      </c>
      <c r="C25" s="131" t="s">
        <v>112</v>
      </c>
    </row>
    <row r="26" spans="1:3" ht="30" customHeight="1">
      <c r="A26" s="130" t="s">
        <v>200</v>
      </c>
      <c r="B26" s="115" t="s">
        <v>201</v>
      </c>
      <c r="C26" s="131" t="s">
        <v>84</v>
      </c>
    </row>
    <row r="27" spans="1:3" ht="15" customHeight="1">
      <c r="A27" s="130" t="s">
        <v>202</v>
      </c>
      <c r="B27" s="115" t="s">
        <v>203</v>
      </c>
      <c r="C27" s="131" t="s">
        <v>116</v>
      </c>
    </row>
    <row r="28" spans="1:3" ht="15" customHeight="1">
      <c r="A28" s="130" t="s">
        <v>204</v>
      </c>
      <c r="B28" s="115" t="s">
        <v>205</v>
      </c>
      <c r="C28" s="131" t="s">
        <v>84</v>
      </c>
    </row>
    <row r="29" spans="1:3" ht="15" customHeight="1">
      <c r="A29" s="130" t="s">
        <v>206</v>
      </c>
      <c r="B29" s="115" t="s">
        <v>207</v>
      </c>
      <c r="C29" s="131" t="s">
        <v>84</v>
      </c>
    </row>
    <row r="30" spans="1:3" ht="15" customHeight="1">
      <c r="A30" s="130" t="s">
        <v>208</v>
      </c>
      <c r="B30" s="115" t="s">
        <v>209</v>
      </c>
      <c r="C30" s="131" t="s">
        <v>108</v>
      </c>
    </row>
    <row r="31" spans="1:3" ht="15" customHeight="1">
      <c r="A31" s="130" t="s">
        <v>210</v>
      </c>
      <c r="B31" s="115" t="s">
        <v>211</v>
      </c>
      <c r="C31" s="131" t="s">
        <v>108</v>
      </c>
    </row>
    <row r="32" spans="1:3" ht="15" customHeight="1">
      <c r="A32" s="130" t="s">
        <v>212</v>
      </c>
      <c r="B32" s="115" t="s">
        <v>213</v>
      </c>
      <c r="C32" s="131" t="s">
        <v>108</v>
      </c>
    </row>
    <row r="33" spans="1:3" ht="15" customHeight="1">
      <c r="A33" s="130" t="s">
        <v>214</v>
      </c>
      <c r="B33" s="115" t="s">
        <v>215</v>
      </c>
      <c r="C33" s="131" t="s">
        <v>108</v>
      </c>
    </row>
    <row r="34" spans="1:3" ht="15" customHeight="1">
      <c r="A34" s="130" t="s">
        <v>216</v>
      </c>
      <c r="B34" s="115" t="s">
        <v>217</v>
      </c>
      <c r="C34" s="131" t="s">
        <v>108</v>
      </c>
    </row>
    <row r="35" spans="1:3" ht="15" customHeight="1">
      <c r="A35" s="130" t="s">
        <v>218</v>
      </c>
      <c r="B35" s="115" t="s">
        <v>219</v>
      </c>
      <c r="C35" s="131" t="s">
        <v>108</v>
      </c>
    </row>
    <row r="36" spans="1:3" ht="15" customHeight="1">
      <c r="A36" s="130" t="s">
        <v>220</v>
      </c>
      <c r="B36" s="115" t="s">
        <v>221</v>
      </c>
      <c r="C36" s="131" t="s">
        <v>108</v>
      </c>
    </row>
    <row r="37" spans="1:3" ht="15" customHeight="1">
      <c r="A37" s="130" t="s">
        <v>222</v>
      </c>
      <c r="B37" s="115" t="s">
        <v>223</v>
      </c>
      <c r="C37" s="131" t="s">
        <v>108</v>
      </c>
    </row>
    <row r="38" spans="1:3" ht="15" customHeight="1">
      <c r="A38" s="130" t="s">
        <v>224</v>
      </c>
      <c r="B38" s="115" t="s">
        <v>225</v>
      </c>
      <c r="C38" s="131" t="s">
        <v>108</v>
      </c>
    </row>
    <row r="39" spans="1:3" ht="15" customHeight="1">
      <c r="A39" s="130" t="s">
        <v>226</v>
      </c>
      <c r="B39" s="115" t="s">
        <v>227</v>
      </c>
      <c r="C39" s="131" t="s">
        <v>108</v>
      </c>
    </row>
    <row r="40" spans="1:3" ht="15" customHeight="1">
      <c r="A40" s="130" t="s">
        <v>228</v>
      </c>
      <c r="B40" s="115" t="s">
        <v>229</v>
      </c>
      <c r="C40" s="131" t="s">
        <v>108</v>
      </c>
    </row>
    <row r="41" spans="1:3" ht="15" customHeight="1">
      <c r="A41" s="130" t="s">
        <v>230</v>
      </c>
      <c r="B41" s="115" t="s">
        <v>231</v>
      </c>
      <c r="C41" s="131" t="s">
        <v>56</v>
      </c>
    </row>
    <row r="42" spans="1:3" ht="15" customHeight="1">
      <c r="A42" s="130" t="s">
        <v>232</v>
      </c>
      <c r="B42" s="115" t="s">
        <v>233</v>
      </c>
      <c r="C42" s="131" t="s">
        <v>56</v>
      </c>
    </row>
    <row r="43" spans="1:3" ht="15" customHeight="1">
      <c r="A43" s="130" t="s">
        <v>234</v>
      </c>
      <c r="B43" s="115" t="s">
        <v>235</v>
      </c>
      <c r="C43" s="131" t="s">
        <v>56</v>
      </c>
    </row>
    <row r="44" spans="1:3" ht="15" customHeight="1">
      <c r="A44" s="130" t="s">
        <v>236</v>
      </c>
      <c r="B44" s="115" t="s">
        <v>237</v>
      </c>
      <c r="C44" s="131" t="s">
        <v>56</v>
      </c>
    </row>
    <row r="45" spans="1:3" ht="15" customHeight="1">
      <c r="A45" s="130" t="s">
        <v>238</v>
      </c>
      <c r="B45" s="115" t="s">
        <v>239</v>
      </c>
      <c r="C45" s="131" t="s">
        <v>56</v>
      </c>
    </row>
    <row r="46" spans="1:3" ht="15" customHeight="1">
      <c r="A46" s="130" t="s">
        <v>240</v>
      </c>
      <c r="B46" s="115" t="s">
        <v>241</v>
      </c>
      <c r="C46" s="131" t="s">
        <v>56</v>
      </c>
    </row>
    <row r="47" spans="1:3" ht="30" customHeight="1">
      <c r="A47" s="130" t="s">
        <v>242</v>
      </c>
      <c r="B47" s="115" t="s">
        <v>243</v>
      </c>
      <c r="C47" s="131" t="s">
        <v>84</v>
      </c>
    </row>
    <row r="48" spans="1:3" ht="15" customHeight="1">
      <c r="A48" s="130" t="s">
        <v>244</v>
      </c>
      <c r="B48" s="115" t="s">
        <v>245</v>
      </c>
      <c r="C48" s="131" t="s">
        <v>56</v>
      </c>
    </row>
    <row r="49" spans="1:3" ht="15" customHeight="1">
      <c r="A49" s="130" t="s">
        <v>246</v>
      </c>
      <c r="B49" s="115" t="s">
        <v>247</v>
      </c>
      <c r="C49" s="131" t="s">
        <v>84</v>
      </c>
    </row>
    <row r="50" spans="1:3" ht="15" customHeight="1">
      <c r="A50" s="130" t="s">
        <v>248</v>
      </c>
      <c r="B50" s="115" t="s">
        <v>249</v>
      </c>
      <c r="C50" s="131" t="s">
        <v>56</v>
      </c>
    </row>
    <row r="51" spans="1:3" ht="15" customHeight="1">
      <c r="A51" s="130" t="s">
        <v>250</v>
      </c>
      <c r="B51" s="115" t="s">
        <v>251</v>
      </c>
      <c r="C51" s="131" t="s">
        <v>56</v>
      </c>
    </row>
    <row r="52" spans="1:3" ht="15" customHeight="1">
      <c r="A52" s="130" t="s">
        <v>252</v>
      </c>
      <c r="B52" s="115" t="s">
        <v>253</v>
      </c>
      <c r="C52" s="131" t="s">
        <v>5</v>
      </c>
    </row>
    <row r="53" spans="1:3" ht="15" customHeight="1">
      <c r="A53" s="130" t="s">
        <v>254</v>
      </c>
      <c r="B53" s="115" t="s">
        <v>255</v>
      </c>
      <c r="C53" s="131" t="s">
        <v>84</v>
      </c>
    </row>
    <row r="54" spans="1:3" ht="15" customHeight="1">
      <c r="A54" s="130" t="s">
        <v>256</v>
      </c>
      <c r="B54" s="115" t="s">
        <v>257</v>
      </c>
      <c r="C54" s="131" t="s">
        <v>84</v>
      </c>
    </row>
    <row r="55" spans="1:3" ht="15" customHeight="1" thickBot="1">
      <c r="A55" s="132" t="s">
        <v>258</v>
      </c>
      <c r="B55" s="138" t="s">
        <v>259</v>
      </c>
      <c r="C55" s="134" t="s">
        <v>116</v>
      </c>
    </row>
    <row r="56" spans="1:3" ht="13.5" thickBot="1">
      <c r="A56" s="126"/>
      <c r="B56" s="126"/>
      <c r="C56" s="127"/>
    </row>
    <row r="57" spans="1:3" ht="16.5" thickBot="1">
      <c r="A57" s="187" t="s">
        <v>261</v>
      </c>
      <c r="B57" s="188"/>
      <c r="C57" s="189"/>
    </row>
    <row r="58" spans="1:3" ht="12.75">
      <c r="A58" s="128" t="s">
        <v>262</v>
      </c>
      <c r="B58" s="124" t="s">
        <v>263</v>
      </c>
      <c r="C58" s="129" t="s">
        <v>3</v>
      </c>
    </row>
    <row r="59" spans="1:3" ht="12.75">
      <c r="A59" s="130" t="s">
        <v>264</v>
      </c>
      <c r="B59" s="125" t="s">
        <v>265</v>
      </c>
      <c r="C59" s="131" t="s">
        <v>3</v>
      </c>
    </row>
    <row r="60" spans="1:3" ht="13.5" thickBot="1">
      <c r="A60" s="132" t="s">
        <v>266</v>
      </c>
      <c r="B60" s="133" t="s">
        <v>267</v>
      </c>
      <c r="C60" s="134" t="s">
        <v>0</v>
      </c>
    </row>
  </sheetData>
  <sheetProtection/>
  <mergeCells count="2">
    <mergeCell ref="A1:C1"/>
    <mergeCell ref="A57:C57"/>
  </mergeCells>
  <printOptions horizontalCentered="1" verticalCentered="1"/>
  <pageMargins left="0.45" right="0.45" top="0.5" bottom="0.5" header="0.3" footer="0.3"/>
  <pageSetup fitToHeight="1" fitToWidth="1"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6.7109375" style="0" customWidth="1"/>
    <col min="2" max="2" width="14.57421875" style="0" customWidth="1"/>
    <col min="3" max="10" width="15.7109375" style="0" customWidth="1"/>
    <col min="11" max="11" width="18.28125" style="0" customWidth="1"/>
  </cols>
  <sheetData>
    <row r="1" spans="1:5" ht="19.5" customHeight="1">
      <c r="A1" s="190" t="s">
        <v>140</v>
      </c>
      <c r="B1" s="190"/>
      <c r="C1" s="33" t="s">
        <v>12</v>
      </c>
      <c r="D1" s="30" t="s">
        <v>12</v>
      </c>
      <c r="E1" s="33" t="s">
        <v>12</v>
      </c>
    </row>
    <row r="2" spans="1:5" ht="19.5" customHeight="1">
      <c r="A2" s="59" t="s">
        <v>88</v>
      </c>
      <c r="B2" s="49">
        <f>'2016-2017 Parameters'!B6</f>
        <v>1.0902</v>
      </c>
      <c r="C2" s="31" t="s">
        <v>12</v>
      </c>
      <c r="D2" s="32"/>
      <c r="E2" s="32" t="s">
        <v>12</v>
      </c>
    </row>
    <row r="3" spans="1:5" ht="19.5" customHeight="1">
      <c r="A3" s="90" t="s">
        <v>89</v>
      </c>
      <c r="B3" s="91">
        <f>'2016-2017 Parameters'!B7</f>
        <v>0.955</v>
      </c>
      <c r="C3" s="31"/>
      <c r="D3" s="32"/>
      <c r="E3" s="32"/>
    </row>
    <row r="4" spans="1:11" ht="30" customHeight="1">
      <c r="A4" s="92" t="s">
        <v>128</v>
      </c>
      <c r="B4" s="65" t="s">
        <v>90</v>
      </c>
      <c r="C4" s="65" t="s">
        <v>17</v>
      </c>
      <c r="D4" s="65" t="s">
        <v>16</v>
      </c>
      <c r="E4" s="65" t="s">
        <v>14</v>
      </c>
      <c r="F4" s="65" t="s">
        <v>8</v>
      </c>
      <c r="G4" s="65" t="s">
        <v>45</v>
      </c>
      <c r="H4" s="65" t="s">
        <v>46</v>
      </c>
      <c r="I4" s="65" t="s">
        <v>7</v>
      </c>
      <c r="J4" s="65" t="s">
        <v>56</v>
      </c>
      <c r="K4" s="65" t="s">
        <v>268</v>
      </c>
    </row>
    <row r="5" spans="1:11" ht="19.5" customHeight="1">
      <c r="A5" s="105" t="s">
        <v>49</v>
      </c>
      <c r="B5" s="93">
        <f>'2016-2017 Parameters'!B18</f>
        <v>166127.5</v>
      </c>
      <c r="C5" s="93">
        <f>'2016-2017 Parameters'!C18</f>
        <v>72299</v>
      </c>
      <c r="D5" s="93">
        <f>'2016-2017 Parameters'!D18</f>
        <v>39694</v>
      </c>
      <c r="E5" s="93">
        <f>'2016-2017 Parameters'!E18</f>
        <v>17316</v>
      </c>
      <c r="F5" s="93">
        <f>'2016-2017 Parameters'!F18</f>
        <v>12870</v>
      </c>
      <c r="G5" s="93">
        <f>'2016-2017 Parameters'!G18</f>
        <v>6440</v>
      </c>
      <c r="H5" s="93">
        <f>'2016-2017 Parameters'!H18</f>
        <v>3160</v>
      </c>
      <c r="I5" s="93">
        <f>'2016-2017 Parameters'!I18</f>
        <v>9012</v>
      </c>
      <c r="J5" s="93">
        <f>'2016-2017 Parameters'!J18</f>
        <v>16255</v>
      </c>
      <c r="K5" s="93">
        <f>'2016-2017 Parameters'!K18</f>
        <v>6164</v>
      </c>
    </row>
    <row r="6" spans="1:11" ht="19.5" customHeight="1">
      <c r="A6" s="94" t="s">
        <v>11</v>
      </c>
      <c r="B6" s="93" t="s">
        <v>23</v>
      </c>
      <c r="C6" s="93">
        <f>'2016-2017 Parameters'!C14</f>
        <v>6495</v>
      </c>
      <c r="D6" s="93">
        <f>'2016-2017 Parameters'!D14</f>
        <v>8916</v>
      </c>
      <c r="E6" s="93">
        <f>'2016-2017 Parameters'!E14</f>
        <v>8786</v>
      </c>
      <c r="F6" s="93">
        <f>'2016-2017 Parameters'!F14</f>
        <v>6581</v>
      </c>
      <c r="G6" s="93">
        <f>'2016-2017 Parameters'!G14</f>
        <v>2936</v>
      </c>
      <c r="H6" s="93">
        <f>'2016-2017 Parameters'!H14</f>
        <v>1901</v>
      </c>
      <c r="I6" s="93">
        <f>'2016-2017 Parameters'!I14</f>
        <v>6846</v>
      </c>
      <c r="J6" s="93">
        <f>'2016-2017 Parameters'!J14</f>
        <v>7881</v>
      </c>
      <c r="K6" s="93">
        <f>'2016-2017 Parameters'!K14</f>
        <v>5245</v>
      </c>
    </row>
    <row r="7" spans="1:11" ht="19.5" customHeight="1">
      <c r="A7" s="94" t="s">
        <v>91</v>
      </c>
      <c r="B7" s="95">
        <f>'2016-2017 Parameters'!B8</f>
        <v>165412</v>
      </c>
      <c r="C7" s="95">
        <f>'2016-2017 Parameters'!F69</f>
        <v>61080</v>
      </c>
      <c r="D7" s="95">
        <f>'2016-2017 Parameters'!F66</f>
        <v>33299</v>
      </c>
      <c r="E7" s="95">
        <f>'2016-2017 Parameters'!F67</f>
        <v>14088</v>
      </c>
      <c r="F7" s="95">
        <f>'2016-2017 Parameters'!F63</f>
        <v>10600</v>
      </c>
      <c r="G7" s="95">
        <f>'2016-2017 Parameters'!F64</f>
        <v>5141</v>
      </c>
      <c r="H7" s="95">
        <f>'2016-2017 Parameters'!F55</f>
        <v>2438.7</v>
      </c>
      <c r="I7" s="95">
        <f>'2016-2017 Parameters'!F61</f>
        <v>6800</v>
      </c>
      <c r="J7" s="95">
        <f>'2016-2017 Parameters'!F46</f>
        <v>13295</v>
      </c>
      <c r="K7" s="95">
        <f>'2016-2017 Parameters'!F47</f>
        <v>4562.3</v>
      </c>
    </row>
    <row r="8" spans="1:11" ht="19.5" customHeight="1">
      <c r="A8" s="94" t="s">
        <v>92</v>
      </c>
      <c r="B8" s="95">
        <f>'2016-2017 Parameters'!B16</f>
        <v>13029.4</v>
      </c>
      <c r="C8" s="95">
        <f>'2016-2017 Parameters'!C16</f>
        <v>0</v>
      </c>
      <c r="D8" s="95">
        <f>'2016-2017 Parameters'!D16</f>
        <v>0</v>
      </c>
      <c r="E8" s="95">
        <f>'2016-2017 Parameters'!E16</f>
        <v>0</v>
      </c>
      <c r="F8" s="95">
        <f>'2016-2017 Parameters'!F16</f>
        <v>0</v>
      </c>
      <c r="G8" s="95">
        <f>'2016-2017 Parameters'!G16</f>
        <v>0</v>
      </c>
      <c r="H8" s="95">
        <f>'2016-2017 Parameters'!H16</f>
        <v>0</v>
      </c>
      <c r="I8" s="95">
        <f>'2016-2017 Parameters'!I16</f>
        <v>0</v>
      </c>
      <c r="J8" s="95">
        <f>'2016-2017 Parameters'!J16</f>
        <v>0</v>
      </c>
      <c r="K8" s="95">
        <f>'2016-2017 Parameters'!K16</f>
        <v>0</v>
      </c>
    </row>
    <row r="9" spans="1:11" ht="19.5" customHeight="1">
      <c r="A9" s="94" t="s">
        <v>93</v>
      </c>
      <c r="B9" s="95">
        <f aca="true" t="shared" si="0" ref="B9:I9">B7-B8</f>
        <v>152382.6</v>
      </c>
      <c r="C9" s="95">
        <f t="shared" si="0"/>
        <v>61080</v>
      </c>
      <c r="D9" s="95">
        <f t="shared" si="0"/>
        <v>33299</v>
      </c>
      <c r="E9" s="95">
        <f t="shared" si="0"/>
        <v>14088</v>
      </c>
      <c r="F9" s="95">
        <f t="shared" si="0"/>
        <v>10600</v>
      </c>
      <c r="G9" s="95">
        <f t="shared" si="0"/>
        <v>5141</v>
      </c>
      <c r="H9" s="95">
        <f t="shared" si="0"/>
        <v>2438.7</v>
      </c>
      <c r="I9" s="95">
        <f t="shared" si="0"/>
        <v>6800</v>
      </c>
      <c r="J9" s="95">
        <f>J7-J8</f>
        <v>13295</v>
      </c>
      <c r="K9" s="95">
        <f>K7-K8</f>
        <v>4562.3</v>
      </c>
    </row>
    <row r="10" spans="1:11" ht="19.5" customHeight="1">
      <c r="A10" s="96" t="s">
        <v>127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1" spans="1:12" ht="19.5" customHeight="1">
      <c r="A11" s="94" t="s">
        <v>271</v>
      </c>
      <c r="B11" s="98">
        <v>0.048</v>
      </c>
      <c r="C11" s="98">
        <v>0.057</v>
      </c>
      <c r="D11" s="98">
        <v>0.064</v>
      </c>
      <c r="E11" s="98">
        <v>0.07</v>
      </c>
      <c r="F11" s="98">
        <v>0.073</v>
      </c>
      <c r="G11" s="98">
        <v>0.073</v>
      </c>
      <c r="H11" s="98">
        <v>0.057</v>
      </c>
      <c r="I11" s="98">
        <v>0.064</v>
      </c>
      <c r="J11" s="98">
        <v>0.051</v>
      </c>
      <c r="K11" s="98">
        <v>0.051</v>
      </c>
      <c r="L11" s="140" t="s">
        <v>12</v>
      </c>
    </row>
    <row r="12" spans="1:12" ht="19.5" customHeight="1">
      <c r="A12" s="94" t="s">
        <v>95</v>
      </c>
      <c r="B12" s="99">
        <f>B9*B11*$B$2*$B$3</f>
        <v>7615.2850822368</v>
      </c>
      <c r="C12" s="99">
        <f aca="true" t="shared" si="1" ref="C12:I12">C9*C11*$B$2*$B$3</f>
        <v>3624.79485996</v>
      </c>
      <c r="D12" s="99">
        <f t="shared" si="1"/>
        <v>2218.813066176</v>
      </c>
      <c r="E12" s="99">
        <f t="shared" si="1"/>
        <v>1026.73160856</v>
      </c>
      <c r="F12" s="99">
        <f t="shared" si="1"/>
        <v>805.6349058</v>
      </c>
      <c r="G12" s="99">
        <f t="shared" si="1"/>
        <v>390.73292931299994</v>
      </c>
      <c r="H12" s="99">
        <f t="shared" si="1"/>
        <v>144.7247417319</v>
      </c>
      <c r="I12" s="99">
        <f t="shared" si="1"/>
        <v>453.1045632</v>
      </c>
      <c r="J12" s="99">
        <f>J9*J11*$B$2*$B$3</f>
        <v>705.9404493449999</v>
      </c>
      <c r="K12" s="99">
        <f>K9*K11*$B$2*$B$3</f>
        <v>242.2498767993</v>
      </c>
      <c r="L12" s="140"/>
    </row>
    <row r="13" spans="1:12" ht="19.5" customHeight="1">
      <c r="A13" s="147" t="s">
        <v>125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40"/>
    </row>
    <row r="14" spans="1:12" ht="19.5" customHeight="1">
      <c r="A14" s="94" t="s">
        <v>94</v>
      </c>
      <c r="B14" s="98">
        <v>0.105</v>
      </c>
      <c r="C14" s="98">
        <v>0.121</v>
      </c>
      <c r="D14" s="98">
        <v>0.178</v>
      </c>
      <c r="E14" s="98">
        <v>0.16</v>
      </c>
      <c r="F14" s="98">
        <v>0.188</v>
      </c>
      <c r="G14" s="98">
        <v>0.187</v>
      </c>
      <c r="H14" s="98">
        <v>0.14</v>
      </c>
      <c r="I14" s="98">
        <v>0.2</v>
      </c>
      <c r="J14" s="98">
        <v>0.157</v>
      </c>
      <c r="K14" s="98">
        <v>0.261</v>
      </c>
      <c r="L14" s="140" t="s">
        <v>12</v>
      </c>
    </row>
    <row r="15" spans="1:11" ht="19.5" customHeight="1">
      <c r="A15" s="94" t="s">
        <v>95</v>
      </c>
      <c r="B15" s="101">
        <f>B9*B14*$B$2*$B$3</f>
        <v>16658.436117393</v>
      </c>
      <c r="C15" s="101">
        <f aca="true" t="shared" si="2" ref="C15:I15">C9*C14*$B$2*$B$3</f>
        <v>7694.7399658799995</v>
      </c>
      <c r="D15" s="101">
        <f t="shared" si="2"/>
        <v>6171.073840302</v>
      </c>
      <c r="E15" s="101">
        <f t="shared" si="2"/>
        <v>2346.81510528</v>
      </c>
      <c r="F15" s="101">
        <f t="shared" si="2"/>
        <v>2074.7857848</v>
      </c>
      <c r="G15" s="101">
        <f t="shared" si="2"/>
        <v>1000.9185997469999</v>
      </c>
      <c r="H15" s="101">
        <f t="shared" si="2"/>
        <v>355.464277938</v>
      </c>
      <c r="I15" s="101">
        <f t="shared" si="2"/>
        <v>1415.95176</v>
      </c>
      <c r="J15" s="101">
        <f>J9*J14*$B$2*$B$3</f>
        <v>2173.189226415</v>
      </c>
      <c r="K15" s="101">
        <f>K9*K14*$B$2*$B$3</f>
        <v>1239.7493695023002</v>
      </c>
    </row>
    <row r="16" spans="1:11" ht="19.5" customHeight="1">
      <c r="A16" s="102" t="s">
        <v>122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</row>
    <row r="17" spans="1:13" ht="19.5" customHeight="1">
      <c r="A17" s="94" t="s">
        <v>85</v>
      </c>
      <c r="B17" s="103">
        <f>ROUND(B5-B12,1)</f>
        <v>158512.2</v>
      </c>
      <c r="C17" s="103">
        <f>ROUND(C5-C6-C12,1)</f>
        <v>62179.2</v>
      </c>
      <c r="D17" s="103">
        <f aca="true" t="shared" si="3" ref="D17:I17">ROUND(D5-D6-D12,1)</f>
        <v>28559.2</v>
      </c>
      <c r="E17" s="103">
        <f t="shared" si="3"/>
        <v>7503.3</v>
      </c>
      <c r="F17" s="103">
        <f t="shared" si="3"/>
        <v>5483.4</v>
      </c>
      <c r="G17" s="103">
        <f t="shared" si="3"/>
        <v>3113.3</v>
      </c>
      <c r="H17" s="103">
        <f t="shared" si="3"/>
        <v>1114.3</v>
      </c>
      <c r="I17" s="103">
        <f t="shared" si="3"/>
        <v>1712.9</v>
      </c>
      <c r="J17" s="103">
        <f>ROUND(J5-J6-J12,1)</f>
        <v>7668.1</v>
      </c>
      <c r="K17" s="103">
        <f>ROUND(K5-K6-K12,1)</f>
        <v>676.8</v>
      </c>
      <c r="M17" s="142" t="s">
        <v>12</v>
      </c>
    </row>
    <row r="18" spans="1:13" ht="19.5" customHeight="1">
      <c r="A18" s="94" t="s">
        <v>96</v>
      </c>
      <c r="B18" s="103">
        <f>ROUND(B5-B15,1)</f>
        <v>149469.1</v>
      </c>
      <c r="C18" s="103">
        <f>ROUND(C5-C6-C15,1)</f>
        <v>58109.3</v>
      </c>
      <c r="D18" s="103">
        <f aca="true" t="shared" si="4" ref="D18:J18">ROUND(D5-D6-D15,1)</f>
        <v>24606.9</v>
      </c>
      <c r="E18" s="103">
        <f t="shared" si="4"/>
        <v>6183.2</v>
      </c>
      <c r="F18" s="103">
        <f t="shared" si="4"/>
        <v>4214.2</v>
      </c>
      <c r="G18" s="103">
        <f t="shared" si="4"/>
        <v>2503.1</v>
      </c>
      <c r="H18" s="103">
        <f t="shared" si="4"/>
        <v>903.5</v>
      </c>
      <c r="I18" s="103">
        <f t="shared" si="4"/>
        <v>750</v>
      </c>
      <c r="J18" s="103">
        <f t="shared" si="4"/>
        <v>6200.8</v>
      </c>
      <c r="K18" s="121">
        <f>MAX(K5-K6-K15,0)</f>
        <v>0</v>
      </c>
      <c r="M18" s="142" t="s">
        <v>12</v>
      </c>
    </row>
    <row r="19" spans="1:11" ht="19.5" customHeight="1">
      <c r="A19" s="96" t="s">
        <v>126</v>
      </c>
      <c r="B19" s="100"/>
      <c r="C19" s="100"/>
      <c r="D19" s="100"/>
      <c r="E19" s="106"/>
      <c r="F19" s="100"/>
      <c r="G19" s="100"/>
      <c r="H19" s="100"/>
      <c r="I19" s="106"/>
      <c r="J19" s="100"/>
      <c r="K19" s="100"/>
    </row>
    <row r="20" spans="1:11" ht="19.5" customHeight="1">
      <c r="A20" s="94" t="s">
        <v>85</v>
      </c>
      <c r="B20" s="104">
        <f>(B5-B7*B11*$B$2*$B$3)/B5</f>
        <v>0.9502404699738695</v>
      </c>
      <c r="C20" s="104">
        <f>(C5-C6-C7*C11*$B$2*$B$3)/C5</f>
        <v>0.8600285638811048</v>
      </c>
      <c r="D20" s="104">
        <f aca="true" t="shared" si="5" ref="D20:I20">(D5-D6-D7*D11*$B$2*$B$3)/D5</f>
        <v>0.7194837238329218</v>
      </c>
      <c r="E20" s="104">
        <f t="shared" si="5"/>
        <v>0.4333141829198429</v>
      </c>
      <c r="F20" s="104">
        <f t="shared" si="5"/>
        <v>0.4260578938772339</v>
      </c>
      <c r="G20" s="104">
        <f t="shared" si="5"/>
        <v>0.4834265637712733</v>
      </c>
      <c r="H20" s="104">
        <f t="shared" si="5"/>
        <v>0.35261875261648734</v>
      </c>
      <c r="I20" s="104">
        <f t="shared" si="5"/>
        <v>0.19006829081225032</v>
      </c>
      <c r="J20" s="104">
        <f>(J5-J6-J7*J11*$B$2*$B$3)/J5</f>
        <v>0.471735438366964</v>
      </c>
      <c r="K20" s="104">
        <f>(K5-K6-K7*K11*$B$2*$B$3)/K5</f>
        <v>0.10979074029862103</v>
      </c>
    </row>
    <row r="21" spans="1:11" ht="19.5" customHeight="1">
      <c r="A21" s="94" t="s">
        <v>96</v>
      </c>
      <c r="B21" s="104">
        <f>(B5-B7*B14*$B$2*$B$3)/B5</f>
        <v>0.8911510280678394</v>
      </c>
      <c r="C21" s="104">
        <f>(C5-C6-C7*C14*$B$2*$B$3)/C5</f>
        <v>0.8037353218456686</v>
      </c>
      <c r="D21" s="104">
        <f aca="true" t="shared" si="6" ref="D21:J21">(D5-D6-D7*D14*$B$2*$B$3)/D5</f>
        <v>0.6199155076257873</v>
      </c>
      <c r="E21" s="104">
        <f t="shared" si="6"/>
        <v>0.35707928474936473</v>
      </c>
      <c r="F21" s="104">
        <f t="shared" si="6"/>
        <v>0.32744477196581195</v>
      </c>
      <c r="G21" s="104">
        <f t="shared" si="6"/>
        <v>0.38867723606413046</v>
      </c>
      <c r="H21" s="104">
        <f t="shared" si="6"/>
        <v>0.28592902596898734</v>
      </c>
      <c r="I21" s="104">
        <f t="shared" si="6"/>
        <v>0.08322772303595208</v>
      </c>
      <c r="J21" s="104">
        <f t="shared" si="6"/>
        <v>0.38147097961150417</v>
      </c>
      <c r="K21" s="104">
        <f>MAX((K5-K6-K7*K14*$B$2*$B$3)/K5,0)</f>
        <v>0</v>
      </c>
    </row>
    <row r="22" spans="1:9" ht="15">
      <c r="A22" s="149" t="s">
        <v>296</v>
      </c>
      <c r="B22" s="35"/>
      <c r="C22" s="35"/>
      <c r="D22" s="35"/>
      <c r="E22" s="35"/>
      <c r="F22" s="35"/>
      <c r="G22" s="35"/>
      <c r="H22" s="35"/>
      <c r="I22" s="35"/>
    </row>
    <row r="23" spans="2:3" ht="12.75">
      <c r="B23" s="4" t="s">
        <v>12</v>
      </c>
      <c r="C23" s="4" t="s">
        <v>12</v>
      </c>
    </row>
  </sheetData>
  <sheetProtection/>
  <mergeCells count="1">
    <mergeCell ref="A1:B1"/>
  </mergeCells>
  <printOptions horizontalCentered="1" verticalCentered="1"/>
  <pageMargins left="0.25" right="0.25" top="0.25" bottom="0.25" header="0.3" footer="0.3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PJM User</dc:creator>
  <cp:keywords/>
  <dc:description/>
  <cp:lastModifiedBy>Bruno, Patrick</cp:lastModifiedBy>
  <cp:lastPrinted>2013-04-16T18:55:10Z</cp:lastPrinted>
  <dcterms:created xsi:type="dcterms:W3CDTF">2007-01-26T13:56:48Z</dcterms:created>
  <dcterms:modified xsi:type="dcterms:W3CDTF">2014-06-04T17:51:23Z</dcterms:modified>
  <cp:category/>
  <cp:version/>
  <cp:contentType/>
  <cp:contentStatus/>
</cp:coreProperties>
</file>